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threadedComments/threadedComment1.xml" ContentType="application/vnd.ms-excel.threadedcomments+xml"/>
  <Override PartName="/xl/comments6.xml" ContentType="application/vnd.openxmlformats-officedocument.spreadsheetml.comments+xml"/>
  <Override PartName="/xl/threadedComments/threadedComment2.xml" ContentType="application/vnd.ms-excel.threadedcomments+xml"/>
  <Override PartName="/xl/comments7.xml" ContentType="application/vnd.openxmlformats-officedocument.spreadsheetml.comments+xml"/>
  <Override PartName="/xl/threadedComments/threadedComment3.xml" ContentType="application/vnd.ms-excel.threadedcomments+xml"/>
  <Override PartName="/xl/comments8.xml" ContentType="application/vnd.openxmlformats-officedocument.spreadsheetml.comments+xml"/>
  <Override PartName="/xl/threadedComments/threadedComment4.xml" ContentType="application/vnd.ms-excel.threadedcomments+xml"/>
  <Override PartName="/xl/comments9.xml" ContentType="application/vnd.openxmlformats-officedocument.spreadsheetml.comments+xml"/>
  <Override PartName="/xl/drawings/drawing1.xml" ContentType="application/vnd.openxmlformats-officedocument.drawing+xml"/>
  <Override PartName="/xl/comments10.xml" ContentType="application/vnd.openxmlformats-officedocument.spreadsheetml.comments+xml"/>
  <Override PartName="/xl/threadedComments/threadedComment5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My Drive\Freelance\Work Samples\LBO Model v2\"/>
    </mc:Choice>
  </mc:AlternateContent>
  <xr:revisionPtr revIDLastSave="0" documentId="13_ncr:1_{228FD0D9-DF82-4FDE-AF90-7C52CF4A2A07}" xr6:coauthVersionLast="47" xr6:coauthVersionMax="47" xr10:uidLastSave="{00000000-0000-0000-0000-000000000000}"/>
  <bookViews>
    <workbookView xWindow="-14985" yWindow="-16320" windowWidth="29040" windowHeight="15720" tabRatio="879" xr2:uid="{0C9ACC35-C114-4620-9E8C-DA834E7CC451}"/>
  </bookViews>
  <sheets>
    <sheet name="Cover" sheetId="25" r:id="rId1"/>
    <sheet name="HoldCo" sheetId="1" r:id="rId2"/>
    <sheet name="Operating Model" sheetId="55" r:id="rId3"/>
    <sheet name="CRE Loan" sheetId="28" r:id="rId4"/>
    <sheet name="Seller Note" sheetId="30" r:id="rId5"/>
    <sheet name="PropCo Capex" sheetId="45" r:id="rId6"/>
    <sheet name="OpCo Capex" sheetId="34" r:id="rId7"/>
    <sheet name="Managed IT Services &amp; CMMC" sheetId="67" r:id="rId8"/>
    <sheet name="Software" sheetId="64" r:id="rId9"/>
    <sheet name="Manager" sheetId="56" r:id="rId10"/>
    <sheet name="Transition Period" sheetId="60" r:id="rId11"/>
    <sheet name="Supporting Info" sheetId="75" r:id="rId12"/>
    <sheet name="Top Customer Analysis" sheetId="79" r:id="rId13"/>
    <sheet name="Data Validation" sheetId="46" state="hidden" r:id="rId14"/>
    <sheet name="Basket &amp; Cap" sheetId="20" state="hidden" r:id="rId15"/>
  </sheets>
  <externalReferences>
    <externalReference r:id="rId16"/>
    <externalReference r:id="rId17"/>
  </externalReferences>
  <definedNames>
    <definedName name="_xlnm._FilterDatabase" localSheetId="6" hidden="1">'OpCo Capex'!$B$5:$I$5</definedName>
    <definedName name="acquired_BV">HoldCo!$L$860:$L$916</definedName>
    <definedName name="AR">'[1]PPA Summary'!$Q$21</definedName>
    <definedName name="Assets_A">'[1]PPA - Assets (A)'!$I$45</definedName>
    <definedName name="Assets_B">'[1]PPA - Assets (B)'!$K$61</definedName>
    <definedName name="building_PPA">'[1]PPA Summary'!$D$22</definedName>
    <definedName name="Building_tax_period">'[1]PPA Summary'!$D$19</definedName>
    <definedName name="buildings_A">'[1]PPA - Real Estate (A)'!$L$21</definedName>
    <definedName name="buildings_B">'[1]PPA - Real Estate (B)'!$L$21</definedName>
    <definedName name="capital_gain_tax">'[1]PPA Summary'!$D$16</definedName>
    <definedName name="circuit_breaker">HoldCo!$V$11</definedName>
    <definedName name="closing_balance_sheet">HoldCo!$F$859:$R$916</definedName>
    <definedName name="closing_date">HoldCo!$Q$15</definedName>
    <definedName name="Company_name">'[1]Cover Page'!$C$2</definedName>
    <definedName name="exit_year">HoldCo!$V$23</definedName>
    <definedName name="fv_adjustments">HoldCo!$M$44:$M$45</definedName>
    <definedName name="FYE">'[1]PPA Summary'!$D$8</definedName>
    <definedName name="inventory">'[1]PPA Summary'!$Q$22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40218.8268634259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land_A">'[1]PPA - Real Estate (A)'!$L$26</definedName>
    <definedName name="land_B">'[1]PPA - Real Estate (B)'!$L$26</definedName>
    <definedName name="land_ppa">'[1]PPA Summary'!$D$23</definedName>
    <definedName name="Last_FYE">HoldCo!$Q$12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TM_Date">HoldCo!$Q$13</definedName>
    <definedName name="LTV">HoldCo!$E$100</definedName>
    <definedName name="Next_FYE">HoldCo!$Q$16</definedName>
    <definedName name="operating_case">HoldCo!$V$19</definedName>
    <definedName name="PP_company_assets">'[1]PPA Summary'!$K$9</definedName>
    <definedName name="pp_real_estate">'[1]PPA Summary'!$K$10</definedName>
    <definedName name="pp_real_estate_B">'[1]PPA Summary'!$Q$10</definedName>
    <definedName name="recapture_tax">'[1]PPA Summary'!$D$14</definedName>
    <definedName name="recapture_tax_RE">'[1]PPA Summary'!$D$15</definedName>
    <definedName name="revolver_commitment">HoldCo!$Q$26</definedName>
    <definedName name="scheduled_am">HoldCo!$N$79:$W$500</definedName>
    <definedName name="state_tax">'[1]PPA Summary'!$D$17</definedName>
    <definedName name="sweep">HoldCo!$N$512:$W$517</definedName>
    <definedName name="tax">'[2]LBO Model'!#REF!</definedName>
    <definedName name="tax_2">'[2]LBO Model'!#REF!</definedName>
    <definedName name="units">HoldCo!$C$8</definedName>
  </definedNames>
  <calcPr calcId="191029" calcMode="autoNoTable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1" l="1"/>
  <c r="F199" i="1" l="1"/>
  <c r="P25" i="55" l="1"/>
  <c r="P337" i="55"/>
  <c r="O337" i="55"/>
  <c r="N337" i="55"/>
  <c r="M337" i="55"/>
  <c r="L337" i="55"/>
  <c r="K865" i="1" l="1"/>
  <c r="B19" i="60" l="1" a="1"/>
  <c r="B19" i="60" s="1"/>
  <c r="B20" i="60" s="1" a="1"/>
  <c r="B20" i="60" s="1"/>
  <c r="B21" i="60" s="1" a="1"/>
  <c r="B21" i="60" s="1"/>
  <c r="B22" i="60" s="1" a="1"/>
  <c r="B22" i="60" s="1"/>
  <c r="B23" i="60" s="1" a="1"/>
  <c r="B23" i="60" s="1"/>
  <c r="B24" i="60" s="1" a="1"/>
  <c r="B24" i="60" s="1"/>
  <c r="B25" i="60" s="1" a="1"/>
  <c r="B25" i="60" s="1"/>
  <c r="B26" i="60" s="1" a="1"/>
  <c r="B26" i="60" s="1"/>
  <c r="B27" i="60" s="1" a="1"/>
  <c r="B27" i="60" s="1"/>
  <c r="B28" i="60" s="1" a="1"/>
  <c r="B28" i="60" s="1"/>
  <c r="B29" i="60" s="1" a="1"/>
  <c r="B29" i="60" s="1"/>
  <c r="B30" i="60" s="1" a="1"/>
  <c r="B30" i="60" s="1"/>
  <c r="B31" i="60" s="1" a="1"/>
  <c r="B31" i="60" s="1"/>
  <c r="B32" i="60" s="1" a="1"/>
  <c r="B32" i="60" s="1"/>
  <c r="B33" i="60" s="1" a="1"/>
  <c r="B33" i="60" s="1"/>
  <c r="B34" i="60" s="1" a="1"/>
  <c r="B34" i="60" s="1"/>
  <c r="B35" i="60" s="1" a="1"/>
  <c r="B35" i="60" s="1"/>
  <c r="B36" i="60" s="1" a="1"/>
  <c r="B36" i="60" s="1"/>
  <c r="B37" i="60" s="1" a="1"/>
  <c r="B37" i="60" s="1"/>
  <c r="B38" i="60" s="1" a="1"/>
  <c r="B38" i="60" s="1"/>
  <c r="B39" i="60" s="1" a="1"/>
  <c r="B39" i="60" s="1"/>
  <c r="B40" i="60" s="1" a="1"/>
  <c r="B40" i="60" s="1"/>
  <c r="B41" i="60" s="1" a="1"/>
  <c r="B41" i="60" s="1"/>
  <c r="B42" i="60" s="1" a="1"/>
  <c r="B42" i="60" s="1"/>
  <c r="S77" i="55"/>
  <c r="T77" i="55"/>
  <c r="U77" i="55"/>
  <c r="V77" i="55"/>
  <c r="W77" i="55"/>
  <c r="X77" i="55"/>
  <c r="Y77" i="55"/>
  <c r="Z77" i="55"/>
  <c r="AA77" i="55"/>
  <c r="S78" i="55"/>
  <c r="T78" i="55"/>
  <c r="U78" i="55"/>
  <c r="V78" i="55"/>
  <c r="W78" i="55"/>
  <c r="X78" i="55"/>
  <c r="Y78" i="55"/>
  <c r="Z78" i="55"/>
  <c r="AA78" i="55"/>
  <c r="S79" i="55"/>
  <c r="T79" i="55"/>
  <c r="U79" i="55"/>
  <c r="V79" i="55"/>
  <c r="W79" i="55"/>
  <c r="X79" i="55"/>
  <c r="Y79" i="55"/>
  <c r="Z79" i="55"/>
  <c r="AA79" i="55"/>
  <c r="B43" i="60" l="1" a="1"/>
  <c r="B43" i="60" s="1"/>
  <c r="C5" i="55"/>
  <c r="S55" i="55" s="1"/>
  <c r="H17" i="67"/>
  <c r="N837" i="1"/>
  <c r="N838" i="1" s="1"/>
  <c r="N839" i="1" s="1"/>
  <c r="N840" i="1" s="1"/>
  <c r="N841" i="1" s="1"/>
  <c r="N842" i="1" s="1"/>
  <c r="N843" i="1" s="1"/>
  <c r="N844" i="1" s="1"/>
  <c r="N845" i="1" s="1"/>
  <c r="N846" i="1" s="1"/>
  <c r="N847" i="1" s="1"/>
  <c r="B44" i="60" l="1" a="1"/>
  <c r="B44" i="60" s="1"/>
  <c r="P835" i="1"/>
  <c r="Q835" i="1" s="1"/>
  <c r="R835" i="1" s="1"/>
  <c r="S835" i="1" s="1"/>
  <c r="T835" i="1" s="1"/>
  <c r="G835" i="1"/>
  <c r="H835" i="1" s="1"/>
  <c r="I835" i="1" s="1"/>
  <c r="J835" i="1" s="1"/>
  <c r="K835" i="1" s="1"/>
  <c r="E837" i="1"/>
  <c r="E838" i="1" s="1"/>
  <c r="E839" i="1" s="1"/>
  <c r="E840" i="1" s="1"/>
  <c r="E841" i="1" s="1"/>
  <c r="E842" i="1" s="1"/>
  <c r="E843" i="1" s="1"/>
  <c r="E844" i="1" s="1"/>
  <c r="E845" i="1" s="1"/>
  <c r="E846" i="1" s="1"/>
  <c r="E847" i="1" s="1"/>
  <c r="B45" i="60" l="1" a="1"/>
  <c r="B45" i="60" s="1"/>
  <c r="O731" i="1"/>
  <c r="P731" i="1"/>
  <c r="Q731" i="1"/>
  <c r="R731" i="1"/>
  <c r="S731" i="1"/>
  <c r="T731" i="1"/>
  <c r="U731" i="1"/>
  <c r="V731" i="1"/>
  <c r="W731" i="1"/>
  <c r="N731" i="1"/>
  <c r="F11" i="56"/>
  <c r="B46" i="60" l="1" a="1"/>
  <c r="B46" i="60" s="1"/>
  <c r="R440" i="55"/>
  <c r="R346" i="55"/>
  <c r="R157" i="55"/>
  <c r="R156" i="55"/>
  <c r="B47" i="60" l="1" a="1"/>
  <c r="B47" i="60" s="1"/>
  <c r="R78" i="55"/>
  <c r="R79" i="55"/>
  <c r="R77" i="55"/>
  <c r="AF31" i="79"/>
  <c r="AE31" i="79"/>
  <c r="AI31" i="79" s="1"/>
  <c r="AD31" i="79"/>
  <c r="AC31" i="79"/>
  <c r="AA31" i="79"/>
  <c r="Z31" i="79"/>
  <c r="Y31" i="79"/>
  <c r="X31" i="79"/>
  <c r="Q31" i="79"/>
  <c r="P31" i="79"/>
  <c r="O31" i="79"/>
  <c r="N31" i="79"/>
  <c r="L31" i="79"/>
  <c r="K31" i="79"/>
  <c r="J31" i="79"/>
  <c r="AF30" i="79"/>
  <c r="AE30" i="79"/>
  <c r="AJ30" i="79" s="1"/>
  <c r="AD30" i="79"/>
  <c r="AC30" i="79"/>
  <c r="AA30" i="79"/>
  <c r="Z30" i="79"/>
  <c r="Y30" i="79"/>
  <c r="X30" i="79"/>
  <c r="Q30" i="79"/>
  <c r="P30" i="79"/>
  <c r="O30" i="79"/>
  <c r="N30" i="79"/>
  <c r="L30" i="79"/>
  <c r="K30" i="79"/>
  <c r="J30" i="79"/>
  <c r="AF29" i="79"/>
  <c r="AJ29" i="79" s="1"/>
  <c r="AE29" i="79"/>
  <c r="AD29" i="79"/>
  <c r="AC29" i="79"/>
  <c r="AA29" i="79"/>
  <c r="Z29" i="79"/>
  <c r="Y29" i="79"/>
  <c r="X29" i="79"/>
  <c r="Q29" i="79"/>
  <c r="P29" i="79"/>
  <c r="O29" i="79"/>
  <c r="N29" i="79"/>
  <c r="L29" i="79"/>
  <c r="K29" i="79"/>
  <c r="J29" i="79"/>
  <c r="AF28" i="79"/>
  <c r="AE28" i="79"/>
  <c r="AI28" i="79" s="1"/>
  <c r="AM28" i="79" s="1"/>
  <c r="AQ28" i="79" s="1"/>
  <c r="AD28" i="79"/>
  <c r="AC28" i="79"/>
  <c r="AA28" i="79"/>
  <c r="Z28" i="79"/>
  <c r="Y28" i="79"/>
  <c r="X28" i="79"/>
  <c r="Q28" i="79"/>
  <c r="P28" i="79"/>
  <c r="O28" i="79"/>
  <c r="N28" i="79"/>
  <c r="L28" i="79"/>
  <c r="K28" i="79"/>
  <c r="J28" i="79"/>
  <c r="AF27" i="79"/>
  <c r="AJ27" i="79" s="1"/>
  <c r="AE27" i="79"/>
  <c r="AD27" i="79"/>
  <c r="AC27" i="79"/>
  <c r="AA27" i="79"/>
  <c r="Z27" i="79"/>
  <c r="Y27" i="79"/>
  <c r="X27" i="79"/>
  <c r="Q27" i="79"/>
  <c r="P27" i="79"/>
  <c r="O27" i="79"/>
  <c r="N27" i="79"/>
  <c r="L27" i="79"/>
  <c r="K27" i="79"/>
  <c r="J27" i="79"/>
  <c r="AF26" i="79"/>
  <c r="AE26" i="79"/>
  <c r="AD26" i="79"/>
  <c r="AC26" i="79"/>
  <c r="AA26" i="79"/>
  <c r="Z26" i="79"/>
  <c r="Y26" i="79"/>
  <c r="X26" i="79"/>
  <c r="Q26" i="79"/>
  <c r="P26" i="79"/>
  <c r="O26" i="79"/>
  <c r="N26" i="79"/>
  <c r="L26" i="79"/>
  <c r="K26" i="79"/>
  <c r="J26" i="79"/>
  <c r="AF25" i="79"/>
  <c r="AE25" i="79"/>
  <c r="AD25" i="79"/>
  <c r="AC25" i="79"/>
  <c r="AA25" i="79"/>
  <c r="Z25" i="79"/>
  <c r="Y25" i="79"/>
  <c r="X25" i="79"/>
  <c r="Q25" i="79"/>
  <c r="P25" i="79"/>
  <c r="O25" i="79"/>
  <c r="N25" i="79"/>
  <c r="L25" i="79"/>
  <c r="K25" i="79"/>
  <c r="J25" i="79"/>
  <c r="AF24" i="79"/>
  <c r="AE24" i="79"/>
  <c r="AD24" i="79"/>
  <c r="AC24" i="79"/>
  <c r="AA24" i="79"/>
  <c r="Z24" i="79"/>
  <c r="Y24" i="79"/>
  <c r="X24" i="79"/>
  <c r="Q24" i="79"/>
  <c r="P24" i="79"/>
  <c r="O24" i="79"/>
  <c r="N24" i="79"/>
  <c r="L24" i="79"/>
  <c r="K24" i="79"/>
  <c r="J24" i="79"/>
  <c r="AF23" i="79"/>
  <c r="AE23" i="79"/>
  <c r="AD23" i="79"/>
  <c r="AC23" i="79"/>
  <c r="AA23" i="79"/>
  <c r="Z23" i="79"/>
  <c r="Y23" i="79"/>
  <c r="X23" i="79"/>
  <c r="Q23" i="79"/>
  <c r="P23" i="79"/>
  <c r="O23" i="79"/>
  <c r="N23" i="79"/>
  <c r="L23" i="79"/>
  <c r="K23" i="79"/>
  <c r="J23" i="79"/>
  <c r="AF22" i="79"/>
  <c r="AJ22" i="79" s="1"/>
  <c r="AE22" i="79"/>
  <c r="AD22" i="79"/>
  <c r="AC22" i="79"/>
  <c r="AA22" i="79"/>
  <c r="Z22" i="79"/>
  <c r="Y22" i="79"/>
  <c r="X22" i="79"/>
  <c r="Q22" i="79"/>
  <c r="P22" i="79"/>
  <c r="O22" i="79"/>
  <c r="N22" i="79"/>
  <c r="L22" i="79"/>
  <c r="K22" i="79"/>
  <c r="J22" i="79"/>
  <c r="AF21" i="79"/>
  <c r="AE21" i="79"/>
  <c r="AI21" i="79" s="1"/>
  <c r="AD21" i="79"/>
  <c r="AH21" i="79" s="1"/>
  <c r="AC21" i="79"/>
  <c r="AA21" i="79"/>
  <c r="Z21" i="79"/>
  <c r="Y21" i="79"/>
  <c r="X21" i="79"/>
  <c r="Q21" i="79"/>
  <c r="P21" i="79"/>
  <c r="O21" i="79"/>
  <c r="N21" i="79"/>
  <c r="L21" i="79"/>
  <c r="K21" i="79"/>
  <c r="J21" i="79"/>
  <c r="AF20" i="79"/>
  <c r="AJ20" i="79" s="1"/>
  <c r="AE20" i="79"/>
  <c r="AD20" i="79"/>
  <c r="AC20" i="79"/>
  <c r="AA20" i="79"/>
  <c r="Z20" i="79"/>
  <c r="Y20" i="79"/>
  <c r="X20" i="79"/>
  <c r="Q20" i="79"/>
  <c r="P20" i="79"/>
  <c r="O20" i="79"/>
  <c r="N20" i="79"/>
  <c r="L20" i="79"/>
  <c r="K20" i="79"/>
  <c r="J20" i="79"/>
  <c r="AF19" i="79"/>
  <c r="AE19" i="79"/>
  <c r="AI19" i="79" s="1"/>
  <c r="AD19" i="79"/>
  <c r="AC19" i="79"/>
  <c r="AA19" i="79"/>
  <c r="Z19" i="79"/>
  <c r="Y19" i="79"/>
  <c r="X19" i="79"/>
  <c r="Q19" i="79"/>
  <c r="P19" i="79"/>
  <c r="O19" i="79"/>
  <c r="N19" i="79"/>
  <c r="L19" i="79"/>
  <c r="K19" i="79"/>
  <c r="J19" i="79"/>
  <c r="AF18" i="79"/>
  <c r="AE18" i="79"/>
  <c r="AD18" i="79"/>
  <c r="AH18" i="79" s="1"/>
  <c r="AC18" i="79"/>
  <c r="AA18" i="79"/>
  <c r="Z18" i="79"/>
  <c r="Y18" i="79"/>
  <c r="X18" i="79"/>
  <c r="Q18" i="79"/>
  <c r="P18" i="79"/>
  <c r="O18" i="79"/>
  <c r="N18" i="79"/>
  <c r="L18" i="79"/>
  <c r="K18" i="79"/>
  <c r="J18" i="79"/>
  <c r="AF17" i="79"/>
  <c r="AE17" i="79"/>
  <c r="AD17" i="79"/>
  <c r="AH17" i="79" s="1"/>
  <c r="AC17" i="79"/>
  <c r="AA17" i="79"/>
  <c r="Z17" i="79"/>
  <c r="Y17" i="79"/>
  <c r="X17" i="79"/>
  <c r="Q17" i="79"/>
  <c r="P17" i="79"/>
  <c r="O17" i="79"/>
  <c r="N17" i="79"/>
  <c r="L17" i="79"/>
  <c r="K17" i="79"/>
  <c r="J17" i="79"/>
  <c r="AF16" i="79"/>
  <c r="AE16" i="79"/>
  <c r="AD16" i="79"/>
  <c r="AC16" i="79"/>
  <c r="AA16" i="79"/>
  <c r="Z16" i="79"/>
  <c r="Y16" i="79"/>
  <c r="X16" i="79"/>
  <c r="Q16" i="79"/>
  <c r="P16" i="79"/>
  <c r="O16" i="79"/>
  <c r="N16" i="79"/>
  <c r="L16" i="79"/>
  <c r="K16" i="79"/>
  <c r="J16" i="79"/>
  <c r="AF15" i="79"/>
  <c r="AE15" i="79"/>
  <c r="AD15" i="79"/>
  <c r="AC15" i="79"/>
  <c r="AA15" i="79"/>
  <c r="Z15" i="79"/>
  <c r="Y15" i="79"/>
  <c r="X15" i="79"/>
  <c r="Q15" i="79"/>
  <c r="P15" i="79"/>
  <c r="O15" i="79"/>
  <c r="N15" i="79"/>
  <c r="L15" i="79"/>
  <c r="K15" i="79"/>
  <c r="J15" i="79"/>
  <c r="AF14" i="79"/>
  <c r="AE14" i="79"/>
  <c r="AD14" i="79"/>
  <c r="AC14" i="79"/>
  <c r="AH14" i="79" s="1"/>
  <c r="AA14" i="79"/>
  <c r="Z14" i="79"/>
  <c r="Y14" i="79"/>
  <c r="X14" i="79"/>
  <c r="Q14" i="79"/>
  <c r="P14" i="79"/>
  <c r="O14" i="79"/>
  <c r="N14" i="79"/>
  <c r="L14" i="79"/>
  <c r="K14" i="79"/>
  <c r="J14" i="79"/>
  <c r="AF13" i="79"/>
  <c r="AE13" i="79"/>
  <c r="AD13" i="79"/>
  <c r="AH13" i="79" s="1"/>
  <c r="AC13" i="79"/>
  <c r="AA13" i="79"/>
  <c r="Z13" i="79"/>
  <c r="Y13" i="79"/>
  <c r="X13" i="79"/>
  <c r="Q13" i="79"/>
  <c r="P13" i="79"/>
  <c r="O13" i="79"/>
  <c r="N13" i="79"/>
  <c r="L13" i="79"/>
  <c r="K13" i="79"/>
  <c r="J13" i="79"/>
  <c r="AF12" i="79"/>
  <c r="AE12" i="79"/>
  <c r="AD12" i="79"/>
  <c r="AC12" i="79"/>
  <c r="AA12" i="79"/>
  <c r="Z12" i="79"/>
  <c r="Y12" i="79"/>
  <c r="X12" i="79"/>
  <c r="Q12" i="79"/>
  <c r="P12" i="79"/>
  <c r="O12" i="79"/>
  <c r="N12" i="79"/>
  <c r="L12" i="79"/>
  <c r="K12" i="79"/>
  <c r="J12" i="79"/>
  <c r="V9" i="79"/>
  <c r="U9" i="79"/>
  <c r="T9" i="79"/>
  <c r="S9" i="79"/>
  <c r="H9" i="79"/>
  <c r="G9" i="79"/>
  <c r="F9" i="79"/>
  <c r="E9" i="79"/>
  <c r="AF8" i="79"/>
  <c r="AE8" i="79"/>
  <c r="AI8" i="79" s="1"/>
  <c r="AD8" i="79"/>
  <c r="AC8" i="79"/>
  <c r="L8" i="79"/>
  <c r="K8" i="79"/>
  <c r="J8" i="79"/>
  <c r="AH20" i="79" l="1"/>
  <c r="AI18" i="79"/>
  <c r="B48" i="60" a="1"/>
  <c r="B48" i="60" s="1"/>
  <c r="AH16" i="79"/>
  <c r="AI17" i="79"/>
  <c r="AM17" i="79" s="1"/>
  <c r="AQ17" i="79" s="1"/>
  <c r="AJ18" i="79"/>
  <c r="AN18" i="79" s="1"/>
  <c r="AR18" i="79" s="1"/>
  <c r="AH24" i="79"/>
  <c r="AL24" i="79" s="1"/>
  <c r="AP24" i="79" s="1"/>
  <c r="AJ26" i="79"/>
  <c r="AN26" i="79" s="1"/>
  <c r="AR26" i="79" s="1"/>
  <c r="AI22" i="79"/>
  <c r="AM22" i="79" s="1"/>
  <c r="AQ22" i="79" s="1"/>
  <c r="AI14" i="79"/>
  <c r="AH30" i="79"/>
  <c r="AL30" i="79" s="1"/>
  <c r="AP30" i="79" s="1"/>
  <c r="AI15" i="79"/>
  <c r="AM15" i="79" s="1"/>
  <c r="AQ15" i="79" s="1"/>
  <c r="AJ16" i="79"/>
  <c r="AN16" i="79" s="1"/>
  <c r="AR16" i="79" s="1"/>
  <c r="AH8" i="79"/>
  <c r="AL8" i="79" s="1"/>
  <c r="AJ13" i="79"/>
  <c r="AN29" i="79"/>
  <c r="AR29" i="79" s="1"/>
  <c r="AH15" i="79"/>
  <c r="AI16" i="79"/>
  <c r="AM16" i="79" s="1"/>
  <c r="AQ16" i="79" s="1"/>
  <c r="AJ17" i="79"/>
  <c r="AN17" i="79" s="1"/>
  <c r="AR17" i="79" s="1"/>
  <c r="AH23" i="79"/>
  <c r="AJ25" i="79"/>
  <c r="AN25" i="79" s="1"/>
  <c r="AR25" i="79" s="1"/>
  <c r="AE9" i="79"/>
  <c r="AH22" i="79"/>
  <c r="AL22" i="79" s="1"/>
  <c r="AP22" i="79" s="1"/>
  <c r="AJ24" i="79"/>
  <c r="AN24" i="79" s="1"/>
  <c r="AR24" i="79" s="1"/>
  <c r="AC9" i="79"/>
  <c r="AJ14" i="79"/>
  <c r="AN14" i="79" s="1"/>
  <c r="AJ15" i="79"/>
  <c r="AN15" i="79" s="1"/>
  <c r="AR15" i="79" s="1"/>
  <c r="AJ23" i="79"/>
  <c r="AN23" i="79" s="1"/>
  <c r="AR23" i="79" s="1"/>
  <c r="AM21" i="79"/>
  <c r="AQ21" i="79" s="1"/>
  <c r="AN22" i="79"/>
  <c r="AR22" i="79" s="1"/>
  <c r="AH19" i="79"/>
  <c r="AI20" i="79"/>
  <c r="AM20" i="79" s="1"/>
  <c r="AQ20" i="79" s="1"/>
  <c r="AJ21" i="79"/>
  <c r="AN21" i="79" s="1"/>
  <c r="AR21" i="79" s="1"/>
  <c r="AH27" i="79"/>
  <c r="AL27" i="79" s="1"/>
  <c r="AP27" i="79" s="1"/>
  <c r="AN30" i="79"/>
  <c r="AR30" i="79" s="1"/>
  <c r="AF9" i="79"/>
  <c r="AM19" i="79"/>
  <c r="AQ19" i="79" s="1"/>
  <c r="AN20" i="79"/>
  <c r="AR20" i="79" s="1"/>
  <c r="AH26" i="79"/>
  <c r="AN13" i="79"/>
  <c r="AR13" i="79" s="1"/>
  <c r="J9" i="79"/>
  <c r="AM18" i="79"/>
  <c r="AQ18" i="79" s="1"/>
  <c r="AJ19" i="79"/>
  <c r="AN19" i="79" s="1"/>
  <c r="AR19" i="79" s="1"/>
  <c r="AH25" i="79"/>
  <c r="AL25" i="79" s="1"/>
  <c r="AP25" i="79" s="1"/>
  <c r="L9" i="79"/>
  <c r="AA9" i="79"/>
  <c r="N9" i="79"/>
  <c r="AM31" i="79"/>
  <c r="AQ31" i="79" s="1"/>
  <c r="AD9" i="79"/>
  <c r="AH12" i="79"/>
  <c r="AL12" i="79" s="1"/>
  <c r="AI13" i="79"/>
  <c r="AM13" i="79" s="1"/>
  <c r="AQ13" i="79" s="1"/>
  <c r="AH29" i="79"/>
  <c r="AL29" i="79" s="1"/>
  <c r="AP29" i="79" s="1"/>
  <c r="AJ31" i="79"/>
  <c r="AN31" i="79" s="1"/>
  <c r="AR31" i="79" s="1"/>
  <c r="P9" i="79"/>
  <c r="AI29" i="79"/>
  <c r="AM29" i="79" s="1"/>
  <c r="AQ29" i="79" s="1"/>
  <c r="AL13" i="79"/>
  <c r="AP13" i="79" s="1"/>
  <c r="O9" i="79"/>
  <c r="AJ8" i="79"/>
  <c r="AN8" i="79" s="1"/>
  <c r="AJ12" i="79"/>
  <c r="AN12" i="79" s="1"/>
  <c r="AR12" i="79" s="1"/>
  <c r="AI23" i="79"/>
  <c r="AM23" i="79" s="1"/>
  <c r="AQ23" i="79" s="1"/>
  <c r="AI24" i="79"/>
  <c r="AM24" i="79" s="1"/>
  <c r="AQ24" i="79" s="1"/>
  <c r="AI25" i="79"/>
  <c r="AM25" i="79" s="1"/>
  <c r="AQ25" i="79" s="1"/>
  <c r="AI26" i="79"/>
  <c r="AM26" i="79" s="1"/>
  <c r="AQ26" i="79" s="1"/>
  <c r="AI27" i="79"/>
  <c r="AM27" i="79" s="1"/>
  <c r="AQ27" i="79" s="1"/>
  <c r="AJ28" i="79"/>
  <c r="AN28" i="79" s="1"/>
  <c r="AR28" i="79" s="1"/>
  <c r="AM8" i="79"/>
  <c r="AI12" i="79"/>
  <c r="AM12" i="79" s="1"/>
  <c r="AQ12" i="79" s="1"/>
  <c r="AN27" i="79"/>
  <c r="AR27" i="79" s="1"/>
  <c r="AI30" i="79"/>
  <c r="AM30" i="79" s="1"/>
  <c r="AQ30" i="79" s="1"/>
  <c r="Y9" i="79"/>
  <c r="Q9" i="79"/>
  <c r="AH31" i="79"/>
  <c r="AL31" i="79" s="1"/>
  <c r="AP31" i="79" s="1"/>
  <c r="X9" i="79"/>
  <c r="AM14" i="79"/>
  <c r="AQ14" i="79" s="1"/>
  <c r="AL17" i="79"/>
  <c r="AP17" i="79" s="1"/>
  <c r="AL19" i="79"/>
  <c r="AP19" i="79" s="1"/>
  <c r="AL21" i="79"/>
  <c r="AP21" i="79" s="1"/>
  <c r="AL23" i="79"/>
  <c r="AP23" i="79" s="1"/>
  <c r="AL26" i="79"/>
  <c r="AP26" i="79" s="1"/>
  <c r="AH28" i="79"/>
  <c r="AL28" i="79" s="1"/>
  <c r="AP28" i="79" s="1"/>
  <c r="AL15" i="79"/>
  <c r="AP15" i="79" s="1"/>
  <c r="AL16" i="79"/>
  <c r="AP16" i="79" s="1"/>
  <c r="AL18" i="79"/>
  <c r="AP18" i="79" s="1"/>
  <c r="AL20" i="79"/>
  <c r="AP20" i="79" s="1"/>
  <c r="Z9" i="79"/>
  <c r="AL14" i="79"/>
  <c r="AP14" i="79" s="1"/>
  <c r="AP12" i="79"/>
  <c r="K9" i="79"/>
  <c r="B49" i="60" l="1" a="1"/>
  <c r="B49" i="60" s="1"/>
  <c r="C48" i="60"/>
  <c r="D48" i="60"/>
  <c r="AH9" i="79"/>
  <c r="AL9" i="79" s="1"/>
  <c r="AJ9" i="79"/>
  <c r="AN9" i="79" s="1"/>
  <c r="AN34" i="79"/>
  <c r="AI9" i="79"/>
  <c r="AM9" i="79" s="1"/>
  <c r="AL34" i="79"/>
  <c r="AM34" i="79"/>
  <c r="AP34" i="79"/>
  <c r="AQ34" i="79"/>
  <c r="AR34" i="79"/>
  <c r="P182" i="55"/>
  <c r="L161" i="55"/>
  <c r="B203" i="55"/>
  <c r="B202" i="55"/>
  <c r="B201" i="55"/>
  <c r="P147" i="55"/>
  <c r="L147" i="55"/>
  <c r="M147" i="55"/>
  <c r="N147" i="55"/>
  <c r="O147" i="55"/>
  <c r="K147" i="55"/>
  <c r="K148" i="55"/>
  <c r="AA476" i="55"/>
  <c r="AA477" i="55"/>
  <c r="AA478" i="55"/>
  <c r="R450" i="55"/>
  <c r="R451" i="55"/>
  <c r="E20" i="56"/>
  <c r="R442" i="55"/>
  <c r="R441" i="55"/>
  <c r="R422" i="55"/>
  <c r="R426" i="55" s="1"/>
  <c r="E48" i="60" l="1"/>
  <c r="D49" i="60"/>
  <c r="B50" i="60" a="1"/>
  <c r="B50" i="60" s="1"/>
  <c r="C49" i="60"/>
  <c r="S442" i="55"/>
  <c r="S441" i="55"/>
  <c r="S440" i="55"/>
  <c r="C50" i="60" l="1"/>
  <c r="D50" i="60"/>
  <c r="B51" i="60" a="1"/>
  <c r="B51" i="60" s="1"/>
  <c r="E49" i="60"/>
  <c r="T441" i="55"/>
  <c r="U441" i="55" s="1"/>
  <c r="V441" i="55" s="1"/>
  <c r="W441" i="55" s="1"/>
  <c r="X441" i="55" s="1"/>
  <c r="Y441" i="55" s="1"/>
  <c r="Z441" i="55" s="1"/>
  <c r="T440" i="55"/>
  <c r="U440" i="55" s="1"/>
  <c r="V440" i="55" s="1"/>
  <c r="W440" i="55" s="1"/>
  <c r="X440" i="55" s="1"/>
  <c r="Y440" i="55" s="1"/>
  <c r="Z440" i="55" s="1"/>
  <c r="T442" i="55"/>
  <c r="U442" i="55" s="1"/>
  <c r="V442" i="55" s="1"/>
  <c r="W442" i="55" s="1"/>
  <c r="X442" i="55" s="1"/>
  <c r="Y442" i="55" s="1"/>
  <c r="Z442" i="55" s="1"/>
  <c r="C51" i="60" l="1"/>
  <c r="D51" i="60"/>
  <c r="B52" i="60" a="1"/>
  <c r="B52" i="60" s="1"/>
  <c r="E50" i="60"/>
  <c r="P427" i="55"/>
  <c r="P426" i="55"/>
  <c r="P148" i="55"/>
  <c r="S397" i="55"/>
  <c r="S407" i="55" s="1"/>
  <c r="T397" i="55"/>
  <c r="T407" i="55" s="1"/>
  <c r="U397" i="55"/>
  <c r="U407" i="55" s="1"/>
  <c r="V397" i="55"/>
  <c r="V407" i="55" s="1"/>
  <c r="W397" i="55"/>
  <c r="W407" i="55" s="1"/>
  <c r="X397" i="55"/>
  <c r="X407" i="55" s="1"/>
  <c r="Y397" i="55"/>
  <c r="Y407" i="55" s="1"/>
  <c r="Z397" i="55"/>
  <c r="Z407" i="55" s="1"/>
  <c r="AA397" i="55"/>
  <c r="AA407" i="55" s="1"/>
  <c r="S398" i="55"/>
  <c r="S408" i="55" s="1"/>
  <c r="T398" i="55"/>
  <c r="T413" i="55" s="1"/>
  <c r="U398" i="55"/>
  <c r="U413" i="55" s="1"/>
  <c r="W398" i="55"/>
  <c r="W408" i="55" s="1"/>
  <c r="X398" i="55"/>
  <c r="X408" i="55" s="1"/>
  <c r="Y398" i="55"/>
  <c r="Y408" i="55" s="1"/>
  <c r="Z398" i="55"/>
  <c r="Z408" i="55" s="1"/>
  <c r="AA398" i="55"/>
  <c r="AA408" i="55" s="1"/>
  <c r="R398" i="55"/>
  <c r="R397" i="55"/>
  <c r="K396" i="55"/>
  <c r="L396" i="55"/>
  <c r="M396" i="55"/>
  <c r="N396" i="55"/>
  <c r="O396" i="55"/>
  <c r="K397" i="55"/>
  <c r="L397" i="55"/>
  <c r="M397" i="55"/>
  <c r="N397" i="55"/>
  <c r="O397" i="55"/>
  <c r="K398" i="55"/>
  <c r="L398" i="55"/>
  <c r="M398" i="55"/>
  <c r="N398" i="55"/>
  <c r="O398" i="55"/>
  <c r="P398" i="55"/>
  <c r="P397" i="55"/>
  <c r="P396" i="55"/>
  <c r="R423" i="55"/>
  <c r="S422" i="55"/>
  <c r="P417" i="55"/>
  <c r="P416" i="55"/>
  <c r="C52" i="60" l="1"/>
  <c r="D52" i="60"/>
  <c r="B53" i="60" a="1"/>
  <c r="B53" i="60" s="1"/>
  <c r="E51" i="60"/>
  <c r="P473" i="55"/>
  <c r="P478" i="55"/>
  <c r="P466" i="55"/>
  <c r="P476" i="55"/>
  <c r="P472" i="55"/>
  <c r="P477" i="55"/>
  <c r="R407" i="55"/>
  <c r="R412" i="55"/>
  <c r="R413" i="55"/>
  <c r="R408" i="55"/>
  <c r="P429" i="55"/>
  <c r="T422" i="55"/>
  <c r="T426" i="55" s="1"/>
  <c r="S426" i="55"/>
  <c r="S423" i="55"/>
  <c r="R427" i="55"/>
  <c r="W413" i="55"/>
  <c r="W478" i="55" s="1"/>
  <c r="U408" i="55"/>
  <c r="U478" i="55" s="1"/>
  <c r="S412" i="55"/>
  <c r="S477" i="55" s="1"/>
  <c r="U412" i="55"/>
  <c r="U477" i="55" s="1"/>
  <c r="S413" i="55"/>
  <c r="S478" i="55" s="1"/>
  <c r="T408" i="55"/>
  <c r="T478" i="55" s="1"/>
  <c r="AA413" i="55"/>
  <c r="Z412" i="55"/>
  <c r="Z477" i="55" s="1"/>
  <c r="Y413" i="55"/>
  <c r="Y478" i="55" s="1"/>
  <c r="Y412" i="55"/>
  <c r="Y477" i="55" s="1"/>
  <c r="T412" i="55"/>
  <c r="T477" i="55" s="1"/>
  <c r="AA412" i="55"/>
  <c r="Z413" i="55"/>
  <c r="Z478" i="55" s="1"/>
  <c r="X413" i="55"/>
  <c r="X478" i="55" s="1"/>
  <c r="X412" i="55"/>
  <c r="X477" i="55" s="1"/>
  <c r="W412" i="55"/>
  <c r="W477" i="55" s="1"/>
  <c r="V412" i="55"/>
  <c r="V477" i="55" s="1"/>
  <c r="P471" i="55"/>
  <c r="O399" i="55"/>
  <c r="P467" i="55"/>
  <c r="P399" i="55"/>
  <c r="P461" i="55" s="1"/>
  <c r="L399" i="55"/>
  <c r="P468" i="55"/>
  <c r="M399" i="55"/>
  <c r="K399" i="55"/>
  <c r="N399" i="55"/>
  <c r="C53" i="60" l="1"/>
  <c r="D53" i="60"/>
  <c r="B54" i="60" a="1"/>
  <c r="B54" i="60" s="1"/>
  <c r="B55" i="60" s="1" a="1"/>
  <c r="B55" i="60" s="1"/>
  <c r="E52" i="60"/>
  <c r="P475" i="55"/>
  <c r="R477" i="55"/>
  <c r="R478" i="55"/>
  <c r="U422" i="55"/>
  <c r="U426" i="55" s="1"/>
  <c r="T423" i="55"/>
  <c r="S427" i="55"/>
  <c r="C55" i="60" l="1"/>
  <c r="D55" i="60"/>
  <c r="E55" i="60" s="1"/>
  <c r="C54" i="60"/>
  <c r="D54" i="60"/>
  <c r="E53" i="60"/>
  <c r="V422" i="55"/>
  <c r="V426" i="55" s="1"/>
  <c r="U423" i="55"/>
  <c r="T427" i="55"/>
  <c r="E54" i="60" l="1"/>
  <c r="W422" i="55"/>
  <c r="W426" i="55" s="1"/>
  <c r="V423" i="55"/>
  <c r="U427" i="55"/>
  <c r="X422" i="55" l="1"/>
  <c r="X426" i="55" s="1"/>
  <c r="W423" i="55"/>
  <c r="V427" i="55"/>
  <c r="Y422" i="55" l="1"/>
  <c r="Y426" i="55" s="1"/>
  <c r="X423" i="55"/>
  <c r="W427" i="55"/>
  <c r="N627" i="1"/>
  <c r="O600" i="1"/>
  <c r="O599" i="1"/>
  <c r="C59" i="1"/>
  <c r="E95" i="1"/>
  <c r="E77" i="1"/>
  <c r="N79" i="1" s="1"/>
  <c r="Z422" i="55" l="1"/>
  <c r="Z426" i="55" s="1"/>
  <c r="Y423" i="55"/>
  <c r="X427" i="55"/>
  <c r="B215" i="55"/>
  <c r="B214" i="55"/>
  <c r="B213" i="55"/>
  <c r="B210" i="55"/>
  <c r="B209" i="55"/>
  <c r="B208" i="55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O57" i="55"/>
  <c r="AA422" i="55" l="1"/>
  <c r="Z423" i="55"/>
  <c r="Y427" i="55"/>
  <c r="O55" i="55"/>
  <c r="AA423" i="55" l="1"/>
  <c r="Z427" i="55"/>
  <c r="N312" i="1"/>
  <c r="N298" i="1"/>
  <c r="N284" i="1"/>
  <c r="K223" i="1" l="1"/>
  <c r="F10" i="34"/>
  <c r="F9" i="34"/>
  <c r="F11" i="34"/>
  <c r="F13" i="34"/>
  <c r="F14" i="34"/>
  <c r="F15" i="34"/>
  <c r="F12" i="34"/>
  <c r="F6" i="34"/>
  <c r="F7" i="34"/>
  <c r="F8" i="34"/>
  <c r="C255" i="1"/>
  <c r="N257" i="1"/>
  <c r="I68" i="45"/>
  <c r="B634" i="55" l="1"/>
  <c r="B635" i="55"/>
  <c r="B636" i="55"/>
  <c r="W395" i="1" l="1"/>
  <c r="V395" i="1"/>
  <c r="U395" i="1"/>
  <c r="T395" i="1"/>
  <c r="S395" i="1"/>
  <c r="R395" i="1"/>
  <c r="Q395" i="1"/>
  <c r="P395" i="1"/>
  <c r="O395" i="1"/>
  <c r="N395" i="1"/>
  <c r="M395" i="1"/>
  <c r="L395" i="1"/>
  <c r="I376" i="1"/>
  <c r="H376" i="1"/>
  <c r="G376" i="1"/>
  <c r="F376" i="1"/>
  <c r="E376" i="1"/>
  <c r="D376" i="1"/>
  <c r="F204" i="1"/>
  <c r="F214" i="1"/>
  <c r="F213" i="1"/>
  <c r="F212" i="1"/>
  <c r="F211" i="1"/>
  <c r="F200" i="1"/>
  <c r="F201" i="1"/>
  <c r="F202" i="1"/>
  <c r="H56" i="1"/>
  <c r="J56" i="1" s="1"/>
  <c r="C57" i="1"/>
  <c r="C60" i="1"/>
  <c r="C61" i="1"/>
  <c r="C62" i="1"/>
  <c r="J62" i="1"/>
  <c r="D15" i="30" l="1"/>
  <c r="D15" i="28"/>
  <c r="D13" i="30"/>
  <c r="D13" i="28"/>
  <c r="M881" i="1"/>
  <c r="M882" i="1"/>
  <c r="M884" i="1"/>
  <c r="M880" i="1"/>
  <c r="K39" i="1"/>
  <c r="K40" i="1"/>
  <c r="K41" i="1"/>
  <c r="K42" i="1"/>
  <c r="K43" i="1"/>
  <c r="K44" i="1"/>
  <c r="K45" i="1"/>
  <c r="K38" i="1"/>
  <c r="G46" i="1"/>
  <c r="L873" i="1"/>
  <c r="L877" i="1" s="1"/>
  <c r="N194" i="1"/>
  <c r="N195" i="1" s="1"/>
  <c r="P194" i="1"/>
  <c r="Q194" i="1" l="1"/>
  <c r="K46" i="1"/>
  <c r="R194" i="1" l="1"/>
  <c r="S194" i="1" l="1"/>
  <c r="L57" i="55"/>
  <c r="M57" i="55"/>
  <c r="N57" i="55"/>
  <c r="K57" i="55"/>
  <c r="P54" i="55"/>
  <c r="P57" i="55" s="1"/>
  <c r="P32" i="55"/>
  <c r="O58" i="55" l="1"/>
  <c r="O61" i="55" s="1"/>
  <c r="T194" i="1"/>
  <c r="P19" i="55"/>
  <c r="U194" i="1" l="1"/>
  <c r="K437" i="55"/>
  <c r="L437" i="55"/>
  <c r="M437" i="55"/>
  <c r="N437" i="55"/>
  <c r="O437" i="55"/>
  <c r="J83" i="67"/>
  <c r="K83" i="67" s="1"/>
  <c r="J82" i="67"/>
  <c r="K82" i="67" s="1"/>
  <c r="V194" i="1" l="1"/>
  <c r="K84" i="67"/>
  <c r="K85" i="67" s="1"/>
  <c r="J84" i="67"/>
  <c r="J85" i="67" s="1"/>
  <c r="W194" i="1" l="1"/>
  <c r="I84" i="67"/>
  <c r="I85" i="67" s="1"/>
  <c r="D84" i="67"/>
  <c r="D85" i="67" s="1"/>
  <c r="E53" i="67"/>
  <c r="H33" i="45" l="1"/>
  <c r="I32" i="45"/>
  <c r="J32" i="45" s="1"/>
  <c r="K32" i="45" s="1"/>
  <c r="L32" i="45" s="1"/>
  <c r="M32" i="45" s="1"/>
  <c r="N32" i="45" s="1"/>
  <c r="O32" i="45" s="1"/>
  <c r="P32" i="45" s="1"/>
  <c r="Q32" i="45" s="1"/>
  <c r="I31" i="45"/>
  <c r="H23" i="45"/>
  <c r="I51" i="45"/>
  <c r="I52" i="45" s="1"/>
  <c r="I42" i="45"/>
  <c r="J42" i="45" s="1"/>
  <c r="K42" i="45" s="1"/>
  <c r="I19" i="45"/>
  <c r="J19" i="45"/>
  <c r="J20" i="45" s="1"/>
  <c r="K19" i="45"/>
  <c r="K20" i="45" s="1"/>
  <c r="L19" i="45"/>
  <c r="L20" i="45" s="1"/>
  <c r="M19" i="45"/>
  <c r="M20" i="45" s="1"/>
  <c r="N19" i="45"/>
  <c r="N20" i="45" s="1"/>
  <c r="O19" i="45"/>
  <c r="O20" i="45" s="1"/>
  <c r="P19" i="45"/>
  <c r="P20" i="45" s="1"/>
  <c r="Q19" i="45"/>
  <c r="Q20" i="45" s="1"/>
  <c r="H19" i="45"/>
  <c r="H20" i="45" s="1"/>
  <c r="L131" i="45"/>
  <c r="M131" i="45"/>
  <c r="N131" i="45"/>
  <c r="O131" i="45"/>
  <c r="P131" i="45"/>
  <c r="Q131" i="45"/>
  <c r="R131" i="45"/>
  <c r="S131" i="45"/>
  <c r="T131" i="45"/>
  <c r="U131" i="45"/>
  <c r="V131" i="45"/>
  <c r="K131" i="45"/>
  <c r="J69" i="45"/>
  <c r="K69" i="45" s="1"/>
  <c r="B7" i="45"/>
  <c r="I40" i="45"/>
  <c r="J40" i="45" s="1"/>
  <c r="K40" i="45" s="1"/>
  <c r="I41" i="45"/>
  <c r="J41" i="45" s="1"/>
  <c r="K41" i="45" s="1"/>
  <c r="I43" i="45"/>
  <c r="J43" i="45" s="1"/>
  <c r="K43" i="45" s="1"/>
  <c r="I44" i="45"/>
  <c r="J44" i="45" s="1"/>
  <c r="K44" i="45" s="1"/>
  <c r="I45" i="45"/>
  <c r="J45" i="45" s="1"/>
  <c r="K45" i="45" s="1"/>
  <c r="I46" i="45"/>
  <c r="J46" i="45" s="1"/>
  <c r="K46" i="45" s="1"/>
  <c r="I39" i="45"/>
  <c r="D52" i="45"/>
  <c r="D47" i="45"/>
  <c r="J51" i="45" l="1"/>
  <c r="K51" i="45" s="1"/>
  <c r="K52" i="45" s="1"/>
  <c r="I47" i="45"/>
  <c r="I54" i="45" s="1"/>
  <c r="I23" i="45" s="1"/>
  <c r="J39" i="45"/>
  <c r="K39" i="45" s="1"/>
  <c r="K47" i="45" s="1"/>
  <c r="D54" i="45"/>
  <c r="I18" i="45" s="1"/>
  <c r="I20" i="45" s="1"/>
  <c r="L46" i="45"/>
  <c r="M46" i="45" s="1"/>
  <c r="L45" i="45"/>
  <c r="M45" i="45" s="1"/>
  <c r="N45" i="45" s="1"/>
  <c r="L44" i="45"/>
  <c r="M44" i="45" s="1"/>
  <c r="L43" i="45"/>
  <c r="M43" i="45" s="1"/>
  <c r="L42" i="45"/>
  <c r="L41" i="45"/>
  <c r="L40" i="45"/>
  <c r="M40" i="45" s="1"/>
  <c r="N40" i="45" s="1"/>
  <c r="K54" i="45" l="1"/>
  <c r="K23" i="45" s="1"/>
  <c r="J52" i="45"/>
  <c r="L51" i="45"/>
  <c r="L52" i="45" s="1"/>
  <c r="L39" i="45"/>
  <c r="L47" i="45" s="1"/>
  <c r="J47" i="45"/>
  <c r="N46" i="45"/>
  <c r="N43" i="45"/>
  <c r="M41" i="45"/>
  <c r="N44" i="45"/>
  <c r="M42" i="45"/>
  <c r="O40" i="45"/>
  <c r="O45" i="45"/>
  <c r="P45" i="45" s="1"/>
  <c r="Q45" i="45" s="1"/>
  <c r="J54" i="45" l="1"/>
  <c r="J23" i="45" s="1"/>
  <c r="M51" i="45"/>
  <c r="M52" i="45" s="1"/>
  <c r="L54" i="45"/>
  <c r="L23" i="45" s="1"/>
  <c r="M39" i="45"/>
  <c r="M47" i="45" s="1"/>
  <c r="N42" i="45"/>
  <c r="O42" i="45" s="1"/>
  <c r="O43" i="45"/>
  <c r="O46" i="45"/>
  <c r="P46" i="45" s="1"/>
  <c r="Q46" i="45" s="1"/>
  <c r="P40" i="45"/>
  <c r="Q40" i="45" s="1"/>
  <c r="O44" i="45"/>
  <c r="P44" i="45" s="1"/>
  <c r="Q44" i="45" s="1"/>
  <c r="N41" i="45"/>
  <c r="Q76" i="45"/>
  <c r="P75" i="45"/>
  <c r="Q75" i="45" s="1"/>
  <c r="O74" i="45"/>
  <c r="P74" i="45" s="1"/>
  <c r="Q74" i="45" s="1"/>
  <c r="N73" i="45"/>
  <c r="O73" i="45" s="1"/>
  <c r="P73" i="45" s="1"/>
  <c r="M72" i="45"/>
  <c r="N72" i="45" s="1"/>
  <c r="O72" i="45" s="1"/>
  <c r="L71" i="45"/>
  <c r="M71" i="45" s="1"/>
  <c r="N71" i="45" s="1"/>
  <c r="K70" i="45"/>
  <c r="L70" i="45" s="1"/>
  <c r="M70" i="45" s="1"/>
  <c r="L69" i="45"/>
  <c r="J68" i="45"/>
  <c r="K68" i="45" s="1"/>
  <c r="H67" i="45"/>
  <c r="H77" i="45" s="1"/>
  <c r="H24" i="45" s="1"/>
  <c r="H25" i="45" s="1"/>
  <c r="M54" i="45" l="1"/>
  <c r="M23" i="45" s="1"/>
  <c r="N51" i="45"/>
  <c r="N52" i="45" s="1"/>
  <c r="N39" i="45"/>
  <c r="O39" i="45" s="1"/>
  <c r="P39" i="45" s="1"/>
  <c r="P43" i="45"/>
  <c r="Q43" i="45" s="1"/>
  <c r="P42" i="45"/>
  <c r="Q42" i="45" s="1"/>
  <c r="O41" i="45"/>
  <c r="P41" i="45" s="1"/>
  <c r="Q41" i="45" s="1"/>
  <c r="O71" i="45"/>
  <c r="P71" i="45" s="1"/>
  <c r="Q73" i="45"/>
  <c r="P72" i="45"/>
  <c r="Q72" i="45" s="1"/>
  <c r="N70" i="45"/>
  <c r="O70" i="45" s="1"/>
  <c r="M69" i="45"/>
  <c r="L68" i="45"/>
  <c r="I67" i="45"/>
  <c r="J67" i="45" s="1"/>
  <c r="O51" i="45" l="1"/>
  <c r="O52" i="45" s="1"/>
  <c r="N47" i="45"/>
  <c r="N54" i="45" s="1"/>
  <c r="N23" i="45" s="1"/>
  <c r="O47" i="45"/>
  <c r="P47" i="45"/>
  <c r="Q39" i="45"/>
  <c r="Q47" i="45" s="1"/>
  <c r="Q71" i="45"/>
  <c r="P70" i="45"/>
  <c r="Q70" i="45" s="1"/>
  <c r="N69" i="45"/>
  <c r="O69" i="45" s="1"/>
  <c r="P69" i="45" s="1"/>
  <c r="M68" i="45"/>
  <c r="N68" i="45" s="1"/>
  <c r="K67" i="45"/>
  <c r="L67" i="45" s="1"/>
  <c r="P51" i="45" l="1"/>
  <c r="P52" i="45" s="1"/>
  <c r="P54" i="45" s="1"/>
  <c r="P23" i="45" s="1"/>
  <c r="O54" i="45"/>
  <c r="O23" i="45" s="1"/>
  <c r="Q69" i="45"/>
  <c r="O68" i="45"/>
  <c r="P68" i="45" s="1"/>
  <c r="Q68" i="45" s="1"/>
  <c r="M67" i="45"/>
  <c r="Q51" i="45" l="1"/>
  <c r="Q52" i="45" s="1"/>
  <c r="Q54" i="45" s="1"/>
  <c r="Q23" i="45" s="1"/>
  <c r="N67" i="45"/>
  <c r="O67" i="45" s="1"/>
  <c r="P67" i="45" l="1"/>
  <c r="Q67" i="45" s="1"/>
  <c r="Q77" i="45" s="1"/>
  <c r="Q24" i="45" s="1"/>
  <c r="Q25" i="45" s="1"/>
  <c r="H62" i="45" l="1"/>
  <c r="I61" i="45"/>
  <c r="J61" i="45" s="1"/>
  <c r="K61" i="45" s="1"/>
  <c r="L61" i="45" s="1"/>
  <c r="M61" i="45" s="1"/>
  <c r="N61" i="45" s="1"/>
  <c r="O61" i="45" s="1"/>
  <c r="P61" i="45" s="1"/>
  <c r="Q61" i="45" s="1"/>
  <c r="I60" i="45"/>
  <c r="B59" i="45" l="1"/>
  <c r="J77" i="45" l="1"/>
  <c r="J24" i="45" s="1"/>
  <c r="J25" i="45" s="1"/>
  <c r="I77" i="45"/>
  <c r="I24" i="45" s="1"/>
  <c r="I25" i="45" s="1"/>
  <c r="B30" i="45"/>
  <c r="K77" i="45" l="1"/>
  <c r="K24" i="45" s="1"/>
  <c r="K25" i="45" s="1"/>
  <c r="H112" i="45"/>
  <c r="G112" i="45"/>
  <c r="F112" i="45"/>
  <c r="E112" i="45"/>
  <c r="D112" i="45"/>
  <c r="C112" i="45"/>
  <c r="L77" i="45" l="1"/>
  <c r="L24" i="45" s="1"/>
  <c r="L25" i="45" s="1"/>
  <c r="H10" i="45"/>
  <c r="H9" i="45"/>
  <c r="H15" i="45"/>
  <c r="I14" i="45"/>
  <c r="I13" i="45"/>
  <c r="I9" i="45" l="1"/>
  <c r="I10" i="45" s="1"/>
  <c r="H13" i="45"/>
  <c r="H11" i="45"/>
  <c r="J14" i="45"/>
  <c r="K14" i="45" s="1"/>
  <c r="I62" i="45" l="1"/>
  <c r="I33" i="45"/>
  <c r="M77" i="45"/>
  <c r="M24" i="45" s="1"/>
  <c r="M25" i="45" s="1"/>
  <c r="J9" i="45"/>
  <c r="J10" i="45" s="1"/>
  <c r="I15" i="45"/>
  <c r="L14" i="45"/>
  <c r="M14" i="45" s="1"/>
  <c r="I11" i="45"/>
  <c r="J62" i="45" l="1"/>
  <c r="J33" i="45"/>
  <c r="N77" i="45"/>
  <c r="N24" i="45" s="1"/>
  <c r="N25" i="45" s="1"/>
  <c r="K9" i="45"/>
  <c r="K10" i="45" s="1"/>
  <c r="J15" i="45"/>
  <c r="J11" i="45"/>
  <c r="N14" i="45"/>
  <c r="K62" i="45" l="1"/>
  <c r="K33" i="45"/>
  <c r="O77" i="45"/>
  <c r="O24" i="45" s="1"/>
  <c r="O25" i="45" s="1"/>
  <c r="L9" i="45"/>
  <c r="L10" i="45" s="1"/>
  <c r="K15" i="45"/>
  <c r="K11" i="45"/>
  <c r="O14" i="45"/>
  <c r="R182" i="55"/>
  <c r="R356" i="55"/>
  <c r="S356" i="55" s="1"/>
  <c r="N384" i="55"/>
  <c r="O384" i="55"/>
  <c r="M384" i="55"/>
  <c r="N283" i="55"/>
  <c r="O283" i="55"/>
  <c r="N284" i="55"/>
  <c r="O284" i="55"/>
  <c r="M284" i="55"/>
  <c r="M283" i="55"/>
  <c r="S217" i="55"/>
  <c r="O148" i="55"/>
  <c r="N207" i="55"/>
  <c r="O207" i="55"/>
  <c r="N212" i="55"/>
  <c r="O212" i="55"/>
  <c r="M212" i="55"/>
  <c r="M207" i="55"/>
  <c r="F38" i="67"/>
  <c r="B317" i="55"/>
  <c r="B325" i="55"/>
  <c r="B324" i="55"/>
  <c r="B323" i="55"/>
  <c r="B312" i="55"/>
  <c r="B311" i="55"/>
  <c r="B310" i="55"/>
  <c r="M115" i="55"/>
  <c r="N115" i="55"/>
  <c r="O115" i="55"/>
  <c r="T356" i="55" l="1"/>
  <c r="S361" i="55"/>
  <c r="L62" i="45"/>
  <c r="L33" i="45"/>
  <c r="P77" i="45"/>
  <c r="P24" i="45" s="1"/>
  <c r="P25" i="45" s="1"/>
  <c r="M9" i="45"/>
  <c r="M10" i="45" s="1"/>
  <c r="L15" i="45"/>
  <c r="L11" i="45"/>
  <c r="P14" i="45"/>
  <c r="B126" i="55"/>
  <c r="M124" i="55"/>
  <c r="N124" i="55"/>
  <c r="O124" i="55"/>
  <c r="L124" i="55"/>
  <c r="L191" i="55" s="1"/>
  <c r="L116" i="55"/>
  <c r="M116" i="55"/>
  <c r="N116" i="55"/>
  <c r="O116" i="55"/>
  <c r="L117" i="55"/>
  <c r="M117" i="55"/>
  <c r="N117" i="55"/>
  <c r="O117" i="55"/>
  <c r="L118" i="55"/>
  <c r="M118" i="55"/>
  <c r="N118" i="55"/>
  <c r="O118" i="55"/>
  <c r="L119" i="55"/>
  <c r="M119" i="55"/>
  <c r="N119" i="55"/>
  <c r="O119" i="55"/>
  <c r="L120" i="55"/>
  <c r="M120" i="55"/>
  <c r="N120" i="55"/>
  <c r="O120" i="55"/>
  <c r="U356" i="55" l="1"/>
  <c r="U361" i="55" s="1"/>
  <c r="T361" i="55"/>
  <c r="M62" i="45"/>
  <c r="M33" i="45"/>
  <c r="N9" i="45"/>
  <c r="N10" i="45" s="1"/>
  <c r="M15" i="45"/>
  <c r="M11" i="45"/>
  <c r="Q14" i="45"/>
  <c r="O315" i="55"/>
  <c r="O312" i="55" s="1"/>
  <c r="O191" i="55"/>
  <c r="N315" i="55"/>
  <c r="N310" i="55" s="1"/>
  <c r="N191" i="55"/>
  <c r="M315" i="55"/>
  <c r="M312" i="55" s="1"/>
  <c r="M191" i="55"/>
  <c r="L315" i="55"/>
  <c r="L115" i="55"/>
  <c r="M133" i="55" s="1"/>
  <c r="O133" i="55"/>
  <c r="N138" i="55"/>
  <c r="N136" i="55"/>
  <c r="N134" i="55"/>
  <c r="N133" i="55"/>
  <c r="M137" i="55"/>
  <c r="M135" i="55"/>
  <c r="O138" i="55"/>
  <c r="O136" i="55"/>
  <c r="O134" i="55"/>
  <c r="M138" i="55"/>
  <c r="M136" i="55"/>
  <c r="M134" i="55"/>
  <c r="O137" i="55"/>
  <c r="O135" i="55"/>
  <c r="N137" i="55"/>
  <c r="N135" i="55"/>
  <c r="D65" i="64"/>
  <c r="N62" i="45" l="1"/>
  <c r="N33" i="45"/>
  <c r="O9" i="45"/>
  <c r="O10" i="45" s="1"/>
  <c r="N15" i="45"/>
  <c r="N11" i="45"/>
  <c r="O310" i="55"/>
  <c r="O323" i="55" s="1"/>
  <c r="O311" i="55"/>
  <c r="N312" i="55"/>
  <c r="N311" i="55"/>
  <c r="M311" i="55"/>
  <c r="M310" i="55"/>
  <c r="N323" i="55" s="1"/>
  <c r="L311" i="55"/>
  <c r="L312" i="55"/>
  <c r="L310" i="55"/>
  <c r="H65" i="64"/>
  <c r="O62" i="45" l="1"/>
  <c r="O33" i="45"/>
  <c r="P9" i="45"/>
  <c r="P10" i="45" s="1"/>
  <c r="O15" i="45"/>
  <c r="O11" i="45"/>
  <c r="O313" i="55"/>
  <c r="O317" i="55" s="1"/>
  <c r="N313" i="55"/>
  <c r="N317" i="55" s="1"/>
  <c r="M323" i="55"/>
  <c r="M313" i="55"/>
  <c r="M317" i="55" s="1"/>
  <c r="O324" i="55"/>
  <c r="M324" i="55"/>
  <c r="N324" i="55"/>
  <c r="L313" i="55"/>
  <c r="L317" i="55" s="1"/>
  <c r="P124" i="55"/>
  <c r="P115" i="55"/>
  <c r="R115" i="55" s="1"/>
  <c r="S115" i="55" s="1"/>
  <c r="T115" i="55" s="1"/>
  <c r="U115" i="55" s="1"/>
  <c r="V115" i="55" s="1"/>
  <c r="W115" i="55" s="1"/>
  <c r="X115" i="55" s="1"/>
  <c r="Y115" i="55" s="1"/>
  <c r="Z115" i="55" s="1"/>
  <c r="AA115" i="55" s="1"/>
  <c r="P118" i="55"/>
  <c r="P119" i="55"/>
  <c r="P120" i="55"/>
  <c r="P117" i="55"/>
  <c r="P116" i="55"/>
  <c r="P62" i="45" l="1"/>
  <c r="P33" i="45"/>
  <c r="P11" i="45"/>
  <c r="Q9" i="45"/>
  <c r="Q10" i="45" s="1"/>
  <c r="P15" i="45"/>
  <c r="P315" i="55"/>
  <c r="P312" i="55" s="1"/>
  <c r="P191" i="55"/>
  <c r="P135" i="55"/>
  <c r="R117" i="55"/>
  <c r="S117" i="55" s="1"/>
  <c r="T117" i="55" s="1"/>
  <c r="U117" i="55" s="1"/>
  <c r="V117" i="55" s="1"/>
  <c r="W117" i="55" s="1"/>
  <c r="X117" i="55" s="1"/>
  <c r="Y117" i="55" s="1"/>
  <c r="Z117" i="55" s="1"/>
  <c r="AA117" i="55" s="1"/>
  <c r="P136" i="55"/>
  <c r="R118" i="55"/>
  <c r="S118" i="55" s="1"/>
  <c r="T118" i="55" s="1"/>
  <c r="U118" i="55" s="1"/>
  <c r="V118" i="55" s="1"/>
  <c r="W118" i="55" s="1"/>
  <c r="X118" i="55" s="1"/>
  <c r="Y118" i="55" s="1"/>
  <c r="Z118" i="55" s="1"/>
  <c r="AA118" i="55" s="1"/>
  <c r="P133" i="55"/>
  <c r="P138" i="55"/>
  <c r="R120" i="55"/>
  <c r="S120" i="55" s="1"/>
  <c r="T120" i="55" s="1"/>
  <c r="U120" i="55" s="1"/>
  <c r="V120" i="55" s="1"/>
  <c r="W120" i="55" s="1"/>
  <c r="X120" i="55" s="1"/>
  <c r="Y120" i="55" s="1"/>
  <c r="Z120" i="55" s="1"/>
  <c r="AA120" i="55" s="1"/>
  <c r="P137" i="55"/>
  <c r="R119" i="55"/>
  <c r="S119" i="55" s="1"/>
  <c r="T119" i="55" s="1"/>
  <c r="U119" i="55" s="1"/>
  <c r="V119" i="55" s="1"/>
  <c r="W119" i="55" s="1"/>
  <c r="X119" i="55" s="1"/>
  <c r="Y119" i="55" s="1"/>
  <c r="Z119" i="55" s="1"/>
  <c r="AA119" i="55" s="1"/>
  <c r="P134" i="55"/>
  <c r="R116" i="55"/>
  <c r="S116" i="55" s="1"/>
  <c r="T116" i="55" s="1"/>
  <c r="U116" i="55" s="1"/>
  <c r="V116" i="55" s="1"/>
  <c r="W116" i="55" s="1"/>
  <c r="X116" i="55" s="1"/>
  <c r="Y116" i="55" s="1"/>
  <c r="Z116" i="55" s="1"/>
  <c r="AA116" i="55" s="1"/>
  <c r="Q62" i="45" l="1"/>
  <c r="Q33" i="45"/>
  <c r="Q11" i="45"/>
  <c r="Q15" i="45"/>
  <c r="P311" i="55"/>
  <c r="R311" i="55" s="1"/>
  <c r="S311" i="55" s="1"/>
  <c r="T311" i="55" s="1"/>
  <c r="U311" i="55" s="1"/>
  <c r="V311" i="55" s="1"/>
  <c r="W311" i="55" s="1"/>
  <c r="X311" i="55" s="1"/>
  <c r="Y311" i="55" s="1"/>
  <c r="Z311" i="55" s="1"/>
  <c r="AA311" i="55" s="1"/>
  <c r="P310" i="55"/>
  <c r="R310" i="55" s="1"/>
  <c r="S310" i="55" s="1"/>
  <c r="T310" i="55" s="1"/>
  <c r="U310" i="55" s="1"/>
  <c r="V310" i="55" s="1"/>
  <c r="W310" i="55" s="1"/>
  <c r="X310" i="55" s="1"/>
  <c r="Y310" i="55" s="1"/>
  <c r="Z310" i="55" s="1"/>
  <c r="AA310" i="55" s="1"/>
  <c r="B67" i="45" l="1" a="1"/>
  <c r="B67" i="45" s="1"/>
  <c r="P324" i="55"/>
  <c r="P313" i="55"/>
  <c r="P317" i="55" s="1"/>
  <c r="P323" i="55"/>
  <c r="R313" i="55"/>
  <c r="S313" i="55" l="1"/>
  <c r="B110" i="55"/>
  <c r="H542" i="55"/>
  <c r="H536" i="55"/>
  <c r="T313" i="55" l="1"/>
  <c r="U313" i="55"/>
  <c r="C5" i="64"/>
  <c r="H67" i="64"/>
  <c r="H20" i="64" s="1"/>
  <c r="W360" i="55"/>
  <c r="U288" i="55" l="1"/>
  <c r="V288" i="55"/>
  <c r="W288" i="55"/>
  <c r="X288" i="55"/>
  <c r="Y288" i="55"/>
  <c r="Z288" i="55"/>
  <c r="AA288" i="55"/>
  <c r="T288" i="55"/>
  <c r="S241" i="55"/>
  <c r="K31" i="55"/>
  <c r="L31" i="55"/>
  <c r="M31" i="55"/>
  <c r="N31" i="55"/>
  <c r="O31" i="55"/>
  <c r="K596" i="55"/>
  <c r="L596" i="55"/>
  <c r="M596" i="55"/>
  <c r="N596" i="55"/>
  <c r="O596" i="55"/>
  <c r="P596" i="55"/>
  <c r="S617" i="55"/>
  <c r="T617" i="55"/>
  <c r="U617" i="55"/>
  <c r="V617" i="55"/>
  <c r="W617" i="55"/>
  <c r="X617" i="55"/>
  <c r="Y617" i="55"/>
  <c r="Z617" i="55"/>
  <c r="AA617" i="55"/>
  <c r="S618" i="55"/>
  <c r="T618" i="55"/>
  <c r="U618" i="55"/>
  <c r="V618" i="55"/>
  <c r="W618" i="55"/>
  <c r="X618" i="55"/>
  <c r="Y618" i="55"/>
  <c r="Z618" i="55"/>
  <c r="AA618" i="55"/>
  <c r="S616" i="55"/>
  <c r="T616" i="55"/>
  <c r="U616" i="55"/>
  <c r="V616" i="55"/>
  <c r="W616" i="55"/>
  <c r="X616" i="55"/>
  <c r="Y616" i="55"/>
  <c r="Z616" i="55"/>
  <c r="AA616" i="55"/>
  <c r="V313" i="55" l="1"/>
  <c r="O32" i="55"/>
  <c r="L32" i="55"/>
  <c r="N32" i="55"/>
  <c r="M32" i="55"/>
  <c r="W313" i="55" l="1"/>
  <c r="X313" i="55" l="1"/>
  <c r="N332" i="1"/>
  <c r="C331" i="1"/>
  <c r="N224" i="1"/>
  <c r="N232" i="1" s="1"/>
  <c r="C222" i="1"/>
  <c r="N191" i="1"/>
  <c r="C189" i="1"/>
  <c r="N335" i="1" l="1"/>
  <c r="N334" i="1"/>
  <c r="N340" i="1"/>
  <c r="N339" i="1"/>
  <c r="Y313" i="55"/>
  <c r="N341" i="1" l="1"/>
  <c r="N336" i="1"/>
  <c r="Z313" i="55"/>
  <c r="AA313" i="55"/>
  <c r="L25" i="55" l="1"/>
  <c r="M25" i="55"/>
  <c r="N25" i="55"/>
  <c r="O25" i="55"/>
  <c r="K25" i="55"/>
  <c r="B623" i="55"/>
  <c r="B625" i="55"/>
  <c r="F37" i="67" l="1"/>
  <c r="G9" i="67"/>
  <c r="C7" i="67"/>
  <c r="B92" i="67" l="1"/>
  <c r="D74" i="67"/>
  <c r="D75" i="67" s="1"/>
  <c r="I74" i="67"/>
  <c r="E48" i="67"/>
  <c r="G58" i="67"/>
  <c r="G45" i="67"/>
  <c r="H9" i="67"/>
  <c r="E92" i="67" l="1"/>
  <c r="J74" i="67"/>
  <c r="I75" i="67"/>
  <c r="G64" i="67"/>
  <c r="G60" i="67"/>
  <c r="H58" i="67"/>
  <c r="H45" i="67"/>
  <c r="E49" i="67"/>
  <c r="D92" i="67" s="1"/>
  <c r="C92" i="67"/>
  <c r="B93" i="67"/>
  <c r="E93" i="67" s="1"/>
  <c r="I9" i="67"/>
  <c r="H60" i="67" l="1"/>
  <c r="J75" i="67"/>
  <c r="K74" i="67"/>
  <c r="K75" i="67" s="1"/>
  <c r="H64" i="67"/>
  <c r="D93" i="67"/>
  <c r="I58" i="67"/>
  <c r="I45" i="67"/>
  <c r="B94" i="67"/>
  <c r="E94" i="67" s="1"/>
  <c r="C93" i="67"/>
  <c r="J9" i="67"/>
  <c r="F94" i="67" l="1" a="1"/>
  <c r="F94" i="67" s="1"/>
  <c r="F93" i="67" a="1"/>
  <c r="F93" i="67" s="1"/>
  <c r="F92" i="67" a="1"/>
  <c r="F92" i="67" s="1"/>
  <c r="I60" i="67"/>
  <c r="I64" i="67"/>
  <c r="D94" i="67"/>
  <c r="J58" i="67"/>
  <c r="J45" i="67"/>
  <c r="C94" i="67"/>
  <c r="B95" i="67"/>
  <c r="K9" i="67"/>
  <c r="K17" i="67" s="1"/>
  <c r="E95" i="67" l="1"/>
  <c r="F95" i="67" a="1"/>
  <c r="F95" i="67" s="1"/>
  <c r="J60" i="67"/>
  <c r="J64" i="67"/>
  <c r="D95" i="67"/>
  <c r="K58" i="67"/>
  <c r="K45" i="67"/>
  <c r="C95" i="67"/>
  <c r="B96" i="67"/>
  <c r="L9" i="67"/>
  <c r="E96" i="67" l="1"/>
  <c r="F96" i="67" a="1"/>
  <c r="F96" i="67" s="1"/>
  <c r="K60" i="67"/>
  <c r="K64" i="67"/>
  <c r="D96" i="67"/>
  <c r="L58" i="67"/>
  <c r="L45" i="67"/>
  <c r="C96" i="67"/>
  <c r="B97" i="67"/>
  <c r="M9" i="67"/>
  <c r="E97" i="67" l="1"/>
  <c r="F97" i="67" a="1"/>
  <c r="F97" i="67" s="1"/>
  <c r="L60" i="67"/>
  <c r="L64" i="67"/>
  <c r="D97" i="67"/>
  <c r="M58" i="67"/>
  <c r="M45" i="67"/>
  <c r="C97" i="67"/>
  <c r="B98" i="67"/>
  <c r="N9" i="67"/>
  <c r="N17" i="67" s="1"/>
  <c r="E98" i="67" l="1"/>
  <c r="F98" i="67" a="1"/>
  <c r="F98" i="67" s="1"/>
  <c r="M60" i="67"/>
  <c r="M64" i="67"/>
  <c r="D98" i="67"/>
  <c r="N58" i="67"/>
  <c r="N45" i="67"/>
  <c r="C98" i="67"/>
  <c r="B99" i="67"/>
  <c r="O9" i="67"/>
  <c r="D96" i="64"/>
  <c r="H96" i="64" s="1"/>
  <c r="H24" i="64" s="1"/>
  <c r="H91" i="64"/>
  <c r="H23" i="64" s="1"/>
  <c r="H80" i="64"/>
  <c r="B57" i="64"/>
  <c r="H57" i="64" s="1"/>
  <c r="F53" i="64"/>
  <c r="H53" i="64" s="1"/>
  <c r="B45" i="64"/>
  <c r="H45" i="64" s="1" a="1"/>
  <c r="H45" i="64" s="1"/>
  <c r="B41" i="64"/>
  <c r="H41" i="64" s="1"/>
  <c r="H33" i="64"/>
  <c r="I8" i="64"/>
  <c r="E99" i="67" l="1"/>
  <c r="F99" i="67" a="1"/>
  <c r="F99" i="67" s="1"/>
  <c r="N60" i="67"/>
  <c r="N64" i="67"/>
  <c r="D99" i="67"/>
  <c r="I65" i="64"/>
  <c r="I67" i="64" s="1"/>
  <c r="I20" i="64" s="1"/>
  <c r="I80" i="64"/>
  <c r="O58" i="67"/>
  <c r="O45" i="67"/>
  <c r="C99" i="67"/>
  <c r="B100" i="67"/>
  <c r="P9" i="67"/>
  <c r="I9" i="64"/>
  <c r="I73" i="64" s="1"/>
  <c r="I21" i="64" s="1"/>
  <c r="H59" i="64"/>
  <c r="H19" i="64" s="1"/>
  <c r="H9" i="64"/>
  <c r="I57" i="64"/>
  <c r="I53" i="64"/>
  <c r="I91" i="64"/>
  <c r="I23" i="64" s="1"/>
  <c r="I96" i="64"/>
  <c r="I24" i="64" s="1"/>
  <c r="I41" i="64"/>
  <c r="I37" i="64"/>
  <c r="I33" i="64"/>
  <c r="I45" i="64" a="1"/>
  <c r="I45" i="64" s="1"/>
  <c r="J8" i="64"/>
  <c r="H37" i="64"/>
  <c r="H47" i="64" s="1"/>
  <c r="H18" i="64" s="1"/>
  <c r="AM9" i="64"/>
  <c r="E100" i="67" l="1"/>
  <c r="F100" i="67" a="1"/>
  <c r="F100" i="67" s="1"/>
  <c r="O60" i="67"/>
  <c r="O64" i="67"/>
  <c r="D100" i="67"/>
  <c r="J9" i="64"/>
  <c r="J7" i="64" s="1"/>
  <c r="J65" i="64"/>
  <c r="J67" i="64" s="1"/>
  <c r="J20" i="64" s="1"/>
  <c r="P58" i="67"/>
  <c r="P45" i="67"/>
  <c r="B101" i="67"/>
  <c r="C100" i="67"/>
  <c r="I7" i="64"/>
  <c r="I59" i="64"/>
  <c r="I19" i="64" s="1"/>
  <c r="I47" i="64"/>
  <c r="I18" i="64" s="1"/>
  <c r="J91" i="64"/>
  <c r="J23" i="64" s="1"/>
  <c r="J96" i="64"/>
  <c r="J24" i="64" s="1"/>
  <c r="J45" i="64" a="1"/>
  <c r="J45" i="64" s="1"/>
  <c r="J80" i="64"/>
  <c r="J53" i="64"/>
  <c r="J41" i="64"/>
  <c r="J37" i="64"/>
  <c r="K8" i="64"/>
  <c r="K65" i="64" s="1"/>
  <c r="K67" i="64" s="1"/>
  <c r="K20" i="64" s="1"/>
  <c r="J57" i="64"/>
  <c r="J33" i="64"/>
  <c r="AN9" i="64"/>
  <c r="B84" i="64"/>
  <c r="I84" i="64" s="1"/>
  <c r="I86" i="64" s="1"/>
  <c r="I22" i="64" s="1"/>
  <c r="H73" i="64"/>
  <c r="H21" i="64" s="1"/>
  <c r="C80" i="64"/>
  <c r="C33" i="64"/>
  <c r="H7" i="64"/>
  <c r="E101" i="67" l="1"/>
  <c r="F101" i="67" a="1"/>
  <c r="F101" i="67" s="1"/>
  <c r="P60" i="67"/>
  <c r="P64" i="67"/>
  <c r="D101" i="67"/>
  <c r="C91" i="64"/>
  <c r="J73" i="64"/>
  <c r="J21" i="64" s="1"/>
  <c r="C37" i="64"/>
  <c r="C96" i="64"/>
  <c r="B102" i="67"/>
  <c r="C101" i="67"/>
  <c r="I25" i="64"/>
  <c r="J47" i="64"/>
  <c r="J18" i="64" s="1"/>
  <c r="K96" i="64"/>
  <c r="K24" i="64" s="1"/>
  <c r="K80" i="64"/>
  <c r="K37" i="64"/>
  <c r="L8" i="64"/>
  <c r="L65" i="64" s="1"/>
  <c r="L67" i="64" s="1"/>
  <c r="L20" i="64" s="1"/>
  <c r="K45" i="64" a="1"/>
  <c r="K45" i="64" s="1"/>
  <c r="K91" i="64"/>
  <c r="K23" i="64" s="1"/>
  <c r="K57" i="64"/>
  <c r="K53" i="64"/>
  <c r="K41" i="64"/>
  <c r="K33" i="64"/>
  <c r="K9" i="64"/>
  <c r="H84" i="64"/>
  <c r="H86" i="64" s="1"/>
  <c r="H22" i="64" s="1"/>
  <c r="H25" i="64" s="1"/>
  <c r="AO9" i="64"/>
  <c r="J84" i="64"/>
  <c r="J86" i="64" s="1"/>
  <c r="J22" i="64" s="1"/>
  <c r="J59" i="64"/>
  <c r="J19" i="64" s="1"/>
  <c r="E102" i="67" l="1"/>
  <c r="F102" i="67" a="1"/>
  <c r="F102" i="67" s="1"/>
  <c r="D102" i="67"/>
  <c r="C102" i="67"/>
  <c r="B103" i="67"/>
  <c r="J25" i="64"/>
  <c r="K59" i="64"/>
  <c r="K19" i="64" s="1"/>
  <c r="K47" i="64"/>
  <c r="K18" i="64" s="1"/>
  <c r="K73" i="64"/>
  <c r="K21" i="64" s="1"/>
  <c r="K84" i="64"/>
  <c r="K86" i="64" s="1"/>
  <c r="K22" i="64" s="1"/>
  <c r="K7" i="64"/>
  <c r="L91" i="64"/>
  <c r="L23" i="64" s="1"/>
  <c r="L96" i="64"/>
  <c r="L24" i="64" s="1"/>
  <c r="L80" i="64"/>
  <c r="L41" i="64"/>
  <c r="L37" i="64"/>
  <c r="L33" i="64"/>
  <c r="M8" i="64"/>
  <c r="M65" i="64" s="1"/>
  <c r="M67" i="64" s="1"/>
  <c r="M20" i="64" s="1"/>
  <c r="L45" i="64" a="1"/>
  <c r="L45" i="64" s="1"/>
  <c r="L57" i="64"/>
  <c r="L53" i="64"/>
  <c r="L9" i="64"/>
  <c r="E103" i="67" l="1"/>
  <c r="F103" i="67" a="1"/>
  <c r="F103" i="67" s="1"/>
  <c r="D103" i="67"/>
  <c r="C103" i="67"/>
  <c r="B104" i="67"/>
  <c r="K25" i="64"/>
  <c r="L59" i="64"/>
  <c r="L19" i="64" s="1"/>
  <c r="L47" i="64"/>
  <c r="L18" i="64" s="1"/>
  <c r="M96" i="64"/>
  <c r="M24" i="64" s="1"/>
  <c r="M41" i="64"/>
  <c r="M37" i="64"/>
  <c r="M33" i="64"/>
  <c r="M57" i="64"/>
  <c r="M53" i="64"/>
  <c r="M45" i="64" a="1"/>
  <c r="M45" i="64" s="1"/>
  <c r="M91" i="64"/>
  <c r="M23" i="64" s="1"/>
  <c r="M80" i="64"/>
  <c r="N8" i="64"/>
  <c r="N65" i="64" s="1"/>
  <c r="N67" i="64" s="1"/>
  <c r="N20" i="64" s="1"/>
  <c r="M9" i="64"/>
  <c r="L84" i="64"/>
  <c r="L86" i="64" s="1"/>
  <c r="L22" i="64" s="1"/>
  <c r="L73" i="64"/>
  <c r="L21" i="64" s="1"/>
  <c r="L7" i="64"/>
  <c r="E104" i="67" l="1"/>
  <c r="F104" i="67" a="1"/>
  <c r="F104" i="67" s="1"/>
  <c r="D104" i="67"/>
  <c r="C104" i="67"/>
  <c r="B105" i="67"/>
  <c r="L25" i="64"/>
  <c r="M59" i="64"/>
  <c r="M19" i="64" s="1"/>
  <c r="M47" i="64"/>
  <c r="M18" i="64" s="1"/>
  <c r="M84" i="64"/>
  <c r="M86" i="64" s="1"/>
  <c r="M22" i="64" s="1"/>
  <c r="M73" i="64"/>
  <c r="M21" i="64" s="1"/>
  <c r="M7" i="64"/>
  <c r="N45" i="64" a="1"/>
  <c r="N45" i="64" s="1"/>
  <c r="N91" i="64"/>
  <c r="N23" i="64" s="1"/>
  <c r="N37" i="64"/>
  <c r="O8" i="64"/>
  <c r="O65" i="64" s="1"/>
  <c r="O67" i="64" s="1"/>
  <c r="O20" i="64" s="1"/>
  <c r="N96" i="64"/>
  <c r="N24" i="64" s="1"/>
  <c r="N57" i="64"/>
  <c r="N53" i="64"/>
  <c r="N80" i="64"/>
  <c r="N41" i="64"/>
  <c r="N33" i="64"/>
  <c r="N9" i="64"/>
  <c r="E105" i="67" l="1"/>
  <c r="F105" i="67" a="1"/>
  <c r="F105" i="67" s="1"/>
  <c r="D105" i="67"/>
  <c r="B106" i="67"/>
  <c r="C105" i="67"/>
  <c r="M25" i="64"/>
  <c r="N59" i="64"/>
  <c r="N19" i="64" s="1"/>
  <c r="N84" i="64"/>
  <c r="N86" i="64" s="1"/>
  <c r="N22" i="64" s="1"/>
  <c r="N7" i="64"/>
  <c r="N73" i="64"/>
  <c r="N21" i="64" s="1"/>
  <c r="N47" i="64"/>
  <c r="N18" i="64" s="1"/>
  <c r="O57" i="64"/>
  <c r="O53" i="64"/>
  <c r="O96" i="64"/>
  <c r="O24" i="64" s="1"/>
  <c r="O91" i="64"/>
  <c r="O23" i="64" s="1"/>
  <c r="O80" i="64"/>
  <c r="O41" i="64"/>
  <c r="O33" i="64"/>
  <c r="P8" i="64"/>
  <c r="P65" i="64" s="1"/>
  <c r="P67" i="64" s="1"/>
  <c r="P20" i="64" s="1"/>
  <c r="O45" i="64" a="1"/>
  <c r="O45" i="64" s="1"/>
  <c r="O37" i="64"/>
  <c r="O9" i="64"/>
  <c r="E106" i="67" l="1"/>
  <c r="F106" i="67" a="1"/>
  <c r="F106" i="67" s="1"/>
  <c r="D106" i="67"/>
  <c r="C106" i="67"/>
  <c r="B107" i="67"/>
  <c r="N25" i="64"/>
  <c r="P57" i="64"/>
  <c r="P53" i="64"/>
  <c r="P91" i="64"/>
  <c r="P23" i="64" s="1"/>
  <c r="P96" i="64"/>
  <c r="P24" i="64" s="1"/>
  <c r="P80" i="64"/>
  <c r="P37" i="64"/>
  <c r="P41" i="64"/>
  <c r="P33" i="64"/>
  <c r="Q8" i="64"/>
  <c r="Q65" i="64" s="1"/>
  <c r="Q67" i="64" s="1"/>
  <c r="Q20" i="64" s="1"/>
  <c r="P45" i="64" a="1"/>
  <c r="P45" i="64" s="1"/>
  <c r="P9" i="64"/>
  <c r="O47" i="64"/>
  <c r="O18" i="64" s="1"/>
  <c r="O84" i="64"/>
  <c r="O86" i="64" s="1"/>
  <c r="O22" i="64" s="1"/>
  <c r="O73" i="64"/>
  <c r="O21" i="64" s="1"/>
  <c r="O7" i="64"/>
  <c r="O59" i="64"/>
  <c r="O19" i="64" s="1"/>
  <c r="E107" i="67" l="1"/>
  <c r="F107" i="67" a="1"/>
  <c r="F107" i="67" s="1"/>
  <c r="D107" i="67"/>
  <c r="C107" i="67"/>
  <c r="B108" i="67"/>
  <c r="O25" i="64"/>
  <c r="P59" i="64"/>
  <c r="P19" i="64" s="1"/>
  <c r="P47" i="64"/>
  <c r="P18" i="64" s="1"/>
  <c r="P73" i="64"/>
  <c r="P21" i="64" s="1"/>
  <c r="P7" i="64"/>
  <c r="P84" i="64"/>
  <c r="P86" i="64" s="1"/>
  <c r="P22" i="64" s="1"/>
  <c r="Q57" i="64"/>
  <c r="Q53" i="64"/>
  <c r="Q91" i="64"/>
  <c r="Q23" i="64" s="1"/>
  <c r="Q96" i="64"/>
  <c r="Q24" i="64" s="1"/>
  <c r="Q41" i="64"/>
  <c r="Q37" i="64"/>
  <c r="Q33" i="64"/>
  <c r="Q80" i="64"/>
  <c r="R8" i="64"/>
  <c r="R65" i="64" s="1"/>
  <c r="R67" i="64" s="1"/>
  <c r="R20" i="64" s="1"/>
  <c r="Q9" i="64"/>
  <c r="Q45" i="64" a="1"/>
  <c r="Q45" i="64" s="1"/>
  <c r="E108" i="67" l="1"/>
  <c r="F108" i="67" a="1"/>
  <c r="F108" i="67" s="1"/>
  <c r="D108" i="67"/>
  <c r="B109" i="67"/>
  <c r="C108" i="67"/>
  <c r="P25" i="64"/>
  <c r="Q47" i="64"/>
  <c r="Q18" i="64" s="1"/>
  <c r="Q73" i="64"/>
  <c r="Q21" i="64" s="1"/>
  <c r="Q84" i="64"/>
  <c r="Q86" i="64" s="1"/>
  <c r="Q22" i="64" s="1"/>
  <c r="Q7" i="64"/>
  <c r="Q59" i="64"/>
  <c r="Q19" i="64" s="1"/>
  <c r="R91" i="64"/>
  <c r="R23" i="64" s="1"/>
  <c r="R96" i="64"/>
  <c r="R24" i="64" s="1"/>
  <c r="R45" i="64" a="1"/>
  <c r="R45" i="64" s="1"/>
  <c r="R80" i="64"/>
  <c r="R41" i="64"/>
  <c r="R33" i="64"/>
  <c r="R57" i="64"/>
  <c r="R53" i="64"/>
  <c r="S8" i="64"/>
  <c r="S65" i="64" s="1"/>
  <c r="S67" i="64" s="1"/>
  <c r="S20" i="64" s="1"/>
  <c r="R37" i="64"/>
  <c r="R9" i="64"/>
  <c r="E109" i="67" l="1"/>
  <c r="F109" i="67" a="1"/>
  <c r="F109" i="67" s="1"/>
  <c r="D109" i="67"/>
  <c r="C109" i="67"/>
  <c r="B110" i="67"/>
  <c r="Q25" i="64"/>
  <c r="R47" i="64"/>
  <c r="R18" i="64" s="1"/>
  <c r="R59" i="64"/>
  <c r="R19" i="64" s="1"/>
  <c r="S96" i="64"/>
  <c r="S24" i="64" s="1"/>
  <c r="S80" i="64"/>
  <c r="S41" i="64"/>
  <c r="S33" i="64"/>
  <c r="S91" i="64"/>
  <c r="S23" i="64" s="1"/>
  <c r="S57" i="64"/>
  <c r="S53" i="64"/>
  <c r="T8" i="64"/>
  <c r="T65" i="64" s="1"/>
  <c r="T67" i="64" s="1"/>
  <c r="T20" i="64" s="1"/>
  <c r="S45" i="64" a="1"/>
  <c r="S45" i="64" s="1"/>
  <c r="S37" i="64"/>
  <c r="S9" i="64"/>
  <c r="R7" i="64"/>
  <c r="R73" i="64"/>
  <c r="R21" i="64" s="1"/>
  <c r="R84" i="64"/>
  <c r="R86" i="64" s="1"/>
  <c r="R22" i="64" s="1"/>
  <c r="E110" i="67" l="1"/>
  <c r="F110" i="67" a="1"/>
  <c r="F110" i="67" s="1"/>
  <c r="D110" i="67"/>
  <c r="C110" i="67"/>
  <c r="B111" i="67"/>
  <c r="R25" i="64"/>
  <c r="S59" i="64"/>
  <c r="S19" i="64" s="1"/>
  <c r="S47" i="64"/>
  <c r="S18" i="64" s="1"/>
  <c r="T91" i="64"/>
  <c r="T23" i="64" s="1"/>
  <c r="T96" i="64"/>
  <c r="T24" i="64" s="1"/>
  <c r="T80" i="64"/>
  <c r="T41" i="64"/>
  <c r="T37" i="64"/>
  <c r="T33" i="64"/>
  <c r="T57" i="64"/>
  <c r="T53" i="64"/>
  <c r="U8" i="64"/>
  <c r="U65" i="64" s="1"/>
  <c r="U67" i="64" s="1"/>
  <c r="U20" i="64" s="1"/>
  <c r="T45" i="64" a="1"/>
  <c r="T45" i="64" s="1"/>
  <c r="T9" i="64"/>
  <c r="S73" i="64"/>
  <c r="S21" i="64" s="1"/>
  <c r="S84" i="64"/>
  <c r="S86" i="64" s="1"/>
  <c r="S22" i="64" s="1"/>
  <c r="S7" i="64"/>
  <c r="E111" i="67" l="1"/>
  <c r="F111" i="67" a="1"/>
  <c r="F111" i="67" s="1"/>
  <c r="D111" i="67"/>
  <c r="C111" i="67"/>
  <c r="B112" i="67"/>
  <c r="S25" i="64"/>
  <c r="T47" i="64"/>
  <c r="T18" i="64" s="1"/>
  <c r="T84" i="64"/>
  <c r="T86" i="64" s="1"/>
  <c r="T22" i="64" s="1"/>
  <c r="T7" i="64"/>
  <c r="T73" i="64"/>
  <c r="T21" i="64" s="1"/>
  <c r="U96" i="64"/>
  <c r="U24" i="64" s="1"/>
  <c r="U41" i="64"/>
  <c r="U37" i="64"/>
  <c r="U33" i="64"/>
  <c r="U57" i="64"/>
  <c r="U53" i="64"/>
  <c r="U91" i="64"/>
  <c r="U23" i="64" s="1"/>
  <c r="U45" i="64" a="1"/>
  <c r="U45" i="64" s="1"/>
  <c r="U80" i="64"/>
  <c r="V8" i="64"/>
  <c r="V65" i="64" s="1"/>
  <c r="V67" i="64" s="1"/>
  <c r="V20" i="64" s="1"/>
  <c r="U9" i="64"/>
  <c r="T59" i="64"/>
  <c r="T19" i="64" s="1"/>
  <c r="E112" i="67" l="1"/>
  <c r="F112" i="67" a="1"/>
  <c r="F112" i="67" s="1"/>
  <c r="D112" i="67"/>
  <c r="B113" i="67"/>
  <c r="C112" i="67"/>
  <c r="T25" i="64"/>
  <c r="U59" i="64"/>
  <c r="U19" i="64" s="1"/>
  <c r="V45" i="64" a="1"/>
  <c r="V45" i="64" s="1"/>
  <c r="V91" i="64"/>
  <c r="V23" i="64" s="1"/>
  <c r="V80" i="64"/>
  <c r="W8" i="64"/>
  <c r="W65" i="64" s="1"/>
  <c r="W67" i="64" s="1"/>
  <c r="W20" i="64" s="1"/>
  <c r="V96" i="64"/>
  <c r="V24" i="64" s="1"/>
  <c r="V37" i="64"/>
  <c r="V57" i="64"/>
  <c r="V53" i="64"/>
  <c r="V41" i="64"/>
  <c r="V33" i="64"/>
  <c r="V9" i="64"/>
  <c r="U84" i="64"/>
  <c r="U86" i="64" s="1"/>
  <c r="U22" i="64" s="1"/>
  <c r="U73" i="64"/>
  <c r="U21" i="64" s="1"/>
  <c r="U7" i="64"/>
  <c r="U47" i="64"/>
  <c r="U18" i="64" s="1"/>
  <c r="E113" i="67" l="1"/>
  <c r="F113" i="67" a="1"/>
  <c r="F113" i="67" s="1"/>
  <c r="D113" i="67"/>
  <c r="B114" i="67"/>
  <c r="C113" i="67"/>
  <c r="U25" i="64"/>
  <c r="V59" i="64"/>
  <c r="V19" i="64" s="1"/>
  <c r="W57" i="64"/>
  <c r="W53" i="64"/>
  <c r="W96" i="64"/>
  <c r="W24" i="64" s="1"/>
  <c r="W33" i="64"/>
  <c r="W37" i="64"/>
  <c r="X8" i="64"/>
  <c r="X65" i="64" s="1"/>
  <c r="X67" i="64" s="1"/>
  <c r="X20" i="64" s="1"/>
  <c r="W41" i="64"/>
  <c r="W91" i="64"/>
  <c r="W23" i="64" s="1"/>
  <c r="W80" i="64"/>
  <c r="W45" i="64" a="1"/>
  <c r="W45" i="64" s="1"/>
  <c r="W9" i="64"/>
  <c r="V84" i="64"/>
  <c r="V86" i="64" s="1"/>
  <c r="V22" i="64" s="1"/>
  <c r="V73" i="64"/>
  <c r="V21" i="64" s="1"/>
  <c r="V7" i="64"/>
  <c r="V47" i="64"/>
  <c r="V18" i="64" s="1"/>
  <c r="E114" i="67" l="1"/>
  <c r="F114" i="67" a="1"/>
  <c r="F114" i="67" s="1"/>
  <c r="D114" i="67"/>
  <c r="B115" i="67"/>
  <c r="C114" i="67"/>
  <c r="V25" i="64"/>
  <c r="W59" i="64"/>
  <c r="W19" i="64" s="1"/>
  <c r="X57" i="64"/>
  <c r="X53" i="64"/>
  <c r="X91" i="64"/>
  <c r="X23" i="64" s="1"/>
  <c r="X96" i="64"/>
  <c r="X24" i="64" s="1"/>
  <c r="X80" i="64"/>
  <c r="X37" i="64"/>
  <c r="Y8" i="64"/>
  <c r="Y65" i="64" s="1"/>
  <c r="Y67" i="64" s="1"/>
  <c r="Y20" i="64" s="1"/>
  <c r="X45" i="64" a="1"/>
  <c r="X45" i="64" s="1"/>
  <c r="X41" i="64"/>
  <c r="X33" i="64"/>
  <c r="X9" i="64"/>
  <c r="W47" i="64"/>
  <c r="W18" i="64" s="1"/>
  <c r="W84" i="64"/>
  <c r="W86" i="64" s="1"/>
  <c r="W22" i="64" s="1"/>
  <c r="W73" i="64"/>
  <c r="W21" i="64" s="1"/>
  <c r="W7" i="64"/>
  <c r="E115" i="67" l="1"/>
  <c r="F115" i="67" a="1"/>
  <c r="F115" i="67" s="1"/>
  <c r="D115" i="67"/>
  <c r="C115" i="67"/>
  <c r="B116" i="67"/>
  <c r="W25" i="64"/>
  <c r="X59" i="64"/>
  <c r="X19" i="64" s="1"/>
  <c r="Y57" i="64"/>
  <c r="Y53" i="64"/>
  <c r="Y91" i="64"/>
  <c r="Y23" i="64" s="1"/>
  <c r="Y96" i="64"/>
  <c r="Y24" i="64" s="1"/>
  <c r="Y41" i="64"/>
  <c r="Y37" i="64"/>
  <c r="Y33" i="64"/>
  <c r="Z8" i="64"/>
  <c r="Z65" i="64" s="1"/>
  <c r="Z67" i="64" s="1"/>
  <c r="Z20" i="64" s="1"/>
  <c r="Y80" i="64"/>
  <c r="Y45" i="64" a="1"/>
  <c r="Y45" i="64" s="1"/>
  <c r="Y9" i="64"/>
  <c r="C41" i="64"/>
  <c r="X73" i="64"/>
  <c r="X21" i="64" s="1"/>
  <c r="X84" i="64"/>
  <c r="X86" i="64" s="1"/>
  <c r="X22" i="64" s="1"/>
  <c r="X7" i="64"/>
  <c r="X47" i="64"/>
  <c r="X18" i="64" s="1"/>
  <c r="E116" i="67" l="1"/>
  <c r="F116" i="67" a="1"/>
  <c r="F116" i="67" s="1"/>
  <c r="D116" i="67"/>
  <c r="C116" i="67"/>
  <c r="B117" i="67"/>
  <c r="X25" i="64"/>
  <c r="Y47" i="64"/>
  <c r="Y18" i="64" s="1"/>
  <c r="Y73" i="64"/>
  <c r="Y21" i="64" s="1"/>
  <c r="Y84" i="64"/>
  <c r="Y86" i="64" s="1"/>
  <c r="Y22" i="64" s="1"/>
  <c r="Y7" i="64"/>
  <c r="C45" i="64"/>
  <c r="C53" i="64"/>
  <c r="C57" i="64" s="1"/>
  <c r="Y59" i="64"/>
  <c r="Y19" i="64" s="1"/>
  <c r="Z91" i="64"/>
  <c r="Z23" i="64" s="1"/>
  <c r="Z96" i="64"/>
  <c r="Z24" i="64" s="1"/>
  <c r="Z45" i="64" a="1"/>
  <c r="Z45" i="64" s="1"/>
  <c r="Z80" i="64"/>
  <c r="Z37" i="64"/>
  <c r="Z57" i="64"/>
  <c r="AA8" i="64"/>
  <c r="AA65" i="64" s="1"/>
  <c r="AA67" i="64" s="1"/>
  <c r="AA20" i="64" s="1"/>
  <c r="Z41" i="64"/>
  <c r="Z33" i="64"/>
  <c r="Z53" i="64"/>
  <c r="Z9" i="64"/>
  <c r="E117" i="67" l="1"/>
  <c r="F117" i="67" a="1"/>
  <c r="F117" i="67" s="1"/>
  <c r="D117" i="67"/>
  <c r="B118" i="67"/>
  <c r="C117" i="67"/>
  <c r="Y25" i="64"/>
  <c r="Z7" i="64"/>
  <c r="Z84" i="64"/>
  <c r="Z86" i="64" s="1"/>
  <c r="Z22" i="64" s="1"/>
  <c r="Z73" i="64"/>
  <c r="Z21" i="64" s="1"/>
  <c r="AA91" i="64"/>
  <c r="AA23" i="64" s="1"/>
  <c r="AA96" i="64"/>
  <c r="AA24" i="64" s="1"/>
  <c r="AA80" i="64"/>
  <c r="AA41" i="64"/>
  <c r="AB8" i="64"/>
  <c r="AB65" i="64" s="1"/>
  <c r="AB67" i="64" s="1"/>
  <c r="AB20" i="64" s="1"/>
  <c r="AA45" i="64" a="1"/>
  <c r="AA45" i="64" s="1"/>
  <c r="AA33" i="64"/>
  <c r="AA57" i="64"/>
  <c r="AA53" i="64"/>
  <c r="AA37" i="64"/>
  <c r="AA9" i="64"/>
  <c r="Z59" i="64"/>
  <c r="Z19" i="64" s="1"/>
  <c r="Z47" i="64"/>
  <c r="Z18" i="64" s="1"/>
  <c r="E118" i="67" l="1"/>
  <c r="F118" i="67" a="1"/>
  <c r="F118" i="67" s="1"/>
  <c r="D118" i="67"/>
  <c r="B119" i="67"/>
  <c r="C118" i="67"/>
  <c r="Z25" i="64"/>
  <c r="AA59" i="64"/>
  <c r="AA19" i="64" s="1"/>
  <c r="AA73" i="64"/>
  <c r="AA21" i="64" s="1"/>
  <c r="AA84" i="64"/>
  <c r="AA86" i="64" s="1"/>
  <c r="AA22" i="64" s="1"/>
  <c r="AA7" i="64"/>
  <c r="AA47" i="64"/>
  <c r="AA18" i="64" s="1"/>
  <c r="AB91" i="64"/>
  <c r="AB23" i="64" s="1"/>
  <c r="AB96" i="64"/>
  <c r="AB24" i="64" s="1"/>
  <c r="AB80" i="64"/>
  <c r="AB41" i="64"/>
  <c r="AB37" i="64"/>
  <c r="AB33" i="64"/>
  <c r="AC8" i="64"/>
  <c r="AC65" i="64" s="1"/>
  <c r="AC67" i="64" s="1"/>
  <c r="AC20" i="64" s="1"/>
  <c r="AB45" i="64" a="1"/>
  <c r="AB45" i="64" s="1"/>
  <c r="AB57" i="64"/>
  <c r="AB53" i="64"/>
  <c r="AB9" i="64"/>
  <c r="E119" i="67" l="1"/>
  <c r="F119" i="67" a="1"/>
  <c r="F119" i="67" s="1"/>
  <c r="D119" i="67"/>
  <c r="B120" i="67"/>
  <c r="C119" i="67"/>
  <c r="AA25" i="64"/>
  <c r="AB59" i="64"/>
  <c r="AB19" i="64" s="1"/>
  <c r="AB47" i="64"/>
  <c r="AB18" i="64" s="1"/>
  <c r="AC96" i="64"/>
  <c r="AC24" i="64" s="1"/>
  <c r="AC41" i="64"/>
  <c r="AC37" i="64"/>
  <c r="AC33" i="64"/>
  <c r="AC57" i="64"/>
  <c r="AC53" i="64"/>
  <c r="AC45" i="64" a="1"/>
  <c r="AC45" i="64" s="1"/>
  <c r="AC80" i="64"/>
  <c r="AC91" i="64"/>
  <c r="AC23" i="64" s="1"/>
  <c r="AD8" i="64"/>
  <c r="AD65" i="64" s="1"/>
  <c r="AD67" i="64" s="1"/>
  <c r="AD20" i="64" s="1"/>
  <c r="AC9" i="64"/>
  <c r="AB84" i="64"/>
  <c r="AB86" i="64" s="1"/>
  <c r="AB22" i="64" s="1"/>
  <c r="AB73" i="64"/>
  <c r="AB21" i="64" s="1"/>
  <c r="AB7" i="64"/>
  <c r="E120" i="67" l="1"/>
  <c r="F120" i="67" a="1"/>
  <c r="F120" i="67" s="1"/>
  <c r="D120" i="67"/>
  <c r="B121" i="67"/>
  <c r="C120" i="67"/>
  <c r="AB25" i="64"/>
  <c r="AC59" i="64"/>
  <c r="AC19" i="64" s="1"/>
  <c r="AC47" i="64"/>
  <c r="AC18" i="64" s="1"/>
  <c r="AC84" i="64"/>
  <c r="AC86" i="64" s="1"/>
  <c r="AC22" i="64" s="1"/>
  <c r="AC73" i="64"/>
  <c r="AC21" i="64" s="1"/>
  <c r="AC7" i="64"/>
  <c r="AD45" i="64" a="1"/>
  <c r="AD45" i="64" s="1"/>
  <c r="AD91" i="64"/>
  <c r="AD23" i="64" s="1"/>
  <c r="AD96" i="64"/>
  <c r="AD24" i="64" s="1"/>
  <c r="AD37" i="64"/>
  <c r="AD33" i="64"/>
  <c r="AE8" i="64"/>
  <c r="AE65" i="64" s="1"/>
  <c r="AE67" i="64" s="1"/>
  <c r="AE20" i="64" s="1"/>
  <c r="AD57" i="64"/>
  <c r="AD53" i="64"/>
  <c r="AD41" i="64"/>
  <c r="AD80" i="64"/>
  <c r="AD9" i="64"/>
  <c r="E121" i="67" l="1"/>
  <c r="F121" i="67" a="1"/>
  <c r="F121" i="67" s="1"/>
  <c r="D121" i="67"/>
  <c r="C121" i="67"/>
  <c r="B122" i="67"/>
  <c r="AC25" i="64"/>
  <c r="AD59" i="64"/>
  <c r="AD19" i="64" s="1"/>
  <c r="AD84" i="64"/>
  <c r="AD86" i="64" s="1"/>
  <c r="AD22" i="64" s="1"/>
  <c r="AD73" i="64"/>
  <c r="AD21" i="64" s="1"/>
  <c r="AD7" i="64"/>
  <c r="AE57" i="64"/>
  <c r="AE53" i="64"/>
  <c r="AE96" i="64"/>
  <c r="AE24" i="64" s="1"/>
  <c r="AE33" i="64"/>
  <c r="AE41" i="64"/>
  <c r="AE80" i="64"/>
  <c r="AE91" i="64"/>
  <c r="AE23" i="64" s="1"/>
  <c r="AE37" i="64"/>
  <c r="AF8" i="64"/>
  <c r="AF65" i="64" s="1"/>
  <c r="AF67" i="64" s="1"/>
  <c r="AF20" i="64" s="1"/>
  <c r="AE45" i="64" a="1"/>
  <c r="AE45" i="64" s="1"/>
  <c r="AE9" i="64"/>
  <c r="AD47" i="64"/>
  <c r="AD18" i="64" s="1"/>
  <c r="E122" i="67" l="1"/>
  <c r="F122" i="67" a="1"/>
  <c r="F122" i="67" s="1"/>
  <c r="D122" i="67"/>
  <c r="C122" i="67"/>
  <c r="B123" i="67"/>
  <c r="AD25" i="64"/>
  <c r="AE59" i="64"/>
  <c r="AE19" i="64" s="1"/>
  <c r="AE47" i="64"/>
  <c r="AE18" i="64" s="1"/>
  <c r="AE84" i="64"/>
  <c r="AE86" i="64" s="1"/>
  <c r="AE22" i="64" s="1"/>
  <c r="AE73" i="64"/>
  <c r="AE21" i="64" s="1"/>
  <c r="AE7" i="64"/>
  <c r="AF57" i="64"/>
  <c r="AF53" i="64"/>
  <c r="AF91" i="64"/>
  <c r="AF23" i="64" s="1"/>
  <c r="AF96" i="64"/>
  <c r="AF24" i="64" s="1"/>
  <c r="AF80" i="64"/>
  <c r="AF33" i="64"/>
  <c r="AF41" i="64"/>
  <c r="AF37" i="64"/>
  <c r="AG8" i="64"/>
  <c r="AG65" i="64" s="1"/>
  <c r="AG67" i="64" s="1"/>
  <c r="AG20" i="64" s="1"/>
  <c r="AF45" i="64" a="1"/>
  <c r="AF45" i="64" s="1"/>
  <c r="AF9" i="64"/>
  <c r="E123" i="67" l="1"/>
  <c r="F123" i="67" a="1"/>
  <c r="F123" i="67" s="1"/>
  <c r="D123" i="67"/>
  <c r="B124" i="67"/>
  <c r="C123" i="67"/>
  <c r="AE25" i="64"/>
  <c r="AF59" i="64"/>
  <c r="AF19" i="64" s="1"/>
  <c r="AF73" i="64"/>
  <c r="AF21" i="64" s="1"/>
  <c r="AF7" i="64"/>
  <c r="AF84" i="64"/>
  <c r="AF86" i="64" s="1"/>
  <c r="AF22" i="64" s="1"/>
  <c r="AG57" i="64"/>
  <c r="AG53" i="64"/>
  <c r="AG91" i="64"/>
  <c r="AG23" i="64" s="1"/>
  <c r="AG96" i="64"/>
  <c r="AG24" i="64" s="1"/>
  <c r="AG41" i="64"/>
  <c r="AG37" i="64"/>
  <c r="AG33" i="64"/>
  <c r="AG9" i="64"/>
  <c r="AG80" i="64"/>
  <c r="AH8" i="64"/>
  <c r="AH65" i="64" s="1"/>
  <c r="AH67" i="64" s="1"/>
  <c r="AH20" i="64" s="1"/>
  <c r="AG45" i="64" a="1"/>
  <c r="AG45" i="64" s="1"/>
  <c r="AF47" i="64"/>
  <c r="AF18" i="64" s="1"/>
  <c r="E124" i="67" l="1"/>
  <c r="F124" i="67" a="1"/>
  <c r="F124" i="67" s="1"/>
  <c r="D124" i="67"/>
  <c r="B125" i="67"/>
  <c r="C124" i="67"/>
  <c r="AF25" i="64"/>
  <c r="AG59" i="64"/>
  <c r="AG19" i="64" s="1"/>
  <c r="AH91" i="64"/>
  <c r="AH23" i="64" s="1"/>
  <c r="AH96" i="64"/>
  <c r="AH24" i="64" s="1"/>
  <c r="AH45" i="64" a="1"/>
  <c r="AH45" i="64" s="1"/>
  <c r="AH80" i="64"/>
  <c r="AH41" i="64"/>
  <c r="AH57" i="64"/>
  <c r="AH53" i="64"/>
  <c r="AI8" i="64"/>
  <c r="AI65" i="64" s="1"/>
  <c r="AI67" i="64" s="1"/>
  <c r="AI20" i="64" s="1"/>
  <c r="AH37" i="64"/>
  <c r="AH33" i="64"/>
  <c r="AH9" i="64"/>
  <c r="AG73" i="64"/>
  <c r="AG21" i="64" s="1"/>
  <c r="AG84" i="64"/>
  <c r="AG86" i="64" s="1"/>
  <c r="AG22" i="64" s="1"/>
  <c r="AG7" i="64"/>
  <c r="AG47" i="64"/>
  <c r="AG18" i="64" s="1"/>
  <c r="E125" i="67" l="1"/>
  <c r="F125" i="67" a="1"/>
  <c r="F125" i="67" s="1"/>
  <c r="D125" i="67"/>
  <c r="AG25" i="64"/>
  <c r="B126" i="67"/>
  <c r="C125" i="67"/>
  <c r="AH59" i="64"/>
  <c r="AH19" i="64" s="1"/>
  <c r="AH47" i="64"/>
  <c r="AH18" i="64" s="1"/>
  <c r="AH73" i="64"/>
  <c r="AH21" i="64" s="1"/>
  <c r="AH7" i="64"/>
  <c r="AH84" i="64"/>
  <c r="AH86" i="64" s="1"/>
  <c r="AH22" i="64" s="1"/>
  <c r="AI91" i="64"/>
  <c r="AI23" i="64" s="1"/>
  <c r="AI96" i="64"/>
  <c r="AI24" i="64" s="1"/>
  <c r="AI80" i="64"/>
  <c r="AI41" i="64"/>
  <c r="AI57" i="64"/>
  <c r="AI53" i="64"/>
  <c r="AJ8" i="64"/>
  <c r="AJ65" i="64" s="1"/>
  <c r="AJ67" i="64" s="1"/>
  <c r="AJ20" i="64" s="1"/>
  <c r="AI37" i="64"/>
  <c r="AI45" i="64" a="1"/>
  <c r="AI45" i="64" s="1"/>
  <c r="AI33" i="64"/>
  <c r="AI9" i="64"/>
  <c r="E126" i="67" l="1"/>
  <c r="F126" i="67" a="1"/>
  <c r="F126" i="67" s="1"/>
  <c r="D126" i="67"/>
  <c r="B127" i="67"/>
  <c r="C126" i="67"/>
  <c r="AH25" i="64"/>
  <c r="AI59" i="64"/>
  <c r="AI19" i="64" s="1"/>
  <c r="AI47" i="64"/>
  <c r="AI18" i="64" s="1"/>
  <c r="AJ91" i="64"/>
  <c r="AJ23" i="64" s="1"/>
  <c r="AJ96" i="64"/>
  <c r="AJ24" i="64" s="1"/>
  <c r="AJ80" i="64"/>
  <c r="AJ41" i="64"/>
  <c r="AJ37" i="64"/>
  <c r="AJ33" i="64"/>
  <c r="AJ57" i="64"/>
  <c r="AJ53" i="64"/>
  <c r="AK8" i="64"/>
  <c r="AJ45" i="64" a="1"/>
  <c r="AJ45" i="64" s="1"/>
  <c r="AJ9" i="64"/>
  <c r="AI73" i="64"/>
  <c r="AI21" i="64" s="1"/>
  <c r="AI84" i="64"/>
  <c r="AI86" i="64" s="1"/>
  <c r="AI22" i="64" s="1"/>
  <c r="AI7" i="64"/>
  <c r="E127" i="67" l="1"/>
  <c r="F127" i="67" a="1"/>
  <c r="F127" i="67" s="1"/>
  <c r="D127" i="67"/>
  <c r="AK65" i="64"/>
  <c r="AK67" i="64" s="1"/>
  <c r="AK20" i="64" s="1"/>
  <c r="E65" i="64"/>
  <c r="C127" i="67"/>
  <c r="B128" i="67"/>
  <c r="AI25" i="64"/>
  <c r="AJ47" i="64"/>
  <c r="AJ18" i="64" s="1"/>
  <c r="AJ84" i="64"/>
  <c r="AJ86" i="64" s="1"/>
  <c r="AJ22" i="64" s="1"/>
  <c r="AJ73" i="64"/>
  <c r="AJ21" i="64" s="1"/>
  <c r="AJ7" i="64"/>
  <c r="AK96" i="64"/>
  <c r="AK24" i="64" s="1"/>
  <c r="AK41" i="64"/>
  <c r="AK37" i="64"/>
  <c r="AK33" i="64"/>
  <c r="AK57" i="64"/>
  <c r="AK53" i="64"/>
  <c r="AK45" i="64" a="1"/>
  <c r="AK45" i="64" s="1"/>
  <c r="AK80" i="64"/>
  <c r="AK91" i="64"/>
  <c r="AK23" i="64" s="1"/>
  <c r="AK9" i="64"/>
  <c r="AJ59" i="64"/>
  <c r="AJ19" i="64" s="1"/>
  <c r="E128" i="67" l="1"/>
  <c r="F128" i="67" a="1"/>
  <c r="F128" i="67" s="1"/>
  <c r="D128" i="67"/>
  <c r="C128" i="67"/>
  <c r="B129" i="67"/>
  <c r="AJ25" i="64"/>
  <c r="AK59" i="64"/>
  <c r="AK19" i="64" s="1"/>
  <c r="AK84" i="64"/>
  <c r="AK86" i="64" s="1"/>
  <c r="AK73" i="64"/>
  <c r="AK21" i="64" s="1"/>
  <c r="AK7" i="64"/>
  <c r="AM18" i="64" s="1"/>
  <c r="AK47" i="64"/>
  <c r="AK18" i="64" s="1"/>
  <c r="E129" i="67" l="1"/>
  <c r="F129" i="67" a="1"/>
  <c r="F129" i="67" s="1"/>
  <c r="D129" i="67"/>
  <c r="B130" i="67"/>
  <c r="C129" i="67"/>
  <c r="AM19" i="64"/>
  <c r="AO19" i="64"/>
  <c r="AM22" i="64"/>
  <c r="AM23" i="64"/>
  <c r="AM24" i="64"/>
  <c r="AM20" i="64"/>
  <c r="AO21" i="64"/>
  <c r="AN19" i="64"/>
  <c r="AN21" i="64"/>
  <c r="AN22" i="64"/>
  <c r="AN24" i="64"/>
  <c r="AO20" i="64"/>
  <c r="AN18" i="64"/>
  <c r="AN23" i="64"/>
  <c r="AO18" i="64"/>
  <c r="AN20" i="64"/>
  <c r="AO23" i="64"/>
  <c r="AM21" i="64"/>
  <c r="AO24" i="64"/>
  <c r="AO22" i="64"/>
  <c r="AK22" i="64"/>
  <c r="AK25" i="64" s="1"/>
  <c r="E130" i="67" l="1"/>
  <c r="F130" i="67" a="1"/>
  <c r="F130" i="67" s="1"/>
  <c r="D130" i="67"/>
  <c r="AO25" i="64"/>
  <c r="C130" i="67"/>
  <c r="B131" i="67"/>
  <c r="AN25" i="64"/>
  <c r="AM25" i="64"/>
  <c r="P555" i="55"/>
  <c r="M277" i="55"/>
  <c r="N277" i="55"/>
  <c r="O277" i="55"/>
  <c r="L277" i="55"/>
  <c r="M261" i="55"/>
  <c r="N261" i="55"/>
  <c r="O261" i="55"/>
  <c r="L261" i="55"/>
  <c r="E131" i="67" l="1"/>
  <c r="F131" i="67" a="1"/>
  <c r="F131" i="67" s="1"/>
  <c r="D131" i="67"/>
  <c r="C131" i="67"/>
  <c r="B132" i="67"/>
  <c r="P338" i="55"/>
  <c r="O338" i="55"/>
  <c r="N338" i="55"/>
  <c r="M338" i="55"/>
  <c r="L338" i="55"/>
  <c r="E132" i="67" l="1"/>
  <c r="F132" i="67" a="1"/>
  <c r="F132" i="67" s="1"/>
  <c r="D132" i="67"/>
  <c r="C132" i="67"/>
  <c r="B133" i="67"/>
  <c r="L339" i="55"/>
  <c r="E5" i="60"/>
  <c r="O9" i="60" s="1"/>
  <c r="C18" i="60" l="1"/>
  <c r="E133" i="67"/>
  <c r="F133" i="67" a="1"/>
  <c r="F133" i="67" s="1"/>
  <c r="D133" i="67"/>
  <c r="B134" i="67"/>
  <c r="C133" i="67"/>
  <c r="G9" i="60"/>
  <c r="K186" i="55"/>
  <c r="S12" i="55"/>
  <c r="S346" i="55" s="1"/>
  <c r="S11" i="55"/>
  <c r="O125" i="1"/>
  <c r="P339" i="55"/>
  <c r="O339" i="55"/>
  <c r="N339" i="55"/>
  <c r="M339" i="55"/>
  <c r="D18" i="60" l="1"/>
  <c r="C19" i="60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P9" i="60"/>
  <c r="E134" i="67"/>
  <c r="F134" i="67" a="1"/>
  <c r="F134" i="67" s="1"/>
  <c r="D134" i="67"/>
  <c r="C134" i="67"/>
  <c r="B135" i="67"/>
  <c r="I560" i="55"/>
  <c r="H567" i="55"/>
  <c r="G551" i="55"/>
  <c r="G552" i="55"/>
  <c r="G553" i="55"/>
  <c r="G554" i="55"/>
  <c r="G555" i="55"/>
  <c r="G556" i="55"/>
  <c r="G557" i="55"/>
  <c r="G558" i="55"/>
  <c r="G559" i="55"/>
  <c r="G560" i="55"/>
  <c r="G561" i="55"/>
  <c r="G562" i="55"/>
  <c r="G563" i="55"/>
  <c r="G564" i="55"/>
  <c r="G565" i="55"/>
  <c r="G566" i="55"/>
  <c r="G567" i="55"/>
  <c r="G568" i="55"/>
  <c r="G550" i="55"/>
  <c r="P544" i="55"/>
  <c r="K535" i="55"/>
  <c r="K544" i="55" s="1"/>
  <c r="L535" i="55"/>
  <c r="L544" i="55" s="1"/>
  <c r="M535" i="55"/>
  <c r="M544" i="55" s="1"/>
  <c r="N535" i="55"/>
  <c r="N544" i="55" s="1"/>
  <c r="O535" i="55"/>
  <c r="O544" i="55" s="1"/>
  <c r="H535" i="55"/>
  <c r="H560" i="55" s="1"/>
  <c r="K451" i="55"/>
  <c r="L451" i="55"/>
  <c r="M451" i="55"/>
  <c r="N451" i="55"/>
  <c r="O451" i="55"/>
  <c r="P451" i="55"/>
  <c r="N450" i="55"/>
  <c r="T12" i="55"/>
  <c r="R13" i="55"/>
  <c r="E18" i="60" l="1"/>
  <c r="D19" i="60"/>
  <c r="E19" i="60" s="1"/>
  <c r="O10" i="60"/>
  <c r="P10" i="60" s="1"/>
  <c r="O11" i="60" s="1"/>
  <c r="P11" i="60" s="1"/>
  <c r="H9" i="60" s="1"/>
  <c r="U12" i="55"/>
  <c r="T346" i="55"/>
  <c r="R494" i="55"/>
  <c r="E135" i="67"/>
  <c r="F135" i="67" a="1"/>
  <c r="F135" i="67" s="1"/>
  <c r="D135" i="67"/>
  <c r="B136" i="67"/>
  <c r="C135" i="67"/>
  <c r="R505" i="55"/>
  <c r="R508" i="55"/>
  <c r="R506" i="55"/>
  <c r="R507" i="55"/>
  <c r="R503" i="55"/>
  <c r="R504" i="55"/>
  <c r="R502" i="55"/>
  <c r="S450" i="55"/>
  <c r="T450" i="55" s="1"/>
  <c r="U450" i="55" s="1"/>
  <c r="V450" i="55" s="1"/>
  <c r="W450" i="55" s="1"/>
  <c r="X450" i="55" s="1"/>
  <c r="Y450" i="55" s="1"/>
  <c r="Z450" i="55" s="1"/>
  <c r="AA450" i="55" s="1"/>
  <c r="O450" i="55"/>
  <c r="M450" i="55"/>
  <c r="L450" i="55"/>
  <c r="K450" i="55"/>
  <c r="P450" i="55"/>
  <c r="D20" i="60" l="1"/>
  <c r="E20" i="60" s="1"/>
  <c r="F53" i="60" a="1"/>
  <c r="F53" i="60" s="1"/>
  <c r="G53" i="60" s="1"/>
  <c r="H53" i="60" s="1"/>
  <c r="F52" i="60" a="1"/>
  <c r="F52" i="60" s="1"/>
  <c r="G52" i="60" s="1"/>
  <c r="I52" i="60" s="1"/>
  <c r="F51" i="60" a="1"/>
  <c r="F51" i="60" s="1"/>
  <c r="G51" i="60" s="1"/>
  <c r="I51" i="60" s="1"/>
  <c r="F50" i="60" a="1"/>
  <c r="F50" i="60" s="1"/>
  <c r="G50" i="60" s="1"/>
  <c r="H50" i="60" s="1"/>
  <c r="F55" i="60" a="1"/>
  <c r="F55" i="60" s="1"/>
  <c r="G55" i="60" s="1"/>
  <c r="I55" i="60" s="1"/>
  <c r="F19" i="60" a="1"/>
  <c r="F19" i="60" s="1"/>
  <c r="G19" i="60" s="1"/>
  <c r="H19" i="60" s="1"/>
  <c r="F49" i="60" a="1"/>
  <c r="F49" i="60" s="1"/>
  <c r="G49" i="60" s="1"/>
  <c r="H49" i="60" s="1"/>
  <c r="F54" i="60" a="1"/>
  <c r="F54" i="60" s="1"/>
  <c r="G54" i="60" s="1"/>
  <c r="H54" i="60" s="1"/>
  <c r="F48" i="60" a="1"/>
  <c r="F48" i="60" s="1"/>
  <c r="G48" i="60" s="1"/>
  <c r="H48" i="60" s="1"/>
  <c r="F18" i="60" a="1"/>
  <c r="F18" i="60" s="1"/>
  <c r="G18" i="60" s="1"/>
  <c r="H18" i="60" s="1"/>
  <c r="V12" i="55"/>
  <c r="U346" i="55"/>
  <c r="E136" i="67"/>
  <c r="F136" i="67" a="1"/>
  <c r="F136" i="67" s="1"/>
  <c r="D136" i="67"/>
  <c r="B137" i="67"/>
  <c r="C136" i="67"/>
  <c r="R509" i="55"/>
  <c r="R338" i="55" s="1"/>
  <c r="O791" i="1"/>
  <c r="O790" i="1"/>
  <c r="M792" i="1"/>
  <c r="C790" i="1"/>
  <c r="N728" i="1"/>
  <c r="O725" i="1"/>
  <c r="O728" i="1" s="1"/>
  <c r="O724" i="1"/>
  <c r="C724" i="1"/>
  <c r="N705" i="1"/>
  <c r="M705" i="1"/>
  <c r="C704" i="1"/>
  <c r="N682" i="1"/>
  <c r="M682" i="1"/>
  <c r="C681" i="1"/>
  <c r="N628" i="1"/>
  <c r="M628" i="1"/>
  <c r="C626" i="1"/>
  <c r="C604" i="1"/>
  <c r="O605" i="1"/>
  <c r="N605" i="1"/>
  <c r="O604" i="1"/>
  <c r="O587" i="1"/>
  <c r="N587" i="1"/>
  <c r="O586" i="1"/>
  <c r="C521" i="1"/>
  <c r="N522" i="1"/>
  <c r="M522" i="1"/>
  <c r="O505" i="1"/>
  <c r="O504" i="1"/>
  <c r="O494" i="1"/>
  <c r="N494" i="1"/>
  <c r="O493" i="1"/>
  <c r="N475" i="1"/>
  <c r="M475" i="1"/>
  <c r="O457" i="1"/>
  <c r="N457" i="1"/>
  <c r="O456" i="1"/>
  <c r="C456" i="1"/>
  <c r="O427" i="1"/>
  <c r="N427" i="1"/>
  <c r="O426" i="1"/>
  <c r="O140" i="1"/>
  <c r="N140" i="1"/>
  <c r="F125" i="1"/>
  <c r="P125" i="1"/>
  <c r="Q125" i="1" s="1"/>
  <c r="R125" i="1" s="1"/>
  <c r="S125" i="1" s="1"/>
  <c r="T125" i="1" s="1"/>
  <c r="U125" i="1" s="1"/>
  <c r="V125" i="1" s="1"/>
  <c r="W125" i="1" s="1"/>
  <c r="W140" i="1" s="1"/>
  <c r="O124" i="1"/>
  <c r="O139" i="1"/>
  <c r="I53" i="60" l="1"/>
  <c r="I50" i="60"/>
  <c r="J50" i="60" s="1"/>
  <c r="H55" i="60"/>
  <c r="J55" i="60" s="1"/>
  <c r="I19" i="60"/>
  <c r="J19" i="60" s="1"/>
  <c r="I49" i="60"/>
  <c r="J49" i="60" s="1"/>
  <c r="I48" i="60"/>
  <c r="J48" i="60" s="1"/>
  <c r="H52" i="60"/>
  <c r="J52" i="60" s="1"/>
  <c r="F20" i="60" a="1"/>
  <c r="F20" i="60" s="1"/>
  <c r="G20" i="60" s="1"/>
  <c r="I20" i="60" s="1"/>
  <c r="H51" i="60"/>
  <c r="J51" i="60" s="1"/>
  <c r="D21" i="60"/>
  <c r="E21" i="60" s="1"/>
  <c r="I54" i="60"/>
  <c r="J54" i="60" s="1"/>
  <c r="I18" i="60"/>
  <c r="J18" i="60" s="1"/>
  <c r="J53" i="60"/>
  <c r="W12" i="55"/>
  <c r="V346" i="55"/>
  <c r="O256" i="1"/>
  <c r="E137" i="67"/>
  <c r="F137" i="67" a="1"/>
  <c r="F137" i="67" s="1"/>
  <c r="D137" i="67"/>
  <c r="B138" i="67"/>
  <c r="C137" i="67"/>
  <c r="O331" i="1"/>
  <c r="O223" i="1"/>
  <c r="F223" i="1"/>
  <c r="O168" i="1"/>
  <c r="O189" i="1"/>
  <c r="F140" i="1"/>
  <c r="N755" i="1"/>
  <c r="N757" i="1"/>
  <c r="O755" i="1"/>
  <c r="O757" i="1"/>
  <c r="R791" i="1"/>
  <c r="S791" i="1"/>
  <c r="F855" i="1"/>
  <c r="T791" i="1"/>
  <c r="U791" i="1"/>
  <c r="V791" i="1"/>
  <c r="W791" i="1"/>
  <c r="P791" i="1"/>
  <c r="Q791" i="1"/>
  <c r="T725" i="1"/>
  <c r="T728" i="1" s="1"/>
  <c r="U725" i="1"/>
  <c r="U728" i="1" s="1"/>
  <c r="V725" i="1"/>
  <c r="V728" i="1" s="1"/>
  <c r="W725" i="1"/>
  <c r="W728" i="1" s="1"/>
  <c r="P725" i="1"/>
  <c r="P728" i="1" s="1"/>
  <c r="Q725" i="1"/>
  <c r="Q728" i="1" s="1"/>
  <c r="R725" i="1"/>
  <c r="R728" i="1" s="1"/>
  <c r="S725" i="1"/>
  <c r="S728" i="1" s="1"/>
  <c r="O704" i="1"/>
  <c r="O681" i="1"/>
  <c r="O627" i="1"/>
  <c r="S494" i="1"/>
  <c r="T505" i="1"/>
  <c r="Q587" i="1"/>
  <c r="Q494" i="1"/>
  <c r="P505" i="1"/>
  <c r="R494" i="1"/>
  <c r="V505" i="1"/>
  <c r="S587" i="1"/>
  <c r="U494" i="1"/>
  <c r="S605" i="1"/>
  <c r="U505" i="1"/>
  <c r="R587" i="1"/>
  <c r="T605" i="1"/>
  <c r="U605" i="1"/>
  <c r="T494" i="1"/>
  <c r="W505" i="1"/>
  <c r="T587" i="1"/>
  <c r="V605" i="1"/>
  <c r="U587" i="1"/>
  <c r="W605" i="1"/>
  <c r="V494" i="1"/>
  <c r="Q505" i="1"/>
  <c r="V587" i="1"/>
  <c r="P605" i="1"/>
  <c r="W494" i="1"/>
  <c r="R505" i="1"/>
  <c r="O521" i="1"/>
  <c r="W587" i="1"/>
  <c r="Q605" i="1"/>
  <c r="O474" i="1"/>
  <c r="P494" i="1"/>
  <c r="S505" i="1"/>
  <c r="P587" i="1"/>
  <c r="R605" i="1"/>
  <c r="S457" i="1"/>
  <c r="R457" i="1"/>
  <c r="T457" i="1"/>
  <c r="U457" i="1"/>
  <c r="V457" i="1"/>
  <c r="W457" i="1"/>
  <c r="P457" i="1"/>
  <c r="Q457" i="1"/>
  <c r="R427" i="1"/>
  <c r="T427" i="1"/>
  <c r="U427" i="1"/>
  <c r="S427" i="1"/>
  <c r="V427" i="1"/>
  <c r="W427" i="1"/>
  <c r="P427" i="1"/>
  <c r="Q427" i="1"/>
  <c r="F168" i="1"/>
  <c r="V140" i="1"/>
  <c r="U140" i="1"/>
  <c r="T140" i="1"/>
  <c r="S140" i="1"/>
  <c r="R140" i="1"/>
  <c r="P140" i="1"/>
  <c r="Q140" i="1"/>
  <c r="H20" i="60" l="1"/>
  <c r="J20" i="60" s="1"/>
  <c r="F21" i="60" a="1"/>
  <c r="F21" i="60" s="1"/>
  <c r="G21" i="60" s="1"/>
  <c r="I21" i="60" s="1"/>
  <c r="D22" i="60"/>
  <c r="E22" i="60" s="1"/>
  <c r="X12" i="55"/>
  <c r="W346" i="55"/>
  <c r="E138" i="67"/>
  <c r="F138" i="67" a="1"/>
  <c r="F138" i="67" s="1"/>
  <c r="D138" i="67"/>
  <c r="C138" i="67"/>
  <c r="B139" i="67"/>
  <c r="P755" i="1"/>
  <c r="P757" i="1"/>
  <c r="V757" i="1"/>
  <c r="V755" i="1"/>
  <c r="U757" i="1"/>
  <c r="U755" i="1"/>
  <c r="T757" i="1"/>
  <c r="T755" i="1"/>
  <c r="S755" i="1"/>
  <c r="S757" i="1"/>
  <c r="W755" i="1"/>
  <c r="W757" i="1"/>
  <c r="R757" i="1"/>
  <c r="R755" i="1"/>
  <c r="Q755" i="1"/>
  <c r="Q757" i="1"/>
  <c r="M663" i="1"/>
  <c r="B523" i="55"/>
  <c r="B301" i="55"/>
  <c r="B99" i="55"/>
  <c r="B85" i="55"/>
  <c r="P8" i="55"/>
  <c r="K8" i="55"/>
  <c r="F121" i="1"/>
  <c r="K19" i="55"/>
  <c r="D23" i="60" l="1"/>
  <c r="E23" i="60" s="1"/>
  <c r="F22" i="60" a="1"/>
  <c r="F22" i="60" s="1"/>
  <c r="G22" i="60" s="1"/>
  <c r="I22" i="60" s="1"/>
  <c r="H21" i="60"/>
  <c r="J21" i="60" s="1"/>
  <c r="D24" i="60"/>
  <c r="E24" i="60" s="1"/>
  <c r="F23" i="60" a="1"/>
  <c r="F23" i="60" s="1"/>
  <c r="G23" i="60" s="1"/>
  <c r="K10" i="55"/>
  <c r="Y12" i="55"/>
  <c r="X346" i="55"/>
  <c r="E139" i="67"/>
  <c r="F139" i="67" a="1"/>
  <c r="F139" i="67" s="1"/>
  <c r="D139" i="67"/>
  <c r="C139" i="67"/>
  <c r="B140" i="67"/>
  <c r="F126" i="1"/>
  <c r="F135" i="1"/>
  <c r="L7" i="55"/>
  <c r="K13" i="55"/>
  <c r="K12" i="55"/>
  <c r="F129" i="1"/>
  <c r="L340" i="55"/>
  <c r="M340" i="55"/>
  <c r="N340" i="55"/>
  <c r="O340" i="55"/>
  <c r="P340" i="55"/>
  <c r="M368" i="55"/>
  <c r="N368" i="55"/>
  <c r="O368" i="55"/>
  <c r="L368" i="55"/>
  <c r="E29" i="56"/>
  <c r="E30" i="56"/>
  <c r="E28" i="56"/>
  <c r="Q24" i="56"/>
  <c r="P24" i="56"/>
  <c r="E34" i="56"/>
  <c r="E8" i="56"/>
  <c r="F12" i="56" s="1"/>
  <c r="B8" i="56"/>
  <c r="H22" i="60" l="1"/>
  <c r="J22" i="60" s="1"/>
  <c r="I23" i="60"/>
  <c r="H23" i="60"/>
  <c r="D25" i="60"/>
  <c r="E25" i="60" s="1"/>
  <c r="F24" i="60" a="1"/>
  <c r="F24" i="60" s="1"/>
  <c r="G24" i="60" s="1"/>
  <c r="G12" i="56"/>
  <c r="Q14" i="56" s="1"/>
  <c r="E12" i="56"/>
  <c r="P14" i="56" s="1"/>
  <c r="Z12" i="55"/>
  <c r="Y346" i="55"/>
  <c r="E19" i="56"/>
  <c r="R449" i="55" s="1"/>
  <c r="M449" i="55" s="1"/>
  <c r="L8" i="55"/>
  <c r="E140" i="67"/>
  <c r="F140" i="67" a="1"/>
  <c r="F140" i="67" s="1"/>
  <c r="D140" i="67"/>
  <c r="B141" i="67"/>
  <c r="C140" i="67"/>
  <c r="F224" i="1"/>
  <c r="F169" i="1"/>
  <c r="F141" i="1"/>
  <c r="F856" i="1"/>
  <c r="E31" i="56"/>
  <c r="H24" i="60" l="1"/>
  <c r="I24" i="60"/>
  <c r="J23" i="60"/>
  <c r="D26" i="60"/>
  <c r="E26" i="60" s="1"/>
  <c r="F25" i="60" a="1"/>
  <c r="F25" i="60" s="1"/>
  <c r="G25" i="60" s="1"/>
  <c r="L10" i="55"/>
  <c r="P17" i="56"/>
  <c r="P26" i="56"/>
  <c r="P19" i="56"/>
  <c r="P25" i="56"/>
  <c r="P20" i="56"/>
  <c r="P18" i="56"/>
  <c r="P23" i="56"/>
  <c r="K449" i="55"/>
  <c r="Q20" i="56"/>
  <c r="Q26" i="56"/>
  <c r="Q23" i="56"/>
  <c r="Q18" i="56"/>
  <c r="Q17" i="56"/>
  <c r="Q19" i="56"/>
  <c r="Q25" i="56"/>
  <c r="L449" i="55"/>
  <c r="P449" i="55"/>
  <c r="O449" i="55"/>
  <c r="S449" i="55"/>
  <c r="T449" i="55" s="1"/>
  <c r="U449" i="55" s="1"/>
  <c r="V449" i="55" s="1"/>
  <c r="W449" i="55" s="1"/>
  <c r="X449" i="55" s="1"/>
  <c r="Y449" i="55" s="1"/>
  <c r="Z449" i="55" s="1"/>
  <c r="AA449" i="55" s="1"/>
  <c r="N449" i="55"/>
  <c r="AA12" i="55"/>
  <c r="AA346" i="55" s="1"/>
  <c r="Z346" i="55"/>
  <c r="M7" i="55"/>
  <c r="M8" i="55" s="1"/>
  <c r="M10" i="55" s="1"/>
  <c r="E18" i="56"/>
  <c r="R448" i="55" s="1"/>
  <c r="P448" i="55" s="1"/>
  <c r="P452" i="55" s="1"/>
  <c r="P454" i="55" s="1"/>
  <c r="L13" i="55"/>
  <c r="E141" i="67"/>
  <c r="F141" i="67" a="1"/>
  <c r="F141" i="67" s="1"/>
  <c r="D141" i="67"/>
  <c r="B142" i="67"/>
  <c r="C141" i="67"/>
  <c r="J24" i="60" l="1"/>
  <c r="H25" i="60"/>
  <c r="I25" i="60"/>
  <c r="D27" i="60"/>
  <c r="E27" i="60" s="1"/>
  <c r="F26" i="60" a="1"/>
  <c r="F26" i="60" s="1"/>
  <c r="G26" i="60" s="1"/>
  <c r="P27" i="56"/>
  <c r="P28" i="56" s="1"/>
  <c r="Q27" i="56"/>
  <c r="N448" i="55"/>
  <c r="N452" i="55" s="1"/>
  <c r="N454" i="55" s="1"/>
  <c r="N455" i="55" s="1"/>
  <c r="O448" i="55"/>
  <c r="O452" i="55" s="1"/>
  <c r="O454" i="55" s="1"/>
  <c r="O455" i="55" s="1"/>
  <c r="M448" i="55"/>
  <c r="M452" i="55" s="1"/>
  <c r="M454" i="55" s="1"/>
  <c r="M455" i="55" s="1"/>
  <c r="L448" i="55"/>
  <c r="L452" i="55" s="1"/>
  <c r="L454" i="55" s="1"/>
  <c r="L455" i="55" s="1"/>
  <c r="R452" i="55"/>
  <c r="K448" i="55"/>
  <c r="K452" i="55" s="1"/>
  <c r="K454" i="55" s="1"/>
  <c r="S448" i="55"/>
  <c r="T448" i="55" s="1"/>
  <c r="U448" i="55" s="1"/>
  <c r="V448" i="55" s="1"/>
  <c r="M13" i="55"/>
  <c r="M62" i="55" s="1"/>
  <c r="N7" i="55"/>
  <c r="N8" i="55" s="1"/>
  <c r="P455" i="55"/>
  <c r="E142" i="67"/>
  <c r="F142" i="67" a="1"/>
  <c r="F142" i="67" s="1"/>
  <c r="D142" i="67"/>
  <c r="C142" i="67"/>
  <c r="B143" i="67"/>
  <c r="E14" i="56" l="1"/>
  <c r="J25" i="60"/>
  <c r="H26" i="60"/>
  <c r="I26" i="60"/>
  <c r="D28" i="60"/>
  <c r="E28" i="60" s="1"/>
  <c r="F27" i="60" a="1"/>
  <c r="F27" i="60" s="1"/>
  <c r="G27" i="60" s="1"/>
  <c r="E15" i="56"/>
  <c r="F14" i="56"/>
  <c r="F15" i="56" s="1"/>
  <c r="Q28" i="56"/>
  <c r="G14" i="56"/>
  <c r="G15" i="56" s="1"/>
  <c r="T452" i="55"/>
  <c r="S452" i="55"/>
  <c r="U452" i="55"/>
  <c r="N10" i="55"/>
  <c r="O7" i="55"/>
  <c r="O8" i="55" s="1"/>
  <c r="O13" i="55" s="1"/>
  <c r="O62" i="55" s="1"/>
  <c r="N13" i="55"/>
  <c r="N62" i="55" s="1"/>
  <c r="E143" i="67"/>
  <c r="F143" i="67" a="1"/>
  <c r="F143" i="67" s="1"/>
  <c r="D143" i="67"/>
  <c r="B144" i="67"/>
  <c r="C143" i="67"/>
  <c r="W448" i="55"/>
  <c r="V452" i="55"/>
  <c r="J26" i="60" l="1"/>
  <c r="I27" i="60"/>
  <c r="H27" i="60"/>
  <c r="D29" i="60"/>
  <c r="E29" i="60" s="1"/>
  <c r="F28" i="60" a="1"/>
  <c r="F28" i="60" s="1"/>
  <c r="G28" i="60" s="1"/>
  <c r="O10" i="55"/>
  <c r="E144" i="67"/>
  <c r="F144" i="67" a="1"/>
  <c r="F144" i="67" s="1"/>
  <c r="D144" i="67"/>
  <c r="C144" i="67"/>
  <c r="B145" i="67"/>
  <c r="X448" i="55"/>
  <c r="W452" i="55"/>
  <c r="J27" i="60" l="1"/>
  <c r="I28" i="60"/>
  <c r="H28" i="60"/>
  <c r="D30" i="60"/>
  <c r="E30" i="60" s="1"/>
  <c r="F29" i="60" a="1"/>
  <c r="F29" i="60" s="1"/>
  <c r="G29" i="60" s="1"/>
  <c r="E145" i="67"/>
  <c r="F145" i="67" a="1"/>
  <c r="F145" i="67" s="1"/>
  <c r="D145" i="67"/>
  <c r="C145" i="67"/>
  <c r="B146" i="67"/>
  <c r="Y448" i="55"/>
  <c r="X452" i="55"/>
  <c r="J28" i="60" l="1"/>
  <c r="I29" i="60"/>
  <c r="H29" i="60"/>
  <c r="D31" i="60"/>
  <c r="E31" i="60" s="1"/>
  <c r="F30" i="60" a="1"/>
  <c r="F30" i="60" s="1"/>
  <c r="G30" i="60" s="1"/>
  <c r="E146" i="67"/>
  <c r="F146" i="67" a="1"/>
  <c r="F146" i="67" s="1"/>
  <c r="D146" i="67"/>
  <c r="B147" i="67"/>
  <c r="C146" i="67"/>
  <c r="Y452" i="55"/>
  <c r="Z448" i="55"/>
  <c r="J29" i="60" l="1"/>
  <c r="H30" i="60"/>
  <c r="I30" i="60"/>
  <c r="D32" i="60"/>
  <c r="E32" i="60" s="1"/>
  <c r="F31" i="60" a="1"/>
  <c r="F31" i="60" s="1"/>
  <c r="G31" i="60" s="1"/>
  <c r="E147" i="67"/>
  <c r="F147" i="67" a="1"/>
  <c r="F147" i="67" s="1"/>
  <c r="D147" i="67"/>
  <c r="C147" i="67"/>
  <c r="B148" i="67"/>
  <c r="Z452" i="55"/>
  <c r="AA448" i="55"/>
  <c r="AA452" i="55" s="1"/>
  <c r="J30" i="60" l="1"/>
  <c r="I31" i="60"/>
  <c r="H31" i="60"/>
  <c r="D33" i="60"/>
  <c r="E33" i="60" s="1"/>
  <c r="F32" i="60" a="1"/>
  <c r="F32" i="60" s="1"/>
  <c r="G32" i="60" s="1"/>
  <c r="E148" i="67"/>
  <c r="F148" i="67" a="1"/>
  <c r="F148" i="67" s="1"/>
  <c r="D148" i="67"/>
  <c r="B149" i="67"/>
  <c r="C148" i="67"/>
  <c r="S435" i="55"/>
  <c r="T435" i="55"/>
  <c r="U435" i="55"/>
  <c r="V435" i="55"/>
  <c r="W435" i="55"/>
  <c r="X435" i="55"/>
  <c r="Y435" i="55"/>
  <c r="Z435" i="55"/>
  <c r="AA435" i="55"/>
  <c r="S436" i="55"/>
  <c r="T436" i="55"/>
  <c r="U436" i="55"/>
  <c r="W436" i="55"/>
  <c r="X436" i="55"/>
  <c r="Y436" i="55"/>
  <c r="Z436" i="55"/>
  <c r="AA436" i="55"/>
  <c r="R436" i="55"/>
  <c r="R435" i="55"/>
  <c r="P437" i="55"/>
  <c r="J31" i="60" l="1"/>
  <c r="H32" i="60"/>
  <c r="I32" i="60"/>
  <c r="D34" i="60"/>
  <c r="E34" i="60" s="1"/>
  <c r="F33" i="60" a="1"/>
  <c r="F33" i="60" s="1"/>
  <c r="G33" i="60" s="1"/>
  <c r="E149" i="67"/>
  <c r="F149" i="67" a="1"/>
  <c r="F149" i="67" s="1"/>
  <c r="D149" i="67"/>
  <c r="B150" i="67"/>
  <c r="C149" i="67"/>
  <c r="P336" i="55"/>
  <c r="O336" i="55"/>
  <c r="N336" i="55"/>
  <c r="M336" i="55"/>
  <c r="L336" i="55"/>
  <c r="B457" i="55"/>
  <c r="L306" i="55"/>
  <c r="L91" i="55" s="1"/>
  <c r="M306" i="55"/>
  <c r="M91" i="55" s="1"/>
  <c r="N306" i="55"/>
  <c r="N91" i="55" s="1"/>
  <c r="O306" i="55"/>
  <c r="O91" i="55" s="1"/>
  <c r="P306" i="55"/>
  <c r="P91" i="55" s="1"/>
  <c r="P92" i="55" s="1"/>
  <c r="P93" i="55" s="1"/>
  <c r="K306" i="55"/>
  <c r="K91" i="55" s="1"/>
  <c r="R252" i="55"/>
  <c r="S252" i="55"/>
  <c r="T252" i="55"/>
  <c r="U252" i="55"/>
  <c r="V252" i="55"/>
  <c r="W252" i="55"/>
  <c r="X252" i="55"/>
  <c r="Y252" i="55"/>
  <c r="Z252" i="55"/>
  <c r="AA252" i="55"/>
  <c r="M251" i="55"/>
  <c r="N251" i="55"/>
  <c r="O251" i="55"/>
  <c r="M252" i="55"/>
  <c r="N252" i="55"/>
  <c r="O252" i="55"/>
  <c r="P252" i="55"/>
  <c r="L252" i="55"/>
  <c r="L251" i="55"/>
  <c r="T241" i="55"/>
  <c r="U241" i="55"/>
  <c r="V241" i="55"/>
  <c r="W241" i="55"/>
  <c r="X241" i="55"/>
  <c r="Y241" i="55"/>
  <c r="Z241" i="55"/>
  <c r="AA241" i="55"/>
  <c r="R241" i="55"/>
  <c r="M240" i="55"/>
  <c r="M295" i="55" s="1"/>
  <c r="N240" i="55"/>
  <c r="N295" i="55" s="1"/>
  <c r="O240" i="55"/>
  <c r="O295" i="55" s="1"/>
  <c r="M241" i="55"/>
  <c r="N241" i="55"/>
  <c r="O241" i="55"/>
  <c r="P241" i="55"/>
  <c r="L241" i="55"/>
  <c r="L240" i="55"/>
  <c r="L295" i="55" s="1"/>
  <c r="L361" i="55"/>
  <c r="M361" i="55"/>
  <c r="N361" i="55"/>
  <c r="O361" i="55"/>
  <c r="P361" i="55"/>
  <c r="L360" i="55"/>
  <c r="P366" i="55"/>
  <c r="P368" i="55" s="1"/>
  <c r="P355" i="55"/>
  <c r="B380" i="55"/>
  <c r="B319" i="55"/>
  <c r="P259" i="55"/>
  <c r="P258" i="55"/>
  <c r="P275" i="55"/>
  <c r="P274" i="55"/>
  <c r="P247" i="55"/>
  <c r="P236" i="55"/>
  <c r="R236" i="55" s="1"/>
  <c r="S236" i="55" s="1"/>
  <c r="T236" i="55" s="1"/>
  <c r="U236" i="55" s="1"/>
  <c r="V236" i="55" s="1"/>
  <c r="W236" i="55" s="1"/>
  <c r="X236" i="55" s="1"/>
  <c r="Y236" i="55" s="1"/>
  <c r="Z236" i="55" s="1"/>
  <c r="AA236" i="55" s="1"/>
  <c r="P232" i="55"/>
  <c r="P195" i="55"/>
  <c r="B280" i="55"/>
  <c r="P217" i="55"/>
  <c r="M181" i="55"/>
  <c r="N181" i="55"/>
  <c r="O181" i="55"/>
  <c r="L181" i="55"/>
  <c r="J32" i="60" l="1"/>
  <c r="H33" i="60"/>
  <c r="I33" i="60"/>
  <c r="D35" i="60"/>
  <c r="E35" i="60" s="1"/>
  <c r="F34" i="60" a="1"/>
  <c r="F34" i="60" s="1"/>
  <c r="G34" i="60" s="1"/>
  <c r="R295" i="55"/>
  <c r="S295" i="55" s="1"/>
  <c r="T295" i="55" s="1"/>
  <c r="U295" i="55" s="1"/>
  <c r="V295" i="55" s="1"/>
  <c r="W295" i="55" s="1"/>
  <c r="X295" i="55" s="1"/>
  <c r="Y295" i="55" s="1"/>
  <c r="Z295" i="55" s="1"/>
  <c r="AA295" i="55" s="1"/>
  <c r="E150" i="67"/>
  <c r="F150" i="67" a="1"/>
  <c r="F150" i="67" s="1"/>
  <c r="D150" i="67"/>
  <c r="P384" i="55"/>
  <c r="R355" i="55"/>
  <c r="S355" i="55" s="1"/>
  <c r="T355" i="55" s="1"/>
  <c r="U355" i="55" s="1"/>
  <c r="V355" i="55" s="1"/>
  <c r="R247" i="55"/>
  <c r="S247" i="55" s="1"/>
  <c r="T247" i="55" s="1"/>
  <c r="U247" i="55" s="1"/>
  <c r="V247" i="55" s="1"/>
  <c r="W247" i="55" s="1"/>
  <c r="X247" i="55" s="1"/>
  <c r="Y247" i="55" s="1"/>
  <c r="Z247" i="55" s="1"/>
  <c r="AA247" i="55" s="1"/>
  <c r="P284" i="55"/>
  <c r="R232" i="55"/>
  <c r="S232" i="55" s="1"/>
  <c r="T232" i="55" s="1"/>
  <c r="U232" i="55" s="1"/>
  <c r="V232" i="55" s="1"/>
  <c r="W232" i="55" s="1"/>
  <c r="X232" i="55" s="1"/>
  <c r="Y232" i="55" s="1"/>
  <c r="Z232" i="55" s="1"/>
  <c r="AA232" i="55" s="1"/>
  <c r="P283" i="55"/>
  <c r="B151" i="67"/>
  <c r="C150" i="67"/>
  <c r="W217" i="55"/>
  <c r="Y217" i="55"/>
  <c r="Z217" i="55"/>
  <c r="V217" i="55"/>
  <c r="X217" i="55"/>
  <c r="AA217" i="55"/>
  <c r="T217" i="55"/>
  <c r="U217" i="55"/>
  <c r="N253" i="55"/>
  <c r="P277" i="55"/>
  <c r="O296" i="55"/>
  <c r="O253" i="55"/>
  <c r="L289" i="55"/>
  <c r="L253" i="55"/>
  <c r="M289" i="55"/>
  <c r="M253" i="55"/>
  <c r="P261" i="55"/>
  <c r="P251" i="55"/>
  <c r="P253" i="55" s="1"/>
  <c r="S391" i="55"/>
  <c r="O288" i="55"/>
  <c r="M288" i="55"/>
  <c r="L288" i="55"/>
  <c r="N288" i="55"/>
  <c r="O289" i="55"/>
  <c r="L296" i="55"/>
  <c r="N289" i="55"/>
  <c r="M296" i="55"/>
  <c r="N296" i="55"/>
  <c r="O242" i="55"/>
  <c r="L242" i="55"/>
  <c r="P240" i="55"/>
  <c r="M242" i="55"/>
  <c r="N242" i="55"/>
  <c r="P360" i="55"/>
  <c r="J33" i="60" l="1"/>
  <c r="H34" i="60"/>
  <c r="I34" i="60"/>
  <c r="D36" i="60"/>
  <c r="E36" i="60" s="1"/>
  <c r="F35" i="60" a="1"/>
  <c r="F35" i="60" s="1"/>
  <c r="G35" i="60" s="1"/>
  <c r="P376" i="55"/>
  <c r="R296" i="55"/>
  <c r="S296" i="55" s="1"/>
  <c r="T296" i="55" s="1"/>
  <c r="U296" i="55" s="1"/>
  <c r="V296" i="55" s="1"/>
  <c r="W296" i="55" s="1"/>
  <c r="X296" i="55" s="1"/>
  <c r="Y296" i="55" s="1"/>
  <c r="Z296" i="55" s="1"/>
  <c r="AA296" i="55" s="1"/>
  <c r="R360" i="55"/>
  <c r="E151" i="67"/>
  <c r="F151" i="67" a="1"/>
  <c r="F151" i="67" s="1"/>
  <c r="D151" i="67"/>
  <c r="R240" i="55"/>
  <c r="R242" i="55" s="1"/>
  <c r="S240" i="55"/>
  <c r="C151" i="67"/>
  <c r="B152" i="67"/>
  <c r="S360" i="55"/>
  <c r="P289" i="55"/>
  <c r="R289" i="55" s="1"/>
  <c r="R251" i="55"/>
  <c r="R253" i="55" s="1"/>
  <c r="T391" i="55"/>
  <c r="O255" i="55"/>
  <c r="N255" i="55"/>
  <c r="L255" i="55"/>
  <c r="M255" i="55"/>
  <c r="P242" i="55"/>
  <c r="P255" i="55" s="1"/>
  <c r="P288" i="55"/>
  <c r="T367" i="55"/>
  <c r="S367" i="55"/>
  <c r="U367" i="55"/>
  <c r="P387" i="55"/>
  <c r="S251" i="55"/>
  <c r="S253" i="55" s="1"/>
  <c r="J34" i="60" l="1"/>
  <c r="H35" i="60"/>
  <c r="I35" i="60"/>
  <c r="D37" i="60"/>
  <c r="E37" i="60" s="1"/>
  <c r="F36" i="60" a="1"/>
  <c r="F36" i="60" s="1"/>
  <c r="G36" i="60" s="1"/>
  <c r="R255" i="55"/>
  <c r="R265" i="55" s="1"/>
  <c r="S377" i="55"/>
  <c r="T289" i="55"/>
  <c r="S289" i="55"/>
  <c r="U289" i="55"/>
  <c r="V289" i="55"/>
  <c r="W289" i="55"/>
  <c r="X289" i="55"/>
  <c r="Y289" i="55"/>
  <c r="Z289" i="55"/>
  <c r="AA289" i="55"/>
  <c r="R366" i="55"/>
  <c r="E152" i="67"/>
  <c r="F152" i="67" a="1"/>
  <c r="F152" i="67" s="1"/>
  <c r="D152" i="67"/>
  <c r="C152" i="67"/>
  <c r="B153" i="67"/>
  <c r="T360" i="55"/>
  <c r="S366" i="55"/>
  <c r="T377" i="55"/>
  <c r="U391" i="55"/>
  <c r="T240" i="55"/>
  <c r="T251" i="55"/>
  <c r="T253" i="55" s="1"/>
  <c r="J35" i="60" l="1"/>
  <c r="I36" i="60"/>
  <c r="H36" i="60"/>
  <c r="D38" i="60"/>
  <c r="E38" i="60" s="1"/>
  <c r="F37" i="60" a="1"/>
  <c r="F37" i="60" s="1"/>
  <c r="G37" i="60" s="1"/>
  <c r="R376" i="55"/>
  <c r="E153" i="67"/>
  <c r="F153" i="67" a="1"/>
  <c r="F153" i="67" s="1"/>
  <c r="D153" i="67"/>
  <c r="C153" i="67"/>
  <c r="B154" i="67"/>
  <c r="U360" i="55"/>
  <c r="T366" i="55"/>
  <c r="V391" i="55"/>
  <c r="U377" i="55"/>
  <c r="T242" i="55"/>
  <c r="S242" i="55"/>
  <c r="S255" i="55" s="1"/>
  <c r="S265" i="55" s="1"/>
  <c r="U240" i="55"/>
  <c r="U251" i="55"/>
  <c r="U253" i="55" s="1"/>
  <c r="J36" i="60" l="1"/>
  <c r="I37" i="60"/>
  <c r="H37" i="60"/>
  <c r="D39" i="60"/>
  <c r="E39" i="60" s="1"/>
  <c r="F38" i="60" a="1"/>
  <c r="F38" i="60" s="1"/>
  <c r="G38" i="60" s="1"/>
  <c r="E154" i="67"/>
  <c r="F154" i="67" a="1"/>
  <c r="F154" i="67" s="1"/>
  <c r="D154" i="67"/>
  <c r="C154" i="67"/>
  <c r="B155" i="67"/>
  <c r="X355" i="55"/>
  <c r="V360" i="55"/>
  <c r="U366" i="55"/>
  <c r="W391" i="55"/>
  <c r="S376" i="55"/>
  <c r="U242" i="55"/>
  <c r="T255" i="55"/>
  <c r="T265" i="55" s="1"/>
  <c r="V240" i="55"/>
  <c r="V251" i="55"/>
  <c r="V253" i="55" s="1"/>
  <c r="J37" i="60" l="1"/>
  <c r="I38" i="60"/>
  <c r="H38" i="60"/>
  <c r="D40" i="60"/>
  <c r="E40" i="60" s="1"/>
  <c r="F39" i="60" a="1"/>
  <c r="F39" i="60" s="1"/>
  <c r="G39" i="60" s="1"/>
  <c r="E155" i="67"/>
  <c r="F155" i="67" a="1"/>
  <c r="F155" i="67" s="1"/>
  <c r="D155" i="67"/>
  <c r="B156" i="67"/>
  <c r="C155" i="67"/>
  <c r="Y355" i="55"/>
  <c r="X360" i="55"/>
  <c r="V366" i="55"/>
  <c r="X391" i="55"/>
  <c r="T376" i="55"/>
  <c r="U255" i="55"/>
  <c r="U265" i="55" s="1"/>
  <c r="W240" i="55"/>
  <c r="W242" i="55" s="1"/>
  <c r="V242" i="55"/>
  <c r="W251" i="55"/>
  <c r="W253" i="55" s="1"/>
  <c r="J38" i="60" l="1"/>
  <c r="H39" i="60"/>
  <c r="I39" i="60"/>
  <c r="D41" i="60"/>
  <c r="F40" i="60" a="1"/>
  <c r="F40" i="60" s="1"/>
  <c r="G40" i="60" s="1"/>
  <c r="E156" i="67"/>
  <c r="F156" i="67" a="1"/>
  <c r="F156" i="67" s="1"/>
  <c r="D156" i="67"/>
  <c r="C156" i="67"/>
  <c r="B157" i="67"/>
  <c r="Z355" i="55"/>
  <c r="Y360" i="55"/>
  <c r="W366" i="55"/>
  <c r="Y391" i="55"/>
  <c r="U376" i="55"/>
  <c r="V255" i="55"/>
  <c r="V265" i="55" s="1"/>
  <c r="X240" i="55"/>
  <c r="X242" i="55" s="1"/>
  <c r="W255" i="55"/>
  <c r="X251" i="55"/>
  <c r="X253" i="55" s="1"/>
  <c r="E41" i="60" l="1"/>
  <c r="D42" i="60"/>
  <c r="H40" i="60"/>
  <c r="I40" i="60"/>
  <c r="J39" i="60"/>
  <c r="F41" i="60" a="1"/>
  <c r="F41" i="60" s="1"/>
  <c r="G41" i="60" s="1"/>
  <c r="E157" i="67"/>
  <c r="F157" i="67" a="1"/>
  <c r="F157" i="67" s="1"/>
  <c r="D157" i="67"/>
  <c r="C157" i="67"/>
  <c r="B158" i="67"/>
  <c r="AA355" i="55"/>
  <c r="AA360" i="55" s="1"/>
  <c r="Z360" i="55"/>
  <c r="X366" i="55"/>
  <c r="Z391" i="55"/>
  <c r="V376" i="55"/>
  <c r="Y240" i="55"/>
  <c r="Y242" i="55" s="1"/>
  <c r="X255" i="55"/>
  <c r="W265" i="55"/>
  <c r="Y251" i="55"/>
  <c r="Y253" i="55" s="1"/>
  <c r="D43" i="60" l="1"/>
  <c r="E42" i="60"/>
  <c r="F42" i="60" a="1"/>
  <c r="F42" i="60" s="1"/>
  <c r="G42" i="60" s="1"/>
  <c r="J40" i="60"/>
  <c r="H41" i="60"/>
  <c r="I41" i="60"/>
  <c r="E158" i="67"/>
  <c r="F158" i="67" a="1"/>
  <c r="F158" i="67" s="1"/>
  <c r="D158" i="67"/>
  <c r="C158" i="67"/>
  <c r="B159" i="67"/>
  <c r="Y366" i="55"/>
  <c r="AA391" i="55"/>
  <c r="W376" i="55"/>
  <c r="Z240" i="55"/>
  <c r="Z242" i="55" s="1"/>
  <c r="Y255" i="55"/>
  <c r="X265" i="55"/>
  <c r="Z251" i="55"/>
  <c r="Z253" i="55" s="1"/>
  <c r="I42" i="60" l="1"/>
  <c r="H42" i="60"/>
  <c r="D44" i="60"/>
  <c r="E43" i="60"/>
  <c r="F43" i="60" a="1"/>
  <c r="F43" i="60" s="1"/>
  <c r="G43" i="60" s="1"/>
  <c r="J41" i="60"/>
  <c r="E159" i="67"/>
  <c r="F159" i="67" a="1"/>
  <c r="F159" i="67" s="1"/>
  <c r="D159" i="67"/>
  <c r="B160" i="67"/>
  <c r="C159" i="67"/>
  <c r="AA366" i="55"/>
  <c r="Z366" i="55"/>
  <c r="X376" i="55"/>
  <c r="AA240" i="55"/>
  <c r="AA242" i="55" s="1"/>
  <c r="Z255" i="55"/>
  <c r="Y265" i="55"/>
  <c r="J42" i="60" l="1"/>
  <c r="I43" i="60"/>
  <c r="H43" i="60"/>
  <c r="D45" i="60"/>
  <c r="E44" i="60"/>
  <c r="F44" i="60" a="1"/>
  <c r="F44" i="60" s="1"/>
  <c r="G44" i="60" s="1"/>
  <c r="E160" i="67"/>
  <c r="F160" i="67" a="1"/>
  <c r="F160" i="67" s="1"/>
  <c r="D160" i="67"/>
  <c r="B161" i="67"/>
  <c r="C160" i="67"/>
  <c r="Y376" i="55"/>
  <c r="AA251" i="55"/>
  <c r="AA253" i="55" s="1"/>
  <c r="Z265" i="55"/>
  <c r="J43" i="60" l="1"/>
  <c r="H44" i="60"/>
  <c r="I44" i="60"/>
  <c r="D46" i="60"/>
  <c r="E45" i="60"/>
  <c r="F45" i="60" a="1"/>
  <c r="F45" i="60" s="1"/>
  <c r="G45" i="60" s="1"/>
  <c r="E161" i="67"/>
  <c r="F161" i="67" a="1"/>
  <c r="F161" i="67" s="1"/>
  <c r="D161" i="67"/>
  <c r="B162" i="67"/>
  <c r="C161" i="67"/>
  <c r="AA376" i="55"/>
  <c r="Z376" i="55"/>
  <c r="AA255" i="55"/>
  <c r="AA265" i="55" s="1"/>
  <c r="J44" i="60" l="1"/>
  <c r="I45" i="60"/>
  <c r="H45" i="60"/>
  <c r="D47" i="60"/>
  <c r="E46" i="60"/>
  <c r="F46" i="60" a="1"/>
  <c r="F46" i="60" s="1"/>
  <c r="G46" i="60" s="1"/>
  <c r="E162" i="67"/>
  <c r="F162" i="67" a="1"/>
  <c r="F162" i="67" s="1"/>
  <c r="D162" i="67"/>
  <c r="B163" i="67"/>
  <c r="C162" i="67"/>
  <c r="B198" i="55"/>
  <c r="P183" i="55"/>
  <c r="P157" i="55"/>
  <c r="P156" i="55"/>
  <c r="P161" i="55" s="1"/>
  <c r="L148" i="55"/>
  <c r="L201" i="55" s="1"/>
  <c r="M148" i="55"/>
  <c r="N148" i="55"/>
  <c r="O201" i="55" s="1"/>
  <c r="R618" i="55"/>
  <c r="R617" i="55"/>
  <c r="R616" i="55"/>
  <c r="J45" i="60" l="1"/>
  <c r="I46" i="60"/>
  <c r="H46" i="60"/>
  <c r="E47" i="60"/>
  <c r="G10" i="60" s="1"/>
  <c r="F47" i="60" a="1"/>
  <c r="F47" i="60" s="1"/>
  <c r="G47" i="60" s="1"/>
  <c r="E163" i="67"/>
  <c r="F163" i="67" a="1"/>
  <c r="F163" i="67" s="1"/>
  <c r="D163" i="67"/>
  <c r="B164" i="67"/>
  <c r="C163" i="67"/>
  <c r="S182" i="55"/>
  <c r="P181" i="55"/>
  <c r="P169" i="55"/>
  <c r="P173" i="55" s="1"/>
  <c r="P162" i="55"/>
  <c r="P170" i="55" s="1"/>
  <c r="P174" i="55" s="1"/>
  <c r="N201" i="55"/>
  <c r="M201" i="55"/>
  <c r="J46" i="60" l="1"/>
  <c r="I47" i="60"/>
  <c r="H47" i="60"/>
  <c r="E164" i="67"/>
  <c r="F164" i="67" a="1"/>
  <c r="F164" i="67" s="1"/>
  <c r="D164" i="67"/>
  <c r="P175" i="55"/>
  <c r="P177" i="55" s="1"/>
  <c r="P185" i="55" s="1"/>
  <c r="C164" i="67"/>
  <c r="B165" i="67"/>
  <c r="T182" i="55"/>
  <c r="S157" i="55"/>
  <c r="R162" i="55"/>
  <c r="S156" i="55"/>
  <c r="R158" i="55"/>
  <c r="J47" i="60" l="1"/>
  <c r="J56" i="60" s="1"/>
  <c r="E165" i="67"/>
  <c r="F165" i="67" a="1"/>
  <c r="F165" i="67" s="1"/>
  <c r="D165" i="67"/>
  <c r="P193" i="55"/>
  <c r="P196" i="55"/>
  <c r="P220" i="55" s="1"/>
  <c r="P186" i="55"/>
  <c r="C165" i="67"/>
  <c r="B166" i="67"/>
  <c r="U182" i="55"/>
  <c r="T156" i="55"/>
  <c r="S158" i="55"/>
  <c r="T157" i="55"/>
  <c r="S162" i="55"/>
  <c r="E166" i="67" l="1"/>
  <c r="F166" i="67" a="1"/>
  <c r="F166" i="67" s="1"/>
  <c r="D166" i="67"/>
  <c r="B167" i="67"/>
  <c r="C166" i="67"/>
  <c r="V182" i="55"/>
  <c r="U157" i="55"/>
  <c r="T162" i="55"/>
  <c r="U156" i="55"/>
  <c r="T158" i="55"/>
  <c r="E167" i="67" l="1"/>
  <c r="F167" i="67" a="1"/>
  <c r="F167" i="67" s="1"/>
  <c r="D167" i="67"/>
  <c r="B168" i="67"/>
  <c r="C167" i="67"/>
  <c r="W182" i="55"/>
  <c r="U158" i="55"/>
  <c r="V156" i="55"/>
  <c r="V157" i="55"/>
  <c r="U162" i="55"/>
  <c r="E168" i="67" l="1"/>
  <c r="F168" i="67" a="1"/>
  <c r="F168" i="67" s="1"/>
  <c r="D168" i="67"/>
  <c r="C168" i="67"/>
  <c r="B169" i="67"/>
  <c r="H10" i="60"/>
  <c r="X182" i="55"/>
  <c r="W157" i="55"/>
  <c r="V162" i="55"/>
  <c r="W156" i="55"/>
  <c r="V158" i="55"/>
  <c r="E169" i="67" l="1"/>
  <c r="F169" i="67" a="1"/>
  <c r="F169" i="67" s="1"/>
  <c r="D169" i="67"/>
  <c r="C169" i="67"/>
  <c r="B170" i="67"/>
  <c r="Y182" i="55"/>
  <c r="X156" i="55"/>
  <c r="Y156" i="55" s="1"/>
  <c r="W158" i="55"/>
  <c r="X157" i="55"/>
  <c r="W162" i="55"/>
  <c r="E170" i="67" l="1"/>
  <c r="F170" i="67" a="1"/>
  <c r="F170" i="67" s="1"/>
  <c r="D170" i="67"/>
  <c r="B171" i="67"/>
  <c r="C170" i="67"/>
  <c r="Z182" i="55"/>
  <c r="Y157" i="55"/>
  <c r="Y158" i="55" s="1"/>
  <c r="X162" i="55"/>
  <c r="X158" i="55"/>
  <c r="E171" i="67" l="1"/>
  <c r="F171" i="67" a="1"/>
  <c r="F171" i="67" s="1"/>
  <c r="D171" i="67"/>
  <c r="B172" i="67"/>
  <c r="C171" i="67"/>
  <c r="AA182" i="55"/>
  <c r="Z156" i="55"/>
  <c r="Z157" i="55"/>
  <c r="Y162" i="55"/>
  <c r="E172" i="67" l="1"/>
  <c r="F172" i="67" a="1"/>
  <c r="F172" i="67" s="1"/>
  <c r="D172" i="67"/>
  <c r="C172" i="67"/>
  <c r="B173" i="67"/>
  <c r="AA157" i="55"/>
  <c r="AA162" i="55" s="1"/>
  <c r="Z162" i="55"/>
  <c r="Z158" i="55"/>
  <c r="AA156" i="55"/>
  <c r="E173" i="67" l="1"/>
  <c r="F173" i="67" a="1"/>
  <c r="F173" i="67" s="1"/>
  <c r="D173" i="67"/>
  <c r="C173" i="67"/>
  <c r="B174" i="67"/>
  <c r="AA158" i="55"/>
  <c r="E174" i="67" l="1"/>
  <c r="F174" i="67" a="1"/>
  <c r="F174" i="67" s="1"/>
  <c r="D174" i="67"/>
  <c r="B175" i="67"/>
  <c r="C174" i="67"/>
  <c r="P270" i="55"/>
  <c r="O270" i="55"/>
  <c r="N270" i="55"/>
  <c r="M270" i="55"/>
  <c r="L270" i="55"/>
  <c r="M266" i="55"/>
  <c r="N266" i="55"/>
  <c r="O266" i="55"/>
  <c r="P266" i="55"/>
  <c r="L266" i="55"/>
  <c r="P265" i="55"/>
  <c r="K551" i="55"/>
  <c r="L551" i="55"/>
  <c r="M551" i="55"/>
  <c r="N551" i="55"/>
  <c r="O551" i="55"/>
  <c r="P551" i="55"/>
  <c r="K552" i="55"/>
  <c r="L552" i="55"/>
  <c r="M552" i="55"/>
  <c r="N552" i="55"/>
  <c r="O552" i="55"/>
  <c r="P552" i="55"/>
  <c r="K553" i="55"/>
  <c r="L553" i="55"/>
  <c r="M553" i="55"/>
  <c r="N553" i="55"/>
  <c r="O553" i="55"/>
  <c r="P553" i="55"/>
  <c r="K554" i="55"/>
  <c r="L554" i="55"/>
  <c r="M554" i="55"/>
  <c r="N554" i="55"/>
  <c r="O554" i="55"/>
  <c r="P554" i="55"/>
  <c r="K555" i="55"/>
  <c r="L555" i="55"/>
  <c r="M555" i="55"/>
  <c r="N555" i="55"/>
  <c r="O555" i="55"/>
  <c r="K556" i="55"/>
  <c r="L556" i="55"/>
  <c r="M556" i="55"/>
  <c r="N556" i="55"/>
  <c r="O556" i="55"/>
  <c r="P556" i="55"/>
  <c r="K557" i="55"/>
  <c r="L557" i="55"/>
  <c r="M557" i="55"/>
  <c r="N557" i="55"/>
  <c r="O557" i="55"/>
  <c r="P557" i="55"/>
  <c r="K558" i="55"/>
  <c r="L558" i="55"/>
  <c r="M558" i="55"/>
  <c r="N558" i="55"/>
  <c r="O558" i="55"/>
  <c r="P558" i="55"/>
  <c r="K559" i="55"/>
  <c r="L559" i="55"/>
  <c r="M559" i="55"/>
  <c r="N559" i="55"/>
  <c r="O559" i="55"/>
  <c r="P559" i="55"/>
  <c r="K561" i="55"/>
  <c r="L561" i="55"/>
  <c r="M561" i="55"/>
  <c r="N561" i="55"/>
  <c r="O561" i="55"/>
  <c r="P561" i="55"/>
  <c r="K562" i="55"/>
  <c r="L562" i="55"/>
  <c r="M562" i="55"/>
  <c r="N562" i="55"/>
  <c r="O562" i="55"/>
  <c r="P562" i="55"/>
  <c r="K563" i="55"/>
  <c r="L563" i="55"/>
  <c r="M563" i="55"/>
  <c r="N563" i="55"/>
  <c r="O563" i="55"/>
  <c r="P563" i="55"/>
  <c r="K564" i="55"/>
  <c r="L564" i="55"/>
  <c r="M564" i="55"/>
  <c r="N564" i="55"/>
  <c r="O564" i="55"/>
  <c r="P564" i="55"/>
  <c r="K565" i="55"/>
  <c r="L565" i="55"/>
  <c r="M565" i="55"/>
  <c r="N565" i="55"/>
  <c r="O565" i="55"/>
  <c r="P565" i="55"/>
  <c r="K566" i="55"/>
  <c r="L566" i="55"/>
  <c r="M566" i="55"/>
  <c r="N566" i="55"/>
  <c r="O566" i="55"/>
  <c r="P566" i="55"/>
  <c r="K567" i="55"/>
  <c r="L567" i="55"/>
  <c r="M567" i="55"/>
  <c r="N567" i="55"/>
  <c r="O567" i="55"/>
  <c r="P567" i="55"/>
  <c r="K568" i="55"/>
  <c r="L568" i="55"/>
  <c r="M568" i="55"/>
  <c r="N568" i="55"/>
  <c r="O568" i="55"/>
  <c r="P568" i="55"/>
  <c r="L550" i="55"/>
  <c r="M550" i="55"/>
  <c r="N550" i="55"/>
  <c r="O550" i="55"/>
  <c r="P550" i="55"/>
  <c r="K550" i="55"/>
  <c r="I568" i="55"/>
  <c r="I551" i="55"/>
  <c r="I552" i="55"/>
  <c r="I553" i="55"/>
  <c r="I554" i="55"/>
  <c r="I555" i="55"/>
  <c r="I556" i="55"/>
  <c r="I557" i="55"/>
  <c r="I558" i="55"/>
  <c r="I559" i="55"/>
  <c r="I561" i="55"/>
  <c r="I562" i="55"/>
  <c r="I563" i="55"/>
  <c r="I564" i="55"/>
  <c r="I565" i="55"/>
  <c r="I566" i="55"/>
  <c r="I567" i="55"/>
  <c r="I550" i="55"/>
  <c r="B546" i="55"/>
  <c r="H525" i="55"/>
  <c r="H550" i="55" s="1"/>
  <c r="L92" i="55"/>
  <c r="L93" i="55" s="1"/>
  <c r="M92" i="55"/>
  <c r="M93" i="55" s="1"/>
  <c r="N92" i="55"/>
  <c r="N93" i="55" s="1"/>
  <c r="O92" i="55"/>
  <c r="O93" i="55" s="1"/>
  <c r="K92" i="55"/>
  <c r="K93" i="55" s="1"/>
  <c r="B129" i="55"/>
  <c r="E175" i="67" l="1"/>
  <c r="F175" i="67" a="1"/>
  <c r="F175" i="67" s="1"/>
  <c r="D175" i="67"/>
  <c r="C175" i="67"/>
  <c r="B176" i="67"/>
  <c r="S554" i="55"/>
  <c r="AA554" i="55"/>
  <c r="T554" i="55"/>
  <c r="R554" i="55"/>
  <c r="U554" i="55"/>
  <c r="V554" i="55"/>
  <c r="W554" i="55"/>
  <c r="X554" i="55"/>
  <c r="Y554" i="55"/>
  <c r="Z554" i="55"/>
  <c r="P267" i="55"/>
  <c r="R259" i="55"/>
  <c r="R275" i="55" s="1"/>
  <c r="O265" i="55"/>
  <c r="O267" i="55" s="1"/>
  <c r="N265" i="55"/>
  <c r="N267" i="55" s="1"/>
  <c r="M265" i="55"/>
  <c r="M267" i="55" s="1"/>
  <c r="L265" i="55"/>
  <c r="L267" i="55" s="1"/>
  <c r="L268" i="55" s="1"/>
  <c r="R8" i="55"/>
  <c r="R7" i="55"/>
  <c r="K34" i="55"/>
  <c r="F145" i="1" s="1"/>
  <c r="O360" i="55"/>
  <c r="N360" i="55"/>
  <c r="M360" i="55"/>
  <c r="B618" i="55"/>
  <c r="B617" i="55"/>
  <c r="B616" i="55"/>
  <c r="B613" i="55"/>
  <c r="B612" i="55"/>
  <c r="B611" i="55"/>
  <c r="B608" i="55"/>
  <c r="B607" i="55"/>
  <c r="B606" i="55"/>
  <c r="B603" i="55"/>
  <c r="B602" i="55"/>
  <c r="B601" i="55"/>
  <c r="H543" i="55"/>
  <c r="H568" i="55" s="1"/>
  <c r="H541" i="55"/>
  <c r="H566" i="55" s="1"/>
  <c r="H540" i="55"/>
  <c r="H565" i="55" s="1"/>
  <c r="H539" i="55"/>
  <c r="H564" i="55" s="1"/>
  <c r="H538" i="55"/>
  <c r="H563" i="55" s="1"/>
  <c r="H537" i="55"/>
  <c r="H562" i="55" s="1"/>
  <c r="H561" i="55"/>
  <c r="H534" i="55"/>
  <c r="H559" i="55" s="1"/>
  <c r="H533" i="55"/>
  <c r="H558" i="55" s="1"/>
  <c r="H532" i="55"/>
  <c r="H557" i="55" s="1"/>
  <c r="H531" i="55"/>
  <c r="H556" i="55" s="1"/>
  <c r="H530" i="55"/>
  <c r="H555" i="55" s="1"/>
  <c r="H529" i="55"/>
  <c r="H554" i="55" s="1"/>
  <c r="H528" i="55"/>
  <c r="H553" i="55" s="1"/>
  <c r="H527" i="55"/>
  <c r="H552" i="55" s="1"/>
  <c r="H526" i="55"/>
  <c r="H551" i="55" s="1"/>
  <c r="B306" i="55"/>
  <c r="O162" i="55"/>
  <c r="N162" i="55"/>
  <c r="N170" i="55" s="1"/>
  <c r="N174" i="55" s="1"/>
  <c r="M162" i="55"/>
  <c r="M170" i="55" s="1"/>
  <c r="M174" i="55" s="1"/>
  <c r="L162" i="55"/>
  <c r="L170" i="55" s="1"/>
  <c r="L174" i="55" s="1"/>
  <c r="K162" i="55"/>
  <c r="O161" i="55"/>
  <c r="O169" i="55" s="1"/>
  <c r="O173" i="55" s="1"/>
  <c r="N161" i="55"/>
  <c r="N169" i="55" s="1"/>
  <c r="N173" i="55" s="1"/>
  <c r="M161" i="55"/>
  <c r="M169" i="55" s="1"/>
  <c r="M173" i="55" s="1"/>
  <c r="L169" i="55"/>
  <c r="L173" i="55" s="1"/>
  <c r="K161" i="55"/>
  <c r="P158" i="55"/>
  <c r="O158" i="55"/>
  <c r="N158" i="55"/>
  <c r="M158" i="55"/>
  <c r="L158" i="55"/>
  <c r="K158" i="55"/>
  <c r="P153" i="55"/>
  <c r="P146" i="55" s="1"/>
  <c r="O153" i="55"/>
  <c r="O146" i="55" s="1"/>
  <c r="N153" i="55"/>
  <c r="N146" i="55" s="1"/>
  <c r="M153" i="55"/>
  <c r="M146" i="55" s="1"/>
  <c r="L153" i="55"/>
  <c r="L146" i="55" s="1"/>
  <c r="K153" i="55"/>
  <c r="K146" i="55" s="1"/>
  <c r="P188" i="55"/>
  <c r="P189" i="55" s="1"/>
  <c r="O188" i="55"/>
  <c r="N188" i="55"/>
  <c r="M188" i="55"/>
  <c r="L188" i="55"/>
  <c r="P110" i="55"/>
  <c r="O110" i="55"/>
  <c r="N110" i="55"/>
  <c r="M110" i="55"/>
  <c r="L110" i="55"/>
  <c r="K110" i="55"/>
  <c r="K111" i="55" s="1"/>
  <c r="N55" i="55"/>
  <c r="M55" i="55"/>
  <c r="L55" i="55"/>
  <c r="K55" i="55"/>
  <c r="O52" i="55"/>
  <c r="N52" i="55"/>
  <c r="M52" i="55"/>
  <c r="L52" i="55"/>
  <c r="B49" i="55"/>
  <c r="P31" i="55"/>
  <c r="O625" i="55"/>
  <c r="N625" i="55"/>
  <c r="M625" i="55"/>
  <c r="M627" i="55" s="1"/>
  <c r="L625" i="55"/>
  <c r="B29" i="55"/>
  <c r="P13" i="55"/>
  <c r="V348" i="55"/>
  <c r="V398" i="55" l="1"/>
  <c r="V436" i="55"/>
  <c r="V356" i="55"/>
  <c r="V361" i="55" s="1"/>
  <c r="R354" i="55"/>
  <c r="R361" i="55"/>
  <c r="S368" i="55"/>
  <c r="T369" i="55"/>
  <c r="S369" i="55"/>
  <c r="U368" i="55"/>
  <c r="U369" i="55"/>
  <c r="T368" i="55"/>
  <c r="R148" i="55" a="1"/>
  <c r="R148" i="55" s="1"/>
  <c r="S148" i="55" s="1" a="1"/>
  <c r="S148" i="55" s="1"/>
  <c r="T148" i="55" s="1" a="1"/>
  <c r="T148" i="55" s="1"/>
  <c r="U148" i="55" s="1" a="1"/>
  <c r="U148" i="55" s="1"/>
  <c r="V148" i="55" s="1" a="1"/>
  <c r="V148" i="55" s="1"/>
  <c r="W148" i="55" s="1" a="1"/>
  <c r="W148" i="55" s="1"/>
  <c r="X148" i="55" s="1" a="1"/>
  <c r="X148" i="55" s="1"/>
  <c r="Y148" i="55" s="1" a="1"/>
  <c r="Y148" i="55" s="1"/>
  <c r="Z148" i="55" s="1" a="1"/>
  <c r="Z148" i="55" s="1"/>
  <c r="AA148" i="55" s="1" a="1"/>
  <c r="AA148" i="55" s="1"/>
  <c r="O170" i="55"/>
  <c r="O174" i="55" s="1"/>
  <c r="O175" i="55" s="1"/>
  <c r="O177" i="55" s="1"/>
  <c r="R166" i="55"/>
  <c r="R165" i="55"/>
  <c r="R55" i="55"/>
  <c r="S628" i="55"/>
  <c r="S25" i="55" s="1"/>
  <c r="AA628" i="55"/>
  <c r="AA25" i="55" s="1"/>
  <c r="T628" i="55"/>
  <c r="T25" i="55" s="1"/>
  <c r="Y628" i="55"/>
  <c r="Y25" i="55" s="1"/>
  <c r="Z628" i="55"/>
  <c r="Z25" i="55" s="1"/>
  <c r="U628" i="55"/>
  <c r="U25" i="55" s="1"/>
  <c r="V628" i="55"/>
  <c r="V25" i="55" s="1"/>
  <c r="X628" i="55"/>
  <c r="X25" i="55" s="1"/>
  <c r="W628" i="55"/>
  <c r="W25" i="55" s="1"/>
  <c r="R628" i="55"/>
  <c r="R25" i="55" s="1"/>
  <c r="O627" i="55"/>
  <c r="O631" i="55"/>
  <c r="L627" i="55"/>
  <c r="L631" i="55"/>
  <c r="M631" i="55"/>
  <c r="N627" i="55"/>
  <c r="N631" i="55"/>
  <c r="R11" i="55"/>
  <c r="E176" i="67"/>
  <c r="F176" i="67" a="1"/>
  <c r="F176" i="67" s="1"/>
  <c r="D176" i="67"/>
  <c r="C176" i="67"/>
  <c r="B177" i="67"/>
  <c r="V58" i="55"/>
  <c r="U55" i="55"/>
  <c r="R58" i="55"/>
  <c r="R57" i="55" s="1"/>
  <c r="W58" i="55"/>
  <c r="V55" i="55"/>
  <c r="X58" i="55"/>
  <c r="W55" i="55"/>
  <c r="Y58" i="55"/>
  <c r="X55" i="55"/>
  <c r="Z58" i="55"/>
  <c r="Y55" i="55"/>
  <c r="S58" i="55"/>
  <c r="AA58" i="55"/>
  <c r="Z55" i="55"/>
  <c r="T58" i="55"/>
  <c r="AA55" i="55"/>
  <c r="U58" i="55"/>
  <c r="T55" i="55"/>
  <c r="U594" i="55"/>
  <c r="V594" i="55"/>
  <c r="AA594" i="55"/>
  <c r="W594" i="55"/>
  <c r="S594" i="55"/>
  <c r="X594" i="55"/>
  <c r="Y594" i="55"/>
  <c r="Z594" i="55"/>
  <c r="T594" i="55"/>
  <c r="W592" i="55"/>
  <c r="W22" i="55" s="1"/>
  <c r="U592" i="55"/>
  <c r="U22" i="55" s="1"/>
  <c r="X592" i="55"/>
  <c r="X22" i="55" s="1"/>
  <c r="V592" i="55"/>
  <c r="V22" i="55" s="1"/>
  <c r="Y592" i="55"/>
  <c r="Y22" i="55" s="1"/>
  <c r="Z592" i="55"/>
  <c r="Z22" i="55" s="1"/>
  <c r="S592" i="55"/>
  <c r="S22" i="55" s="1"/>
  <c r="AA592" i="55"/>
  <c r="AA22" i="55" s="1"/>
  <c r="T592" i="55"/>
  <c r="T22" i="55" s="1"/>
  <c r="P625" i="55"/>
  <c r="P55" i="55"/>
  <c r="V593" i="55"/>
  <c r="V23" i="55" s="1"/>
  <c r="W593" i="55"/>
  <c r="W23" i="55" s="1"/>
  <c r="T593" i="55"/>
  <c r="T23" i="55" s="1"/>
  <c r="X593" i="55"/>
  <c r="X23" i="55" s="1"/>
  <c r="Y593" i="55"/>
  <c r="Y23" i="55" s="1"/>
  <c r="Z593" i="55"/>
  <c r="Z23" i="55" s="1"/>
  <c r="U593" i="55"/>
  <c r="U23" i="55" s="1"/>
  <c r="S593" i="55"/>
  <c r="S23" i="55" s="1"/>
  <c r="AA593" i="55"/>
  <c r="AA23" i="55" s="1"/>
  <c r="F144" i="1"/>
  <c r="K625" i="55"/>
  <c r="S7" i="55"/>
  <c r="S8" i="55" s="1"/>
  <c r="S515" i="55" s="1"/>
  <c r="S519" i="55" s="1"/>
  <c r="R515" i="55"/>
  <c r="N271" i="55"/>
  <c r="N268" i="55"/>
  <c r="O271" i="55"/>
  <c r="O268" i="55"/>
  <c r="P271" i="55"/>
  <c r="P268" i="55"/>
  <c r="M271" i="55"/>
  <c r="M268" i="55"/>
  <c r="L271" i="55"/>
  <c r="N109" i="55" a="1"/>
  <c r="N109" i="55" s="1"/>
  <c r="N111" i="55"/>
  <c r="O109" i="55" a="1"/>
  <c r="O109" i="55" s="1"/>
  <c r="O111" i="55"/>
  <c r="P109" i="55" a="1"/>
  <c r="P109" i="55" s="1"/>
  <c r="P111" i="55"/>
  <c r="M109" i="55" a="1"/>
  <c r="M109" i="55" s="1"/>
  <c r="M111" i="55"/>
  <c r="L109" i="55" a="1"/>
  <c r="L109" i="55" s="1"/>
  <c r="L111" i="55"/>
  <c r="M391" i="55"/>
  <c r="N391" i="55"/>
  <c r="O391" i="55"/>
  <c r="L391" i="55"/>
  <c r="L387" i="55"/>
  <c r="R288" i="55"/>
  <c r="R258" i="55" s="1"/>
  <c r="S259" i="55"/>
  <c r="S275" i="55" s="1"/>
  <c r="L175" i="55"/>
  <c r="M175" i="55"/>
  <c r="M177" i="55" s="1"/>
  <c r="N175" i="55"/>
  <c r="N177" i="55" s="1"/>
  <c r="R10" i="55"/>
  <c r="L34" i="55"/>
  <c r="O34" i="55"/>
  <c r="N34" i="55"/>
  <c r="M34" i="55"/>
  <c r="P34" i="55"/>
  <c r="O387" i="55"/>
  <c r="N387" i="55"/>
  <c r="M387" i="55"/>
  <c r="P58" i="55"/>
  <c r="M58" i="55"/>
  <c r="M61" i="55" s="1"/>
  <c r="N58" i="55"/>
  <c r="N61" i="55" s="1"/>
  <c r="L58" i="55"/>
  <c r="L61" i="55" s="1"/>
  <c r="K37" i="55"/>
  <c r="K35" i="55"/>
  <c r="K20" i="55" s="1"/>
  <c r="F130" i="1" s="1"/>
  <c r="O19" i="55"/>
  <c r="R592" i="55"/>
  <c r="R593" i="55"/>
  <c r="R23" i="55" s="1"/>
  <c r="R594" i="55"/>
  <c r="L19" i="55"/>
  <c r="M19" i="55"/>
  <c r="N19" i="55"/>
  <c r="V408" i="55" l="1"/>
  <c r="V413" i="55"/>
  <c r="R367" i="55"/>
  <c r="R377" i="55" s="1"/>
  <c r="M354" i="55"/>
  <c r="M359" i="55" s="1"/>
  <c r="M362" i="55" s="1"/>
  <c r="M371" i="55" s="1"/>
  <c r="P354" i="55"/>
  <c r="P359" i="55" s="1"/>
  <c r="L354" i="55"/>
  <c r="L359" i="55" s="1"/>
  <c r="L362" i="55" s="1"/>
  <c r="L371" i="55" s="1"/>
  <c r="R359" i="55"/>
  <c r="N354" i="55"/>
  <c r="N359" i="55" s="1"/>
  <c r="N362" i="55" s="1"/>
  <c r="N371" i="55" s="1"/>
  <c r="S354" i="55"/>
  <c r="O354" i="55"/>
  <c r="O359" i="55" s="1"/>
  <c r="O362" i="55" s="1"/>
  <c r="O371" i="55" s="1"/>
  <c r="V367" i="55"/>
  <c r="V377" i="55" s="1"/>
  <c r="W356" i="55"/>
  <c r="R262" i="55"/>
  <c r="R261" i="55"/>
  <c r="R54" i="55"/>
  <c r="R51" i="55" s="1"/>
  <c r="R61" i="55"/>
  <c r="Z61" i="55"/>
  <c r="S165" i="55"/>
  <c r="R181" i="55"/>
  <c r="R183" i="55" s="1"/>
  <c r="S166" i="55"/>
  <c r="R170" i="55"/>
  <c r="R174" i="55" s="1"/>
  <c r="T61" i="55"/>
  <c r="Y61" i="55"/>
  <c r="AA61" i="55"/>
  <c r="V61" i="55"/>
  <c r="S61" i="55"/>
  <c r="W61" i="55"/>
  <c r="U61" i="55"/>
  <c r="X61" i="55"/>
  <c r="P61" i="55"/>
  <c r="F227" i="1"/>
  <c r="F146" i="1"/>
  <c r="F229" i="1"/>
  <c r="P627" i="55"/>
  <c r="P631" i="55"/>
  <c r="K627" i="55"/>
  <c r="K631" i="55"/>
  <c r="E177" i="67"/>
  <c r="F177" i="67" a="1"/>
  <c r="F177" i="67" s="1"/>
  <c r="D177" i="67"/>
  <c r="L177" i="55"/>
  <c r="L185" i="55" s="1"/>
  <c r="L193" i="55" s="1"/>
  <c r="O121" i="55"/>
  <c r="N121" i="55"/>
  <c r="M121" i="55"/>
  <c r="L121" i="55"/>
  <c r="L122" i="55" s="1"/>
  <c r="P121" i="55"/>
  <c r="R121" i="55" s="1"/>
  <c r="B178" i="67"/>
  <c r="C177" i="67"/>
  <c r="R519" i="55"/>
  <c r="R339" i="55" s="1"/>
  <c r="S339" i="55"/>
  <c r="Z24" i="55"/>
  <c r="Z596" i="55"/>
  <c r="Y24" i="55"/>
  <c r="Y596" i="55"/>
  <c r="X24" i="55"/>
  <c r="X596" i="55"/>
  <c r="S24" i="55"/>
  <c r="S596" i="55"/>
  <c r="W24" i="55"/>
  <c r="W596" i="55"/>
  <c r="AA24" i="55"/>
  <c r="AA596" i="55"/>
  <c r="V24" i="55"/>
  <c r="V596" i="55"/>
  <c r="S57" i="55"/>
  <c r="T24" i="55"/>
  <c r="T596" i="55"/>
  <c r="U24" i="55"/>
  <c r="U596" i="55"/>
  <c r="R24" i="55"/>
  <c r="R596" i="55"/>
  <c r="S13" i="55"/>
  <c r="R274" i="55"/>
  <c r="R277" i="55" s="1"/>
  <c r="S10" i="55"/>
  <c r="T7" i="55"/>
  <c r="T8" i="55" s="1"/>
  <c r="T515" i="55" s="1"/>
  <c r="N37" i="55"/>
  <c r="N38" i="55" s="1"/>
  <c r="M37" i="55"/>
  <c r="M38" i="55" s="1"/>
  <c r="P35" i="55"/>
  <c r="P20" i="55" s="1"/>
  <c r="R22" i="55"/>
  <c r="K38" i="55"/>
  <c r="S258" i="55"/>
  <c r="T259" i="55"/>
  <c r="T275" i="55" s="1"/>
  <c r="N35" i="55"/>
  <c r="N20" i="55" s="1"/>
  <c r="O35" i="55"/>
  <c r="O20" i="55" s="1"/>
  <c r="O37" i="55"/>
  <c r="L35" i="55"/>
  <c r="L20" i="55" s="1"/>
  <c r="L37" i="55"/>
  <c r="M35" i="55"/>
  <c r="M20" i="55" s="1"/>
  <c r="P37" i="55"/>
  <c r="N185" i="55"/>
  <c r="N196" i="55" s="1"/>
  <c r="N220" i="55" s="1"/>
  <c r="M185" i="55"/>
  <c r="M196" i="55" s="1"/>
  <c r="M220" i="55" s="1"/>
  <c r="O185" i="55"/>
  <c r="O196" i="55" s="1"/>
  <c r="O220" i="55" s="1"/>
  <c r="V478" i="55" l="1"/>
  <c r="P375" i="55"/>
  <c r="P378" i="55" s="1"/>
  <c r="P335" i="55" s="1"/>
  <c r="P362" i="55"/>
  <c r="P371" i="55" s="1"/>
  <c r="L334" i="55"/>
  <c r="L372" i="55"/>
  <c r="V369" i="55"/>
  <c r="V368" i="55"/>
  <c r="M334" i="55"/>
  <c r="M372" i="55"/>
  <c r="O375" i="55"/>
  <c r="O378" i="55" s="1"/>
  <c r="O335" i="55" s="1"/>
  <c r="O334" i="55"/>
  <c r="O372" i="55"/>
  <c r="T354" i="55"/>
  <c r="S359" i="55"/>
  <c r="R369" i="55"/>
  <c r="R368" i="55"/>
  <c r="X356" i="55"/>
  <c r="W361" i="55"/>
  <c r="L375" i="55"/>
  <c r="L378" i="55" s="1"/>
  <c r="L335" i="55" s="1"/>
  <c r="N334" i="55"/>
  <c r="N372" i="55"/>
  <c r="M375" i="55"/>
  <c r="M378" i="55" s="1"/>
  <c r="M335" i="55" s="1"/>
  <c r="R375" i="55"/>
  <c r="R378" i="55" s="1"/>
  <c r="R335" i="55" s="1"/>
  <c r="R362" i="55"/>
  <c r="N375" i="55"/>
  <c r="N378" i="55" s="1"/>
  <c r="N335" i="55" s="1"/>
  <c r="R266" i="55"/>
  <c r="R267" i="55" s="1"/>
  <c r="R89" i="55" s="1"/>
  <c r="S262" i="55"/>
  <c r="S261" i="55"/>
  <c r="R151" i="55"/>
  <c r="R147" i="55" s="1"/>
  <c r="F230" i="1"/>
  <c r="T166" i="55"/>
  <c r="S170" i="55"/>
  <c r="S174" i="55" s="1"/>
  <c r="T165" i="55"/>
  <c r="S181" i="55"/>
  <c r="S183" i="55" s="1"/>
  <c r="R124" i="55"/>
  <c r="R191" i="55" s="1"/>
  <c r="T57" i="55"/>
  <c r="S494" i="55"/>
  <c r="E178" i="67"/>
  <c r="F178" i="67" a="1"/>
  <c r="F178" i="67" s="1"/>
  <c r="D178" i="67"/>
  <c r="S54" i="55"/>
  <c r="S124" i="55" s="1"/>
  <c r="S191" i="55" s="1"/>
  <c r="N193" i="55"/>
  <c r="O193" i="55"/>
  <c r="M193" i="55"/>
  <c r="O186" i="55"/>
  <c r="M186" i="55"/>
  <c r="N186" i="55"/>
  <c r="L126" i="55"/>
  <c r="L127" i="55" s="1"/>
  <c r="S121" i="55"/>
  <c r="R122" i="55"/>
  <c r="M122" i="55"/>
  <c r="M126" i="55" s="1"/>
  <c r="M127" i="55" s="1"/>
  <c r="M139" i="55"/>
  <c r="N122" i="55"/>
  <c r="N126" i="55" s="1"/>
  <c r="N127" i="55" s="1"/>
  <c r="N139" i="55"/>
  <c r="P122" i="55"/>
  <c r="P126" i="55" s="1"/>
  <c r="P127" i="55" s="1"/>
  <c r="P139" i="55"/>
  <c r="O122" i="55"/>
  <c r="O126" i="55" s="1"/>
  <c r="O127" i="55" s="1"/>
  <c r="O139" i="55"/>
  <c r="C178" i="67"/>
  <c r="B179" i="67"/>
  <c r="T519" i="55"/>
  <c r="T339" i="55" s="1"/>
  <c r="S502" i="55"/>
  <c r="S506" i="55"/>
  <c r="S507" i="55"/>
  <c r="S503" i="55"/>
  <c r="S504" i="55"/>
  <c r="S508" i="55"/>
  <c r="S505" i="55"/>
  <c r="S274" i="55"/>
  <c r="S277" i="55" s="1"/>
  <c r="T13" i="55"/>
  <c r="U7" i="55"/>
  <c r="U8" i="55" s="1"/>
  <c r="U515" i="55" s="1"/>
  <c r="T10" i="55"/>
  <c r="L189" i="55"/>
  <c r="L186" i="55"/>
  <c r="R543" i="55"/>
  <c r="T258" i="55"/>
  <c r="P38" i="55"/>
  <c r="O38" i="55"/>
  <c r="L38" i="55"/>
  <c r="U259" i="55"/>
  <c r="U275" i="55" s="1"/>
  <c r="O189" i="55"/>
  <c r="M189" i="55"/>
  <c r="N189" i="55"/>
  <c r="S51" i="55" l="1"/>
  <c r="S52" i="55" s="1"/>
  <c r="L341" i="55"/>
  <c r="L342" i="55" s="1"/>
  <c r="N341" i="55"/>
  <c r="N40" i="55" s="1"/>
  <c r="N41" i="55" s="1"/>
  <c r="N21" i="55" s="1"/>
  <c r="O341" i="55"/>
  <c r="M341" i="55"/>
  <c r="R371" i="55"/>
  <c r="R334" i="55" s="1"/>
  <c r="S375" i="55"/>
  <c r="S378" i="55" s="1"/>
  <c r="S335" i="55" s="1"/>
  <c r="S362" i="55"/>
  <c r="S371" i="55" s="1"/>
  <c r="S334" i="55" s="1"/>
  <c r="U354" i="55"/>
  <c r="T359" i="55"/>
  <c r="Y356" i="55"/>
  <c r="X361" i="55"/>
  <c r="P334" i="55"/>
  <c r="P341" i="55" s="1"/>
  <c r="P372" i="55"/>
  <c r="W367" i="55"/>
  <c r="W377" i="55" s="1"/>
  <c r="T262" i="55"/>
  <c r="T261" i="55"/>
  <c r="S266" i="55"/>
  <c r="S267" i="55" s="1"/>
  <c r="S89" i="55" s="1"/>
  <c r="U165" i="55"/>
  <c r="T181" i="55"/>
  <c r="T183" i="55" s="1"/>
  <c r="U166" i="55"/>
  <c r="T170" i="55"/>
  <c r="T174" i="55" s="1"/>
  <c r="R315" i="55"/>
  <c r="R317" i="55" s="1"/>
  <c r="R91" i="55" s="1"/>
  <c r="R126" i="55"/>
  <c r="U57" i="55"/>
  <c r="T494" i="55"/>
  <c r="E179" i="67"/>
  <c r="F179" i="67" a="1"/>
  <c r="F179" i="67" s="1"/>
  <c r="D179" i="67"/>
  <c r="R541" i="55"/>
  <c r="R542" i="55"/>
  <c r="R540" i="55"/>
  <c r="R539" i="55"/>
  <c r="R537" i="55"/>
  <c r="R538" i="55"/>
  <c r="R534" i="55"/>
  <c r="R536" i="55"/>
  <c r="R531" i="55"/>
  <c r="R533" i="55"/>
  <c r="R525" i="55"/>
  <c r="R527" i="55"/>
  <c r="R526" i="55"/>
  <c r="R528" i="55"/>
  <c r="R529" i="55"/>
  <c r="T54" i="55"/>
  <c r="U54" i="55" s="1"/>
  <c r="S315" i="55"/>
  <c r="S317" i="55" s="1"/>
  <c r="S91" i="55" s="1"/>
  <c r="R52" i="55"/>
  <c r="T121" i="55"/>
  <c r="S122" i="55"/>
  <c r="S126" i="55" s="1"/>
  <c r="S87" i="55" s="1"/>
  <c r="C179" i="67"/>
  <c r="B180" i="67"/>
  <c r="U519" i="55"/>
  <c r="U339" i="55" s="1"/>
  <c r="T503" i="55"/>
  <c r="U503" i="55" s="1"/>
  <c r="T502" i="55"/>
  <c r="U502" i="55" s="1"/>
  <c r="T506" i="55"/>
  <c r="U506" i="55" s="1"/>
  <c r="T507" i="55"/>
  <c r="U507" i="55" s="1"/>
  <c r="T504" i="55"/>
  <c r="U504" i="55" s="1"/>
  <c r="V504" i="55" s="1"/>
  <c r="W504" i="55" s="1"/>
  <c r="X504" i="55" s="1"/>
  <c r="Y504" i="55" s="1"/>
  <c r="Z504" i="55" s="1"/>
  <c r="AA504" i="55" s="1"/>
  <c r="T508" i="55"/>
  <c r="U508" i="55" s="1"/>
  <c r="T505" i="55"/>
  <c r="U505" i="55" s="1"/>
  <c r="R31" i="55"/>
  <c r="R32" i="55" s="1"/>
  <c r="S509" i="55"/>
  <c r="T274" i="55"/>
  <c r="T277" i="55" s="1"/>
  <c r="U13" i="55"/>
  <c r="U10" i="55"/>
  <c r="V7" i="55"/>
  <c r="V8" i="55" s="1"/>
  <c r="V515" i="55" s="1"/>
  <c r="R268" i="55"/>
  <c r="U258" i="55"/>
  <c r="V259" i="55"/>
  <c r="V275" i="55" s="1"/>
  <c r="R372" i="55" l="1"/>
  <c r="L40" i="55"/>
  <c r="K40" i="55" s="1"/>
  <c r="N342" i="55"/>
  <c r="N43" i="55"/>
  <c r="N44" i="55" s="1"/>
  <c r="O40" i="55"/>
  <c r="O342" i="55"/>
  <c r="M40" i="55"/>
  <c r="M342" i="55"/>
  <c r="P40" i="55"/>
  <c r="P342" i="55"/>
  <c r="X367" i="55"/>
  <c r="X377" i="55" s="1"/>
  <c r="Z356" i="55"/>
  <c r="Y361" i="55"/>
  <c r="T375" i="55"/>
  <c r="T378" i="55" s="1"/>
  <c r="T335" i="55" s="1"/>
  <c r="T362" i="55"/>
  <c r="T371" i="55" s="1"/>
  <c r="T334" i="55" s="1"/>
  <c r="V354" i="55"/>
  <c r="U359" i="55"/>
  <c r="W368" i="55"/>
  <c r="W369" i="55"/>
  <c r="T266" i="55"/>
  <c r="T267" i="55" s="1"/>
  <c r="T89" i="55" s="1"/>
  <c r="U262" i="55"/>
  <c r="U261" i="55"/>
  <c r="R161" i="55"/>
  <c r="R396" i="55"/>
  <c r="V166" i="55"/>
  <c r="U170" i="55"/>
  <c r="U174" i="55" s="1"/>
  <c r="V165" i="55"/>
  <c r="U181" i="55"/>
  <c r="U183" i="55" s="1"/>
  <c r="R87" i="55"/>
  <c r="R127" i="55"/>
  <c r="T51" i="55"/>
  <c r="V57" i="55"/>
  <c r="U51" i="55"/>
  <c r="U151" i="55" s="1"/>
  <c r="U494" i="55"/>
  <c r="E180" i="67"/>
  <c r="F180" i="67" a="1"/>
  <c r="F180" i="67" s="1"/>
  <c r="D180" i="67"/>
  <c r="S542" i="55"/>
  <c r="S534" i="55"/>
  <c r="S526" i="55"/>
  <c r="S538" i="55"/>
  <c r="S541" i="55"/>
  <c r="S533" i="55"/>
  <c r="S531" i="55"/>
  <c r="S537" i="55"/>
  <c r="S540" i="55"/>
  <c r="S532" i="55"/>
  <c r="S539" i="55"/>
  <c r="S530" i="55"/>
  <c r="S536" i="55"/>
  <c r="S528" i="55"/>
  <c r="S543" i="55"/>
  <c r="S535" i="55"/>
  <c r="S527" i="55"/>
  <c r="S529" i="55"/>
  <c r="S525" i="55"/>
  <c r="R544" i="55"/>
  <c r="R340" i="55" s="1"/>
  <c r="T124" i="55"/>
  <c r="T191" i="55" s="1"/>
  <c r="S127" i="55"/>
  <c r="V54" i="55"/>
  <c r="U124" i="55"/>
  <c r="U191" i="55" s="1"/>
  <c r="U121" i="55"/>
  <c r="T122" i="55"/>
  <c r="C180" i="67"/>
  <c r="B181" i="67"/>
  <c r="U509" i="55"/>
  <c r="V519" i="55"/>
  <c r="V339" i="55" s="1"/>
  <c r="S31" i="55"/>
  <c r="S32" i="55" s="1"/>
  <c r="R625" i="55"/>
  <c r="R627" i="55" s="1"/>
  <c r="V506" i="55"/>
  <c r="W506" i="55" s="1"/>
  <c r="X506" i="55" s="1"/>
  <c r="Y506" i="55" s="1"/>
  <c r="Z506" i="55" s="1"/>
  <c r="AA506" i="55" s="1"/>
  <c r="V505" i="55"/>
  <c r="W505" i="55" s="1"/>
  <c r="X505" i="55" s="1"/>
  <c r="Y505" i="55" s="1"/>
  <c r="Z505" i="55" s="1"/>
  <c r="AA505" i="55" s="1"/>
  <c r="V508" i="55"/>
  <c r="W508" i="55" s="1"/>
  <c r="X508" i="55" s="1"/>
  <c r="Y508" i="55" s="1"/>
  <c r="Z508" i="55" s="1"/>
  <c r="AA508" i="55" s="1"/>
  <c r="V507" i="55"/>
  <c r="W507" i="55" s="1"/>
  <c r="X507" i="55" s="1"/>
  <c r="Y507" i="55" s="1"/>
  <c r="Z507" i="55" s="1"/>
  <c r="AA507" i="55" s="1"/>
  <c r="T509" i="55"/>
  <c r="S338" i="55"/>
  <c r="V13" i="55"/>
  <c r="W7" i="55"/>
  <c r="W8" i="55" s="1"/>
  <c r="X7" i="55" s="1"/>
  <c r="X8" i="55" s="1"/>
  <c r="U274" i="55"/>
  <c r="U277" i="55" s="1"/>
  <c r="V10" i="55"/>
  <c r="S268" i="55"/>
  <c r="S372" i="55"/>
  <c r="S151" i="55"/>
  <c r="R434" i="55"/>
  <c r="R444" i="55" s="1"/>
  <c r="R153" i="55"/>
  <c r="R146" i="55" s="1"/>
  <c r="V258" i="55"/>
  <c r="R19" i="55"/>
  <c r="W259" i="55"/>
  <c r="W275" i="55" s="1"/>
  <c r="L41" i="55" l="1"/>
  <c r="L21" i="55" s="1"/>
  <c r="L43" i="55"/>
  <c r="L44" i="55" s="1"/>
  <c r="O41" i="55"/>
  <c r="O21" i="55" s="1"/>
  <c r="O43" i="55"/>
  <c r="O44" i="55" s="1"/>
  <c r="M41" i="55"/>
  <c r="M21" i="55" s="1"/>
  <c r="M43" i="55"/>
  <c r="M44" i="55" s="1"/>
  <c r="Y367" i="55"/>
  <c r="Y377" i="55" s="1"/>
  <c r="AA356" i="55"/>
  <c r="AA361" i="55" s="1"/>
  <c r="Z361" i="55"/>
  <c r="X369" i="55"/>
  <c r="X368" i="55"/>
  <c r="U375" i="55"/>
  <c r="U378" i="55" s="1"/>
  <c r="U335" i="55" s="1"/>
  <c r="U362" i="55"/>
  <c r="U371" i="55" s="1"/>
  <c r="U334" i="55" s="1"/>
  <c r="W354" i="55"/>
  <c r="V359" i="55"/>
  <c r="P41" i="55"/>
  <c r="P21" i="55" s="1"/>
  <c r="P43" i="55"/>
  <c r="P44" i="55" s="1"/>
  <c r="U266" i="55"/>
  <c r="U267" i="55" s="1"/>
  <c r="U89" i="55" s="1"/>
  <c r="V262" i="55"/>
  <c r="V261" i="55"/>
  <c r="S147" i="55"/>
  <c r="S161" i="55"/>
  <c r="S169" i="55" s="1"/>
  <c r="S173" i="55" s="1"/>
  <c r="S175" i="55" s="1"/>
  <c r="R406" i="55"/>
  <c r="R411" i="55"/>
  <c r="R417" i="55" s="1"/>
  <c r="R399" i="55"/>
  <c r="S434" i="55"/>
  <c r="S437" i="55" s="1"/>
  <c r="S396" i="55"/>
  <c r="W165" i="55"/>
  <c r="V181" i="55"/>
  <c r="V183" i="55" s="1"/>
  <c r="W166" i="55"/>
  <c r="V170" i="55"/>
  <c r="V174" i="55" s="1"/>
  <c r="W57" i="55"/>
  <c r="V51" i="55"/>
  <c r="V494" i="55"/>
  <c r="E181" i="67"/>
  <c r="F181" i="67" a="1"/>
  <c r="F181" i="67" s="1"/>
  <c r="D181" i="67"/>
  <c r="T535" i="55"/>
  <c r="U535" i="55" s="1"/>
  <c r="T541" i="55"/>
  <c r="U541" i="55" s="1"/>
  <c r="T538" i="55"/>
  <c r="U538" i="55" s="1"/>
  <c r="T543" i="55"/>
  <c r="U543" i="55" s="1"/>
  <c r="T537" i="55"/>
  <c r="U537" i="55" s="1"/>
  <c r="T542" i="55"/>
  <c r="U542" i="55" s="1"/>
  <c r="T534" i="55"/>
  <c r="U534" i="55" s="1"/>
  <c r="T539" i="55"/>
  <c r="U539" i="55" s="1"/>
  <c r="T525" i="55"/>
  <c r="U525" i="55" s="1"/>
  <c r="T526" i="55"/>
  <c r="U526" i="55" s="1"/>
  <c r="T527" i="55"/>
  <c r="U527" i="55" s="1"/>
  <c r="T528" i="55"/>
  <c r="U528" i="55" s="1"/>
  <c r="T529" i="55"/>
  <c r="U529" i="55" s="1"/>
  <c r="T530" i="55"/>
  <c r="U530" i="55" s="1"/>
  <c r="T531" i="55"/>
  <c r="U531" i="55" s="1"/>
  <c r="T532" i="55"/>
  <c r="U532" i="55" s="1"/>
  <c r="T533" i="55"/>
  <c r="U533" i="55" s="1"/>
  <c r="T536" i="55"/>
  <c r="U536" i="55" s="1"/>
  <c r="T540" i="55"/>
  <c r="U540" i="55" s="1"/>
  <c r="T315" i="55"/>
  <c r="T317" i="55" s="1"/>
  <c r="T91" i="55" s="1"/>
  <c r="T126" i="55"/>
  <c r="T87" i="55" s="1"/>
  <c r="S544" i="55"/>
  <c r="S340" i="55" s="1"/>
  <c r="U315" i="55"/>
  <c r="U317" i="55" s="1"/>
  <c r="U91" i="55" s="1"/>
  <c r="W54" i="55"/>
  <c r="V124" i="55"/>
  <c r="V191" i="55" s="1"/>
  <c r="V121" i="55"/>
  <c r="U122" i="55"/>
  <c r="U126" i="55" s="1"/>
  <c r="U87" i="55" s="1"/>
  <c r="B182" i="67"/>
  <c r="C181" i="67"/>
  <c r="V503" i="55"/>
  <c r="W503" i="55" s="1"/>
  <c r="X503" i="55" s="1"/>
  <c r="Y503" i="55" s="1"/>
  <c r="Z503" i="55" s="1"/>
  <c r="AA503" i="55" s="1"/>
  <c r="T31" i="55"/>
  <c r="T32" i="55" s="1"/>
  <c r="U31" i="55"/>
  <c r="S625" i="55"/>
  <c r="S627" i="55" s="1"/>
  <c r="U338" i="55"/>
  <c r="V502" i="55"/>
  <c r="W502" i="55" s="1"/>
  <c r="T338" i="55"/>
  <c r="W10" i="55"/>
  <c r="W515" i="55"/>
  <c r="W13" i="55"/>
  <c r="V274" i="55"/>
  <c r="V277" i="55" s="1"/>
  <c r="F148" i="1"/>
  <c r="K41" i="55"/>
  <c r="K21" i="55" s="1"/>
  <c r="F131" i="1" s="1"/>
  <c r="K43" i="55"/>
  <c r="K44" i="55" s="1"/>
  <c r="X13" i="55"/>
  <c r="X515" i="55"/>
  <c r="T268" i="55"/>
  <c r="T372" i="55"/>
  <c r="X10" i="55"/>
  <c r="Y7" i="55"/>
  <c r="Y8" i="55" s="1"/>
  <c r="S19" i="55"/>
  <c r="R169" i="55"/>
  <c r="R173" i="55" s="1"/>
  <c r="S153" i="55"/>
  <c r="S146" i="55" s="1"/>
  <c r="U52" i="55"/>
  <c r="T52" i="55"/>
  <c r="R437" i="55"/>
  <c r="W258" i="55"/>
  <c r="T151" i="55"/>
  <c r="T147" i="55" s="1"/>
  <c r="U147" i="55"/>
  <c r="X259" i="55"/>
  <c r="X275" i="55" s="1"/>
  <c r="S177" i="55" l="1"/>
  <c r="S178" i="55"/>
  <c r="U268" i="55"/>
  <c r="U372" i="55"/>
  <c r="Z367" i="55"/>
  <c r="Z377" i="55" s="1"/>
  <c r="V375" i="55"/>
  <c r="V378" i="55" s="1"/>
  <c r="V335" i="55" s="1"/>
  <c r="V362" i="55"/>
  <c r="V371" i="55" s="1"/>
  <c r="V334" i="55" s="1"/>
  <c r="AA367" i="55"/>
  <c r="AA377" i="55" s="1"/>
  <c r="X354" i="55"/>
  <c r="W359" i="55"/>
  <c r="Y369" i="55"/>
  <c r="Y368" i="55"/>
  <c r="V266" i="55"/>
  <c r="V267" i="55" s="1"/>
  <c r="V89" i="55" s="1"/>
  <c r="W262" i="55"/>
  <c r="W261" i="55"/>
  <c r="R476" i="55"/>
  <c r="R475" i="55" s="1"/>
  <c r="S411" i="55"/>
  <c r="S417" i="55" s="1"/>
  <c r="R416" i="55"/>
  <c r="R429" i="55" s="1"/>
  <c r="R454" i="55" s="1"/>
  <c r="S406" i="55"/>
  <c r="S416" i="55" s="1"/>
  <c r="S399" i="55"/>
  <c r="S444" i="55"/>
  <c r="T434" i="55"/>
  <c r="T444" i="55" s="1"/>
  <c r="T396" i="55"/>
  <c r="U434" i="55"/>
  <c r="U444" i="55" s="1"/>
  <c r="U396" i="55"/>
  <c r="X166" i="55"/>
  <c r="W170" i="55"/>
  <c r="W174" i="55" s="1"/>
  <c r="X165" i="55"/>
  <c r="W181" i="55"/>
  <c r="W183" i="55" s="1"/>
  <c r="X57" i="55"/>
  <c r="W51" i="55"/>
  <c r="X494" i="55"/>
  <c r="W494" i="55"/>
  <c r="E182" i="67"/>
  <c r="F182" i="67" a="1"/>
  <c r="F182" i="67" s="1"/>
  <c r="D182" i="67"/>
  <c r="V525" i="55"/>
  <c r="V526" i="55"/>
  <c r="V527" i="55"/>
  <c r="V528" i="55"/>
  <c r="V529" i="55"/>
  <c r="V530" i="55"/>
  <c r="V531" i="55"/>
  <c r="V532" i="55"/>
  <c r="V533" i="55"/>
  <c r="V534" i="55"/>
  <c r="V535" i="55"/>
  <c r="V536" i="55"/>
  <c r="V537" i="55"/>
  <c r="V538" i="55"/>
  <c r="V539" i="55"/>
  <c r="V540" i="55"/>
  <c r="V541" i="55"/>
  <c r="V542" i="55"/>
  <c r="V543" i="55"/>
  <c r="T127" i="55"/>
  <c r="U544" i="55"/>
  <c r="T544" i="55"/>
  <c r="T340" i="55" s="1"/>
  <c r="V315" i="55"/>
  <c r="V317" i="55" s="1"/>
  <c r="V91" i="55" s="1"/>
  <c r="U127" i="55"/>
  <c r="X54" i="55"/>
  <c r="W124" i="55"/>
  <c r="W191" i="55" s="1"/>
  <c r="W121" i="55"/>
  <c r="V122" i="55"/>
  <c r="V126" i="55" s="1"/>
  <c r="V87" i="55" s="1"/>
  <c r="B183" i="67"/>
  <c r="C182" i="67"/>
  <c r="X502" i="55"/>
  <c r="W509" i="55"/>
  <c r="X519" i="55"/>
  <c r="X339" i="55" s="1"/>
  <c r="W519" i="55"/>
  <c r="W339" i="55" s="1"/>
  <c r="U32" i="55"/>
  <c r="U19" i="55" s="1"/>
  <c r="V31" i="55"/>
  <c r="V32" i="55" s="1"/>
  <c r="U625" i="55"/>
  <c r="U627" i="55" s="1"/>
  <c r="T625" i="55"/>
  <c r="T627" i="55" s="1"/>
  <c r="V509" i="55"/>
  <c r="V338" i="55" s="1"/>
  <c r="W274" i="55"/>
  <c r="W277" i="55" s="1"/>
  <c r="Y13" i="55"/>
  <c r="Y515" i="55"/>
  <c r="Y10" i="55"/>
  <c r="Z7" i="55"/>
  <c r="Z8" i="55" s="1"/>
  <c r="X258" i="55"/>
  <c r="R175" i="55"/>
  <c r="V52" i="55"/>
  <c r="V151" i="55"/>
  <c r="V396" i="55" s="1"/>
  <c r="T161" i="55"/>
  <c r="T169" i="55" s="1"/>
  <c r="T173" i="55" s="1"/>
  <c r="T175" i="55" s="1"/>
  <c r="U161" i="55"/>
  <c r="U169" i="55" s="1"/>
  <c r="U173" i="55" s="1"/>
  <c r="U175" i="55" s="1"/>
  <c r="T153" i="55"/>
  <c r="T146" i="55" s="1"/>
  <c r="T19" i="55"/>
  <c r="U153" i="55"/>
  <c r="U146" i="55" s="1"/>
  <c r="Y259" i="55"/>
  <c r="Y275" i="55" s="1"/>
  <c r="V268" i="55" l="1"/>
  <c r="W535" i="55"/>
  <c r="W543" i="55"/>
  <c r="V372" i="55"/>
  <c r="S185" i="55"/>
  <c r="S186" i="55" s="1"/>
  <c r="U178" i="55"/>
  <c r="R178" i="55"/>
  <c r="T177" i="55"/>
  <c r="T178" i="55"/>
  <c r="U177" i="55"/>
  <c r="R177" i="55"/>
  <c r="AA369" i="55"/>
  <c r="AA368" i="55"/>
  <c r="Y354" i="55"/>
  <c r="X359" i="55"/>
  <c r="Z369" i="55"/>
  <c r="Z368" i="55"/>
  <c r="W362" i="55"/>
  <c r="W371" i="55" s="1"/>
  <c r="W334" i="55" s="1"/>
  <c r="W375" i="55"/>
  <c r="W378" i="55" s="1"/>
  <c r="W335" i="55" s="1"/>
  <c r="W266" i="55"/>
  <c r="W267" i="55" s="1"/>
  <c r="W89" i="55" s="1"/>
  <c r="X262" i="55"/>
  <c r="X261" i="55"/>
  <c r="V147" i="55"/>
  <c r="W31" i="55"/>
  <c r="W32" i="55" s="1"/>
  <c r="W19" i="55" s="1"/>
  <c r="S476" i="55"/>
  <c r="S475" i="55" s="1"/>
  <c r="R461" i="55"/>
  <c r="R455" i="55"/>
  <c r="R336" i="55"/>
  <c r="S429" i="55"/>
  <c r="S454" i="55" s="1"/>
  <c r="T399" i="55"/>
  <c r="T406" i="55"/>
  <c r="T416" i="55" s="1"/>
  <c r="T411" i="55"/>
  <c r="T417" i="55" s="1"/>
  <c r="V399" i="55"/>
  <c r="V406" i="55"/>
  <c r="V416" i="55" s="1"/>
  <c r="V411" i="55"/>
  <c r="V417" i="55" s="1"/>
  <c r="U399" i="55"/>
  <c r="U406" i="55"/>
  <c r="U416" i="55" s="1"/>
  <c r="U411" i="55"/>
  <c r="U417" i="55" s="1"/>
  <c r="S461" i="55"/>
  <c r="U437" i="55"/>
  <c r="T437" i="55"/>
  <c r="Y165" i="55"/>
  <c r="X181" i="55"/>
  <c r="X183" i="55" s="1"/>
  <c r="Y166" i="55"/>
  <c r="X170" i="55"/>
  <c r="X174" i="55" s="1"/>
  <c r="W52" i="55"/>
  <c r="W151" i="55"/>
  <c r="W147" i="55" s="1"/>
  <c r="W538" i="55"/>
  <c r="W530" i="55"/>
  <c r="W536" i="55"/>
  <c r="W528" i="55"/>
  <c r="W542" i="55"/>
  <c r="W534" i="55"/>
  <c r="W527" i="55"/>
  <c r="W526" i="55"/>
  <c r="W541" i="55"/>
  <c r="W533" i="55"/>
  <c r="W525" i="55"/>
  <c r="W540" i="55"/>
  <c r="W532" i="55"/>
  <c r="W539" i="55"/>
  <c r="W531" i="55"/>
  <c r="W537" i="55"/>
  <c r="W529" i="55"/>
  <c r="Y57" i="55"/>
  <c r="X51" i="55"/>
  <c r="Y494" i="55"/>
  <c r="E183" i="67"/>
  <c r="F183" i="67" a="1"/>
  <c r="F183" i="67" s="1"/>
  <c r="D183" i="67"/>
  <c r="W315" i="55"/>
  <c r="W317" i="55" s="1"/>
  <c r="W91" i="55" s="1"/>
  <c r="V127" i="55"/>
  <c r="Y54" i="55"/>
  <c r="X124" i="55"/>
  <c r="X191" i="55" s="1"/>
  <c r="X121" i="55"/>
  <c r="W122" i="55"/>
  <c r="W126" i="55" s="1"/>
  <c r="W87" i="55" s="1"/>
  <c r="B184" i="67"/>
  <c r="C183" i="67"/>
  <c r="Y502" i="55"/>
  <c r="X509" i="55"/>
  <c r="V434" i="55"/>
  <c r="V444" i="55" s="1"/>
  <c r="Y519" i="55"/>
  <c r="Y339" i="55" s="1"/>
  <c r="V625" i="55"/>
  <c r="V627" i="55" s="1"/>
  <c r="W338" i="55"/>
  <c r="X274" i="55"/>
  <c r="X277" i="55" s="1"/>
  <c r="Y258" i="55"/>
  <c r="Z13" i="55"/>
  <c r="Z515" i="55"/>
  <c r="Z10" i="55"/>
  <c r="AA7" i="55"/>
  <c r="AA8" i="55" s="1"/>
  <c r="U340" i="55"/>
  <c r="V153" i="55"/>
  <c r="V146" i="55" s="1"/>
  <c r="V161" i="55"/>
  <c r="V169" i="55" s="1"/>
  <c r="V173" i="55" s="1"/>
  <c r="V175" i="55" s="1"/>
  <c r="V19" i="55"/>
  <c r="Z259" i="55"/>
  <c r="Z275" i="55" s="1"/>
  <c r="S193" i="55" l="1"/>
  <c r="S88" i="55"/>
  <c r="S195" i="55"/>
  <c r="S90" i="55" s="1"/>
  <c r="R185" i="55"/>
  <c r="R193" i="55" s="1"/>
  <c r="U185" i="55"/>
  <c r="U88" i="55" s="1"/>
  <c r="W268" i="55"/>
  <c r="T185" i="55"/>
  <c r="T88" i="55" s="1"/>
  <c r="V177" i="55"/>
  <c r="V178" i="55"/>
  <c r="W625" i="55"/>
  <c r="W627" i="55" s="1"/>
  <c r="X362" i="55"/>
  <c r="X371" i="55" s="1"/>
  <c r="X334" i="55" s="1"/>
  <c r="X375" i="55"/>
  <c r="X378" i="55" s="1"/>
  <c r="X335" i="55" s="1"/>
  <c r="X266" i="55"/>
  <c r="X267" i="55" s="1"/>
  <c r="X89" i="55" s="1"/>
  <c r="Z354" i="55"/>
  <c r="Y359" i="55"/>
  <c r="W372" i="55"/>
  <c r="Y262" i="55"/>
  <c r="Y261" i="55"/>
  <c r="T476" i="55"/>
  <c r="T475" i="55" s="1"/>
  <c r="U476" i="55"/>
  <c r="U475" i="55" s="1"/>
  <c r="V476" i="55"/>
  <c r="V475" i="55" s="1"/>
  <c r="U429" i="55"/>
  <c r="U454" i="55" s="1"/>
  <c r="U455" i="55" s="1"/>
  <c r="T429" i="55"/>
  <c r="T454" i="55" s="1"/>
  <c r="T455" i="55" s="1"/>
  <c r="V429" i="55"/>
  <c r="V454" i="55" s="1"/>
  <c r="V461" i="55"/>
  <c r="U461" i="55"/>
  <c r="T461" i="55"/>
  <c r="S336" i="55"/>
  <c r="S455" i="55"/>
  <c r="W434" i="55"/>
  <c r="W444" i="55" s="1"/>
  <c r="W396" i="55"/>
  <c r="W161" i="55"/>
  <c r="W169" i="55" s="1"/>
  <c r="W173" i="55" s="1"/>
  <c r="W175" i="55" s="1"/>
  <c r="Z166" i="55"/>
  <c r="Y170" i="55"/>
  <c r="Y174" i="55" s="1"/>
  <c r="Z165" i="55"/>
  <c r="Y181" i="55"/>
  <c r="Y183" i="55" s="1"/>
  <c r="W153" i="55"/>
  <c r="W146" i="55" s="1"/>
  <c r="W544" i="55"/>
  <c r="W340" i="55" s="1"/>
  <c r="Z57" i="55"/>
  <c r="Y51" i="55"/>
  <c r="Z494" i="55"/>
  <c r="E184" i="67"/>
  <c r="F184" i="67" a="1"/>
  <c r="F184" i="67" s="1"/>
  <c r="D184" i="67"/>
  <c r="X525" i="55"/>
  <c r="X526" i="55"/>
  <c r="X527" i="55"/>
  <c r="X528" i="55"/>
  <c r="X529" i="55"/>
  <c r="X530" i="55"/>
  <c r="X531" i="55"/>
  <c r="X532" i="55"/>
  <c r="X533" i="55"/>
  <c r="X534" i="55"/>
  <c r="X535" i="55"/>
  <c r="X536" i="55"/>
  <c r="X537" i="55"/>
  <c r="X538" i="55"/>
  <c r="X539" i="55"/>
  <c r="X540" i="55"/>
  <c r="X541" i="55"/>
  <c r="X542" i="55"/>
  <c r="X543" i="55"/>
  <c r="V544" i="55"/>
  <c r="V340" i="55" s="1"/>
  <c r="X315" i="55"/>
  <c r="X317" i="55" s="1"/>
  <c r="X91" i="55" s="1"/>
  <c r="W127" i="55"/>
  <c r="Z54" i="55"/>
  <c r="Y124" i="55"/>
  <c r="Y191" i="55" s="1"/>
  <c r="Y121" i="55"/>
  <c r="X122" i="55"/>
  <c r="X126" i="55" s="1"/>
  <c r="X87" i="55" s="1"/>
  <c r="B185" i="67"/>
  <c r="C184" i="67"/>
  <c r="Z502" i="55"/>
  <c r="Y509" i="55"/>
  <c r="V437" i="55"/>
  <c r="Z519" i="55"/>
  <c r="Z339" i="55" s="1"/>
  <c r="X31" i="55"/>
  <c r="X32" i="55" s="1"/>
  <c r="X338" i="55"/>
  <c r="Z258" i="55"/>
  <c r="Y274" i="55"/>
  <c r="Y277" i="55" s="1"/>
  <c r="AA13" i="55"/>
  <c r="AA515" i="55"/>
  <c r="AA10" i="55"/>
  <c r="AA442" i="55" s="1"/>
  <c r="X52" i="55"/>
  <c r="X151" i="55"/>
  <c r="X147" i="55" s="1"/>
  <c r="AA259" i="55"/>
  <c r="AA275" i="55" s="1"/>
  <c r="S92" i="55" l="1"/>
  <c r="S34" i="55" s="1"/>
  <c r="S35" i="55" s="1"/>
  <c r="S20" i="55" s="1"/>
  <c r="S196" i="55"/>
  <c r="T195" i="55"/>
  <c r="T196" i="55" s="1"/>
  <c r="T186" i="55"/>
  <c r="T193" i="55"/>
  <c r="R195" i="55"/>
  <c r="R196" i="55" s="1"/>
  <c r="U186" i="55"/>
  <c r="U195" i="55"/>
  <c r="U196" i="55" s="1"/>
  <c r="R186" i="55"/>
  <c r="R88" i="55"/>
  <c r="U193" i="55"/>
  <c r="X268" i="55"/>
  <c r="V185" i="55"/>
  <c r="V195" i="55" s="1"/>
  <c r="V196" i="55" s="1"/>
  <c r="W178" i="55"/>
  <c r="W177" i="55"/>
  <c r="X372" i="55"/>
  <c r="Y362" i="55"/>
  <c r="Y371" i="55" s="1"/>
  <c r="Y334" i="55" s="1"/>
  <c r="Y375" i="55"/>
  <c r="Y378" i="55" s="1"/>
  <c r="Y335" i="55" s="1"/>
  <c r="AA354" i="55"/>
  <c r="AA359" i="55" s="1"/>
  <c r="Z359" i="55"/>
  <c r="Y266" i="55"/>
  <c r="Y267" i="55" s="1"/>
  <c r="Y89" i="55" s="1"/>
  <c r="Z274" i="55"/>
  <c r="Z277" i="55" s="1"/>
  <c r="Z262" i="55"/>
  <c r="Z261" i="55"/>
  <c r="AA441" i="55"/>
  <c r="AA440" i="55"/>
  <c r="AA427" i="55"/>
  <c r="AA426" i="55"/>
  <c r="T336" i="55"/>
  <c r="U336" i="55"/>
  <c r="W399" i="55"/>
  <c r="W406" i="55"/>
  <c r="W416" i="55" s="1"/>
  <c r="W411" i="55"/>
  <c r="W417" i="55" s="1"/>
  <c r="W437" i="55"/>
  <c r="X434" i="55"/>
  <c r="X444" i="55" s="1"/>
  <c r="X396" i="55"/>
  <c r="AA165" i="55"/>
  <c r="AA181" i="55" s="1"/>
  <c r="AA183" i="55" s="1"/>
  <c r="Z181" i="55"/>
  <c r="Z183" i="55" s="1"/>
  <c r="AA166" i="55"/>
  <c r="AA170" i="55" s="1"/>
  <c r="AA174" i="55" s="1"/>
  <c r="Z170" i="55"/>
  <c r="Z174" i="55" s="1"/>
  <c r="AA57" i="55"/>
  <c r="Z51" i="55"/>
  <c r="AA494" i="55"/>
  <c r="E185" i="67"/>
  <c r="F185" i="67" a="1"/>
  <c r="F185" i="67" s="1"/>
  <c r="D185" i="67"/>
  <c r="Y525" i="55"/>
  <c r="Y526" i="55"/>
  <c r="Y527" i="55"/>
  <c r="Y528" i="55"/>
  <c r="Y529" i="55"/>
  <c r="Y530" i="55"/>
  <c r="Y531" i="55"/>
  <c r="Y532" i="55"/>
  <c r="Y533" i="55"/>
  <c r="Y534" i="55"/>
  <c r="Y535" i="55"/>
  <c r="Y536" i="55"/>
  <c r="Y537" i="55"/>
  <c r="Y538" i="55"/>
  <c r="Y539" i="55"/>
  <c r="Y540" i="55"/>
  <c r="Y541" i="55"/>
  <c r="Y542" i="55"/>
  <c r="Y543" i="55"/>
  <c r="X544" i="55"/>
  <c r="X340" i="55" s="1"/>
  <c r="Y315" i="55"/>
  <c r="Y317" i="55" s="1"/>
  <c r="Y91" i="55" s="1"/>
  <c r="X127" i="55"/>
  <c r="AA54" i="55"/>
  <c r="AA124" i="55" s="1"/>
  <c r="AA191" i="55" s="1"/>
  <c r="Z124" i="55"/>
  <c r="Z191" i="55" s="1"/>
  <c r="Z121" i="55"/>
  <c r="Y122" i="55"/>
  <c r="Y126" i="55" s="1"/>
  <c r="Y87" i="55" s="1"/>
  <c r="C185" i="67"/>
  <c r="B186" i="67"/>
  <c r="V336" i="55"/>
  <c r="V455" i="55"/>
  <c r="AA502" i="55"/>
  <c r="AA509" i="55" s="1"/>
  <c r="Z509" i="55"/>
  <c r="AA519" i="55"/>
  <c r="AA339" i="55" s="1"/>
  <c r="Y31" i="55"/>
  <c r="Y32" i="55" s="1"/>
  <c r="X625" i="55"/>
  <c r="X627" i="55" s="1"/>
  <c r="Y338" i="55"/>
  <c r="AA258" i="55"/>
  <c r="Y52" i="55"/>
  <c r="X161" i="55"/>
  <c r="X169" i="55" s="1"/>
  <c r="X173" i="55" s="1"/>
  <c r="X175" i="55" s="1"/>
  <c r="X153" i="55"/>
  <c r="X146" i="55" s="1"/>
  <c r="X19" i="55"/>
  <c r="Y151" i="55"/>
  <c r="Y147" i="55" s="1"/>
  <c r="T90" i="55" l="1"/>
  <c r="T92" i="55" s="1"/>
  <c r="T93" i="55" s="1"/>
  <c r="S93" i="55"/>
  <c r="R90" i="55"/>
  <c r="R92" i="55" s="1"/>
  <c r="Y268" i="55"/>
  <c r="V186" i="55"/>
  <c r="V193" i="55"/>
  <c r="V88" i="55"/>
  <c r="Y372" i="55"/>
  <c r="W185" i="55"/>
  <c r="W186" i="55" s="1"/>
  <c r="X177" i="55"/>
  <c r="X178" i="55"/>
  <c r="Z362" i="55"/>
  <c r="Z371" i="55" s="1"/>
  <c r="Z334" i="55" s="1"/>
  <c r="Z375" i="55"/>
  <c r="Z378" i="55" s="1"/>
  <c r="Z335" i="55" s="1"/>
  <c r="AA362" i="55"/>
  <c r="AA371" i="55" s="1"/>
  <c r="AA334" i="55" s="1"/>
  <c r="AA375" i="55"/>
  <c r="AA378" i="55" s="1"/>
  <c r="AA335" i="55" s="1"/>
  <c r="AA274" i="55"/>
  <c r="AA277" i="55" s="1"/>
  <c r="AA262" i="55"/>
  <c r="AA261" i="55"/>
  <c r="Z266" i="55"/>
  <c r="Z267" i="55" s="1"/>
  <c r="Z89" i="55" s="1"/>
  <c r="W476" i="55"/>
  <c r="W475" i="55" s="1"/>
  <c r="W429" i="55"/>
  <c r="W454" i="55" s="1"/>
  <c r="X437" i="55"/>
  <c r="X399" i="55"/>
  <c r="X406" i="55"/>
  <c r="X416" i="55" s="1"/>
  <c r="X411" i="55"/>
  <c r="X417" i="55" s="1"/>
  <c r="W461" i="55"/>
  <c r="Y434" i="55"/>
  <c r="Y444" i="55" s="1"/>
  <c r="Y396" i="55"/>
  <c r="AA51" i="55"/>
  <c r="E186" i="67"/>
  <c r="F186" i="67" a="1"/>
  <c r="F186" i="67" s="1"/>
  <c r="D186" i="67"/>
  <c r="Z526" i="55"/>
  <c r="Z528" i="55"/>
  <c r="Z531" i="55"/>
  <c r="Z533" i="55"/>
  <c r="Z535" i="55"/>
  <c r="Z538" i="55"/>
  <c r="Z541" i="55"/>
  <c r="Z543" i="55"/>
  <c r="Z525" i="55"/>
  <c r="Z527" i="55"/>
  <c r="Z529" i="55"/>
  <c r="Z530" i="55"/>
  <c r="Z532" i="55"/>
  <c r="Z534" i="55"/>
  <c r="Z536" i="55"/>
  <c r="Z537" i="55"/>
  <c r="Z539" i="55"/>
  <c r="Z540" i="55"/>
  <c r="Z542" i="55"/>
  <c r="Y544" i="55"/>
  <c r="Y340" i="55" s="1"/>
  <c r="S37" i="55"/>
  <c r="S38" i="55" s="1"/>
  <c r="U90" i="55"/>
  <c r="U92" i="55" s="1"/>
  <c r="Z315" i="55"/>
  <c r="Z317" i="55" s="1"/>
  <c r="Z91" i="55" s="1"/>
  <c r="AA315" i="55"/>
  <c r="AA317" i="55" s="1"/>
  <c r="AA91" i="55" s="1"/>
  <c r="Y127" i="55"/>
  <c r="AA121" i="55"/>
  <c r="AA122" i="55" s="1"/>
  <c r="AA126" i="55" s="1"/>
  <c r="AA87" i="55" s="1"/>
  <c r="Z122" i="55"/>
  <c r="Z126" i="55" s="1"/>
  <c r="Z87" i="55" s="1"/>
  <c r="C186" i="67"/>
  <c r="B187" i="67"/>
  <c r="Z31" i="55"/>
  <c r="Z32" i="55" s="1"/>
  <c r="Y625" i="55"/>
  <c r="Y627" i="55" s="1"/>
  <c r="Z338" i="55"/>
  <c r="AA338" i="55"/>
  <c r="Z52" i="55"/>
  <c r="Y161" i="55"/>
  <c r="Y169" i="55" s="1"/>
  <c r="Y173" i="55" s="1"/>
  <c r="Y175" i="55" s="1"/>
  <c r="Y19" i="55"/>
  <c r="Y153" i="55"/>
  <c r="Y146" i="55" s="1"/>
  <c r="Z151" i="55"/>
  <c r="Z147" i="55" s="1"/>
  <c r="T34" i="55" l="1"/>
  <c r="T35" i="55" s="1"/>
  <c r="T20" i="55" s="1"/>
  <c r="R93" i="55"/>
  <c r="R34" i="55"/>
  <c r="R35" i="55" s="1"/>
  <c r="R20" i="55" s="1"/>
  <c r="Z372" i="55"/>
  <c r="W88" i="55"/>
  <c r="W193" i="55"/>
  <c r="W195" i="55"/>
  <c r="W196" i="55" s="1"/>
  <c r="X185" i="55"/>
  <c r="X195" i="55" s="1"/>
  <c r="X196" i="55" s="1"/>
  <c r="Y178" i="55"/>
  <c r="Y177" i="55"/>
  <c r="AA266" i="55"/>
  <c r="AA267" i="55" s="1"/>
  <c r="AA89" i="55" s="1"/>
  <c r="Z268" i="55"/>
  <c r="X476" i="55"/>
  <c r="X475" i="55" s="1"/>
  <c r="X429" i="55"/>
  <c r="X454" i="55" s="1"/>
  <c r="X461" i="55"/>
  <c r="W336" i="55"/>
  <c r="W455" i="55"/>
  <c r="Y399" i="55"/>
  <c r="Y406" i="55"/>
  <c r="Y416" i="55" s="1"/>
  <c r="Y411" i="55"/>
  <c r="Y417" i="55" s="1"/>
  <c r="Y437" i="55"/>
  <c r="Z434" i="55"/>
  <c r="Z444" i="55" s="1"/>
  <c r="Z396" i="55"/>
  <c r="E187" i="67"/>
  <c r="F187" i="67" a="1"/>
  <c r="F187" i="67" s="1"/>
  <c r="D187" i="67"/>
  <c r="AA525" i="55"/>
  <c r="AA526" i="55"/>
  <c r="AA527" i="55"/>
  <c r="AA528" i="55"/>
  <c r="AA529" i="55"/>
  <c r="AA530" i="55"/>
  <c r="AA531" i="55"/>
  <c r="AA532" i="55"/>
  <c r="AA533" i="55"/>
  <c r="AA534" i="55"/>
  <c r="AA535" i="55"/>
  <c r="AA536" i="55"/>
  <c r="AA537" i="55"/>
  <c r="AA538" i="55"/>
  <c r="AA539" i="55"/>
  <c r="AA540" i="55"/>
  <c r="AA541" i="55"/>
  <c r="AA542" i="55"/>
  <c r="AA543" i="55"/>
  <c r="Z544" i="55"/>
  <c r="Z340" i="55" s="1"/>
  <c r="U34" i="55"/>
  <c r="U93" i="55"/>
  <c r="V90" i="55"/>
  <c r="V92" i="55" s="1"/>
  <c r="AA127" i="55"/>
  <c r="Z127" i="55"/>
  <c r="C187" i="67"/>
  <c r="B188" i="67"/>
  <c r="AA151" i="55"/>
  <c r="AA147" i="55" s="1"/>
  <c r="AA31" i="55"/>
  <c r="AA32" i="55" s="1"/>
  <c r="Z625" i="55"/>
  <c r="Z627" i="55" s="1"/>
  <c r="AA372" i="55"/>
  <c r="AA52" i="55"/>
  <c r="Z161" i="55"/>
  <c r="Z169" i="55" s="1"/>
  <c r="Z173" i="55" s="1"/>
  <c r="Z175" i="55" s="1"/>
  <c r="Z153" i="55"/>
  <c r="Z146" i="55" s="1"/>
  <c r="Z19" i="55"/>
  <c r="T37" i="55" l="1"/>
  <c r="T38" i="55" s="1"/>
  <c r="R37" i="55"/>
  <c r="R38" i="55" s="1"/>
  <c r="X186" i="55"/>
  <c r="X88" i="55"/>
  <c r="X193" i="55"/>
  <c r="Y185" i="55"/>
  <c r="Y195" i="55" s="1"/>
  <c r="Y196" i="55" s="1"/>
  <c r="AA268" i="55"/>
  <c r="Z177" i="55"/>
  <c r="Z178" i="55"/>
  <c r="Y476" i="55"/>
  <c r="Y475" i="55" s="1"/>
  <c r="Y429" i="55"/>
  <c r="Y454" i="55" s="1"/>
  <c r="Y461" i="55"/>
  <c r="Z399" i="55"/>
  <c r="Z406" i="55"/>
  <c r="Z416" i="55" s="1"/>
  <c r="Z411" i="55"/>
  <c r="Z417" i="55" s="1"/>
  <c r="X336" i="55"/>
  <c r="X455" i="55"/>
  <c r="Z437" i="55"/>
  <c r="AA434" i="55"/>
  <c r="AA444" i="55" s="1"/>
  <c r="AA396" i="55"/>
  <c r="E188" i="67"/>
  <c r="F188" i="67" a="1"/>
  <c r="F188" i="67" s="1"/>
  <c r="D188" i="67"/>
  <c r="AA544" i="55"/>
  <c r="AA340" i="55" s="1"/>
  <c r="V93" i="55"/>
  <c r="V34" i="55"/>
  <c r="W90" i="55"/>
  <c r="W92" i="55" s="1"/>
  <c r="U35" i="55"/>
  <c r="U20" i="55" s="1"/>
  <c r="U37" i="55"/>
  <c r="U38" i="55" s="1"/>
  <c r="C188" i="67"/>
  <c r="B189" i="67"/>
  <c r="AA625" i="55"/>
  <c r="AA627" i="55" s="1"/>
  <c r="AA161" i="55"/>
  <c r="AA169" i="55" s="1"/>
  <c r="AA173" i="55" s="1"/>
  <c r="AA175" i="55" s="1"/>
  <c r="AA153" i="55"/>
  <c r="AA146" i="55" s="1"/>
  <c r="AA19" i="55"/>
  <c r="Y88" i="55" l="1"/>
  <c r="Y193" i="55"/>
  <c r="Y186" i="55"/>
  <c r="Z185" i="55"/>
  <c r="Z195" i="55" s="1"/>
  <c r="Z196" i="55" s="1"/>
  <c r="AA177" i="55"/>
  <c r="AA178" i="55"/>
  <c r="Z476" i="55"/>
  <c r="Z475" i="55" s="1"/>
  <c r="Z429" i="55"/>
  <c r="Z454" i="55" s="1"/>
  <c r="AA399" i="55"/>
  <c r="AA406" i="55"/>
  <c r="AA416" i="55" s="1"/>
  <c r="AA411" i="55"/>
  <c r="AA417" i="55" s="1"/>
  <c r="Z461" i="55"/>
  <c r="Y455" i="55"/>
  <c r="Y336" i="55"/>
  <c r="AA437" i="55"/>
  <c r="E189" i="67"/>
  <c r="F189" i="67" a="1"/>
  <c r="F189" i="67" s="1"/>
  <c r="D189" i="67"/>
  <c r="W34" i="55"/>
  <c r="W93" i="55"/>
  <c r="X90" i="55"/>
  <c r="X92" i="55" s="1"/>
  <c r="V35" i="55"/>
  <c r="V20" i="55" s="1"/>
  <c r="V37" i="55"/>
  <c r="V38" i="55" s="1"/>
  <c r="C189" i="67"/>
  <c r="B190" i="67"/>
  <c r="Z193" i="55" l="1"/>
  <c r="Z186" i="55"/>
  <c r="Z88" i="55"/>
  <c r="AA185" i="55"/>
  <c r="AA195" i="55" s="1"/>
  <c r="AA196" i="55" s="1"/>
  <c r="AA475" i="55"/>
  <c r="AA429" i="55"/>
  <c r="AA454" i="55" s="1"/>
  <c r="AA336" i="55" s="1"/>
  <c r="Z336" i="55"/>
  <c r="Z455" i="55"/>
  <c r="AA461" i="55"/>
  <c r="E190" i="67"/>
  <c r="F190" i="67" a="1"/>
  <c r="F190" i="67" s="1"/>
  <c r="D190" i="67"/>
  <c r="Y90" i="55"/>
  <c r="Y92" i="55" s="1"/>
  <c r="X34" i="55"/>
  <c r="X93" i="55"/>
  <c r="W35" i="55"/>
  <c r="W20" i="55" s="1"/>
  <c r="W37" i="55"/>
  <c r="W38" i="55" s="1"/>
  <c r="C190" i="67"/>
  <c r="B191" i="67"/>
  <c r="AA186" i="55" l="1"/>
  <c r="AA193" i="55"/>
  <c r="AA88" i="55"/>
  <c r="AA455" i="55"/>
  <c r="E191" i="67"/>
  <c r="F191" i="67" a="1"/>
  <c r="F191" i="67" s="1"/>
  <c r="D191" i="67"/>
  <c r="X37" i="55"/>
  <c r="X38" i="55" s="1"/>
  <c r="X35" i="55"/>
  <c r="X20" i="55" s="1"/>
  <c r="Y93" i="55"/>
  <c r="Y34" i="55"/>
  <c r="AA90" i="55"/>
  <c r="Z90" i="55"/>
  <c r="Z92" i="55" s="1"/>
  <c r="C191" i="67"/>
  <c r="B192" i="67"/>
  <c r="AA92" i="55" l="1"/>
  <c r="AA93" i="55" s="1"/>
  <c r="E192" i="67"/>
  <c r="F192" i="67" a="1"/>
  <c r="F192" i="67" s="1"/>
  <c r="D192" i="67"/>
  <c r="Z34" i="55"/>
  <c r="Z93" i="55"/>
  <c r="Y35" i="55"/>
  <c r="Y20" i="55" s="1"/>
  <c r="Y37" i="55"/>
  <c r="Y38" i="55" s="1"/>
  <c r="B193" i="67"/>
  <c r="C192" i="67"/>
  <c r="AA34" i="55" l="1"/>
  <c r="AA35" i="55" s="1"/>
  <c r="AA20" i="55" s="1"/>
  <c r="E193" i="67"/>
  <c r="F193" i="67" a="1"/>
  <c r="F193" i="67" s="1"/>
  <c r="D193" i="67"/>
  <c r="Z35" i="55"/>
  <c r="Z20" i="55" s="1"/>
  <c r="Z37" i="55"/>
  <c r="Z38" i="55" s="1"/>
  <c r="C193" i="67"/>
  <c r="B194" i="67"/>
  <c r="K916" i="1"/>
  <c r="J916" i="1"/>
  <c r="I916" i="1"/>
  <c r="H916" i="1"/>
  <c r="G916" i="1"/>
  <c r="F916" i="1"/>
  <c r="AA37" i="55" l="1"/>
  <c r="AA38" i="55" s="1"/>
  <c r="E194" i="67"/>
  <c r="F194" i="67" a="1"/>
  <c r="F194" i="67" s="1"/>
  <c r="D194" i="67"/>
  <c r="C194" i="67"/>
  <c r="B195" i="67"/>
  <c r="K905" i="1"/>
  <c r="J905" i="1"/>
  <c r="I905" i="1"/>
  <c r="H905" i="1"/>
  <c r="G905" i="1"/>
  <c r="F905" i="1"/>
  <c r="F896" i="1"/>
  <c r="E195" i="67" l="1"/>
  <c r="F195" i="67" a="1"/>
  <c r="F195" i="67" s="1"/>
  <c r="D195" i="67"/>
  <c r="C195" i="67"/>
  <c r="B196" i="67"/>
  <c r="E196" i="67" l="1"/>
  <c r="F196" i="67" a="1"/>
  <c r="F196" i="67" s="1"/>
  <c r="D196" i="67"/>
  <c r="C196" i="67"/>
  <c r="B197" i="67"/>
  <c r="E197" i="67" l="1"/>
  <c r="F197" i="67" a="1"/>
  <c r="F197" i="67" s="1"/>
  <c r="D197" i="67"/>
  <c r="B198" i="67"/>
  <c r="C197" i="67"/>
  <c r="L886" i="1"/>
  <c r="L865" i="1"/>
  <c r="J865" i="1"/>
  <c r="I865" i="1"/>
  <c r="H865" i="1"/>
  <c r="G865" i="1"/>
  <c r="F865" i="1"/>
  <c r="J886" i="1"/>
  <c r="I886" i="1"/>
  <c r="H886" i="1"/>
  <c r="G886" i="1"/>
  <c r="F886" i="1"/>
  <c r="J877" i="1"/>
  <c r="I877" i="1"/>
  <c r="H877" i="1"/>
  <c r="G877" i="1"/>
  <c r="F877" i="1"/>
  <c r="C877" i="1"/>
  <c r="C886" i="1"/>
  <c r="C865" i="1"/>
  <c r="H40" i="1" l="1"/>
  <c r="H41" i="1"/>
  <c r="H42" i="1"/>
  <c r="I42" i="1" s="1"/>
  <c r="H43" i="1"/>
  <c r="I43" i="1" s="1"/>
  <c r="M876" i="1" s="1"/>
  <c r="H39" i="1"/>
  <c r="H44" i="1"/>
  <c r="I44" i="1" s="1"/>
  <c r="M883" i="1" s="1"/>
  <c r="H45" i="1"/>
  <c r="I45" i="1" s="1"/>
  <c r="M885" i="1" s="1"/>
  <c r="H38" i="1"/>
  <c r="G211" i="1" s="1"/>
  <c r="E198" i="67"/>
  <c r="F198" i="67" a="1"/>
  <c r="F198" i="67" s="1"/>
  <c r="D198" i="67"/>
  <c r="C198" i="67"/>
  <c r="B199" i="67"/>
  <c r="L888" i="1"/>
  <c r="I888" i="1"/>
  <c r="H888" i="1"/>
  <c r="F888" i="1"/>
  <c r="G888" i="1"/>
  <c r="J888" i="1"/>
  <c r="O211" i="1" l="1"/>
  <c r="N211" i="1"/>
  <c r="P211" i="1"/>
  <c r="Q211" i="1"/>
  <c r="R211" i="1"/>
  <c r="S211" i="1"/>
  <c r="T211" i="1"/>
  <c r="U211" i="1"/>
  <c r="V211" i="1"/>
  <c r="W211" i="1"/>
  <c r="M875" i="1"/>
  <c r="G204" i="1"/>
  <c r="I39" i="1"/>
  <c r="M870" i="1" s="1"/>
  <c r="N870" i="1" s="1"/>
  <c r="R870" i="1" s="1"/>
  <c r="G212" i="1"/>
  <c r="I41" i="1"/>
  <c r="M872" i="1" s="1"/>
  <c r="N872" i="1" s="1"/>
  <c r="R872" i="1" s="1"/>
  <c r="G214" i="1"/>
  <c r="I40" i="1"/>
  <c r="M871" i="1" s="1"/>
  <c r="N871" i="1" s="1"/>
  <c r="R871" i="1" s="1"/>
  <c r="G213" i="1"/>
  <c r="M886" i="1"/>
  <c r="I38" i="1"/>
  <c r="G199" i="1" s="1"/>
  <c r="H46" i="1"/>
  <c r="E199" i="67"/>
  <c r="F199" i="67" a="1"/>
  <c r="F199" i="67" s="1"/>
  <c r="D199" i="67"/>
  <c r="B200" i="67"/>
  <c r="C199" i="67"/>
  <c r="F261" i="1" l="1"/>
  <c r="O214" i="1"/>
  <c r="N214" i="1"/>
  <c r="P214" i="1"/>
  <c r="Q214" i="1"/>
  <c r="R214" i="1"/>
  <c r="S214" i="1"/>
  <c r="T214" i="1"/>
  <c r="U214" i="1"/>
  <c r="V214" i="1"/>
  <c r="W214" i="1"/>
  <c r="N212" i="1"/>
  <c r="O212" i="1"/>
  <c r="P212" i="1"/>
  <c r="Q212" i="1"/>
  <c r="R212" i="1"/>
  <c r="S212" i="1"/>
  <c r="T212" i="1"/>
  <c r="U212" i="1"/>
  <c r="V212" i="1"/>
  <c r="W212" i="1"/>
  <c r="O213" i="1"/>
  <c r="N213" i="1"/>
  <c r="P213" i="1"/>
  <c r="Q213" i="1"/>
  <c r="R213" i="1"/>
  <c r="S213" i="1"/>
  <c r="T213" i="1"/>
  <c r="U213" i="1"/>
  <c r="V213" i="1"/>
  <c r="W213" i="1"/>
  <c r="G200" i="1"/>
  <c r="G201" i="1"/>
  <c r="G202" i="1"/>
  <c r="M869" i="1"/>
  <c r="M873" i="1" s="1"/>
  <c r="M877" i="1" s="1"/>
  <c r="I46" i="1"/>
  <c r="E200" i="67"/>
  <c r="F200" i="67" a="1"/>
  <c r="F200" i="67" s="1"/>
  <c r="D200" i="67"/>
  <c r="B201" i="67"/>
  <c r="C200" i="67"/>
  <c r="V215" i="1" l="1"/>
  <c r="Q215" i="1"/>
  <c r="S215" i="1"/>
  <c r="R215" i="1"/>
  <c r="O215" i="1"/>
  <c r="W215" i="1"/>
  <c r="P215" i="1"/>
  <c r="U215" i="1"/>
  <c r="T215" i="1"/>
  <c r="N215" i="1"/>
  <c r="E201" i="67"/>
  <c r="F201" i="67" a="1"/>
  <c r="F201" i="67" s="1"/>
  <c r="D201" i="67"/>
  <c r="B202" i="67"/>
  <c r="C201" i="67"/>
  <c r="D6" i="30"/>
  <c r="D6" i="28"/>
  <c r="K14" i="28" s="1"/>
  <c r="E202" i="67" l="1"/>
  <c r="F202" i="67" a="1"/>
  <c r="F202" i="67" s="1"/>
  <c r="D202" i="67"/>
  <c r="B203" i="67"/>
  <c r="C202" i="67"/>
  <c r="E203" i="67" l="1"/>
  <c r="F203" i="67" a="1"/>
  <c r="F203" i="67" s="1"/>
  <c r="D203" i="67"/>
  <c r="C203" i="67"/>
  <c r="B204" i="67"/>
  <c r="H95" i="1"/>
  <c r="I95" i="1" s="1"/>
  <c r="E204" i="67" l="1"/>
  <c r="F204" i="67" a="1"/>
  <c r="F204" i="67" s="1"/>
  <c r="D204" i="67"/>
  <c r="C204" i="67"/>
  <c r="B205" i="67"/>
  <c r="M112" i="1"/>
  <c r="M102" i="1"/>
  <c r="E205" i="67" l="1"/>
  <c r="F205" i="67" a="1"/>
  <c r="F205" i="67" s="1"/>
  <c r="D205" i="67"/>
  <c r="C205" i="67"/>
  <c r="U11" i="1"/>
  <c r="G46" i="67" l="1"/>
  <c r="G15" i="67" s="1"/>
  <c r="R493" i="55" s="1"/>
  <c r="G65" i="67"/>
  <c r="G61" i="67"/>
  <c r="H65" i="67"/>
  <c r="H61" i="67"/>
  <c r="J61" i="67"/>
  <c r="I65" i="67"/>
  <c r="I61" i="67"/>
  <c r="M61" i="67"/>
  <c r="J65" i="67"/>
  <c r="M65" i="67"/>
  <c r="L65" i="67"/>
  <c r="K65" i="67"/>
  <c r="L61" i="67"/>
  <c r="K61" i="67"/>
  <c r="N65" i="67"/>
  <c r="N61" i="67"/>
  <c r="P65" i="67"/>
  <c r="P61" i="67"/>
  <c r="O61" i="67"/>
  <c r="O65" i="67"/>
  <c r="H46" i="67"/>
  <c r="H15" i="67" s="1"/>
  <c r="S493" i="55" s="1"/>
  <c r="I46" i="67"/>
  <c r="I15" i="67" s="1"/>
  <c r="T493" i="55" s="1"/>
  <c r="J46" i="67"/>
  <c r="J15" i="67" s="1"/>
  <c r="U493" i="55" s="1"/>
  <c r="K46" i="67"/>
  <c r="K15" i="67" s="1"/>
  <c r="V493" i="55" s="1"/>
  <c r="L46" i="67"/>
  <c r="L15" i="67" s="1"/>
  <c r="W493" i="55" s="1"/>
  <c r="N46" i="67"/>
  <c r="N15" i="67" s="1"/>
  <c r="Y493" i="55" s="1"/>
  <c r="O46" i="67"/>
  <c r="O15" i="67" s="1"/>
  <c r="Z493" i="55" s="1"/>
  <c r="M46" i="67"/>
  <c r="M15" i="67" s="1"/>
  <c r="X493" i="55" s="1"/>
  <c r="P46" i="67"/>
  <c r="P15" i="67" s="1"/>
  <c r="AA493" i="55" s="1"/>
  <c r="K66" i="67" l="1"/>
  <c r="K14" i="67" s="1"/>
  <c r="H66" i="67"/>
  <c r="O66" i="67"/>
  <c r="O14" i="67" s="1"/>
  <c r="P66" i="67"/>
  <c r="P14" i="67" s="1"/>
  <c r="G66" i="67"/>
  <c r="G14" i="67" s="1"/>
  <c r="N66" i="67"/>
  <c r="N14" i="67" s="1"/>
  <c r="L66" i="67"/>
  <c r="L14" i="67" s="1"/>
  <c r="J66" i="67"/>
  <c r="J14" i="67" s="1"/>
  <c r="M66" i="67"/>
  <c r="M14" i="67" s="1"/>
  <c r="I66" i="67"/>
  <c r="I14" i="67" s="1"/>
  <c r="T490" i="55" s="1"/>
  <c r="T496" i="55" s="1"/>
  <c r="K121" i="1"/>
  <c r="K135" i="1" s="1"/>
  <c r="K126" i="1"/>
  <c r="H114" i="1"/>
  <c r="I114" i="1" s="1"/>
  <c r="J114" i="1" s="1"/>
  <c r="K114" i="1" s="1"/>
  <c r="H105" i="1"/>
  <c r="I105" i="1" s="1"/>
  <c r="J105" i="1" s="1"/>
  <c r="K105" i="1" s="1"/>
  <c r="K141" i="1" l="1"/>
  <c r="K224" i="1" s="1"/>
  <c r="C260" i="1"/>
  <c r="I18" i="67"/>
  <c r="G18" i="67"/>
  <c r="R490" i="55"/>
  <c r="R496" i="55" s="1"/>
  <c r="R337" i="55" s="1"/>
  <c r="R341" i="55" s="1"/>
  <c r="R40" i="55" s="1"/>
  <c r="N18" i="67"/>
  <c r="Y490" i="55"/>
  <c r="Y496" i="55" s="1"/>
  <c r="Y337" i="55" s="1"/>
  <c r="Y341" i="55" s="1"/>
  <c r="Y40" i="55" s="1"/>
  <c r="J18" i="67"/>
  <c r="U490" i="55"/>
  <c r="U496" i="55" s="1"/>
  <c r="U337" i="55" s="1"/>
  <c r="U341" i="55" s="1"/>
  <c r="L18" i="67"/>
  <c r="W490" i="55"/>
  <c r="W496" i="55" s="1"/>
  <c r="K18" i="67"/>
  <c r="V490" i="55"/>
  <c r="V496" i="55" s="1"/>
  <c r="V337" i="55" s="1"/>
  <c r="V341" i="55" s="1"/>
  <c r="M18" i="67"/>
  <c r="X490" i="55"/>
  <c r="X496" i="55" s="1"/>
  <c r="P18" i="67"/>
  <c r="AA490" i="55"/>
  <c r="AA496" i="55" s="1"/>
  <c r="AA337" i="55" s="1"/>
  <c r="AA341" i="55" s="1"/>
  <c r="O18" i="67"/>
  <c r="Z490" i="55"/>
  <c r="Z496" i="55" s="1"/>
  <c r="Z337" i="55" s="1"/>
  <c r="Z341" i="55" s="1"/>
  <c r="H14" i="67"/>
  <c r="T337" i="55"/>
  <c r="T341" i="55" s="1"/>
  <c r="K131" i="1"/>
  <c r="K130" i="1"/>
  <c r="K129" i="1"/>
  <c r="E114" i="1"/>
  <c r="D11" i="30" s="1"/>
  <c r="E113" i="1"/>
  <c r="D10" i="30" s="1"/>
  <c r="E105" i="1"/>
  <c r="D11" i="28" s="1"/>
  <c r="E103" i="1"/>
  <c r="E112" i="1"/>
  <c r="D9" i="30" s="1"/>
  <c r="E110" i="1"/>
  <c r="C854" i="1"/>
  <c r="C504" i="1"/>
  <c r="C474" i="1"/>
  <c r="C426" i="1"/>
  <c r="C168" i="1"/>
  <c r="C139" i="1"/>
  <c r="K144" i="1" l="1"/>
  <c r="F260" i="1" s="1"/>
  <c r="F262" i="1" s="1"/>
  <c r="D8" i="30"/>
  <c r="E111" i="1"/>
  <c r="D9" i="28"/>
  <c r="K148" i="1"/>
  <c r="K145" i="1"/>
  <c r="H18" i="67"/>
  <c r="S490" i="55"/>
  <c r="R342" i="55"/>
  <c r="Y342" i="55"/>
  <c r="Z40" i="55"/>
  <c r="Z342" i="55"/>
  <c r="AA40" i="55"/>
  <c r="AA342" i="55"/>
  <c r="V40" i="55"/>
  <c r="V342" i="55"/>
  <c r="R41" i="55"/>
  <c r="R21" i="55" s="1"/>
  <c r="R43" i="55"/>
  <c r="R44" i="55" s="1"/>
  <c r="U40" i="55"/>
  <c r="U342" i="55"/>
  <c r="T40" i="55"/>
  <c r="T342" i="55"/>
  <c r="Y41" i="55"/>
  <c r="Y21" i="55" s="1"/>
  <c r="Y43" i="55"/>
  <c r="Y44" i="55" s="1"/>
  <c r="K885" i="1"/>
  <c r="K882" i="1"/>
  <c r="K146" i="1" l="1"/>
  <c r="S496" i="55"/>
  <c r="S337" i="55" s="1"/>
  <c r="S341" i="55" s="1"/>
  <c r="X337" i="55"/>
  <c r="X341" i="55" s="1"/>
  <c r="X342" i="55" s="1"/>
  <c r="V41" i="55"/>
  <c r="V21" i="55" s="1"/>
  <c r="V43" i="55"/>
  <c r="V44" i="55" s="1"/>
  <c r="T41" i="55"/>
  <c r="T21" i="55" s="1"/>
  <c r="T43" i="55"/>
  <c r="T44" i="55" s="1"/>
  <c r="U41" i="55"/>
  <c r="U21" i="55" s="1"/>
  <c r="U43" i="55"/>
  <c r="U44" i="55" s="1"/>
  <c r="AA41" i="55"/>
  <c r="AA21" i="55" s="1"/>
  <c r="AA43" i="55"/>
  <c r="AA44" i="55" s="1"/>
  <c r="Z41" i="55"/>
  <c r="Z21" i="55" s="1"/>
  <c r="Z43" i="55"/>
  <c r="Z44" i="55" s="1"/>
  <c r="W337" i="55"/>
  <c r="W341" i="55" s="1"/>
  <c r="N885" i="1"/>
  <c r="R885" i="1" s="1"/>
  <c r="N880" i="1"/>
  <c r="K149" i="1" l="1"/>
  <c r="S40" i="55"/>
  <c r="S342" i="55"/>
  <c r="X40" i="55"/>
  <c r="X41" i="55" s="1"/>
  <c r="X21" i="55" s="1"/>
  <c r="W40" i="55"/>
  <c r="W342" i="55"/>
  <c r="K152" i="1" l="1"/>
  <c r="K156" i="1" s="1"/>
  <c r="S43" i="55"/>
  <c r="S44" i="55" s="1"/>
  <c r="S41" i="55"/>
  <c r="S21" i="55" s="1"/>
  <c r="X43" i="55"/>
  <c r="X44" i="55" s="1"/>
  <c r="W41" i="55"/>
  <c r="W21" i="55" s="1"/>
  <c r="W43" i="55"/>
  <c r="W44" i="55" s="1"/>
  <c r="K883" i="1" l="1"/>
  <c r="N883" i="1" l="1"/>
  <c r="R883" i="1" s="1"/>
  <c r="C763" i="1" l="1"/>
  <c r="C757" i="1"/>
  <c r="M813" i="1"/>
  <c r="N600" i="1"/>
  <c r="M538" i="1"/>
  <c r="M574" i="1" s="1"/>
  <c r="C742" i="1" l="1"/>
  <c r="C758" i="1"/>
  <c r="C753" i="1"/>
  <c r="C778" i="1"/>
  <c r="C777" i="1"/>
  <c r="N534" i="1" l="1"/>
  <c r="P599" i="1" l="1"/>
  <c r="Q599" i="1"/>
  <c r="R599" i="1"/>
  <c r="S599" i="1"/>
  <c r="T599" i="1"/>
  <c r="U599" i="1"/>
  <c r="V599" i="1"/>
  <c r="W599" i="1"/>
  <c r="P600" i="1"/>
  <c r="Q600" i="1"/>
  <c r="R600" i="1"/>
  <c r="S600" i="1"/>
  <c r="T600" i="1"/>
  <c r="U600" i="1"/>
  <c r="V600" i="1"/>
  <c r="W600" i="1"/>
  <c r="N599" i="1"/>
  <c r="E104" i="1"/>
  <c r="D10" i="28" s="1"/>
  <c r="E100" i="1"/>
  <c r="E92" i="1"/>
  <c r="E78" i="1"/>
  <c r="E79" i="1"/>
  <c r="E80" i="1"/>
  <c r="E81" i="1"/>
  <c r="E82" i="1"/>
  <c r="E83" i="1"/>
  <c r="E84" i="1"/>
  <c r="E85" i="1"/>
  <c r="E86" i="1"/>
  <c r="E73" i="1"/>
  <c r="E74" i="1" s="1"/>
  <c r="H9" i="28" l="1"/>
  <c r="E25" i="1"/>
  <c r="C535" i="1"/>
  <c r="E87" i="1"/>
  <c r="E91" i="1" s="1"/>
  <c r="O69" i="1"/>
  <c r="O79" i="1" s="1"/>
  <c r="N67" i="1"/>
  <c r="O67" i="1" s="1"/>
  <c r="P67" i="1" s="1"/>
  <c r="Q67" i="1" s="1"/>
  <c r="R67" i="1" s="1"/>
  <c r="S67" i="1" s="1"/>
  <c r="T67" i="1" s="1"/>
  <c r="U67" i="1" s="1"/>
  <c r="V67" i="1" s="1"/>
  <c r="W67" i="1" s="1"/>
  <c r="N66" i="1"/>
  <c r="G120" i="1"/>
  <c r="N121" i="1"/>
  <c r="N129" i="1" s="1"/>
  <c r="N120" i="1"/>
  <c r="N135" i="1" l="1"/>
  <c r="I26" i="1"/>
  <c r="N91" i="1"/>
  <c r="N126" i="1"/>
  <c r="N506" i="1" s="1"/>
  <c r="N124" i="1"/>
  <c r="N626" i="1" s="1"/>
  <c r="N122" i="1"/>
  <c r="N134" i="1"/>
  <c r="N133" i="1"/>
  <c r="N132" i="1"/>
  <c r="N131" i="1"/>
  <c r="N130" i="1"/>
  <c r="N110" i="1"/>
  <c r="P69" i="1"/>
  <c r="P79" i="1" s="1"/>
  <c r="O66" i="1"/>
  <c r="O110" i="1" s="1"/>
  <c r="G121" i="1"/>
  <c r="O120" i="1"/>
  <c r="O121" i="1" s="1"/>
  <c r="I27" i="1" s="1"/>
  <c r="N230" i="1" l="1"/>
  <c r="N189" i="1"/>
  <c r="N255" i="1"/>
  <c r="N222" i="1"/>
  <c r="H31" i="45"/>
  <c r="H60" i="45"/>
  <c r="N606" i="1"/>
  <c r="G126" i="1"/>
  <c r="G135" i="1"/>
  <c r="O126" i="1"/>
  <c r="O135" i="1"/>
  <c r="O230" i="1" s="1"/>
  <c r="N495" i="1"/>
  <c r="N588" i="1"/>
  <c r="N458" i="1"/>
  <c r="N792" i="1"/>
  <c r="N428" i="1"/>
  <c r="N726" i="1"/>
  <c r="N141" i="1"/>
  <c r="N144" i="1"/>
  <c r="N515" i="1" a="1"/>
  <c r="N515" i="1" s="1"/>
  <c r="N514" i="1" a="1"/>
  <c r="N514" i="1" s="1"/>
  <c r="N513" i="1" a="1"/>
  <c r="N513" i="1" s="1"/>
  <c r="N512" i="1" a="1"/>
  <c r="N512" i="1" s="1"/>
  <c r="N517" i="1" a="1"/>
  <c r="N517" i="1" s="1"/>
  <c r="N516" i="1" a="1"/>
  <c r="N516" i="1" s="1"/>
  <c r="N724" i="1"/>
  <c r="N790" i="1"/>
  <c r="N586" i="1"/>
  <c r="N604" i="1"/>
  <c r="N493" i="1"/>
  <c r="N504" i="1"/>
  <c r="N426" i="1"/>
  <c r="N456" i="1"/>
  <c r="N139" i="1"/>
  <c r="G129" i="1"/>
  <c r="G131" i="1"/>
  <c r="G130" i="1"/>
  <c r="O134" i="1"/>
  <c r="O133" i="1"/>
  <c r="O132" i="1"/>
  <c r="O129" i="1"/>
  <c r="O131" i="1"/>
  <c r="O130" i="1"/>
  <c r="Q69" i="1"/>
  <c r="Q79" i="1" s="1"/>
  <c r="P66" i="1"/>
  <c r="P110" i="1" s="1"/>
  <c r="O122" i="1"/>
  <c r="P120" i="1"/>
  <c r="P121" i="1" s="1"/>
  <c r="H121" i="1"/>
  <c r="H120" i="1"/>
  <c r="N260" i="1" l="1"/>
  <c r="N261" i="1" s="1"/>
  <c r="N262" i="1" s="1"/>
  <c r="N227" i="1"/>
  <c r="N229" i="1"/>
  <c r="N438" i="1" s="1"/>
  <c r="N635" i="1" s="1"/>
  <c r="O257" i="1"/>
  <c r="O332" i="1"/>
  <c r="O224" i="1"/>
  <c r="O232" i="1" s="1"/>
  <c r="G224" i="1"/>
  <c r="O792" i="1"/>
  <c r="O191" i="1"/>
  <c r="P191" i="1" s="1"/>
  <c r="Q191" i="1" s="1"/>
  <c r="R191" i="1" s="1"/>
  <c r="S191" i="1" s="1"/>
  <c r="T191" i="1" s="1"/>
  <c r="U191" i="1" s="1"/>
  <c r="V191" i="1" s="1"/>
  <c r="W191" i="1" s="1"/>
  <c r="O475" i="1"/>
  <c r="P475" i="1" s="1"/>
  <c r="Q475" i="1" s="1"/>
  <c r="R475" i="1" s="1"/>
  <c r="S475" i="1" s="1"/>
  <c r="T475" i="1" s="1"/>
  <c r="U475" i="1" s="1"/>
  <c r="V475" i="1" s="1"/>
  <c r="W475" i="1" s="1"/>
  <c r="N148" i="1"/>
  <c r="G169" i="1"/>
  <c r="G141" i="1"/>
  <c r="G148" i="1" s="1"/>
  <c r="O506" i="1"/>
  <c r="O458" i="1"/>
  <c r="O495" i="1"/>
  <c r="O726" i="1"/>
  <c r="O428" i="1"/>
  <c r="O588" i="1"/>
  <c r="O606" i="1"/>
  <c r="O682" i="1"/>
  <c r="P682" i="1" s="1"/>
  <c r="Q682" i="1" s="1"/>
  <c r="R682" i="1" s="1"/>
  <c r="S682" i="1" s="1"/>
  <c r="T682" i="1" s="1"/>
  <c r="U682" i="1" s="1"/>
  <c r="V682" i="1" s="1"/>
  <c r="W682" i="1" s="1"/>
  <c r="O141" i="1"/>
  <c r="O705" i="1"/>
  <c r="P705" i="1" s="1"/>
  <c r="Q705" i="1" s="1"/>
  <c r="R705" i="1" s="1"/>
  <c r="S705" i="1" s="1"/>
  <c r="T705" i="1" s="1"/>
  <c r="U705" i="1" s="1"/>
  <c r="V705" i="1" s="1"/>
  <c r="W705" i="1" s="1"/>
  <c r="O522" i="1"/>
  <c r="P522" i="1" s="1"/>
  <c r="Q522" i="1" s="1"/>
  <c r="R522" i="1" s="1"/>
  <c r="S522" i="1" s="1"/>
  <c r="T522" i="1" s="1"/>
  <c r="U522" i="1" s="1"/>
  <c r="V522" i="1" s="1"/>
  <c r="W522" i="1" s="1"/>
  <c r="O628" i="1"/>
  <c r="P628" i="1" s="1"/>
  <c r="Q628" i="1" s="1"/>
  <c r="R628" i="1" s="1"/>
  <c r="S628" i="1" s="1"/>
  <c r="T628" i="1" s="1"/>
  <c r="U628" i="1" s="1"/>
  <c r="V628" i="1" s="1"/>
  <c r="W628" i="1" s="1"/>
  <c r="G856" i="1"/>
  <c r="H126" i="1"/>
  <c r="H135" i="1"/>
  <c r="P126" i="1"/>
  <c r="P726" i="1" s="1"/>
  <c r="P135" i="1"/>
  <c r="P230" i="1" s="1"/>
  <c r="O512" i="1" a="1"/>
  <c r="O512" i="1" s="1"/>
  <c r="O513" i="1" a="1"/>
  <c r="O513" i="1" s="1"/>
  <c r="O514" i="1" a="1"/>
  <c r="O514" i="1" s="1"/>
  <c r="O515" i="1" a="1"/>
  <c r="O515" i="1" s="1"/>
  <c r="O516" i="1" a="1"/>
  <c r="O516" i="1" s="1"/>
  <c r="O517" i="1" a="1"/>
  <c r="O517" i="1" s="1"/>
  <c r="H131" i="1"/>
  <c r="H129" i="1"/>
  <c r="H130" i="1"/>
  <c r="Q66" i="1"/>
  <c r="Q110" i="1" s="1"/>
  <c r="P133" i="1"/>
  <c r="P132" i="1"/>
  <c r="P134" i="1"/>
  <c r="P129" i="1"/>
  <c r="P130" i="1"/>
  <c r="P131" i="1"/>
  <c r="R69" i="1"/>
  <c r="R79" i="1" s="1"/>
  <c r="P122" i="1"/>
  <c r="Q120" i="1"/>
  <c r="I120" i="1"/>
  <c r="I121" i="1"/>
  <c r="O335" i="1" l="1"/>
  <c r="O334" i="1"/>
  <c r="P224" i="1"/>
  <c r="P232" i="1" s="1"/>
  <c r="P257" i="1"/>
  <c r="Q257" i="1" s="1"/>
  <c r="R257" i="1" s="1"/>
  <c r="S257" i="1" s="1"/>
  <c r="T257" i="1" s="1"/>
  <c r="U257" i="1" s="1"/>
  <c r="V257" i="1" s="1"/>
  <c r="W257" i="1" s="1"/>
  <c r="O340" i="1"/>
  <c r="O339" i="1"/>
  <c r="G145" i="1"/>
  <c r="G144" i="1"/>
  <c r="P332" i="1"/>
  <c r="H224" i="1"/>
  <c r="P792" i="1"/>
  <c r="H169" i="1"/>
  <c r="P606" i="1"/>
  <c r="P141" i="1"/>
  <c r="P495" i="1"/>
  <c r="P588" i="1"/>
  <c r="P506" i="1"/>
  <c r="H141" i="1"/>
  <c r="H144" i="1" s="1"/>
  <c r="P458" i="1"/>
  <c r="H856" i="1"/>
  <c r="P428" i="1"/>
  <c r="I126" i="1"/>
  <c r="I135" i="1"/>
  <c r="P512" i="1" a="1"/>
  <c r="P512" i="1" s="1"/>
  <c r="P513" i="1" a="1"/>
  <c r="P513" i="1" s="1"/>
  <c r="P517" i="1" a="1"/>
  <c r="P517" i="1" s="1"/>
  <c r="P514" i="1" a="1"/>
  <c r="P514" i="1" s="1"/>
  <c r="P515" i="1" a="1"/>
  <c r="P515" i="1" s="1"/>
  <c r="P516" i="1" a="1"/>
  <c r="P516" i="1" s="1"/>
  <c r="J121" i="1"/>
  <c r="J135" i="1" s="1"/>
  <c r="I131" i="1"/>
  <c r="I129" i="1"/>
  <c r="I130" i="1"/>
  <c r="S69" i="1"/>
  <c r="S79" i="1" s="1"/>
  <c r="Q121" i="1"/>
  <c r="J120" i="1"/>
  <c r="Q224" i="1" l="1"/>
  <c r="Q232" i="1" s="1"/>
  <c r="P335" i="1"/>
  <c r="P334" i="1"/>
  <c r="G229" i="1"/>
  <c r="G227" i="1"/>
  <c r="H229" i="1"/>
  <c r="H227" i="1"/>
  <c r="O341" i="1"/>
  <c r="O336" i="1"/>
  <c r="P340" i="1"/>
  <c r="P339" i="1"/>
  <c r="G146" i="1"/>
  <c r="Q332" i="1"/>
  <c r="I224" i="1"/>
  <c r="I856" i="1"/>
  <c r="H145" i="1"/>
  <c r="H146" i="1" s="1"/>
  <c r="H148" i="1"/>
  <c r="I141" i="1"/>
  <c r="I145" i="1" s="1"/>
  <c r="I169" i="1"/>
  <c r="Q126" i="1"/>
  <c r="Q726" i="1" s="1"/>
  <c r="Q135" i="1"/>
  <c r="Q230" i="1" s="1"/>
  <c r="J126" i="1"/>
  <c r="Q132" i="1"/>
  <c r="Q134" i="1"/>
  <c r="Q133" i="1"/>
  <c r="Q129" i="1"/>
  <c r="Q131" i="1"/>
  <c r="Q130" i="1"/>
  <c r="J129" i="1"/>
  <c r="J131" i="1"/>
  <c r="J130" i="1"/>
  <c r="R120" i="1"/>
  <c r="R121" i="1" s="1"/>
  <c r="Q122" i="1"/>
  <c r="R66" i="1"/>
  <c r="R110" i="1" s="1"/>
  <c r="T69" i="1"/>
  <c r="T79" i="1" s="1"/>
  <c r="R224" i="1" l="1"/>
  <c r="R232" i="1" s="1"/>
  <c r="Q334" i="1"/>
  <c r="Q335" i="1"/>
  <c r="E271" i="1"/>
  <c r="D303" i="1" s="1"/>
  <c r="Q303" i="1" s="1"/>
  <c r="E275" i="1"/>
  <c r="D307" i="1" s="1"/>
  <c r="U307" i="1" s="1"/>
  <c r="V307" i="1" s="1"/>
  <c r="W307" i="1" s="1"/>
  <c r="D271" i="1"/>
  <c r="F271" i="1"/>
  <c r="D317" i="1" s="1"/>
  <c r="Q317" i="1" s="1"/>
  <c r="E272" i="1"/>
  <c r="D304" i="1" s="1"/>
  <c r="R304" i="1" s="1"/>
  <c r="E276" i="1"/>
  <c r="D308" i="1" s="1"/>
  <c r="V308" i="1" s="1"/>
  <c r="W308" i="1" s="1"/>
  <c r="D273" i="1"/>
  <c r="F274" i="1"/>
  <c r="D320" i="1" s="1"/>
  <c r="T320" i="1" s="1"/>
  <c r="F275" i="1"/>
  <c r="D321" i="1" s="1"/>
  <c r="U321" i="1" s="1"/>
  <c r="V321" i="1" s="1"/>
  <c r="W321" i="1" s="1"/>
  <c r="F272" i="1"/>
  <c r="D318" i="1" s="1"/>
  <c r="R318" i="1" s="1"/>
  <c r="F276" i="1"/>
  <c r="D322" i="1" s="1"/>
  <c r="V322" i="1" s="1"/>
  <c r="W322" i="1" s="1"/>
  <c r="D274" i="1"/>
  <c r="D270" i="1"/>
  <c r="E269" i="1"/>
  <c r="D301" i="1" s="1"/>
  <c r="O301" i="1" s="1"/>
  <c r="E273" i="1"/>
  <c r="D305" i="1" s="1"/>
  <c r="S305" i="1" s="1"/>
  <c r="E277" i="1"/>
  <c r="D309" i="1" s="1"/>
  <c r="W309" i="1" s="1"/>
  <c r="D275" i="1"/>
  <c r="F269" i="1"/>
  <c r="D315" i="1" s="1"/>
  <c r="O315" i="1" s="1"/>
  <c r="P315" i="1" s="1"/>
  <c r="Q315" i="1" s="1"/>
  <c r="R315" i="1" s="1"/>
  <c r="S315" i="1" s="1"/>
  <c r="T315" i="1" s="1"/>
  <c r="U315" i="1" s="1"/>
  <c r="V315" i="1" s="1"/>
  <c r="W315" i="1" s="1"/>
  <c r="F273" i="1"/>
  <c r="D319" i="1" s="1"/>
  <c r="S319" i="1" s="1"/>
  <c r="F277" i="1"/>
  <c r="D323" i="1" s="1"/>
  <c r="W323" i="1" s="1"/>
  <c r="D276" i="1"/>
  <c r="E270" i="1"/>
  <c r="D302" i="1" s="1"/>
  <c r="P302" i="1" s="1"/>
  <c r="E274" i="1"/>
  <c r="D306" i="1" s="1"/>
  <c r="T306" i="1" s="1"/>
  <c r="D269" i="1"/>
  <c r="D277" i="1"/>
  <c r="F270" i="1"/>
  <c r="D316" i="1" s="1"/>
  <c r="P316" i="1" s="1"/>
  <c r="Q316" i="1" s="1"/>
  <c r="R316" i="1" s="1"/>
  <c r="S316" i="1" s="1"/>
  <c r="T316" i="1" s="1"/>
  <c r="U316" i="1" s="1"/>
  <c r="V316" i="1" s="1"/>
  <c r="W316" i="1" s="1"/>
  <c r="D272" i="1"/>
  <c r="H230" i="1"/>
  <c r="G230" i="1"/>
  <c r="P341" i="1"/>
  <c r="P336" i="1"/>
  <c r="P439" i="1" s="1"/>
  <c r="Q340" i="1"/>
  <c r="Q339" i="1"/>
  <c r="R332" i="1"/>
  <c r="J224" i="1"/>
  <c r="J856" i="1"/>
  <c r="I144" i="1"/>
  <c r="Q506" i="1"/>
  <c r="I148" i="1"/>
  <c r="Q428" i="1"/>
  <c r="Q141" i="1"/>
  <c r="Q606" i="1"/>
  <c r="Q588" i="1"/>
  <c r="Q495" i="1"/>
  <c r="Q458" i="1"/>
  <c r="Q792" i="1"/>
  <c r="R126" i="1"/>
  <c r="R588" i="1" s="1"/>
  <c r="R135" i="1"/>
  <c r="R230" i="1" s="1"/>
  <c r="J141" i="1"/>
  <c r="J169" i="1"/>
  <c r="Q512" i="1" a="1"/>
  <c r="Q512" i="1" s="1"/>
  <c r="Q517" i="1" a="1"/>
  <c r="Q517" i="1" s="1"/>
  <c r="Q513" i="1" a="1"/>
  <c r="Q513" i="1" s="1"/>
  <c r="Q516" i="1" a="1"/>
  <c r="Q516" i="1" s="1"/>
  <c r="Q514" i="1" a="1"/>
  <c r="Q514" i="1" s="1"/>
  <c r="Q515" i="1" a="1"/>
  <c r="Q515" i="1" s="1"/>
  <c r="S120" i="1"/>
  <c r="S121" i="1" s="1"/>
  <c r="R134" i="1"/>
  <c r="R132" i="1"/>
  <c r="R133" i="1"/>
  <c r="R129" i="1"/>
  <c r="R130" i="1"/>
  <c r="R131" i="1"/>
  <c r="R122" i="1"/>
  <c r="S66" i="1"/>
  <c r="S110" i="1" s="1"/>
  <c r="U69" i="1"/>
  <c r="U79" i="1" s="1"/>
  <c r="G275" i="1" l="1"/>
  <c r="S224" i="1"/>
  <c r="S232" i="1" s="1"/>
  <c r="G272" i="1"/>
  <c r="G274" i="1"/>
  <c r="G276" i="1"/>
  <c r="V276" i="1" s="1"/>
  <c r="V278" i="1" s="1"/>
  <c r="V437" i="1" s="1"/>
  <c r="G270" i="1"/>
  <c r="P270" i="1" s="1"/>
  <c r="P278" i="1" s="1"/>
  <c r="P437" i="1" s="1"/>
  <c r="G271" i="1"/>
  <c r="Q271" i="1" s="1"/>
  <c r="Q278" i="1" s="1"/>
  <c r="Q437" i="1" s="1"/>
  <c r="G277" i="1"/>
  <c r="W277" i="1" s="1"/>
  <c r="W278" i="1" s="1"/>
  <c r="W437" i="1" s="1"/>
  <c r="G269" i="1"/>
  <c r="O269" i="1" s="1"/>
  <c r="O278" i="1" s="1"/>
  <c r="O437" i="1" s="1"/>
  <c r="G273" i="1"/>
  <c r="S273" i="1" s="1"/>
  <c r="S278" i="1" s="1"/>
  <c r="S437" i="1" s="1"/>
  <c r="R334" i="1"/>
  <c r="R335" i="1"/>
  <c r="D291" i="1"/>
  <c r="S291" i="1" s="1"/>
  <c r="T291" i="1" s="1"/>
  <c r="U291" i="1" s="1"/>
  <c r="V291" i="1" s="1"/>
  <c r="D294" i="1"/>
  <c r="V294" i="1" s="1"/>
  <c r="W294" i="1" s="1"/>
  <c r="D288" i="1"/>
  <c r="P288" i="1" s="1"/>
  <c r="Q288" i="1" s="1"/>
  <c r="R288" i="1" s="1"/>
  <c r="D287" i="1"/>
  <c r="O287" i="1" s="1"/>
  <c r="P287" i="1" s="1"/>
  <c r="Q287" i="1" s="1"/>
  <c r="D292" i="1"/>
  <c r="T292" i="1" s="1"/>
  <c r="U292" i="1" s="1"/>
  <c r="V292" i="1" s="1"/>
  <c r="D290" i="1"/>
  <c r="R290" i="1" s="1"/>
  <c r="S290" i="1" s="1"/>
  <c r="T290" i="1" s="1"/>
  <c r="R272" i="1"/>
  <c r="R278" i="1" s="1"/>
  <c r="R437" i="1" s="1"/>
  <c r="D289" i="1"/>
  <c r="Q289" i="1" s="1"/>
  <c r="R289" i="1" s="1"/>
  <c r="S289" i="1" s="1"/>
  <c r="D295" i="1"/>
  <c r="W295" i="1" s="1"/>
  <c r="D293" i="1"/>
  <c r="U293" i="1" s="1"/>
  <c r="V293" i="1" s="1"/>
  <c r="W293" i="1" s="1"/>
  <c r="I227" i="1"/>
  <c r="U320" i="1"/>
  <c r="U306" i="1"/>
  <c r="V306" i="1" s="1"/>
  <c r="T305" i="1"/>
  <c r="U305" i="1" s="1"/>
  <c r="V305" i="1" s="1"/>
  <c r="W305" i="1" s="1"/>
  <c r="Q302" i="1"/>
  <c r="R302" i="1" s="1"/>
  <c r="P301" i="1"/>
  <c r="Q301" i="1" s="1"/>
  <c r="S304" i="1"/>
  <c r="T304" i="1" s="1"/>
  <c r="U304" i="1" s="1"/>
  <c r="V304" i="1" s="1"/>
  <c r="R317" i="1"/>
  <c r="S317" i="1" s="1"/>
  <c r="T319" i="1"/>
  <c r="U319" i="1" s="1"/>
  <c r="S318" i="1"/>
  <c r="T318" i="1" s="1"/>
  <c r="R303" i="1"/>
  <c r="S303" i="1" s="1"/>
  <c r="E268" i="1"/>
  <c r="D300" i="1" s="1"/>
  <c r="N300" i="1" s="1"/>
  <c r="F268" i="1"/>
  <c r="D314" i="1" s="1"/>
  <c r="N314" i="1" s="1"/>
  <c r="D268" i="1"/>
  <c r="U275" i="1"/>
  <c r="U278" i="1" s="1"/>
  <c r="U437" i="1" s="1"/>
  <c r="T274" i="1"/>
  <c r="T278" i="1" s="1"/>
  <c r="T437" i="1" s="1"/>
  <c r="I146" i="1"/>
  <c r="I229" i="1"/>
  <c r="Q341" i="1"/>
  <c r="R339" i="1"/>
  <c r="R340" i="1"/>
  <c r="Q336" i="1"/>
  <c r="Q439" i="1" s="1"/>
  <c r="S332" i="1"/>
  <c r="R428" i="1"/>
  <c r="R458" i="1"/>
  <c r="R792" i="1"/>
  <c r="R726" i="1"/>
  <c r="R141" i="1"/>
  <c r="R506" i="1"/>
  <c r="R606" i="1"/>
  <c r="R495" i="1"/>
  <c r="S126" i="1"/>
  <c r="S792" i="1" s="1"/>
  <c r="S135" i="1"/>
  <c r="S230" i="1" s="1"/>
  <c r="J144" i="1"/>
  <c r="J148" i="1"/>
  <c r="J145" i="1"/>
  <c r="R517" i="1" a="1"/>
  <c r="R517" i="1" s="1"/>
  <c r="R515" i="1" a="1"/>
  <c r="R515" i="1" s="1"/>
  <c r="R512" i="1" a="1"/>
  <c r="R512" i="1" s="1"/>
  <c r="R516" i="1" a="1"/>
  <c r="R516" i="1" s="1"/>
  <c r="R513" i="1" a="1"/>
  <c r="R513" i="1" s="1"/>
  <c r="R514" i="1" a="1"/>
  <c r="R514" i="1" s="1"/>
  <c r="T120" i="1"/>
  <c r="T121" i="1" s="1"/>
  <c r="S122" i="1"/>
  <c r="T66" i="1"/>
  <c r="T110" i="1" s="1"/>
  <c r="S132" i="1"/>
  <c r="S134" i="1"/>
  <c r="S133" i="1"/>
  <c r="S129" i="1"/>
  <c r="S131" i="1"/>
  <c r="S130" i="1"/>
  <c r="V69" i="1"/>
  <c r="V79" i="1" s="1"/>
  <c r="T224" i="1" l="1"/>
  <c r="T232" i="1" s="1"/>
  <c r="G268" i="1"/>
  <c r="I230" i="1"/>
  <c r="S335" i="1"/>
  <c r="S334" i="1"/>
  <c r="D286" i="1"/>
  <c r="N286" i="1" s="1"/>
  <c r="N296" i="1" s="1"/>
  <c r="N268" i="1"/>
  <c r="N278" i="1" s="1"/>
  <c r="N437" i="1" s="1"/>
  <c r="N441" i="1" s="1"/>
  <c r="S288" i="1"/>
  <c r="T288" i="1" s="1"/>
  <c r="T303" i="1"/>
  <c r="U303" i="1" s="1"/>
  <c r="V303" i="1" s="1"/>
  <c r="T317" i="1"/>
  <c r="T289" i="1"/>
  <c r="U289" i="1" s="1"/>
  <c r="R287" i="1"/>
  <c r="S287" i="1" s="1"/>
  <c r="T287" i="1" s="1"/>
  <c r="N324" i="1"/>
  <c r="O314" i="1"/>
  <c r="O324" i="1" s="1"/>
  <c r="W304" i="1"/>
  <c r="O300" i="1"/>
  <c r="O310" i="1" s="1"/>
  <c r="N310" i="1"/>
  <c r="V319" i="1"/>
  <c r="W319" i="1" s="1"/>
  <c r="W292" i="1"/>
  <c r="S302" i="1"/>
  <c r="T302" i="1" s="1"/>
  <c r="W306" i="1"/>
  <c r="R301" i="1"/>
  <c r="W291" i="1"/>
  <c r="V320" i="1"/>
  <c r="W320" i="1" s="1"/>
  <c r="U318" i="1"/>
  <c r="V318" i="1" s="1"/>
  <c r="W318" i="1" s="1"/>
  <c r="U290" i="1"/>
  <c r="V290" i="1" s="1"/>
  <c r="U224" i="1"/>
  <c r="U232" i="1" s="1"/>
  <c r="J229" i="1"/>
  <c r="J227" i="1"/>
  <c r="S340" i="1"/>
  <c r="S339" i="1"/>
  <c r="R341" i="1"/>
  <c r="R336" i="1"/>
  <c r="R439" i="1" s="1"/>
  <c r="T332" i="1"/>
  <c r="S141" i="1"/>
  <c r="S506" i="1"/>
  <c r="S588" i="1"/>
  <c r="S606" i="1"/>
  <c r="S495" i="1"/>
  <c r="S458" i="1"/>
  <c r="S726" i="1"/>
  <c r="S428" i="1"/>
  <c r="T126" i="1"/>
  <c r="T428" i="1" s="1"/>
  <c r="T135" i="1"/>
  <c r="T230" i="1" s="1"/>
  <c r="J146" i="1"/>
  <c r="T129" i="1"/>
  <c r="T122" i="1"/>
  <c r="T133" i="1"/>
  <c r="U120" i="1"/>
  <c r="U121" i="1" s="1"/>
  <c r="U66" i="1"/>
  <c r="U110" i="1" s="1"/>
  <c r="T130" i="1"/>
  <c r="T131" i="1"/>
  <c r="S516" i="1" a="1"/>
  <c r="S516" i="1" s="1"/>
  <c r="S517" i="1" a="1"/>
  <c r="S517" i="1" s="1"/>
  <c r="S514" i="1" a="1"/>
  <c r="S514" i="1" s="1"/>
  <c r="S512" i="1" a="1"/>
  <c r="S512" i="1" s="1"/>
  <c r="S515" i="1" a="1"/>
  <c r="S515" i="1" s="1"/>
  <c r="S513" i="1" a="1"/>
  <c r="S513" i="1" s="1"/>
  <c r="T132" i="1"/>
  <c r="T134" i="1"/>
  <c r="W69" i="1"/>
  <c r="W79" i="1" s="1"/>
  <c r="O286" i="1" l="1"/>
  <c r="O296" i="1" s="1"/>
  <c r="O326" i="1" s="1"/>
  <c r="T335" i="1"/>
  <c r="T334" i="1"/>
  <c r="N326" i="1"/>
  <c r="U288" i="1"/>
  <c r="V288" i="1" s="1"/>
  <c r="W288" i="1" s="1"/>
  <c r="P300" i="1"/>
  <c r="P310" i="1" s="1"/>
  <c r="W303" i="1"/>
  <c r="V289" i="1"/>
  <c r="W289" i="1" s="1"/>
  <c r="U317" i="1"/>
  <c r="V317" i="1" s="1"/>
  <c r="W317" i="1" s="1"/>
  <c r="S301" i="1"/>
  <c r="T301" i="1" s="1"/>
  <c r="U301" i="1" s="1"/>
  <c r="V301" i="1" s="1"/>
  <c r="U287" i="1"/>
  <c r="V287" i="1" s="1"/>
  <c r="W287" i="1" s="1"/>
  <c r="P314" i="1"/>
  <c r="W290" i="1"/>
  <c r="U302" i="1"/>
  <c r="V224" i="1"/>
  <c r="V232" i="1" s="1"/>
  <c r="J230" i="1"/>
  <c r="T516" i="1" a="1"/>
  <c r="T516" i="1" s="1"/>
  <c r="S341" i="1"/>
  <c r="S336" i="1"/>
  <c r="S439" i="1" s="1"/>
  <c r="T340" i="1"/>
  <c r="T339" i="1"/>
  <c r="T726" i="1"/>
  <c r="T506" i="1"/>
  <c r="T606" i="1"/>
  <c r="T792" i="1"/>
  <c r="T495" i="1"/>
  <c r="T588" i="1"/>
  <c r="T458" i="1"/>
  <c r="T141" i="1"/>
  <c r="U332" i="1"/>
  <c r="U126" i="1"/>
  <c r="U141" i="1" s="1"/>
  <c r="U135" i="1"/>
  <c r="U230" i="1" s="1"/>
  <c r="U132" i="1"/>
  <c r="U133" i="1"/>
  <c r="V120" i="1"/>
  <c r="V121" i="1" s="1"/>
  <c r="V131" i="1" s="1"/>
  <c r="U122" i="1"/>
  <c r="V66" i="1"/>
  <c r="V110" i="1" s="1"/>
  <c r="U130" i="1"/>
  <c r="U131" i="1"/>
  <c r="U129" i="1"/>
  <c r="U134" i="1"/>
  <c r="T512" i="1" a="1"/>
  <c r="T512" i="1" s="1"/>
  <c r="T513" i="1" a="1"/>
  <c r="T513" i="1" s="1"/>
  <c r="T514" i="1" a="1"/>
  <c r="T514" i="1" s="1"/>
  <c r="T517" i="1" a="1"/>
  <c r="T517" i="1" s="1"/>
  <c r="T515" i="1" a="1"/>
  <c r="T515" i="1" s="1"/>
  <c r="P286" i="1" l="1"/>
  <c r="Q286" i="1" s="1"/>
  <c r="U335" i="1"/>
  <c r="U334" i="1"/>
  <c r="Q300" i="1"/>
  <c r="Q310" i="1" s="1"/>
  <c r="W301" i="1"/>
  <c r="Q314" i="1"/>
  <c r="R314" i="1" s="1"/>
  <c r="P324" i="1"/>
  <c r="V302" i="1"/>
  <c r="W302" i="1" s="1"/>
  <c r="W224" i="1"/>
  <c r="W232" i="1" s="1"/>
  <c r="U515" i="1" a="1"/>
  <c r="U515" i="1" s="1"/>
  <c r="T341" i="1"/>
  <c r="T336" i="1"/>
  <c r="T439" i="1" s="1"/>
  <c r="U340" i="1"/>
  <c r="U339" i="1"/>
  <c r="V332" i="1"/>
  <c r="U792" i="1"/>
  <c r="U588" i="1"/>
  <c r="U726" i="1"/>
  <c r="U458" i="1"/>
  <c r="U506" i="1"/>
  <c r="U428" i="1"/>
  <c r="U495" i="1"/>
  <c r="U606" i="1"/>
  <c r="V126" i="1"/>
  <c r="V458" i="1" s="1"/>
  <c r="V135" i="1"/>
  <c r="V230" i="1" s="1"/>
  <c r="U513" i="1" a="1"/>
  <c r="U513" i="1" s="1"/>
  <c r="U512" i="1" a="1"/>
  <c r="U512" i="1" s="1"/>
  <c r="U516" i="1" a="1"/>
  <c r="U516" i="1" s="1"/>
  <c r="U517" i="1" a="1"/>
  <c r="U517" i="1" s="1"/>
  <c r="U514" i="1" a="1"/>
  <c r="U514" i="1" s="1"/>
  <c r="V132" i="1"/>
  <c r="V133" i="1"/>
  <c r="V134" i="1"/>
  <c r="V129" i="1"/>
  <c r="V130" i="1"/>
  <c r="W120" i="1"/>
  <c r="W121" i="1" s="1"/>
  <c r="V122" i="1"/>
  <c r="W66" i="1"/>
  <c r="W110" i="1" s="1"/>
  <c r="P296" i="1" l="1"/>
  <c r="P326" i="1" s="1"/>
  <c r="V335" i="1"/>
  <c r="V334" i="1"/>
  <c r="R300" i="1"/>
  <c r="R310" i="1" s="1"/>
  <c r="R324" i="1"/>
  <c r="S314" i="1"/>
  <c r="Q324" i="1"/>
  <c r="Q296" i="1"/>
  <c r="R286" i="1"/>
  <c r="R296" i="1" s="1"/>
  <c r="C240" i="1" a="1"/>
  <c r="C240" i="1" s="1"/>
  <c r="D240" i="1" s="1"/>
  <c r="N240" i="1" s="1"/>
  <c r="U341" i="1"/>
  <c r="V339" i="1"/>
  <c r="V340" i="1"/>
  <c r="U336" i="1"/>
  <c r="U439" i="1" s="1"/>
  <c r="V792" i="1"/>
  <c r="V428" i="1"/>
  <c r="V141" i="1"/>
  <c r="V726" i="1"/>
  <c r="W332" i="1"/>
  <c r="V606" i="1"/>
  <c r="V506" i="1"/>
  <c r="V495" i="1"/>
  <c r="V588" i="1"/>
  <c r="W126" i="1"/>
  <c r="W495" i="1" s="1"/>
  <c r="W135" i="1"/>
  <c r="W230" i="1" s="1"/>
  <c r="V513" i="1" a="1"/>
  <c r="V513" i="1" s="1"/>
  <c r="V514" i="1" a="1"/>
  <c r="V514" i="1" s="1"/>
  <c r="V515" i="1" a="1"/>
  <c r="V515" i="1" s="1"/>
  <c r="V516" i="1" a="1"/>
  <c r="V516" i="1" s="1"/>
  <c r="V517" i="1" a="1"/>
  <c r="V517" i="1" s="1"/>
  <c r="V512" i="1" a="1"/>
  <c r="V512" i="1" s="1"/>
  <c r="W132" i="1"/>
  <c r="W134" i="1"/>
  <c r="W133" i="1"/>
  <c r="W129" i="1"/>
  <c r="W130" i="1"/>
  <c r="W131" i="1"/>
  <c r="W122" i="1"/>
  <c r="Z29" i="30"/>
  <c r="Z28" i="30"/>
  <c r="L13" i="30"/>
  <c r="M13" i="30" s="1"/>
  <c r="N13" i="30" s="1"/>
  <c r="O13" i="30" s="1"/>
  <c r="P13" i="30" s="1"/>
  <c r="Q13" i="30" s="1"/>
  <c r="R13" i="30" s="1"/>
  <c r="S13" i="30" s="1"/>
  <c r="T13" i="30" s="1"/>
  <c r="K14" i="30"/>
  <c r="W335" i="1" l="1"/>
  <c r="W334" i="1"/>
  <c r="S300" i="1"/>
  <c r="T300" i="1" s="1"/>
  <c r="T310" i="1" s="1"/>
  <c r="Q326" i="1"/>
  <c r="R326" i="1"/>
  <c r="S286" i="1"/>
  <c r="T314" i="1"/>
  <c r="S324" i="1"/>
  <c r="O240" i="1"/>
  <c r="N250" i="1"/>
  <c r="W339" i="1"/>
  <c r="W340" i="1"/>
  <c r="V341" i="1"/>
  <c r="V336" i="1"/>
  <c r="V439" i="1" s="1"/>
  <c r="W506" i="1"/>
  <c r="W726" i="1"/>
  <c r="W606" i="1"/>
  <c r="W458" i="1"/>
  <c r="W428" i="1"/>
  <c r="W588" i="1"/>
  <c r="W792" i="1"/>
  <c r="W141" i="1"/>
  <c r="W512" i="1" a="1"/>
  <c r="W512" i="1" s="1"/>
  <c r="W513" i="1" a="1"/>
  <c r="W513" i="1" s="1"/>
  <c r="W514" i="1" a="1"/>
  <c r="W514" i="1" s="1"/>
  <c r="W515" i="1" a="1"/>
  <c r="W515" i="1" s="1"/>
  <c r="W516" i="1" a="1"/>
  <c r="W516" i="1" s="1"/>
  <c r="W517" i="1" a="1"/>
  <c r="W517" i="1" s="1"/>
  <c r="B22" i="30"/>
  <c r="B23" i="30" s="1"/>
  <c r="C23" i="30" s="1"/>
  <c r="L14" i="30"/>
  <c r="S310" i="1" l="1"/>
  <c r="T324" i="1"/>
  <c r="U300" i="1"/>
  <c r="T286" i="1"/>
  <c r="S296" i="1"/>
  <c r="U314" i="1"/>
  <c r="P240" i="1"/>
  <c r="W336" i="1"/>
  <c r="W439" i="1" s="1"/>
  <c r="W341" i="1"/>
  <c r="C22" i="30"/>
  <c r="B24" i="30"/>
  <c r="B25" i="30" s="1"/>
  <c r="M14" i="30"/>
  <c r="S326" i="1" l="1"/>
  <c r="U286" i="1"/>
  <c r="U296" i="1" s="1"/>
  <c r="T296" i="1"/>
  <c r="T326" i="1" s="1"/>
  <c r="V314" i="1"/>
  <c r="U324" i="1"/>
  <c r="U310" i="1"/>
  <c r="V300" i="1"/>
  <c r="Q240" i="1"/>
  <c r="C24" i="30"/>
  <c r="N14" i="30"/>
  <c r="C25" i="30"/>
  <c r="B26" i="30"/>
  <c r="V324" i="1" l="1"/>
  <c r="W314" i="1"/>
  <c r="W324" i="1" s="1"/>
  <c r="V286" i="1"/>
  <c r="U326" i="1"/>
  <c r="V310" i="1"/>
  <c r="W300" i="1"/>
  <c r="W310" i="1" s="1"/>
  <c r="R240" i="1"/>
  <c r="S240" i="1" s="1"/>
  <c r="C26" i="30"/>
  <c r="B27" i="30"/>
  <c r="O14" i="30"/>
  <c r="V296" i="1" l="1"/>
  <c r="V326" i="1" s="1"/>
  <c r="W286" i="1"/>
  <c r="W296" i="1" s="1"/>
  <c r="W326" i="1" s="1"/>
  <c r="T240" i="1"/>
  <c r="U240" i="1" s="1"/>
  <c r="B28" i="30"/>
  <c r="C27" i="30"/>
  <c r="P14" i="30"/>
  <c r="V240" i="1" l="1"/>
  <c r="W240" i="1" s="1"/>
  <c r="Q14" i="30"/>
  <c r="B29" i="30"/>
  <c r="C28" i="30"/>
  <c r="R14" i="30" l="1"/>
  <c r="C29" i="30"/>
  <c r="B30" i="30"/>
  <c r="B31" i="30" l="1"/>
  <c r="C30" i="30"/>
  <c r="S14" i="30"/>
  <c r="T14" i="30" l="1"/>
  <c r="B32" i="30"/>
  <c r="C31" i="30"/>
  <c r="C32" i="30" l="1"/>
  <c r="B33" i="30"/>
  <c r="C33" i="30" l="1"/>
  <c r="B34" i="30"/>
  <c r="B35" i="30" l="1"/>
  <c r="C34" i="30"/>
  <c r="B36" i="30" l="1"/>
  <c r="C35" i="30"/>
  <c r="C36" i="30" l="1"/>
  <c r="B37" i="30"/>
  <c r="B38" i="30" l="1"/>
  <c r="C37" i="30"/>
  <c r="B39" i="30" l="1"/>
  <c r="C38" i="30"/>
  <c r="C39" i="30" l="1"/>
  <c r="B40" i="30"/>
  <c r="C40" i="30" l="1"/>
  <c r="B41" i="30"/>
  <c r="C41" i="30" l="1"/>
  <c r="B42" i="30"/>
  <c r="B43" i="30" l="1"/>
  <c r="C42" i="30"/>
  <c r="B44" i="30" l="1"/>
  <c r="C43" i="30"/>
  <c r="C44" i="30" l="1"/>
  <c r="B45" i="30"/>
  <c r="B46" i="30" l="1"/>
  <c r="C45" i="30"/>
  <c r="B47" i="30" l="1"/>
  <c r="C46" i="30"/>
  <c r="B48" i="30" l="1"/>
  <c r="C47" i="30"/>
  <c r="C48" i="30" l="1"/>
  <c r="B49" i="30"/>
  <c r="C49" i="30" l="1"/>
  <c r="B50" i="30"/>
  <c r="B51" i="30" l="1"/>
  <c r="C50" i="30"/>
  <c r="B52" i="30" l="1"/>
  <c r="C51" i="30"/>
  <c r="C52" i="30" l="1"/>
  <c r="B53" i="30"/>
  <c r="B54" i="30" l="1"/>
  <c r="C53" i="30"/>
  <c r="B55" i="30" l="1"/>
  <c r="C54" i="30"/>
  <c r="C55" i="30" l="1"/>
  <c r="B56" i="30"/>
  <c r="C56" i="30" l="1"/>
  <c r="B57" i="30"/>
  <c r="C57" i="30" l="1"/>
  <c r="B58" i="30"/>
  <c r="B59" i="30" l="1"/>
  <c r="C58" i="30"/>
  <c r="B60" i="30" l="1"/>
  <c r="C59" i="30"/>
  <c r="C60" i="30" l="1"/>
  <c r="B61" i="30"/>
  <c r="B62" i="30" l="1"/>
  <c r="C61" i="30"/>
  <c r="B63" i="30" l="1"/>
  <c r="C62" i="30"/>
  <c r="B64" i="30" l="1"/>
  <c r="C63" i="30"/>
  <c r="C64" i="30" l="1"/>
  <c r="B65" i="30"/>
  <c r="B66" i="30" l="1"/>
  <c r="C65" i="30"/>
  <c r="C66" i="30" l="1"/>
  <c r="B67" i="30"/>
  <c r="C67" i="30" l="1"/>
  <c r="B68" i="30"/>
  <c r="B69" i="30" l="1"/>
  <c r="C68" i="30"/>
  <c r="B70" i="30" l="1"/>
  <c r="B71" i="30" s="1"/>
  <c r="C69" i="30"/>
  <c r="C70" i="30" l="1"/>
  <c r="B72" i="30" l="1"/>
  <c r="C71" i="30"/>
  <c r="C72" i="30" l="1"/>
  <c r="B73" i="30"/>
  <c r="B74" i="30" l="1"/>
  <c r="C73" i="30"/>
  <c r="C74" i="30" l="1"/>
  <c r="B75" i="30"/>
  <c r="C75" i="30" l="1"/>
  <c r="B76" i="30"/>
  <c r="B77" i="30" l="1"/>
  <c r="C76" i="30"/>
  <c r="B78" i="30" l="1"/>
  <c r="C77" i="30"/>
  <c r="B79" i="30" l="1"/>
  <c r="C78" i="30"/>
  <c r="B80" i="30" l="1"/>
  <c r="C79" i="30"/>
  <c r="C80" i="30" l="1"/>
  <c r="B81" i="30"/>
  <c r="B82" i="30" l="1"/>
  <c r="C81" i="30"/>
  <c r="C82" i="30" l="1"/>
  <c r="B83" i="30"/>
  <c r="C83" i="30" l="1"/>
  <c r="B84" i="30"/>
  <c r="B85" i="30" l="1"/>
  <c r="C84" i="30"/>
  <c r="B86" i="30" l="1"/>
  <c r="C85" i="30"/>
  <c r="C86" i="30" l="1"/>
  <c r="B87" i="30"/>
  <c r="B88" i="30" l="1"/>
  <c r="C87" i="30"/>
  <c r="C88" i="30" l="1"/>
  <c r="B89" i="30"/>
  <c r="B90" i="30" l="1"/>
  <c r="C89" i="30"/>
  <c r="C90" i="30" l="1"/>
  <c r="B91" i="30"/>
  <c r="C91" i="30" l="1"/>
  <c r="B92" i="30"/>
  <c r="B93" i="30" l="1"/>
  <c r="C92" i="30"/>
  <c r="B94" i="30" l="1"/>
  <c r="C93" i="30"/>
  <c r="B95" i="30" l="1"/>
  <c r="C94" i="30"/>
  <c r="B96" i="30" l="1"/>
  <c r="C95" i="30"/>
  <c r="C96" i="30" l="1"/>
  <c r="B97" i="30"/>
  <c r="B98" i="30" l="1"/>
  <c r="C97" i="30"/>
  <c r="C98" i="30" l="1"/>
  <c r="B99" i="30"/>
  <c r="C99" i="30" l="1"/>
  <c r="B100" i="30"/>
  <c r="B101" i="30" l="1"/>
  <c r="C100" i="30"/>
  <c r="B102" i="30" l="1"/>
  <c r="C101" i="30"/>
  <c r="C102" i="30" l="1"/>
  <c r="B103" i="30"/>
  <c r="B104" i="30" l="1"/>
  <c r="C103" i="30"/>
  <c r="C104" i="30" l="1"/>
  <c r="B105" i="30"/>
  <c r="B106" i="30" l="1"/>
  <c r="C105" i="30"/>
  <c r="C106" i="30" l="1"/>
  <c r="B107" i="30"/>
  <c r="C107" i="30" l="1"/>
  <c r="B108" i="30"/>
  <c r="B109" i="30" l="1"/>
  <c r="C108" i="30"/>
  <c r="B110" i="30" l="1"/>
  <c r="C109" i="30"/>
  <c r="B111" i="30" l="1"/>
  <c r="C110" i="30"/>
  <c r="C111" i="30" l="1"/>
  <c r="B112" i="30"/>
  <c r="B113" i="30" l="1"/>
  <c r="C112" i="30"/>
  <c r="B114" i="30" l="1"/>
  <c r="C113" i="30"/>
  <c r="B115" i="30" l="1"/>
  <c r="C114" i="30"/>
  <c r="B116" i="30" l="1"/>
  <c r="C115" i="30"/>
  <c r="C116" i="30" l="1"/>
  <c r="B117" i="30"/>
  <c r="B118" i="30" l="1"/>
  <c r="C117" i="30"/>
  <c r="B119" i="30" l="1"/>
  <c r="C118" i="30"/>
  <c r="C119" i="30" l="1"/>
  <c r="B120" i="30"/>
  <c r="B121" i="30" l="1"/>
  <c r="C120" i="30"/>
  <c r="B122" i="30" l="1"/>
  <c r="C121" i="30"/>
  <c r="B123" i="30" l="1"/>
  <c r="C122" i="30"/>
  <c r="B124" i="30" l="1"/>
  <c r="C123" i="30"/>
  <c r="C124" i="30" l="1"/>
  <c r="B125" i="30"/>
  <c r="B126" i="30" l="1"/>
  <c r="C125" i="30"/>
  <c r="B127" i="30" l="1"/>
  <c r="C126" i="30"/>
  <c r="C127" i="30" l="1"/>
  <c r="B128" i="30"/>
  <c r="B129" i="30" l="1"/>
  <c r="C128" i="30"/>
  <c r="B130" i="30" l="1"/>
  <c r="C129" i="30"/>
  <c r="B131" i="30" l="1"/>
  <c r="C130" i="30"/>
  <c r="B132" i="30" l="1"/>
  <c r="C131" i="30"/>
  <c r="C132" i="30" l="1"/>
  <c r="B133" i="30"/>
  <c r="B134" i="30" l="1"/>
  <c r="C133" i="30"/>
  <c r="B135" i="30" l="1"/>
  <c r="C134" i="30"/>
  <c r="C135" i="30" l="1"/>
  <c r="B136" i="30"/>
  <c r="B137" i="30" l="1"/>
  <c r="C136" i="30"/>
  <c r="B138" i="30" l="1"/>
  <c r="C137" i="30"/>
  <c r="B139" i="30" l="1"/>
  <c r="C138" i="30"/>
  <c r="B140" i="30" l="1"/>
  <c r="C139" i="30"/>
  <c r="C140" i="30" l="1"/>
  <c r="B141" i="30"/>
  <c r="C141" i="30" s="1"/>
  <c r="I93" i="1" l="1"/>
  <c r="H93" i="1"/>
  <c r="E93" i="1" s="1"/>
  <c r="E94" i="1" s="1"/>
  <c r="H101" i="1"/>
  <c r="E101" i="1" s="1"/>
  <c r="D8" i="28" s="1"/>
  <c r="E102" i="1" l="1"/>
  <c r="N100" i="1" s="1"/>
  <c r="I101" i="1"/>
  <c r="J101" i="1" s="1"/>
  <c r="K101" i="1" s="1"/>
  <c r="N497" i="1"/>
  <c r="O91" i="1"/>
  <c r="H59" i="1" l="1"/>
  <c r="J59" i="1" s="1"/>
  <c r="U100" i="1"/>
  <c r="V100" i="1"/>
  <c r="W100" i="1"/>
  <c r="T100" i="1"/>
  <c r="S100" i="1"/>
  <c r="P100" i="1"/>
  <c r="R100" i="1"/>
  <c r="Q100" i="1"/>
  <c r="O100" i="1"/>
  <c r="E27" i="1"/>
  <c r="L20" i="1"/>
  <c r="O92" i="1"/>
  <c r="U92" i="1"/>
  <c r="W92" i="1"/>
  <c r="V92" i="1"/>
  <c r="Q92" i="1"/>
  <c r="R92" i="1"/>
  <c r="P92" i="1"/>
  <c r="S92" i="1"/>
  <c r="T92" i="1"/>
  <c r="N92" i="1"/>
  <c r="O497" i="1"/>
  <c r="S91" i="1"/>
  <c r="S93" i="1" s="1"/>
  <c r="W91" i="1"/>
  <c r="T91" i="1"/>
  <c r="Q91" i="1"/>
  <c r="U91" i="1"/>
  <c r="R91" i="1"/>
  <c r="P91" i="1"/>
  <c r="V91" i="1"/>
  <c r="H61" i="1" l="1"/>
  <c r="J61" i="1" s="1"/>
  <c r="L21" i="1"/>
  <c r="W93" i="1"/>
  <c r="W96" i="1" s="1"/>
  <c r="V93" i="1"/>
  <c r="V96" i="1" s="1"/>
  <c r="O93" i="1"/>
  <c r="O96" i="1" s="1"/>
  <c r="P93" i="1"/>
  <c r="P96" i="1" s="1"/>
  <c r="S96" i="1"/>
  <c r="R93" i="1"/>
  <c r="R96" i="1" s="1"/>
  <c r="U93" i="1"/>
  <c r="U96" i="1" s="1"/>
  <c r="T93" i="1"/>
  <c r="T96" i="1" s="1"/>
  <c r="Q93" i="1"/>
  <c r="Q96" i="1" s="1"/>
  <c r="N93" i="1"/>
  <c r="N96" i="1" s="1"/>
  <c r="N498" i="1" s="1"/>
  <c r="P497" i="1"/>
  <c r="G16" i="1" l="1"/>
  <c r="G15" i="1"/>
  <c r="G27" i="1"/>
  <c r="K25" i="1"/>
  <c r="G30" i="1"/>
  <c r="G29" i="1"/>
  <c r="G25" i="1"/>
  <c r="Q497" i="1"/>
  <c r="O498" i="1"/>
  <c r="P498" i="1" s="1"/>
  <c r="Q498" i="1" s="1"/>
  <c r="R498" i="1" s="1"/>
  <c r="S498" i="1" l="1"/>
  <c r="T498" i="1" s="1"/>
  <c r="U498" i="1" s="1"/>
  <c r="V498" i="1" s="1"/>
  <c r="W498" i="1" s="1"/>
  <c r="R497" i="1"/>
  <c r="S497" i="1" l="1"/>
  <c r="T497" i="1" l="1"/>
  <c r="U497" i="1" s="1"/>
  <c r="V497" i="1" l="1"/>
  <c r="W497" i="1" l="1"/>
  <c r="C773" i="1" l="1"/>
  <c r="M469" i="1"/>
  <c r="N469" i="1" s="1"/>
  <c r="O469" i="1" s="1"/>
  <c r="P469" i="1" s="1"/>
  <c r="Q469" i="1" s="1"/>
  <c r="R469" i="1" s="1"/>
  <c r="S469" i="1" s="1"/>
  <c r="T469" i="1" s="1"/>
  <c r="U469" i="1" s="1"/>
  <c r="V469" i="1" s="1"/>
  <c r="W469" i="1" s="1"/>
  <c r="N592" i="1" l="1"/>
  <c r="C600" i="1" l="1"/>
  <c r="C599" i="1"/>
  <c r="C578" i="1"/>
  <c r="C577" i="1"/>
  <c r="P592" i="1"/>
  <c r="Q592" i="1"/>
  <c r="R592" i="1"/>
  <c r="S592" i="1"/>
  <c r="T592" i="1"/>
  <c r="U592" i="1"/>
  <c r="V592" i="1"/>
  <c r="W592" i="1"/>
  <c r="O592" i="1"/>
  <c r="C618" i="1"/>
  <c r="C617" i="1"/>
  <c r="T466" i="1" l="1"/>
  <c r="U466" i="1"/>
  <c r="V466" i="1"/>
  <c r="W466" i="1"/>
  <c r="C590" i="1" l="1"/>
  <c r="R910" i="1" l="1"/>
  <c r="R909" i="1"/>
  <c r="K876" i="1"/>
  <c r="K875" i="1"/>
  <c r="K877" i="1" l="1"/>
  <c r="K880" i="1"/>
  <c r="K856" i="1"/>
  <c r="N875" i="1" l="1"/>
  <c r="R875" i="1" s="1"/>
  <c r="N876" i="1"/>
  <c r="R876" i="1" s="1"/>
  <c r="C517" i="1" l="1"/>
  <c r="C516" i="1"/>
  <c r="C515" i="1"/>
  <c r="C514" i="1"/>
  <c r="C512" i="1"/>
  <c r="C914" i="1"/>
  <c r="C913" i="1"/>
  <c r="C904" i="1"/>
  <c r="C902" i="1"/>
  <c r="C903" i="1"/>
  <c r="C901" i="1"/>
  <c r="H8" i="28"/>
  <c r="N869" i="1" l="1"/>
  <c r="H10" i="28"/>
  <c r="P913" i="1"/>
  <c r="P903" i="1"/>
  <c r="C563" i="1"/>
  <c r="C556" i="1"/>
  <c r="M561" i="1" s="1"/>
  <c r="C548" i="1"/>
  <c r="C540" i="1"/>
  <c r="M546" i="1" s="1"/>
  <c r="C524" i="1"/>
  <c r="G14" i="1"/>
  <c r="R869" i="1" l="1"/>
  <c r="R873" i="1" s="1"/>
  <c r="R877" i="1" s="1"/>
  <c r="M916" i="1"/>
  <c r="R913" i="1"/>
  <c r="M575" i="1"/>
  <c r="M654" i="1" s="1"/>
  <c r="N558" i="1"/>
  <c r="M577" i="1"/>
  <c r="B22" i="28"/>
  <c r="B23" i="28" s="1"/>
  <c r="L10" i="28"/>
  <c r="L14" i="28"/>
  <c r="L13" i="28"/>
  <c r="M13" i="28" s="1"/>
  <c r="N13" i="28" s="1"/>
  <c r="O13" i="28" s="1"/>
  <c r="P13" i="28" s="1"/>
  <c r="Q13" i="28" s="1"/>
  <c r="R13" i="28" s="1"/>
  <c r="S13" i="28" s="1"/>
  <c r="T13" i="28" s="1"/>
  <c r="N559" i="1" l="1"/>
  <c r="P10" i="28"/>
  <c r="L9" i="28"/>
  <c r="P9" i="28" s="1"/>
  <c r="B24" i="28"/>
  <c r="C23" i="28"/>
  <c r="M14" i="28"/>
  <c r="H12" i="28"/>
  <c r="K21" i="28"/>
  <c r="L21" i="28"/>
  <c r="D22" i="28" s="1"/>
  <c r="H13" i="28"/>
  <c r="C22" i="28"/>
  <c r="H14" i="28" l="1"/>
  <c r="N14" i="28"/>
  <c r="E22" i="28"/>
  <c r="G22" i="28" s="1"/>
  <c r="B25" i="28"/>
  <c r="C24" i="28"/>
  <c r="F22" i="28" l="1"/>
  <c r="O14" i="28"/>
  <c r="C25" i="28"/>
  <c r="B26" i="28"/>
  <c r="B27" i="28" l="1"/>
  <c r="C26" i="28"/>
  <c r="P14" i="28"/>
  <c r="Q14" i="28" s="1"/>
  <c r="H22" i="28"/>
  <c r="G176" i="1"/>
  <c r="G179" i="1" s="1"/>
  <c r="H176" i="1"/>
  <c r="H179" i="1" s="1"/>
  <c r="I176" i="1"/>
  <c r="I179" i="1" s="1"/>
  <c r="J176" i="1"/>
  <c r="J179" i="1" s="1"/>
  <c r="F176" i="1"/>
  <c r="F179" i="1" s="1"/>
  <c r="F172" i="1"/>
  <c r="F171" i="1"/>
  <c r="G171" i="1"/>
  <c r="G149" i="1"/>
  <c r="J171" i="1"/>
  <c r="F174" i="1" l="1"/>
  <c r="F181" i="1" s="1"/>
  <c r="G152" i="1"/>
  <c r="F149" i="1"/>
  <c r="R14" i="28"/>
  <c r="F906" i="1"/>
  <c r="F918" i="1" s="1"/>
  <c r="B28" i="28"/>
  <c r="C27" i="28"/>
  <c r="J22" i="28"/>
  <c r="I22" i="28" s="1"/>
  <c r="K22" i="28" s="1"/>
  <c r="N905" i="1"/>
  <c r="J896" i="1"/>
  <c r="J906" i="1" s="1"/>
  <c r="J918" i="1" s="1"/>
  <c r="I896" i="1"/>
  <c r="I906" i="1" s="1"/>
  <c r="I918" i="1" s="1"/>
  <c r="H896" i="1"/>
  <c r="H906" i="1" s="1"/>
  <c r="H918" i="1" s="1"/>
  <c r="G896" i="1"/>
  <c r="G906" i="1" s="1"/>
  <c r="G918" i="1" s="1"/>
  <c r="N884" i="1"/>
  <c r="R884" i="1" s="1"/>
  <c r="F152" i="1" l="1"/>
  <c r="S14" i="28"/>
  <c r="F920" i="1"/>
  <c r="C28" i="28"/>
  <c r="B29" i="28"/>
  <c r="L22" i="28"/>
  <c r="D23" i="28" s="1"/>
  <c r="F156" i="1" l="1"/>
  <c r="T14" i="28"/>
  <c r="B30" i="28"/>
  <c r="C29" i="28"/>
  <c r="E23" i="28"/>
  <c r="G23" i="28" l="1"/>
  <c r="B31" i="28"/>
  <c r="C30" i="28"/>
  <c r="B32" i="28" l="1"/>
  <c r="C31" i="28"/>
  <c r="F23" i="28"/>
  <c r="H23" i="28" s="1"/>
  <c r="J23" i="28" l="1"/>
  <c r="I23" i="28" s="1"/>
  <c r="B33" i="28"/>
  <c r="C32" i="28"/>
  <c r="K23" i="28" l="1"/>
  <c r="L23" i="28"/>
  <c r="D24" i="28" s="1"/>
  <c r="C33" i="28"/>
  <c r="B34" i="28"/>
  <c r="E24" i="28" l="1"/>
  <c r="G24" i="28" s="1"/>
  <c r="B35" i="28"/>
  <c r="C34" i="28"/>
  <c r="F24" i="28" l="1"/>
  <c r="H24" i="28" s="1"/>
  <c r="B36" i="28"/>
  <c r="C35" i="28"/>
  <c r="C36" i="28" l="1"/>
  <c r="B37" i="28"/>
  <c r="J24" i="28"/>
  <c r="I24" i="28" s="1"/>
  <c r="L24" i="28" s="1"/>
  <c r="D25" i="28" s="1"/>
  <c r="E25" i="28" l="1"/>
  <c r="K24" i="28"/>
  <c r="B38" i="28"/>
  <c r="C37" i="28"/>
  <c r="G25" i="28" l="1"/>
  <c r="B39" i="28"/>
  <c r="C38" i="28"/>
  <c r="F25" i="28" l="1"/>
  <c r="H25" i="28" s="1"/>
  <c r="J25" i="28" s="1"/>
  <c r="I25" i="28" s="1"/>
  <c r="L25" i="28" s="1"/>
  <c r="D26" i="28" s="1"/>
  <c r="B40" i="28"/>
  <c r="C39" i="28"/>
  <c r="K25" i="28" l="1"/>
  <c r="E26" i="28"/>
  <c r="G26" i="28" s="1"/>
  <c r="B41" i="28"/>
  <c r="C40" i="28"/>
  <c r="F26" i="28" l="1"/>
  <c r="H26" i="28" s="1"/>
  <c r="C41" i="28"/>
  <c r="B42" i="28"/>
  <c r="B43" i="28" l="1"/>
  <c r="C42" i="28"/>
  <c r="J26" i="28"/>
  <c r="I26" i="28" s="1"/>
  <c r="L26" i="28" l="1"/>
  <c r="D27" i="28" s="1"/>
  <c r="K26" i="28"/>
  <c r="B44" i="28"/>
  <c r="C43" i="28"/>
  <c r="C44" i="28" l="1"/>
  <c r="B45" i="28"/>
  <c r="E27" i="28"/>
  <c r="G27" i="28" s="1"/>
  <c r="F27" i="28" l="1"/>
  <c r="H27" i="28" s="1"/>
  <c r="B46" i="28"/>
  <c r="C45" i="28"/>
  <c r="J27" i="28" l="1"/>
  <c r="I27" i="28" s="1"/>
  <c r="B47" i="28"/>
  <c r="C46" i="28"/>
  <c r="K27" i="28" l="1"/>
  <c r="L27" i="28"/>
  <c r="D28" i="28" s="1"/>
  <c r="B48" i="28"/>
  <c r="C47" i="28"/>
  <c r="E28" i="28" l="1"/>
  <c r="G28" i="28" s="1"/>
  <c r="B49" i="28"/>
  <c r="C48" i="28"/>
  <c r="F28" i="28" l="1"/>
  <c r="H28" i="28" s="1"/>
  <c r="C49" i="28"/>
  <c r="B50" i="28"/>
  <c r="J28" i="28" l="1"/>
  <c r="I28" i="28" s="1"/>
  <c r="B51" i="28"/>
  <c r="C50" i="28"/>
  <c r="L28" i="28" l="1"/>
  <c r="D29" i="28" s="1"/>
  <c r="K28" i="28"/>
  <c r="B52" i="28"/>
  <c r="C51" i="28"/>
  <c r="E29" i="28" l="1"/>
  <c r="G29" i="28" s="1"/>
  <c r="F29" i="28" s="1"/>
  <c r="H29" i="28" s="1"/>
  <c r="C52" i="28"/>
  <c r="B53" i="28"/>
  <c r="J29" i="28" l="1"/>
  <c r="I29" i="28" s="1"/>
  <c r="K29" i="28" s="1"/>
  <c r="B54" i="28"/>
  <c r="C53" i="28"/>
  <c r="L29" i="28" l="1"/>
  <c r="D30" i="28" s="1"/>
  <c r="B55" i="28"/>
  <c r="C54" i="28"/>
  <c r="E30" i="28" l="1"/>
  <c r="B56" i="28"/>
  <c r="C55" i="28"/>
  <c r="G30" i="28" l="1"/>
  <c r="F30" i="28" s="1"/>
  <c r="H30" i="28" s="1"/>
  <c r="B57" i="28"/>
  <c r="C56" i="28"/>
  <c r="J30" i="28" l="1"/>
  <c r="I30" i="28" s="1"/>
  <c r="B58" i="28"/>
  <c r="C57" i="28"/>
  <c r="L30" i="28" l="1"/>
  <c r="D31" i="28" s="1"/>
  <c r="K30" i="28"/>
  <c r="B59" i="28"/>
  <c r="C58" i="28"/>
  <c r="E31" i="28" l="1"/>
  <c r="G31" i="28" s="1"/>
  <c r="C59" i="28"/>
  <c r="B60" i="28"/>
  <c r="F31" i="28" l="1"/>
  <c r="H31" i="28" s="1"/>
  <c r="J31" i="28" s="1"/>
  <c r="I31" i="28" s="1"/>
  <c r="L31" i="28" s="1"/>
  <c r="D32" i="28" s="1"/>
  <c r="B61" i="28"/>
  <c r="C60" i="28"/>
  <c r="K31" i="28" l="1"/>
  <c r="E32" i="28"/>
  <c r="G32" i="28" s="1"/>
  <c r="B62" i="28"/>
  <c r="C61" i="28"/>
  <c r="F32" i="28" l="1"/>
  <c r="H32" i="28" s="1"/>
  <c r="C62" i="28"/>
  <c r="B63" i="28"/>
  <c r="J32" i="28" l="1"/>
  <c r="I32" i="28" s="1"/>
  <c r="B64" i="28"/>
  <c r="C63" i="28"/>
  <c r="L32" i="28" l="1"/>
  <c r="D33" i="28" s="1"/>
  <c r="K32" i="28"/>
  <c r="B65" i="28"/>
  <c r="C64" i="28"/>
  <c r="E33" i="28" l="1"/>
  <c r="G33" i="28" s="1"/>
  <c r="B66" i="28"/>
  <c r="C65" i="28"/>
  <c r="F33" i="28" l="1"/>
  <c r="H33" i="28" s="1"/>
  <c r="J33" i="28" s="1"/>
  <c r="I33" i="28" s="1"/>
  <c r="B67" i="28"/>
  <c r="C66" i="28"/>
  <c r="L33" i="28" l="1"/>
  <c r="D34" i="28" s="1"/>
  <c r="K33" i="28"/>
  <c r="C67" i="28"/>
  <c r="B68" i="28"/>
  <c r="E34" i="28" l="1"/>
  <c r="G34" i="28" s="1"/>
  <c r="B69" i="28"/>
  <c r="C68" i="28"/>
  <c r="F34" i="28" l="1"/>
  <c r="H34" i="28" s="1"/>
  <c r="J34" i="28" s="1"/>
  <c r="I34" i="28" s="1"/>
  <c r="B70" i="28"/>
  <c r="C69" i="28"/>
  <c r="L34" i="28" l="1"/>
  <c r="D35" i="28" s="1"/>
  <c r="K34" i="28"/>
  <c r="C70" i="28"/>
  <c r="B71" i="28"/>
  <c r="E35" i="28" l="1"/>
  <c r="B72" i="28"/>
  <c r="C71" i="28"/>
  <c r="G35" i="28" l="1"/>
  <c r="F35" i="28" s="1"/>
  <c r="H35" i="28" s="1"/>
  <c r="B73" i="28"/>
  <c r="C72" i="28"/>
  <c r="J35" i="28" l="1"/>
  <c r="I35" i="28" s="1"/>
  <c r="B74" i="28"/>
  <c r="C73" i="28"/>
  <c r="K35" i="28" l="1"/>
  <c r="L35" i="28"/>
  <c r="D36" i="28" s="1"/>
  <c r="B75" i="28"/>
  <c r="C74" i="28"/>
  <c r="E36" i="28" l="1"/>
  <c r="G36" i="28" s="1"/>
  <c r="C75" i="28"/>
  <c r="B76" i="28"/>
  <c r="F36" i="28" l="1"/>
  <c r="H36" i="28" s="1"/>
  <c r="B77" i="28"/>
  <c r="C76" i="28"/>
  <c r="J36" i="28" l="1"/>
  <c r="I36" i="28" s="1"/>
  <c r="B78" i="28"/>
  <c r="C77" i="28"/>
  <c r="L36" i="28" l="1"/>
  <c r="D37" i="28" s="1"/>
  <c r="K36" i="28"/>
  <c r="C78" i="28"/>
  <c r="B79" i="28"/>
  <c r="E37" i="28" l="1"/>
  <c r="G37" i="28" s="1"/>
  <c r="F37" i="28" s="1"/>
  <c r="H37" i="28" s="1"/>
  <c r="J37" i="28" s="1"/>
  <c r="I37" i="28" s="1"/>
  <c r="B80" i="28"/>
  <c r="C79" i="28"/>
  <c r="K37" i="28" l="1"/>
  <c r="L37" i="28"/>
  <c r="D38" i="28" s="1"/>
  <c r="B81" i="28"/>
  <c r="C80" i="28"/>
  <c r="E38" i="28" l="1"/>
  <c r="G38" i="28" s="1"/>
  <c r="B82" i="28"/>
  <c r="C81" i="28"/>
  <c r="F38" i="28" l="1"/>
  <c r="H38" i="28" s="1"/>
  <c r="J38" i="28" s="1"/>
  <c r="I38" i="28" s="1"/>
  <c r="B83" i="28"/>
  <c r="C82" i="28"/>
  <c r="K38" i="28" l="1"/>
  <c r="L38" i="28"/>
  <c r="D39" i="28" s="1"/>
  <c r="C83" i="28"/>
  <c r="B84" i="28"/>
  <c r="E39" i="28" l="1"/>
  <c r="C84" i="28"/>
  <c r="B85" i="28"/>
  <c r="G39" i="28" l="1"/>
  <c r="B86" i="28"/>
  <c r="C85" i="28"/>
  <c r="F39" i="28" l="1"/>
  <c r="H39" i="28" s="1"/>
  <c r="C86" i="28"/>
  <c r="B87" i="28"/>
  <c r="J39" i="28" l="1"/>
  <c r="I39" i="28" s="1"/>
  <c r="B88" i="28"/>
  <c r="C87" i="28"/>
  <c r="K39" i="28" l="1"/>
  <c r="L39" i="28"/>
  <c r="D40" i="28" s="1"/>
  <c r="B89" i="28"/>
  <c r="C88" i="28"/>
  <c r="E40" i="28" l="1"/>
  <c r="B90" i="28"/>
  <c r="C89" i="28"/>
  <c r="G40" i="28" l="1"/>
  <c r="F40" i="28" s="1"/>
  <c r="H40" i="28" s="1"/>
  <c r="B91" i="28"/>
  <c r="C90" i="28"/>
  <c r="J40" i="28" l="1"/>
  <c r="I40" i="28" s="1"/>
  <c r="K40" i="28" s="1"/>
  <c r="C91" i="28"/>
  <c r="B92" i="28"/>
  <c r="L40" i="28" l="1"/>
  <c r="D41" i="28" s="1"/>
  <c r="E41" i="28" s="1"/>
  <c r="C92" i="28"/>
  <c r="B93" i="28"/>
  <c r="G41" i="28" l="1"/>
  <c r="B94" i="28"/>
  <c r="C93" i="28"/>
  <c r="F41" i="28" l="1"/>
  <c r="H41" i="28" s="1"/>
  <c r="C94" i="28"/>
  <c r="B95" i="28"/>
  <c r="J41" i="28" l="1"/>
  <c r="I41" i="28" s="1"/>
  <c r="L41" i="28" s="1"/>
  <c r="D42" i="28" s="1"/>
  <c r="B96" i="28"/>
  <c r="C95" i="28"/>
  <c r="E42" i="28" l="1"/>
  <c r="G42" i="28" s="1"/>
  <c r="F42" i="28" s="1"/>
  <c r="H42" i="28" s="1"/>
  <c r="J42" i="28" s="1"/>
  <c r="K41" i="28"/>
  <c r="B97" i="28"/>
  <c r="C96" i="28"/>
  <c r="I42" i="28" l="1"/>
  <c r="L42" i="28" s="1"/>
  <c r="D43" i="28" s="1"/>
  <c r="B98" i="28"/>
  <c r="C97" i="28"/>
  <c r="E43" i="28" l="1"/>
  <c r="K42" i="28"/>
  <c r="B99" i="28"/>
  <c r="C98" i="28"/>
  <c r="G43" i="28" l="1"/>
  <c r="C99" i="28"/>
  <c r="B100" i="28"/>
  <c r="F43" i="28" l="1"/>
  <c r="H43" i="28" s="1"/>
  <c r="J43" i="28" s="1"/>
  <c r="I43" i="28" s="1"/>
  <c r="C100" i="28"/>
  <c r="B101" i="28"/>
  <c r="K43" i="28" l="1"/>
  <c r="L43" i="28"/>
  <c r="D44" i="28" s="1"/>
  <c r="B102" i="28"/>
  <c r="C101" i="28"/>
  <c r="E44" i="28" l="1"/>
  <c r="C102" i="28"/>
  <c r="B103" i="28"/>
  <c r="G44" i="28" l="1"/>
  <c r="B104" i="28"/>
  <c r="C103" i="28"/>
  <c r="F44" i="28" l="1"/>
  <c r="H44" i="28" s="1"/>
  <c r="B105" i="28"/>
  <c r="C104" i="28"/>
  <c r="J44" i="28" l="1"/>
  <c r="I44" i="28" s="1"/>
  <c r="L44" i="28" s="1"/>
  <c r="D45" i="28" s="1"/>
  <c r="B106" i="28"/>
  <c r="C105" i="28"/>
  <c r="K44" i="28" l="1"/>
  <c r="E45" i="28"/>
  <c r="G45" i="28" s="1"/>
  <c r="B107" i="28"/>
  <c r="C106" i="28"/>
  <c r="F45" i="28" l="1"/>
  <c r="H45" i="28" s="1"/>
  <c r="C107" i="28"/>
  <c r="B108" i="28"/>
  <c r="J45" i="28" l="1"/>
  <c r="I45" i="28" s="1"/>
  <c r="K45" i="28" s="1"/>
  <c r="C108" i="28"/>
  <c r="B109" i="28"/>
  <c r="L45" i="28" l="1"/>
  <c r="D46" i="28" s="1"/>
  <c r="E46" i="28" s="1"/>
  <c r="B110" i="28"/>
  <c r="C109" i="28"/>
  <c r="G46" i="28" l="1"/>
  <c r="F46" i="28" s="1"/>
  <c r="H46" i="28" s="1"/>
  <c r="J46" i="28" s="1"/>
  <c r="B111" i="28"/>
  <c r="C110" i="28"/>
  <c r="I46" i="28" l="1"/>
  <c r="L46" i="28" s="1"/>
  <c r="D47" i="28" s="1"/>
  <c r="E47" i="28" s="1"/>
  <c r="C111" i="28"/>
  <c r="B112" i="28"/>
  <c r="K46" i="28" l="1"/>
  <c r="G47" i="28"/>
  <c r="F47" i="28" s="1"/>
  <c r="H47" i="28" s="1"/>
  <c r="J47" i="28" s="1"/>
  <c r="I47" i="28" s="1"/>
  <c r="L47" i="28" s="1"/>
  <c r="D48" i="28" s="1"/>
  <c r="E48" i="28" s="1"/>
  <c r="B113" i="28"/>
  <c r="C112" i="28"/>
  <c r="G48" i="28" l="1"/>
  <c r="F48" i="28" s="1"/>
  <c r="H48" i="28" s="1"/>
  <c r="K47" i="28"/>
  <c r="B114" i="28"/>
  <c r="C113" i="28"/>
  <c r="J48" i="28" l="1"/>
  <c r="I48" i="28" s="1"/>
  <c r="L48" i="28" s="1"/>
  <c r="D49" i="28" s="1"/>
  <c r="B115" i="28"/>
  <c r="C114" i="28"/>
  <c r="E49" i="28" l="1"/>
  <c r="G49" i="28" s="1"/>
  <c r="B116" i="28"/>
  <c r="C115" i="28"/>
  <c r="K48" i="28"/>
  <c r="C116" i="28" l="1"/>
  <c r="B117" i="28"/>
  <c r="F49" i="28"/>
  <c r="H49" i="28" s="1"/>
  <c r="B118" i="28" l="1"/>
  <c r="C117" i="28"/>
  <c r="J49" i="28"/>
  <c r="I49" i="28" s="1"/>
  <c r="L49" i="28" l="1"/>
  <c r="D50" i="28" s="1"/>
  <c r="K49" i="28"/>
  <c r="B119" i="28"/>
  <c r="C118" i="28"/>
  <c r="C119" i="28" l="1"/>
  <c r="B120" i="28"/>
  <c r="E50" i="28"/>
  <c r="G50" i="28" l="1"/>
  <c r="B121" i="28"/>
  <c r="C120" i="28"/>
  <c r="B122" i="28" l="1"/>
  <c r="C121" i="28"/>
  <c r="F50" i="28"/>
  <c r="H50" i="28" s="1"/>
  <c r="J50" i="28" l="1"/>
  <c r="I50" i="28" s="1"/>
  <c r="K50" i="28" s="1"/>
  <c r="B123" i="28"/>
  <c r="C122" i="28"/>
  <c r="L50" i="28" l="1"/>
  <c r="D51" i="28" s="1"/>
  <c r="B124" i="28"/>
  <c r="C123" i="28"/>
  <c r="C124" i="28" l="1"/>
  <c r="B125" i="28"/>
  <c r="E51" i="28"/>
  <c r="G51" i="28" s="1"/>
  <c r="F51" i="28" l="1"/>
  <c r="H51" i="28" s="1"/>
  <c r="J51" i="28" s="1"/>
  <c r="I51" i="28" s="1"/>
  <c r="B126" i="28"/>
  <c r="C125" i="28"/>
  <c r="K51" i="28" l="1"/>
  <c r="L51" i="28"/>
  <c r="D52" i="28" s="1"/>
  <c r="B127" i="28"/>
  <c r="C126" i="28"/>
  <c r="C127" i="28" l="1"/>
  <c r="B128" i="28"/>
  <c r="E52" i="28"/>
  <c r="G52" i="28" l="1"/>
  <c r="F52" i="28" s="1"/>
  <c r="H52" i="28" s="1"/>
  <c r="J52" i="28" s="1"/>
  <c r="I52" i="28" s="1"/>
  <c r="B129" i="28"/>
  <c r="C128" i="28"/>
  <c r="K52" i="28" l="1"/>
  <c r="L52" i="28"/>
  <c r="D53" i="28" s="1"/>
  <c r="B130" i="28"/>
  <c r="C129" i="28"/>
  <c r="B131" i="28" l="1"/>
  <c r="C130" i="28"/>
  <c r="E53" i="28"/>
  <c r="G53" i="28" l="1"/>
  <c r="B132" i="28"/>
  <c r="C131" i="28"/>
  <c r="C132" i="28" l="1"/>
  <c r="B133" i="28"/>
  <c r="F53" i="28"/>
  <c r="H53" i="28" s="1"/>
  <c r="J53" i="28" l="1"/>
  <c r="I53" i="28" s="1"/>
  <c r="B134" i="28"/>
  <c r="C133" i="28"/>
  <c r="K53" i="28" l="1"/>
  <c r="L53" i="28"/>
  <c r="D54" i="28" s="1"/>
  <c r="B135" i="28"/>
  <c r="C134" i="28"/>
  <c r="E54" i="28" l="1"/>
  <c r="G54" i="28" s="1"/>
  <c r="F54" i="28" s="1"/>
  <c r="H54" i="28" s="1"/>
  <c r="C135" i="28"/>
  <c r="B136" i="28"/>
  <c r="J54" i="28" l="1"/>
  <c r="I54" i="28" s="1"/>
  <c r="B137" i="28"/>
  <c r="C136" i="28"/>
  <c r="L54" i="28" l="1"/>
  <c r="D55" i="28" s="1"/>
  <c r="K54" i="28"/>
  <c r="B138" i="28"/>
  <c r="C137" i="28"/>
  <c r="B139" i="28" l="1"/>
  <c r="C138" i="28"/>
  <c r="E55" i="28"/>
  <c r="G55" i="28" s="1"/>
  <c r="F55" i="28" l="1"/>
  <c r="H55" i="28" s="1"/>
  <c r="B140" i="28"/>
  <c r="C139" i="28"/>
  <c r="C140" i="28" l="1"/>
  <c r="B141" i="28"/>
  <c r="C141" i="28" s="1"/>
  <c r="J55" i="28"/>
  <c r="I55" i="28" l="1"/>
  <c r="L55" i="28" s="1"/>
  <c r="D56" i="28" s="1"/>
  <c r="K55" i="28" l="1"/>
  <c r="E56" i="28"/>
  <c r="G56" i="28" l="1"/>
  <c r="F56" i="28" l="1"/>
  <c r="H56" i="28" s="1"/>
  <c r="J56" i="28" l="1"/>
  <c r="I56" i="28" s="1"/>
  <c r="K56" i="28" l="1"/>
  <c r="L56" i="28"/>
  <c r="D57" i="28" s="1"/>
  <c r="E57" i="28" l="1"/>
  <c r="G57" i="28" s="1"/>
  <c r="F57" i="28" l="1"/>
  <c r="H57" i="28" s="1"/>
  <c r="J57" i="28" l="1"/>
  <c r="I57" i="28" s="1"/>
  <c r="L57" i="28" s="1"/>
  <c r="D58" i="28" s="1"/>
  <c r="E58" i="28" l="1"/>
  <c r="G58" i="28" s="1"/>
  <c r="K57" i="28"/>
  <c r="F58" i="28" l="1"/>
  <c r="H58" i="28" s="1"/>
  <c r="J58" i="28" l="1"/>
  <c r="I58" i="28" s="1"/>
  <c r="L58" i="28" l="1"/>
  <c r="D59" i="28" s="1"/>
  <c r="K58" i="28"/>
  <c r="E59" i="28" l="1"/>
  <c r="G59" i="28" s="1"/>
  <c r="F59" i="28" l="1"/>
  <c r="H59" i="28" s="1"/>
  <c r="J59" i="28" s="1"/>
  <c r="I59" i="28" l="1"/>
  <c r="L59" i="28" s="1"/>
  <c r="D60" i="28" s="1"/>
  <c r="E60" i="28" s="1"/>
  <c r="K59" i="28" l="1"/>
  <c r="G60" i="28"/>
  <c r="F60" i="28" l="1"/>
  <c r="H60" i="28" s="1"/>
  <c r="J60" i="28" l="1"/>
  <c r="I60" i="28" s="1"/>
  <c r="L60" i="28" s="1"/>
  <c r="D61" i="28" s="1"/>
  <c r="E61" i="28" l="1"/>
  <c r="G61" i="28" s="1"/>
  <c r="K60" i="28"/>
  <c r="F61" i="28" l="1"/>
  <c r="H61" i="28" s="1"/>
  <c r="J61" i="28" s="1"/>
  <c r="I61" i="28" s="1"/>
  <c r="K61" i="28" s="1"/>
  <c r="L61" i="28" l="1"/>
  <c r="D62" i="28" s="1"/>
  <c r="E62" i="28" l="1"/>
  <c r="G62" i="28" s="1"/>
  <c r="F62" i="28" l="1"/>
  <c r="H62" i="28" s="1"/>
  <c r="J62" i="28" l="1"/>
  <c r="I62" i="28" l="1"/>
  <c r="L62" i="28" s="1"/>
  <c r="D63" i="28" s="1"/>
  <c r="E63" i="28" l="1"/>
  <c r="K62" i="28"/>
  <c r="G63" i="28" l="1"/>
  <c r="F63" i="28" s="1"/>
  <c r="H63" i="28" s="1"/>
  <c r="J63" i="28" l="1"/>
  <c r="I63" i="28" s="1"/>
  <c r="K63" i="28" s="1"/>
  <c r="L63" i="28" l="1"/>
  <c r="D64" i="28" s="1"/>
  <c r="E64" i="28" s="1"/>
  <c r="G64" i="28" l="1"/>
  <c r="F64" i="28" s="1"/>
  <c r="H64" i="28" s="1"/>
  <c r="J64" i="28" s="1"/>
  <c r="I64" i="28" s="1"/>
  <c r="L64" i="28" s="1"/>
  <c r="D65" i="28" s="1"/>
  <c r="E65" i="28" l="1"/>
  <c r="G65" i="28" s="1"/>
  <c r="F65" i="28" s="1"/>
  <c r="H65" i="28" s="1"/>
  <c r="K64" i="28"/>
  <c r="J65" i="28" l="1"/>
  <c r="I65" i="28" s="1"/>
  <c r="K65" i="28" l="1"/>
  <c r="L65" i="28"/>
  <c r="D66" i="28" s="1"/>
  <c r="E66" i="28" s="1"/>
  <c r="G66" i="28" s="1"/>
  <c r="F66" i="28" l="1"/>
  <c r="H66" i="28" s="1"/>
  <c r="J66" i="28" l="1"/>
  <c r="I66" i="28" s="1"/>
  <c r="L66" i="28" l="1"/>
  <c r="D67" i="28" s="1"/>
  <c r="K66" i="28"/>
  <c r="E67" i="28" l="1"/>
  <c r="G67" i="28" l="1"/>
  <c r="F67" i="28" l="1"/>
  <c r="H67" i="28" s="1"/>
  <c r="J67" i="28" s="1"/>
  <c r="I67" i="28" s="1"/>
  <c r="L67" i="28" l="1"/>
  <c r="D68" i="28" s="1"/>
  <c r="K67" i="28"/>
  <c r="E68" i="28" l="1"/>
  <c r="G68" i="28" s="1"/>
  <c r="F68" i="28" l="1"/>
  <c r="H68" i="28" s="1"/>
  <c r="J68" i="28" l="1"/>
  <c r="I68" i="28" s="1"/>
  <c r="K68" i="28" s="1"/>
  <c r="L68" i="28" l="1"/>
  <c r="D69" i="28" s="1"/>
  <c r="E69" i="28" s="1"/>
  <c r="G69" i="28" s="1"/>
  <c r="F69" i="28" l="1"/>
  <c r="H69" i="28" s="1"/>
  <c r="J69" i="28" l="1"/>
  <c r="I69" i="28" s="1"/>
  <c r="K69" i="28" s="1"/>
  <c r="L69" i="28" l="1"/>
  <c r="D70" i="28" s="1"/>
  <c r="E70" i="28" l="1"/>
  <c r="G70" i="28" s="1"/>
  <c r="F70" i="28" s="1"/>
  <c r="H70" i="28" s="1"/>
  <c r="J70" i="28" l="1"/>
  <c r="I70" i="28" l="1"/>
  <c r="L70" i="28" s="1"/>
  <c r="D71" i="28" s="1"/>
  <c r="E71" i="28" l="1"/>
  <c r="K70" i="28"/>
  <c r="G71" i="28" l="1"/>
  <c r="F71" i="28" l="1"/>
  <c r="H71" i="28" s="1"/>
  <c r="J71" i="28" l="1"/>
  <c r="I71" i="28" s="1"/>
  <c r="K71" i="28" l="1"/>
  <c r="L71" i="28"/>
  <c r="D72" i="28" s="1"/>
  <c r="E72" i="28" l="1"/>
  <c r="G72" i="28" s="1"/>
  <c r="F72" i="28" s="1"/>
  <c r="H72" i="28" s="1"/>
  <c r="J72" i="28" l="1"/>
  <c r="I72" i="28" s="1"/>
  <c r="L72" i="28" l="1"/>
  <c r="D73" i="28" s="1"/>
  <c r="K72" i="28"/>
  <c r="E73" i="28" l="1"/>
  <c r="G73" i="28" l="1"/>
  <c r="F73" i="28" l="1"/>
  <c r="H73" i="28" s="1"/>
  <c r="J73" i="28" l="1"/>
  <c r="I73" i="28" s="1"/>
  <c r="L73" i="28" l="1"/>
  <c r="D74" i="28" s="1"/>
  <c r="K73" i="28"/>
  <c r="E74" i="28" l="1"/>
  <c r="G74" i="28" l="1"/>
  <c r="F74" i="28" s="1"/>
  <c r="H74" i="28" s="1"/>
  <c r="J74" i="28" l="1"/>
  <c r="I74" i="28" s="1"/>
  <c r="L74" i="28" l="1"/>
  <c r="D75" i="28" s="1"/>
  <c r="K74" i="28"/>
  <c r="E75" i="28" l="1"/>
  <c r="G75" i="28" l="1"/>
  <c r="F75" i="28" l="1"/>
  <c r="H75" i="28" s="1"/>
  <c r="J75" i="28" l="1"/>
  <c r="I75" i="28" s="1"/>
  <c r="L75" i="28" l="1"/>
  <c r="D76" i="28" s="1"/>
  <c r="K75" i="28"/>
  <c r="E76" i="28" l="1"/>
  <c r="G76" i="28" s="1"/>
  <c r="F76" i="28" s="1"/>
  <c r="H76" i="28" s="1"/>
  <c r="J76" i="28" l="1"/>
  <c r="I76" i="28" s="1"/>
  <c r="K76" i="28" l="1"/>
  <c r="L76" i="28"/>
  <c r="D77" i="28" s="1"/>
  <c r="E77" i="28" l="1"/>
  <c r="G77" i="28" s="1"/>
  <c r="F77" i="28" l="1"/>
  <c r="H77" i="28" s="1"/>
  <c r="J77" i="28" s="1"/>
  <c r="I77" i="28" l="1"/>
  <c r="K77" i="28" s="1"/>
  <c r="L77" i="28" l="1"/>
  <c r="D78" i="28" s="1"/>
  <c r="E78" i="28" s="1"/>
  <c r="G78" i="28" l="1"/>
  <c r="F78" i="28" l="1"/>
  <c r="H78" i="28" s="1"/>
  <c r="J78" i="28" l="1"/>
  <c r="I78" i="28" s="1"/>
  <c r="L78" i="28" l="1"/>
  <c r="D79" i="28" s="1"/>
  <c r="K78" i="28"/>
  <c r="E79" i="28" l="1"/>
  <c r="G79" i="28" l="1"/>
  <c r="F79" i="28" l="1"/>
  <c r="H79" i="28" s="1"/>
  <c r="J79" i="28" l="1"/>
  <c r="I79" i="28" s="1"/>
  <c r="L79" i="28" s="1"/>
  <c r="D80" i="28" s="1"/>
  <c r="E80" i="28" l="1"/>
  <c r="G80" i="28" s="1"/>
  <c r="K79" i="28"/>
  <c r="F80" i="28" l="1"/>
  <c r="H80" i="28" s="1"/>
  <c r="J80" i="28" s="1"/>
  <c r="I80" i="28" s="1"/>
  <c r="K80" i="28" l="1"/>
  <c r="L80" i="28"/>
  <c r="D81" i="28" s="1"/>
  <c r="E81" i="28" l="1"/>
  <c r="G81" i="28" l="1"/>
  <c r="F81" i="28" l="1"/>
  <c r="H81" i="28" s="1"/>
  <c r="J81" i="28" s="1"/>
  <c r="I81" i="28" s="1"/>
  <c r="L81" i="28" l="1"/>
  <c r="D82" i="28" s="1"/>
  <c r="K81" i="28"/>
  <c r="E82" i="28" l="1"/>
  <c r="G82" i="28" l="1"/>
  <c r="F82" i="28" l="1"/>
  <c r="H82" i="28" s="1"/>
  <c r="J82" i="28" l="1"/>
  <c r="I82" i="28" s="1"/>
  <c r="K82" i="28" s="1"/>
  <c r="L82" i="28" l="1"/>
  <c r="D83" i="28" s="1"/>
  <c r="E83" i="28" s="1"/>
  <c r="G83" i="28" l="1"/>
  <c r="F83" i="28" s="1"/>
  <c r="H83" i="28" s="1"/>
  <c r="J83" i="28" l="1"/>
  <c r="I83" i="28" s="1"/>
  <c r="L83" i="28" s="1"/>
  <c r="D84" i="28" s="1"/>
  <c r="E84" i="28" l="1"/>
  <c r="K83" i="28"/>
  <c r="G84" i="28" l="1"/>
  <c r="F84" i="28" s="1"/>
  <c r="H84" i="28" s="1"/>
  <c r="J84" i="28" l="1"/>
  <c r="I84" i="28" s="1"/>
  <c r="L84" i="28" l="1"/>
  <c r="D85" i="28" s="1"/>
  <c r="K84" i="28"/>
  <c r="E85" i="28" l="1"/>
  <c r="G85" i="28" s="1"/>
  <c r="F85" i="28" s="1"/>
  <c r="H85" i="28" s="1"/>
  <c r="J85" i="28" l="1"/>
  <c r="I85" i="28" s="1"/>
  <c r="L85" i="28" s="1"/>
  <c r="D86" i="28" s="1"/>
  <c r="E86" i="28" l="1"/>
  <c r="G86" i="28" s="1"/>
  <c r="K85" i="28"/>
  <c r="F86" i="28" l="1"/>
  <c r="H86" i="28" s="1"/>
  <c r="J86" i="28" l="1"/>
  <c r="I86" i="28" s="1"/>
  <c r="L86" i="28" l="1"/>
  <c r="D87" i="28" s="1"/>
  <c r="K86" i="28"/>
  <c r="E87" i="28" l="1"/>
  <c r="G87" i="28" l="1"/>
  <c r="F87" i="28" l="1"/>
  <c r="H87" i="28" s="1"/>
  <c r="J87" i="28" l="1"/>
  <c r="I87" i="28" s="1"/>
  <c r="L87" i="28" s="1"/>
  <c r="D88" i="28" s="1"/>
  <c r="K87" i="28" l="1"/>
  <c r="E88" i="28"/>
  <c r="G88" i="28" s="1"/>
  <c r="F88" i="28" s="1"/>
  <c r="H88" i="28" s="1"/>
  <c r="J88" i="28" l="1"/>
  <c r="I88" i="28" s="1"/>
  <c r="K88" i="28" s="1"/>
  <c r="L88" i="28" l="1"/>
  <c r="D89" i="28" s="1"/>
  <c r="E89" i="28" l="1"/>
  <c r="G89" i="28" l="1"/>
  <c r="F89" i="28" s="1"/>
  <c r="H89" i="28" s="1"/>
  <c r="J89" i="28" s="1"/>
  <c r="I89" i="28" l="1"/>
  <c r="L89" i="28" s="1"/>
  <c r="D90" i="28" s="1"/>
  <c r="E90" i="28" l="1"/>
  <c r="K89" i="28"/>
  <c r="G90" i="28" l="1"/>
  <c r="F90" i="28" l="1"/>
  <c r="H90" i="28" s="1"/>
  <c r="J90" i="28" l="1"/>
  <c r="I90" i="28" s="1"/>
  <c r="K90" i="28" l="1"/>
  <c r="L90" i="28"/>
  <c r="D91" i="28" s="1"/>
  <c r="E91" i="28" l="1"/>
  <c r="G91" i="28" s="1"/>
  <c r="F91" i="28" l="1"/>
  <c r="H91" i="28" s="1"/>
  <c r="J91" i="28" s="1"/>
  <c r="I91" i="28" s="1"/>
  <c r="L91" i="28" l="1"/>
  <c r="D92" i="28" s="1"/>
  <c r="K91" i="28"/>
  <c r="E92" i="28" l="1"/>
  <c r="G92" i="28" l="1"/>
  <c r="F92" i="28" l="1"/>
  <c r="H92" i="28" s="1"/>
  <c r="J92" i="28" l="1"/>
  <c r="I92" i="28" s="1"/>
  <c r="L92" i="28" l="1"/>
  <c r="D93" i="28" s="1"/>
  <c r="K92" i="28"/>
  <c r="E93" i="28" l="1"/>
  <c r="G93" i="28" l="1"/>
  <c r="F93" i="28" l="1"/>
  <c r="H93" i="28" s="1"/>
  <c r="J93" i="28" l="1"/>
  <c r="I93" i="28" s="1"/>
  <c r="L93" i="28" s="1"/>
  <c r="D94" i="28" s="1"/>
  <c r="E94" i="28" s="1"/>
  <c r="K93" i="28" l="1"/>
  <c r="G94" i="28"/>
  <c r="F94" i="28" l="1"/>
  <c r="H94" i="28" s="1"/>
  <c r="J94" i="28" l="1"/>
  <c r="I94" i="28" s="1"/>
  <c r="L94" i="28" l="1"/>
  <c r="D95" i="28" s="1"/>
  <c r="K94" i="28"/>
  <c r="E95" i="28" l="1"/>
  <c r="G95" i="28" l="1"/>
  <c r="F95" i="28" l="1"/>
  <c r="H95" i="28" s="1"/>
  <c r="J95" i="28" l="1"/>
  <c r="I95" i="28" s="1"/>
  <c r="K95" i="28" s="1"/>
  <c r="L95" i="28" l="1"/>
  <c r="D96" i="28" s="1"/>
  <c r="E96" i="28" l="1"/>
  <c r="G96" i="28" s="1"/>
  <c r="F96" i="28" l="1"/>
  <c r="H96" i="28" s="1"/>
  <c r="J96" i="28" l="1"/>
  <c r="I96" i="28" s="1"/>
  <c r="K96" i="28" l="1"/>
  <c r="L96" i="28"/>
  <c r="D97" i="28" s="1"/>
  <c r="E97" i="28" l="1"/>
  <c r="G97" i="28" l="1"/>
  <c r="F97" i="28" l="1"/>
  <c r="H97" i="28" s="1"/>
  <c r="J97" i="28" l="1"/>
  <c r="I97" i="28" s="1"/>
  <c r="L97" i="28" s="1"/>
  <c r="D98" i="28" s="1"/>
  <c r="E98" i="28" l="1"/>
  <c r="K97" i="28"/>
  <c r="G98" i="28" l="1"/>
  <c r="F98" i="28" s="1"/>
  <c r="H98" i="28" s="1"/>
  <c r="J98" i="28" l="1"/>
  <c r="I98" i="28" s="1"/>
  <c r="K98" i="28" l="1"/>
  <c r="L98" i="28"/>
  <c r="D99" i="28" s="1"/>
  <c r="E99" i="28" l="1"/>
  <c r="G99" i="28" l="1"/>
  <c r="F99" i="28" s="1"/>
  <c r="H99" i="28" s="1"/>
  <c r="J99" i="28" l="1"/>
  <c r="I99" i="28" s="1"/>
  <c r="K99" i="28" l="1"/>
  <c r="L99" i="28"/>
  <c r="D100" i="28" s="1"/>
  <c r="E100" i="28" s="1"/>
  <c r="G100" i="28" l="1"/>
  <c r="F100" i="28" s="1"/>
  <c r="H100" i="28" s="1"/>
  <c r="J100" i="28" l="1"/>
  <c r="I100" i="28" s="1"/>
  <c r="L100" i="28" l="1"/>
  <c r="D101" i="28" s="1"/>
  <c r="E101" i="28" s="1"/>
  <c r="K100" i="28"/>
  <c r="G101" i="28" l="1"/>
  <c r="F101" i="28" l="1"/>
  <c r="H101" i="28" s="1"/>
  <c r="J101" i="28" l="1"/>
  <c r="I101" i="28" s="1"/>
  <c r="L101" i="28" l="1"/>
  <c r="D102" i="28" s="1"/>
  <c r="K101" i="28"/>
  <c r="E102" i="28" l="1"/>
  <c r="G102" i="28" s="1"/>
  <c r="F102" i="28" l="1"/>
  <c r="H102" i="28" s="1"/>
  <c r="J102" i="28" l="1"/>
  <c r="I102" i="28" s="1"/>
  <c r="K102" i="28" s="1"/>
  <c r="L102" i="28" l="1"/>
  <c r="D103" i="28" s="1"/>
  <c r="E103" i="28" l="1"/>
  <c r="G103" i="28" l="1"/>
  <c r="F103" i="28" l="1"/>
  <c r="H103" i="28" s="1"/>
  <c r="J103" i="28" l="1"/>
  <c r="I103" i="28" s="1"/>
  <c r="L103" i="28" s="1"/>
  <c r="D104" i="28" s="1"/>
  <c r="K103" i="28" l="1"/>
  <c r="E104" i="28"/>
  <c r="G104" i="28" s="1"/>
  <c r="F104" i="28" l="1"/>
  <c r="H104" i="28" s="1"/>
  <c r="J104" i="28" l="1"/>
  <c r="I104" i="28" s="1"/>
  <c r="K104" i="28" s="1"/>
  <c r="L104" i="28" l="1"/>
  <c r="D105" i="28" s="1"/>
  <c r="E105" i="28" s="1"/>
  <c r="G105" i="28" l="1"/>
  <c r="F105" i="28" l="1"/>
  <c r="H105" i="28" s="1"/>
  <c r="J105" i="28" l="1"/>
  <c r="I105" i="28" s="1"/>
  <c r="L105" i="28" s="1"/>
  <c r="D106" i="28" s="1"/>
  <c r="K105" i="28" l="1"/>
  <c r="E106" i="28"/>
  <c r="G106" i="28" l="1"/>
  <c r="F106" i="28" l="1"/>
  <c r="H106" i="28" s="1"/>
  <c r="J106" i="28" l="1"/>
  <c r="I106" i="28" s="1"/>
  <c r="L106" i="28" s="1"/>
  <c r="D107" i="28" s="1"/>
  <c r="E107" i="28" l="1"/>
  <c r="G107" i="28" s="1"/>
  <c r="K106" i="28"/>
  <c r="F107" i="28" l="1"/>
  <c r="H107" i="28" s="1"/>
  <c r="J107" i="28" s="1"/>
  <c r="I107" i="28" s="1"/>
  <c r="L107" i="28" s="1"/>
  <c r="D108" i="28" s="1"/>
  <c r="E108" i="28" l="1"/>
  <c r="K107" i="28"/>
  <c r="G108" i="28" l="1"/>
  <c r="F108" i="28" l="1"/>
  <c r="H108" i="28" s="1"/>
  <c r="J108" i="28" l="1"/>
  <c r="I108" i="28" s="1"/>
  <c r="K108" i="28" l="1"/>
  <c r="L108" i="28"/>
  <c r="D109" i="28" s="1"/>
  <c r="E109" i="28" l="1"/>
  <c r="G109" i="28" l="1"/>
  <c r="F109" i="28" l="1"/>
  <c r="H109" i="28" s="1"/>
  <c r="J109" i="28" l="1"/>
  <c r="I109" i="28" s="1"/>
  <c r="L109" i="28" s="1"/>
  <c r="D110" i="28" s="1"/>
  <c r="E110" i="28" l="1"/>
  <c r="K109" i="28"/>
  <c r="G110" i="28" l="1"/>
  <c r="F110" i="28" l="1"/>
  <c r="H110" i="28" s="1"/>
  <c r="J110" i="28" l="1"/>
  <c r="I110" i="28" s="1"/>
  <c r="L110" i="28" l="1"/>
  <c r="D111" i="28" s="1"/>
  <c r="K110" i="28"/>
  <c r="E111" i="28" l="1"/>
  <c r="G111" i="28" s="1"/>
  <c r="F111" i="28" s="1"/>
  <c r="H111" i="28" s="1"/>
  <c r="J111" i="28" l="1"/>
  <c r="I111" i="28" l="1"/>
  <c r="L111" i="28" s="1"/>
  <c r="D112" i="28" s="1"/>
  <c r="E112" i="28" l="1"/>
  <c r="K111" i="28"/>
  <c r="G112" i="28" l="1"/>
  <c r="F112" i="28" l="1"/>
  <c r="H112" i="28" s="1"/>
  <c r="J112" i="28" l="1"/>
  <c r="I112" i="28" s="1"/>
  <c r="K112" i="28" l="1"/>
  <c r="L112" i="28"/>
  <c r="D113" i="28" s="1"/>
  <c r="E113" i="28" l="1"/>
  <c r="G113" i="28" s="1"/>
  <c r="F113" i="28" s="1"/>
  <c r="H113" i="28" s="1"/>
  <c r="J113" i="28" l="1"/>
  <c r="I113" i="28" s="1"/>
  <c r="K113" i="28" l="1"/>
  <c r="L113" i="28"/>
  <c r="D114" i="28" s="1"/>
  <c r="E114" i="28" l="1"/>
  <c r="G114" i="28" l="1"/>
  <c r="F114" i="28" l="1"/>
  <c r="H114" i="28" s="1"/>
  <c r="J114" i="28" l="1"/>
  <c r="I114" i="28" s="1"/>
  <c r="L114" i="28" l="1"/>
  <c r="D115" i="28" s="1"/>
  <c r="K114" i="28"/>
  <c r="E115" i="28" l="1"/>
  <c r="G115" i="28" l="1"/>
  <c r="F115" i="28" l="1"/>
  <c r="H115" i="28" s="1"/>
  <c r="J115" i="28" l="1"/>
  <c r="I115" i="28" s="1"/>
  <c r="L115" i="28" l="1"/>
  <c r="D116" i="28" s="1"/>
  <c r="K115" i="28"/>
  <c r="E116" i="28" l="1"/>
  <c r="G116" i="28" l="1"/>
  <c r="F116" i="28" l="1"/>
  <c r="H116" i="28" s="1"/>
  <c r="J116" i="28" l="1"/>
  <c r="I116" i="28" s="1"/>
  <c r="L116" i="28" l="1"/>
  <c r="D117" i="28" s="1"/>
  <c r="K116" i="28"/>
  <c r="E117" i="28" l="1"/>
  <c r="G117" i="28" l="1"/>
  <c r="F117" i="28" l="1"/>
  <c r="H117" i="28" s="1"/>
  <c r="J117" i="28" l="1"/>
  <c r="I117" i="28" s="1"/>
  <c r="K117" i="28" s="1"/>
  <c r="L117" i="28" l="1"/>
  <c r="D118" i="28" s="1"/>
  <c r="E118" i="28" s="1"/>
  <c r="G118" i="28" s="1"/>
  <c r="F118" i="28" l="1"/>
  <c r="H118" i="28" s="1"/>
  <c r="J118" i="28" l="1"/>
  <c r="I118" i="28" s="1"/>
  <c r="K118" i="28" s="1"/>
  <c r="L118" i="28" l="1"/>
  <c r="D119" i="28" s="1"/>
  <c r="E119" i="28" l="1"/>
  <c r="G119" i="28" s="1"/>
  <c r="F119" i="28" s="1"/>
  <c r="H119" i="28" s="1"/>
  <c r="J119" i="28" l="1"/>
  <c r="I119" i="28" s="1"/>
  <c r="L119" i="28" l="1"/>
  <c r="D120" i="28" s="1"/>
  <c r="K119" i="28"/>
  <c r="E120" i="28" l="1"/>
  <c r="G120" i="28" l="1"/>
  <c r="F120" i="28" s="1"/>
  <c r="H120" i="28" s="1"/>
  <c r="J120" i="28" l="1"/>
  <c r="I120" i="28" s="1"/>
  <c r="L120" i="28" l="1"/>
  <c r="D121" i="28" s="1"/>
  <c r="K120" i="28"/>
  <c r="E121" i="28" l="1"/>
  <c r="G121" i="28" s="1"/>
  <c r="F121" i="28" l="1"/>
  <c r="H121" i="28" s="1"/>
  <c r="J121" i="28" l="1"/>
  <c r="I121" i="28" s="1"/>
  <c r="L121" i="28" l="1"/>
  <c r="D122" i="28" s="1"/>
  <c r="K121" i="28"/>
  <c r="E122" i="28" l="1"/>
  <c r="G122" i="28" l="1"/>
  <c r="F122" i="28" l="1"/>
  <c r="H122" i="28" s="1"/>
  <c r="J122" i="28" l="1"/>
  <c r="I122" i="28" s="1"/>
  <c r="L122" i="28" s="1"/>
  <c r="D123" i="28" s="1"/>
  <c r="E123" i="28" l="1"/>
  <c r="K122" i="28"/>
  <c r="G123" i="28" l="1"/>
  <c r="F123" i="28" s="1"/>
  <c r="H123" i="28" s="1"/>
  <c r="J123" i="28" l="1"/>
  <c r="I123" i="28" s="1"/>
  <c r="L123" i="28" s="1"/>
  <c r="D124" i="28" s="1"/>
  <c r="E124" i="28" l="1"/>
  <c r="K123" i="28"/>
  <c r="G124" i="28" l="1"/>
  <c r="F124" i="28" s="1"/>
  <c r="H124" i="28" s="1"/>
  <c r="J124" i="28" l="1"/>
  <c r="I124" i="28" s="1"/>
  <c r="L124" i="28" s="1"/>
  <c r="D125" i="28" s="1"/>
  <c r="K124" i="28" l="1"/>
  <c r="E125" i="28"/>
  <c r="G125" i="28" l="1"/>
  <c r="F125" i="28" l="1"/>
  <c r="H125" i="28" s="1"/>
  <c r="J125" i="28" l="1"/>
  <c r="I125" i="28" s="1"/>
  <c r="L125" i="28" s="1"/>
  <c r="D126" i="28" s="1"/>
  <c r="E126" i="28" l="1"/>
  <c r="G126" i="28" s="1"/>
  <c r="K125" i="28"/>
  <c r="F126" i="28" l="1"/>
  <c r="H126" i="28" s="1"/>
  <c r="J126" i="28" s="1"/>
  <c r="I126" i="28" s="1"/>
  <c r="K126" i="28" s="1"/>
  <c r="L126" i="28" l="1"/>
  <c r="D127" i="28" s="1"/>
  <c r="E127" i="28" l="1"/>
  <c r="G127" i="28" l="1"/>
  <c r="F127" i="28" l="1"/>
  <c r="H127" i="28" s="1"/>
  <c r="J127" i="28" l="1"/>
  <c r="I127" i="28" s="1"/>
  <c r="L127" i="28" l="1"/>
  <c r="D128" i="28" s="1"/>
  <c r="K127" i="28"/>
  <c r="E128" i="28" l="1"/>
  <c r="G128" i="28" l="1"/>
  <c r="F128" i="28" l="1"/>
  <c r="H128" i="28" s="1"/>
  <c r="J128" i="28" l="1"/>
  <c r="I128" i="28" s="1"/>
  <c r="L128" i="28" s="1"/>
  <c r="D129" i="28" s="1"/>
  <c r="K128" i="28" l="1"/>
  <c r="E129" i="28"/>
  <c r="G129" i="28" s="1"/>
  <c r="F129" i="28" l="1"/>
  <c r="H129" i="28" s="1"/>
  <c r="J129" i="28" l="1"/>
  <c r="I129" i="28" s="1"/>
  <c r="K129" i="28" s="1"/>
  <c r="L129" i="28" l="1"/>
  <c r="D130" i="28" s="1"/>
  <c r="E130" i="28" s="1"/>
  <c r="G130" i="28" l="1"/>
  <c r="F130" i="28" l="1"/>
  <c r="H130" i="28" s="1"/>
  <c r="J130" i="28" l="1"/>
  <c r="I130" i="28" s="1"/>
  <c r="K130" i="28" s="1"/>
  <c r="L130" i="28" l="1"/>
  <c r="D131" i="28" s="1"/>
  <c r="E131" i="28" s="1"/>
  <c r="G131" i="28" l="1"/>
  <c r="F131" i="28" l="1"/>
  <c r="H131" i="28" s="1"/>
  <c r="J131" i="28" s="1"/>
  <c r="I131" i="28" s="1"/>
  <c r="K131" i="28" s="1"/>
  <c r="L131" i="28" l="1"/>
  <c r="D132" i="28" s="1"/>
  <c r="E132" i="28" s="1"/>
  <c r="G132" i="28" l="1"/>
  <c r="F132" i="28" s="1"/>
  <c r="H132" i="28" s="1"/>
  <c r="J132" i="28" l="1"/>
  <c r="I132" i="28" s="1"/>
  <c r="L132" i="28" l="1"/>
  <c r="D133" i="28" s="1"/>
  <c r="E133" i="28" s="1"/>
  <c r="K132" i="28"/>
  <c r="G133" i="28" l="1"/>
  <c r="F133" i="28" l="1"/>
  <c r="H133" i="28" s="1"/>
  <c r="J133" i="28" l="1"/>
  <c r="I133" i="28" s="1"/>
  <c r="L133" i="28" l="1"/>
  <c r="D134" i="28" s="1"/>
  <c r="K133" i="28"/>
  <c r="E134" i="28" l="1"/>
  <c r="G134" i="28" s="1"/>
  <c r="F134" i="28" l="1"/>
  <c r="H134" i="28" s="1"/>
  <c r="J134" i="28" s="1"/>
  <c r="I134" i="28" s="1"/>
  <c r="K134" i="28" l="1"/>
  <c r="L134" i="28"/>
  <c r="D135" i="28" s="1"/>
  <c r="E135" i="28" l="1"/>
  <c r="G135" i="28" l="1"/>
  <c r="F135" i="28" s="1"/>
  <c r="H135" i="28" s="1"/>
  <c r="J135" i="28" l="1"/>
  <c r="I135" i="28" s="1"/>
  <c r="L135" i="28" s="1"/>
  <c r="D136" i="28" s="1"/>
  <c r="E136" i="28" s="1"/>
  <c r="K135" i="28" l="1"/>
  <c r="G136" i="28"/>
  <c r="F136" i="28" s="1"/>
  <c r="H136" i="28" s="1"/>
  <c r="J136" i="28" l="1"/>
  <c r="I136" i="28" s="1"/>
  <c r="L136" i="28" l="1"/>
  <c r="D137" i="28" s="1"/>
  <c r="K136" i="28"/>
  <c r="E137" i="28" l="1"/>
  <c r="G137" i="28" s="1"/>
  <c r="F137" i="28" s="1"/>
  <c r="H137" i="28" s="1"/>
  <c r="J137" i="28" l="1"/>
  <c r="I137" i="28" s="1"/>
  <c r="K137" i="28" l="1"/>
  <c r="L137" i="28"/>
  <c r="D138" i="28" s="1"/>
  <c r="E138" i="28" l="1"/>
  <c r="G138" i="28" l="1"/>
  <c r="F138" i="28" l="1"/>
  <c r="H138" i="28" s="1"/>
  <c r="J138" i="28" l="1"/>
  <c r="I138" i="28" s="1"/>
  <c r="K138" i="28" l="1"/>
  <c r="L138" i="28"/>
  <c r="D139" i="28" s="1"/>
  <c r="E139" i="28" l="1"/>
  <c r="G139" i="28" l="1"/>
  <c r="F139" i="28" s="1"/>
  <c r="H139" i="28" s="1"/>
  <c r="J139" i="28" l="1"/>
  <c r="I139" i="28" s="1"/>
  <c r="K139" i="28" l="1"/>
  <c r="L139" i="28"/>
  <c r="D140" i="28" s="1"/>
  <c r="E140" i="28" l="1"/>
  <c r="G140" i="28" l="1"/>
  <c r="F140" i="28" s="1"/>
  <c r="H140" i="28" s="1"/>
  <c r="J140" i="28" l="1"/>
  <c r="I140" i="28" s="1"/>
  <c r="L140" i="28" l="1"/>
  <c r="D141" i="28" s="1"/>
  <c r="K140" i="28"/>
  <c r="E141" i="28" l="1"/>
  <c r="G141" i="28" l="1"/>
  <c r="K15" i="28" s="1"/>
  <c r="N104" i="1"/>
  <c r="L15" i="28" l="1"/>
  <c r="M15" i="28"/>
  <c r="N15" i="28"/>
  <c r="O15" i="28"/>
  <c r="P15" i="28"/>
  <c r="Q15" i="28"/>
  <c r="R15" i="28"/>
  <c r="S15" i="28"/>
  <c r="T15" i="28"/>
  <c r="F141" i="28"/>
  <c r="H141" i="28" s="1"/>
  <c r="S104" i="1"/>
  <c r="T104" i="1"/>
  <c r="Q104" i="1"/>
  <c r="V104" i="1"/>
  <c r="P104" i="1"/>
  <c r="O104" i="1"/>
  <c r="U104" i="1"/>
  <c r="W104" i="1"/>
  <c r="R104" i="1"/>
  <c r="L16" i="28" l="1"/>
  <c r="M16" i="28"/>
  <c r="N16" i="28"/>
  <c r="O16" i="28"/>
  <c r="P16" i="28"/>
  <c r="Q16" i="28"/>
  <c r="R16" i="28"/>
  <c r="S16" i="28"/>
  <c r="T16" i="28"/>
  <c r="J141" i="28"/>
  <c r="K16" i="28"/>
  <c r="V105" i="1"/>
  <c r="W105" i="1"/>
  <c r="S105" i="1"/>
  <c r="U105" i="1"/>
  <c r="P105" i="1"/>
  <c r="T105" i="1"/>
  <c r="Q105" i="1"/>
  <c r="N105" i="1"/>
  <c r="T106" i="1" l="1"/>
  <c r="T151" i="1" s="1"/>
  <c r="T633" i="1" s="1"/>
  <c r="U106" i="1"/>
  <c r="U151" i="1" s="1"/>
  <c r="U633" i="1" s="1"/>
  <c r="S106" i="1"/>
  <c r="S151" i="1" s="1"/>
  <c r="S633" i="1" s="1"/>
  <c r="Q106" i="1"/>
  <c r="Q151" i="1" s="1"/>
  <c r="Q633" i="1" s="1"/>
  <c r="P106" i="1"/>
  <c r="P151" i="1" s="1"/>
  <c r="P633" i="1" s="1"/>
  <c r="W106" i="1"/>
  <c r="W151" i="1" s="1"/>
  <c r="W633" i="1" s="1"/>
  <c r="V106" i="1"/>
  <c r="V151" i="1" s="1"/>
  <c r="V633" i="1" s="1"/>
  <c r="N106" i="1"/>
  <c r="N151" i="1" s="1"/>
  <c r="N633" i="1" s="1"/>
  <c r="I141" i="28"/>
  <c r="H17" i="28" s="1" a="1"/>
  <c r="H17" i="28" s="1"/>
  <c r="R17" i="28"/>
  <c r="Q17" i="28"/>
  <c r="S17" i="28"/>
  <c r="P17" i="28"/>
  <c r="O17" i="28"/>
  <c r="N17" i="28"/>
  <c r="M17" i="28"/>
  <c r="T17" i="28"/>
  <c r="L17" i="28"/>
  <c r="K17" i="28"/>
  <c r="U499" i="1"/>
  <c r="Q499" i="1"/>
  <c r="T499" i="1"/>
  <c r="O105" i="1"/>
  <c r="P499" i="1"/>
  <c r="R105" i="1"/>
  <c r="V499" i="1"/>
  <c r="W499" i="1"/>
  <c r="R499" i="1"/>
  <c r="N499" i="1"/>
  <c r="S499" i="1"/>
  <c r="O499" i="1"/>
  <c r="R106" i="1" l="1"/>
  <c r="R151" i="1" s="1"/>
  <c r="R633" i="1" s="1"/>
  <c r="O106" i="1"/>
  <c r="O151" i="1" s="1"/>
  <c r="O633" i="1" s="1"/>
  <c r="K141" i="28"/>
  <c r="D17" i="28" s="1"/>
  <c r="L141" i="28"/>
  <c r="D142" i="28" s="1"/>
  <c r="H142" i="28" s="1"/>
  <c r="F142" i="28" l="1"/>
  <c r="K142" i="28"/>
  <c r="J142" i="28"/>
  <c r="E142" i="28"/>
  <c r="I142" i="28"/>
  <c r="L142" i="28"/>
  <c r="D143" i="28" s="1"/>
  <c r="F143" i="28" s="1"/>
  <c r="G142" i="28"/>
  <c r="H143" i="28" l="1"/>
  <c r="I143" i="28"/>
  <c r="L143" i="28"/>
  <c r="D144" i="28" s="1"/>
  <c r="E144" i="28" s="1"/>
  <c r="E143" i="28"/>
  <c r="K143" i="28"/>
  <c r="J143" i="28"/>
  <c r="G143" i="28"/>
  <c r="F144" i="28" l="1"/>
  <c r="G144" i="28"/>
  <c r="H144" i="28"/>
  <c r="I144" i="28"/>
  <c r="J144" i="28"/>
  <c r="K144" i="28"/>
  <c r="L144" i="28"/>
  <c r="D145" i="28" s="1"/>
  <c r="L145" i="28" s="1"/>
  <c r="D146" i="28" s="1"/>
  <c r="H146" i="28" s="1"/>
  <c r="F145" i="28" l="1"/>
  <c r="E146" i="28"/>
  <c r="E145" i="28"/>
  <c r="I145" i="28"/>
  <c r="K145" i="28"/>
  <c r="G145" i="28"/>
  <c r="G146" i="28"/>
  <c r="J145" i="28"/>
  <c r="H145" i="28"/>
  <c r="F146" i="28"/>
  <c r="K146" i="28"/>
  <c r="L146" i="28"/>
  <c r="D147" i="28" s="1"/>
  <c r="L147" i="28" s="1"/>
  <c r="D148" i="28" s="1"/>
  <c r="G148" i="28" s="1"/>
  <c r="J146" i="28"/>
  <c r="I146" i="28"/>
  <c r="H148" i="28" l="1"/>
  <c r="K147" i="28"/>
  <c r="I147" i="28"/>
  <c r="F147" i="28"/>
  <c r="J148" i="28"/>
  <c r="L148" i="28"/>
  <c r="D149" i="28" s="1"/>
  <c r="G149" i="28" s="1"/>
  <c r="I148" i="28"/>
  <c r="K148" i="28"/>
  <c r="E147" i="28"/>
  <c r="J147" i="28"/>
  <c r="G147" i="28"/>
  <c r="E148" i="28"/>
  <c r="F148" i="28"/>
  <c r="H147" i="28"/>
  <c r="I149" i="28" l="1"/>
  <c r="K149" i="28"/>
  <c r="H149" i="28"/>
  <c r="J149" i="28"/>
  <c r="L149" i="28"/>
  <c r="D150" i="28" s="1"/>
  <c r="G150" i="28" s="1"/>
  <c r="F149" i="28"/>
  <c r="E149" i="28"/>
  <c r="J150" i="28" l="1"/>
  <c r="L150" i="28"/>
  <c r="D151" i="28" s="1"/>
  <c r="F151" i="28" s="1"/>
  <c r="E150" i="28"/>
  <c r="H150" i="28"/>
  <c r="I150" i="28"/>
  <c r="K150" i="28"/>
  <c r="F150" i="28"/>
  <c r="G151" i="28" l="1"/>
  <c r="I151" i="28"/>
  <c r="H151" i="28"/>
  <c r="J151" i="28"/>
  <c r="K151" i="28"/>
  <c r="L151" i="28"/>
  <c r="D152" i="28" s="1"/>
  <c r="E152" i="28" s="1"/>
  <c r="E151" i="28"/>
  <c r="H152" i="28" l="1"/>
  <c r="G152" i="28"/>
  <c r="F152" i="28"/>
  <c r="I152" i="28"/>
  <c r="J152" i="28"/>
  <c r="K152" i="28"/>
  <c r="L152" i="28"/>
  <c r="D153" i="28" s="1"/>
  <c r="L153" i="28" s="1"/>
  <c r="D154" i="28" s="1"/>
  <c r="G153" i="28" l="1"/>
  <c r="F153" i="28"/>
  <c r="H153" i="28"/>
  <c r="I153" i="28"/>
  <c r="J153" i="28"/>
  <c r="E153" i="28"/>
  <c r="K153" i="28"/>
  <c r="L154" i="28"/>
  <c r="D155" i="28" s="1"/>
  <c r="K154" i="28"/>
  <c r="J154" i="28"/>
  <c r="I154" i="28"/>
  <c r="H154" i="28"/>
  <c r="G154" i="28"/>
  <c r="E154" i="28"/>
  <c r="F154" i="28"/>
  <c r="K155" i="28" l="1"/>
  <c r="J155" i="28"/>
  <c r="I155" i="28"/>
  <c r="H155" i="28"/>
  <c r="G155" i="28"/>
  <c r="F155" i="28"/>
  <c r="L155" i="28"/>
  <c r="D156" i="28" s="1"/>
  <c r="E155" i="28"/>
  <c r="J156" i="28" l="1"/>
  <c r="I156" i="28"/>
  <c r="H156" i="28"/>
  <c r="G156" i="28"/>
  <c r="F156" i="28"/>
  <c r="E156" i="28"/>
  <c r="K156" i="28"/>
  <c r="L156" i="28"/>
  <c r="D157" i="28" s="1"/>
  <c r="I157" i="28" l="1"/>
  <c r="H157" i="28"/>
  <c r="G157" i="28"/>
  <c r="F157" i="28"/>
  <c r="E157" i="28"/>
  <c r="L157" i="28"/>
  <c r="D158" i="28" s="1"/>
  <c r="J157" i="28"/>
  <c r="K157" i="28"/>
  <c r="H158" i="28" l="1"/>
  <c r="G158" i="28"/>
  <c r="F158" i="28"/>
  <c r="E158" i="28"/>
  <c r="L158" i="28"/>
  <c r="D159" i="28" s="1"/>
  <c r="K158" i="28"/>
  <c r="I158" i="28"/>
  <c r="J158" i="28"/>
  <c r="G159" i="28" l="1"/>
  <c r="F159" i="28"/>
  <c r="E159" i="28"/>
  <c r="L159" i="28"/>
  <c r="D160" i="28" s="1"/>
  <c r="K159" i="28"/>
  <c r="J159" i="28"/>
  <c r="H159" i="28"/>
  <c r="I159" i="28"/>
  <c r="F160" i="28" l="1"/>
  <c r="E160" i="28"/>
  <c r="L160" i="28"/>
  <c r="D161" i="28" s="1"/>
  <c r="K160" i="28"/>
  <c r="J160" i="28"/>
  <c r="I160" i="28"/>
  <c r="G160" i="28"/>
  <c r="H160" i="28"/>
  <c r="E161" i="28" l="1"/>
  <c r="L161" i="28"/>
  <c r="D162" i="28" s="1"/>
  <c r="K161" i="28"/>
  <c r="J161" i="28"/>
  <c r="I161" i="28"/>
  <c r="H161" i="28"/>
  <c r="F161" i="28"/>
  <c r="G161" i="28"/>
  <c r="L162" i="28" l="1"/>
  <c r="D163" i="28" s="1"/>
  <c r="K162" i="28"/>
  <c r="J162" i="28"/>
  <c r="I162" i="28"/>
  <c r="H162" i="28"/>
  <c r="G162" i="28"/>
  <c r="E162" i="28"/>
  <c r="F162" i="28"/>
  <c r="K163" i="28" l="1"/>
  <c r="J163" i="28"/>
  <c r="I163" i="28"/>
  <c r="H163" i="28"/>
  <c r="G163" i="28"/>
  <c r="F163" i="28"/>
  <c r="L163" i="28"/>
  <c r="D164" i="28" s="1"/>
  <c r="E163" i="28"/>
  <c r="J164" i="28" l="1"/>
  <c r="I164" i="28"/>
  <c r="H164" i="28"/>
  <c r="G164" i="28"/>
  <c r="F164" i="28"/>
  <c r="E164" i="28"/>
  <c r="K164" i="28"/>
  <c r="L164" i="28"/>
  <c r="D165" i="28" s="1"/>
  <c r="I165" i="28" l="1"/>
  <c r="H165" i="28"/>
  <c r="G165" i="28"/>
  <c r="F165" i="28"/>
  <c r="E165" i="28"/>
  <c r="L165" i="28"/>
  <c r="D166" i="28" s="1"/>
  <c r="J165" i="28"/>
  <c r="K165" i="28"/>
  <c r="H166" i="28" l="1"/>
  <c r="G166" i="28"/>
  <c r="F166" i="28"/>
  <c r="E166" i="28"/>
  <c r="L166" i="28"/>
  <c r="D167" i="28" s="1"/>
  <c r="K166" i="28"/>
  <c r="I166" i="28"/>
  <c r="J166" i="28"/>
  <c r="G167" i="28" l="1"/>
  <c r="F167" i="28"/>
  <c r="E167" i="28"/>
  <c r="L167" i="28"/>
  <c r="D168" i="28" s="1"/>
  <c r="K167" i="28"/>
  <c r="J167" i="28"/>
  <c r="H167" i="28"/>
  <c r="I167" i="28"/>
  <c r="F168" i="28" l="1"/>
  <c r="E168" i="28"/>
  <c r="L168" i="28"/>
  <c r="D169" i="28" s="1"/>
  <c r="K168" i="28"/>
  <c r="J168" i="28"/>
  <c r="I168" i="28"/>
  <c r="G168" i="28"/>
  <c r="H168" i="28"/>
  <c r="E169" i="28" l="1"/>
  <c r="L169" i="28"/>
  <c r="D170" i="28" s="1"/>
  <c r="K169" i="28"/>
  <c r="J169" i="28"/>
  <c r="I169" i="28"/>
  <c r="H169" i="28"/>
  <c r="F169" i="28"/>
  <c r="G169" i="28"/>
  <c r="L170" i="28" l="1"/>
  <c r="D171" i="28" s="1"/>
  <c r="K170" i="28"/>
  <c r="J170" i="28"/>
  <c r="I170" i="28"/>
  <c r="H170" i="28"/>
  <c r="G170" i="28"/>
  <c r="E170" i="28"/>
  <c r="F170" i="28"/>
  <c r="K171" i="28" l="1"/>
  <c r="J171" i="28"/>
  <c r="I171" i="28"/>
  <c r="H171" i="28"/>
  <c r="G171" i="28"/>
  <c r="F171" i="28"/>
  <c r="L171" i="28"/>
  <c r="D172" i="28" s="1"/>
  <c r="E171" i="28"/>
  <c r="J172" i="28" l="1"/>
  <c r="I172" i="28"/>
  <c r="H172" i="28"/>
  <c r="G172" i="28"/>
  <c r="F172" i="28"/>
  <c r="E172" i="28"/>
  <c r="K172" i="28"/>
  <c r="L172" i="28"/>
  <c r="D173" i="28" s="1"/>
  <c r="I173" i="28" l="1"/>
  <c r="H173" i="28"/>
  <c r="G173" i="28"/>
  <c r="F173" i="28"/>
  <c r="E173" i="28"/>
  <c r="L173" i="28"/>
  <c r="D174" i="28" s="1"/>
  <c r="J173" i="28"/>
  <c r="K173" i="28"/>
  <c r="H174" i="28" l="1"/>
  <c r="G174" i="28"/>
  <c r="F174" i="28"/>
  <c r="E174" i="28"/>
  <c r="L174" i="28"/>
  <c r="D175" i="28" s="1"/>
  <c r="K174" i="28"/>
  <c r="I174" i="28"/>
  <c r="J174" i="28"/>
  <c r="G175" i="28" l="1"/>
  <c r="F175" i="28"/>
  <c r="E175" i="28"/>
  <c r="L175" i="28"/>
  <c r="D176" i="28" s="1"/>
  <c r="K175" i="28"/>
  <c r="J175" i="28"/>
  <c r="H175" i="28"/>
  <c r="I175" i="28"/>
  <c r="F176" i="28" l="1"/>
  <c r="E176" i="28"/>
  <c r="L176" i="28"/>
  <c r="D177" i="28" s="1"/>
  <c r="K176" i="28"/>
  <c r="J176" i="28"/>
  <c r="I176" i="28"/>
  <c r="G176" i="28"/>
  <c r="H176" i="28"/>
  <c r="E177" i="28" l="1"/>
  <c r="L177" i="28"/>
  <c r="D178" i="28" s="1"/>
  <c r="K177" i="28"/>
  <c r="J177" i="28"/>
  <c r="I177" i="28"/>
  <c r="H177" i="28"/>
  <c r="F177" i="28"/>
  <c r="G177" i="28"/>
  <c r="L178" i="28" l="1"/>
  <c r="K178" i="28"/>
  <c r="J178" i="28"/>
  <c r="I178" i="28"/>
  <c r="H178" i="28"/>
  <c r="G178" i="28"/>
  <c r="E178" i="28"/>
  <c r="F178" i="28"/>
  <c r="N590" i="1" l="1"/>
  <c r="N594" i="1" l="1"/>
  <c r="N596" i="1"/>
  <c r="N598" i="1"/>
  <c r="N595" i="1"/>
  <c r="N597" i="1"/>
  <c r="O590" i="1"/>
  <c r="P590" i="1" l="1"/>
  <c r="Q590" i="1" s="1"/>
  <c r="R590" i="1" s="1"/>
  <c r="S590" i="1" s="1"/>
  <c r="T590" i="1" s="1"/>
  <c r="U590" i="1" s="1"/>
  <c r="V590" i="1" s="1"/>
  <c r="W590" i="1" s="1"/>
  <c r="O598" i="1"/>
  <c r="O597" i="1"/>
  <c r="O596" i="1"/>
  <c r="O595" i="1"/>
  <c r="O594" i="1"/>
  <c r="P596" i="1" l="1"/>
  <c r="P594" i="1"/>
  <c r="P598" i="1"/>
  <c r="P595" i="1"/>
  <c r="P597" i="1"/>
  <c r="F786" i="1"/>
  <c r="Q597" i="1" l="1"/>
  <c r="Q596" i="1"/>
  <c r="Q594" i="1"/>
  <c r="Q598" i="1"/>
  <c r="Q595" i="1"/>
  <c r="R903" i="1"/>
  <c r="F8" i="20" l="1"/>
  <c r="G156" i="1" l="1"/>
  <c r="J149" i="1" l="1"/>
  <c r="I149" i="1"/>
  <c r="H149" i="1"/>
  <c r="N882" i="1"/>
  <c r="H152" i="1" l="1"/>
  <c r="I152" i="1"/>
  <c r="J152" i="1"/>
  <c r="R856" i="1"/>
  <c r="J156" i="1" l="1"/>
  <c r="I156" i="1"/>
  <c r="H156" i="1"/>
  <c r="M898" i="1"/>
  <c r="M895" i="1"/>
  <c r="M894" i="1"/>
  <c r="M893" i="1"/>
  <c r="M890" i="1"/>
  <c r="M864" i="1"/>
  <c r="N864" i="1" s="1"/>
  <c r="M863" i="1"/>
  <c r="M862" i="1"/>
  <c r="M861" i="1"/>
  <c r="M860" i="1"/>
  <c r="N860" i="1" l="1"/>
  <c r="N898" i="1"/>
  <c r="R898" i="1" s="1"/>
  <c r="O466" i="1" l="1"/>
  <c r="P466" i="1"/>
  <c r="Q466" i="1"/>
  <c r="R466" i="1"/>
  <c r="S466" i="1"/>
  <c r="N466" i="1"/>
  <c r="R597" i="1" l="1"/>
  <c r="R596" i="1"/>
  <c r="R594" i="1"/>
  <c r="R598" i="1"/>
  <c r="R595" i="1"/>
  <c r="M169" i="1"/>
  <c r="H171" i="1"/>
  <c r="I171" i="1"/>
  <c r="H172" i="1"/>
  <c r="I172" i="1"/>
  <c r="J172" i="1"/>
  <c r="J174" i="1" s="1"/>
  <c r="G172" i="1"/>
  <c r="G174" i="1" s="1"/>
  <c r="H174" i="1" l="1"/>
  <c r="H181" i="1" s="1"/>
  <c r="I174" i="1"/>
  <c r="I181" i="1" s="1"/>
  <c r="S598" i="1"/>
  <c r="S595" i="1"/>
  <c r="S597" i="1"/>
  <c r="S596" i="1"/>
  <c r="S594" i="1"/>
  <c r="N542" i="1"/>
  <c r="J181" i="1"/>
  <c r="G181" i="1"/>
  <c r="G182" i="1" s="1"/>
  <c r="N895" i="1"/>
  <c r="R895" i="1" s="1"/>
  <c r="N894" i="1"/>
  <c r="R894" i="1" s="1"/>
  <c r="N881" i="1"/>
  <c r="N863" i="1"/>
  <c r="R863" i="1" s="1"/>
  <c r="R864" i="1"/>
  <c r="N543" i="1" l="1"/>
  <c r="N544" i="1" s="1"/>
  <c r="T598" i="1"/>
  <c r="T595" i="1"/>
  <c r="T597" i="1"/>
  <c r="T596" i="1"/>
  <c r="T594" i="1"/>
  <c r="J920" i="1"/>
  <c r="H182" i="1"/>
  <c r="J182" i="1"/>
  <c r="I182" i="1"/>
  <c r="U594" i="1" l="1"/>
  <c r="U598" i="1"/>
  <c r="U595" i="1"/>
  <c r="U597" i="1"/>
  <c r="U596" i="1"/>
  <c r="K881" i="1"/>
  <c r="K886" i="1" l="1"/>
  <c r="K888" i="1" s="1"/>
  <c r="V594" i="1"/>
  <c r="V598" i="1"/>
  <c r="V595" i="1"/>
  <c r="V597" i="1"/>
  <c r="V596" i="1"/>
  <c r="W595" i="1"/>
  <c r="N862" i="1"/>
  <c r="Q40" i="1" s="1"/>
  <c r="K896" i="1"/>
  <c r="K906" i="1" s="1"/>
  <c r="K918" i="1" s="1"/>
  <c r="N861" i="1"/>
  <c r="Q39" i="1" s="1"/>
  <c r="W596" i="1" l="1"/>
  <c r="W594" i="1"/>
  <c r="W598" i="1"/>
  <c r="W597" i="1"/>
  <c r="R861" i="1"/>
  <c r="K920" i="1"/>
  <c r="R862" i="1"/>
  <c r="M172" i="1" s="1"/>
  <c r="N893" i="1"/>
  <c r="L896" i="1"/>
  <c r="L906" i="1" s="1"/>
  <c r="L916" i="1" s="1"/>
  <c r="N916" i="1" s="1"/>
  <c r="R893" i="1" l="1"/>
  <c r="R896" i="1" s="1"/>
  <c r="L15" i="1" s="1"/>
  <c r="M171" i="1"/>
  <c r="M174" i="1" s="1"/>
  <c r="M176" i="1" l="1"/>
  <c r="M179" i="1" s="1"/>
  <c r="M181" i="1" s="1"/>
  <c r="G920" i="1" l="1"/>
  <c r="H920" i="1"/>
  <c r="I920" i="1"/>
  <c r="E17" i="1" l="1"/>
  <c r="G17" i="1" s="1"/>
  <c r="N169" i="1" l="1"/>
  <c r="O169" i="1" l="1"/>
  <c r="P169" i="1" s="1"/>
  <c r="Q169" i="1" s="1"/>
  <c r="R169" i="1" s="1"/>
  <c r="S169" i="1" s="1"/>
  <c r="T169" i="1" s="1"/>
  <c r="U169" i="1" s="1"/>
  <c r="V169" i="1" s="1"/>
  <c r="W169" i="1" s="1"/>
  <c r="F13" i="20" l="1"/>
  <c r="F12" i="20"/>
  <c r="O144" i="1" l="1"/>
  <c r="N171" i="1"/>
  <c r="N145" i="1"/>
  <c r="O260" i="1" l="1"/>
  <c r="O261" i="1" s="1"/>
  <c r="O262" i="1" s="1"/>
  <c r="O227" i="1"/>
  <c r="O229" i="1"/>
  <c r="O438" i="1" s="1"/>
  <c r="O635" i="1" s="1"/>
  <c r="N176" i="1"/>
  <c r="N179" i="1" s="1"/>
  <c r="N172" i="1"/>
  <c r="N174" i="1" s="1"/>
  <c r="P144" i="1"/>
  <c r="O171" i="1"/>
  <c r="O145" i="1"/>
  <c r="M635" i="1"/>
  <c r="N146" i="1"/>
  <c r="O148" i="1"/>
  <c r="P260" i="1" l="1"/>
  <c r="P261" i="1" s="1"/>
  <c r="P262" i="1" s="1"/>
  <c r="P227" i="1"/>
  <c r="O441" i="1"/>
  <c r="N149" i="1"/>
  <c r="N152" i="1" s="1"/>
  <c r="D241" i="1"/>
  <c r="O241" i="1" s="1"/>
  <c r="P229" i="1"/>
  <c r="P438" i="1" s="1"/>
  <c r="P635" i="1" s="1"/>
  <c r="O176" i="1"/>
  <c r="O179" i="1" s="1"/>
  <c r="O172" i="1"/>
  <c r="O174" i="1" s="1"/>
  <c r="P171" i="1"/>
  <c r="Q144" i="1"/>
  <c r="O146" i="1"/>
  <c r="N181" i="1"/>
  <c r="N182" i="1" s="1"/>
  <c r="N636" i="1" s="1"/>
  <c r="P145" i="1"/>
  <c r="P148" i="1"/>
  <c r="Q260" i="1" l="1"/>
  <c r="Q261" i="1" s="1"/>
  <c r="Q262" i="1" s="1"/>
  <c r="Q227" i="1"/>
  <c r="O250" i="1"/>
  <c r="P441" i="1"/>
  <c r="N630" i="1"/>
  <c r="O149" i="1"/>
  <c r="O630" i="1" s="1"/>
  <c r="P241" i="1"/>
  <c r="Q241" i="1" s="1"/>
  <c r="D242" i="1"/>
  <c r="P242" i="1" s="1"/>
  <c r="Q242" i="1" s="1"/>
  <c r="Q229" i="1"/>
  <c r="Q438" i="1" s="1"/>
  <c r="Q635" i="1" s="1"/>
  <c r="O181" i="1"/>
  <c r="O182" i="1" s="1"/>
  <c r="O636" i="1" s="1"/>
  <c r="N631" i="1"/>
  <c r="K26" i="1"/>
  <c r="N730" i="1"/>
  <c r="N732" i="1" s="1"/>
  <c r="N736" i="1" s="1"/>
  <c r="P176" i="1"/>
  <c r="P179" i="1" s="1"/>
  <c r="P172" i="1"/>
  <c r="P174" i="1" s="1"/>
  <c r="Q171" i="1"/>
  <c r="R144" i="1"/>
  <c r="P146" i="1"/>
  <c r="N433" i="1"/>
  <c r="Q148" i="1"/>
  <c r="Q145" i="1"/>
  <c r="R260" i="1" l="1"/>
  <c r="R261" i="1" s="1"/>
  <c r="R262" i="1" s="1"/>
  <c r="R227" i="1"/>
  <c r="O152" i="1"/>
  <c r="M630" i="1"/>
  <c r="Q441" i="1"/>
  <c r="P149" i="1"/>
  <c r="P630" i="1" s="1"/>
  <c r="P250" i="1"/>
  <c r="D243" i="1"/>
  <c r="Q243" i="1" s="1"/>
  <c r="Q250" i="1" s="1"/>
  <c r="R229" i="1"/>
  <c r="R438" i="1" s="1"/>
  <c r="R635" i="1" s="1"/>
  <c r="R241" i="1"/>
  <c r="R242" i="1"/>
  <c r="S242" i="1" s="1"/>
  <c r="T242" i="1" s="1"/>
  <c r="Q172" i="1"/>
  <c r="Q174" i="1" s="1"/>
  <c r="Q176" i="1"/>
  <c r="Q179" i="1" s="1"/>
  <c r="R171" i="1"/>
  <c r="S144" i="1"/>
  <c r="Q146" i="1"/>
  <c r="N738" i="1"/>
  <c r="M631" i="1"/>
  <c r="O433" i="1"/>
  <c r="P181" i="1"/>
  <c r="P182" i="1" s="1"/>
  <c r="P636" i="1" s="1"/>
  <c r="R148" i="1"/>
  <c r="R145" i="1"/>
  <c r="S260" i="1" l="1"/>
  <c r="S261" i="1" s="1"/>
  <c r="S262" i="1" s="1"/>
  <c r="S227" i="1"/>
  <c r="O730" i="1"/>
  <c r="O732" i="1" s="1"/>
  <c r="O736" i="1" s="1"/>
  <c r="O738" i="1" s="1"/>
  <c r="O631" i="1"/>
  <c r="K27" i="1"/>
  <c r="R441" i="1"/>
  <c r="P152" i="1"/>
  <c r="P730" i="1" s="1"/>
  <c r="P732" i="1" s="1"/>
  <c r="P736" i="1" s="1"/>
  <c r="Q149" i="1"/>
  <c r="D244" i="1"/>
  <c r="R244" i="1" s="1"/>
  <c r="S244" i="1" s="1"/>
  <c r="S241" i="1"/>
  <c r="R243" i="1"/>
  <c r="S229" i="1"/>
  <c r="S438" i="1" s="1"/>
  <c r="S635" i="1" s="1"/>
  <c r="U242" i="1"/>
  <c r="V242" i="1" s="1"/>
  <c r="S171" i="1"/>
  <c r="T144" i="1"/>
  <c r="R172" i="1"/>
  <c r="R174" i="1" s="1"/>
  <c r="R176" i="1"/>
  <c r="R179" i="1" s="1"/>
  <c r="P433" i="1"/>
  <c r="Q181" i="1"/>
  <c r="Q182" i="1" s="1"/>
  <c r="Q636" i="1" s="1"/>
  <c r="R146" i="1"/>
  <c r="S145" i="1"/>
  <c r="S148" i="1"/>
  <c r="T260" i="1" l="1"/>
  <c r="T261" i="1" s="1"/>
  <c r="T262" i="1" s="1"/>
  <c r="T227" i="1"/>
  <c r="S441" i="1"/>
  <c r="P631" i="1"/>
  <c r="Q152" i="1"/>
  <c r="Q630" i="1"/>
  <c r="R149" i="1"/>
  <c r="R630" i="1" s="1"/>
  <c r="R250" i="1"/>
  <c r="D245" i="1"/>
  <c r="S245" i="1" s="1"/>
  <c r="T245" i="1" s="1"/>
  <c r="T241" i="1"/>
  <c r="U241" i="1" s="1"/>
  <c r="S243" i="1"/>
  <c r="T243" i="1" s="1"/>
  <c r="T229" i="1"/>
  <c r="T244" i="1"/>
  <c r="U244" i="1" s="1"/>
  <c r="W242" i="1"/>
  <c r="T171" i="1"/>
  <c r="U144" i="1"/>
  <c r="S172" i="1"/>
  <c r="S174" i="1" s="1"/>
  <c r="S176" i="1"/>
  <c r="S179" i="1" s="1"/>
  <c r="S146" i="1"/>
  <c r="P738" i="1"/>
  <c r="R181" i="1"/>
  <c r="R182" i="1" s="1"/>
  <c r="R636" i="1" s="1"/>
  <c r="T145" i="1"/>
  <c r="T148" i="1"/>
  <c r="Q433" i="1"/>
  <c r="U260" i="1" l="1"/>
  <c r="U261" i="1" s="1"/>
  <c r="U262" i="1" s="1"/>
  <c r="U227" i="1"/>
  <c r="Q631" i="1"/>
  <c r="Q730" i="1"/>
  <c r="Q732" i="1" s="1"/>
  <c r="Q736" i="1" s="1"/>
  <c r="Q738" i="1" s="1"/>
  <c r="T438" i="1"/>
  <c r="T635" i="1" s="1"/>
  <c r="R152" i="1"/>
  <c r="R631" i="1" s="1"/>
  <c r="S149" i="1"/>
  <c r="S630" i="1" s="1"/>
  <c r="D246" i="1"/>
  <c r="T246" i="1" s="1"/>
  <c r="U243" i="1"/>
  <c r="V243" i="1" s="1"/>
  <c r="S250" i="1"/>
  <c r="V241" i="1"/>
  <c r="U229" i="1"/>
  <c r="U438" i="1" s="1"/>
  <c r="U635" i="1" s="1"/>
  <c r="U245" i="1"/>
  <c r="V244" i="1"/>
  <c r="W244" i="1" s="1"/>
  <c r="T176" i="1"/>
  <c r="T179" i="1" s="1"/>
  <c r="T172" i="1"/>
  <c r="T174" i="1" s="1"/>
  <c r="V144" i="1"/>
  <c r="U171" i="1"/>
  <c r="S181" i="1"/>
  <c r="S182" i="1" s="1"/>
  <c r="S636" i="1" s="1"/>
  <c r="R433" i="1"/>
  <c r="U148" i="1"/>
  <c r="U145" i="1"/>
  <c r="T146" i="1"/>
  <c r="V260" i="1" l="1"/>
  <c r="V261" i="1" s="1"/>
  <c r="V262" i="1" s="1"/>
  <c r="V227" i="1"/>
  <c r="U441" i="1"/>
  <c r="T441" i="1"/>
  <c r="R730" i="1"/>
  <c r="R732" i="1" s="1"/>
  <c r="R736" i="1" s="1"/>
  <c r="R738" i="1" s="1"/>
  <c r="S152" i="1"/>
  <c r="S631" i="1" s="1"/>
  <c r="T149" i="1"/>
  <c r="U246" i="1"/>
  <c r="V246" i="1" s="1"/>
  <c r="W246" i="1" s="1"/>
  <c r="T250" i="1"/>
  <c r="D247" i="1"/>
  <c r="U247" i="1" s="1"/>
  <c r="W243" i="1"/>
  <c r="W241" i="1"/>
  <c r="V229" i="1"/>
  <c r="V438" i="1" s="1"/>
  <c r="V635" i="1" s="1"/>
  <c r="V245" i="1"/>
  <c r="W245" i="1" s="1"/>
  <c r="W144" i="1"/>
  <c r="V171" i="1"/>
  <c r="U176" i="1"/>
  <c r="U179" i="1" s="1"/>
  <c r="U172" i="1"/>
  <c r="U174" i="1" s="1"/>
  <c r="U146" i="1"/>
  <c r="V148" i="1"/>
  <c r="V145" i="1"/>
  <c r="T181" i="1"/>
  <c r="T182" i="1" s="1"/>
  <c r="T636" i="1" s="1"/>
  <c r="S433" i="1"/>
  <c r="W260" i="1" l="1"/>
  <c r="W261" i="1" s="1"/>
  <c r="W262" i="1" s="1"/>
  <c r="W227" i="1"/>
  <c r="V441" i="1"/>
  <c r="S730" i="1"/>
  <c r="S732" i="1" s="1"/>
  <c r="S736" i="1" s="1"/>
  <c r="S738" i="1" s="1"/>
  <c r="T630" i="1"/>
  <c r="T152" i="1"/>
  <c r="U149" i="1"/>
  <c r="D248" i="1"/>
  <c r="V248" i="1" s="1"/>
  <c r="W248" i="1" s="1"/>
  <c r="V247" i="1"/>
  <c r="W247" i="1" s="1"/>
  <c r="U250" i="1"/>
  <c r="W229" i="1"/>
  <c r="W438" i="1" s="1"/>
  <c r="W635" i="1" s="1"/>
  <c r="W171" i="1"/>
  <c r="V176" i="1"/>
  <c r="V179" i="1" s="1"/>
  <c r="V172" i="1"/>
  <c r="V174" i="1" s="1"/>
  <c r="U181" i="1"/>
  <c r="U182" i="1" s="1"/>
  <c r="U636" i="1" s="1"/>
  <c r="V146" i="1"/>
  <c r="W145" i="1"/>
  <c r="W148" i="1"/>
  <c r="T433" i="1"/>
  <c r="W441" i="1" l="1"/>
  <c r="T631" i="1"/>
  <c r="T730" i="1"/>
  <c r="T732" i="1" s="1"/>
  <c r="T736" i="1" s="1"/>
  <c r="T738" i="1" s="1"/>
  <c r="U630" i="1"/>
  <c r="U152" i="1"/>
  <c r="U631" i="1" s="1"/>
  <c r="V149" i="1"/>
  <c r="V250" i="1"/>
  <c r="D249" i="1"/>
  <c r="W249" i="1" s="1"/>
  <c r="W176" i="1"/>
  <c r="W179" i="1" s="1"/>
  <c r="W172" i="1"/>
  <c r="W174" i="1" s="1"/>
  <c r="W146" i="1"/>
  <c r="V181" i="1"/>
  <c r="V182" i="1" s="1"/>
  <c r="V636" i="1" s="1"/>
  <c r="U433" i="1"/>
  <c r="U730" i="1" l="1"/>
  <c r="U732" i="1" s="1"/>
  <c r="U736" i="1" s="1"/>
  <c r="U738" i="1" s="1"/>
  <c r="V630" i="1"/>
  <c r="V152" i="1"/>
  <c r="V631" i="1" s="1"/>
  <c r="W149" i="1"/>
  <c r="W630" i="1" s="1"/>
  <c r="W250" i="1"/>
  <c r="W181" i="1"/>
  <c r="W182" i="1" s="1"/>
  <c r="W636" i="1" s="1"/>
  <c r="V433" i="1"/>
  <c r="V730" i="1" l="1"/>
  <c r="V732" i="1" s="1"/>
  <c r="V736" i="1" s="1"/>
  <c r="V738" i="1" s="1"/>
  <c r="W152" i="1"/>
  <c r="W433" i="1"/>
  <c r="W631" i="1" l="1"/>
  <c r="W730" i="1"/>
  <c r="W732" i="1" s="1"/>
  <c r="W736" i="1" s="1"/>
  <c r="W738" i="1" s="1"/>
  <c r="E23" i="1"/>
  <c r="M484" i="1" l="1"/>
  <c r="P901" i="1"/>
  <c r="R901" i="1" s="1"/>
  <c r="M572" i="1" l="1"/>
  <c r="M486" i="1"/>
  <c r="M487" i="1" s="1"/>
  <c r="N482" i="1"/>
  <c r="K22" i="55" l="1"/>
  <c r="F132" i="1" s="1"/>
  <c r="L22" i="55"/>
  <c r="G132" i="1" s="1"/>
  <c r="M22" i="55"/>
  <c r="H132" i="1" s="1"/>
  <c r="N22" i="55"/>
  <c r="I132" i="1" s="1"/>
  <c r="K23" i="55"/>
  <c r="F133" i="1" s="1"/>
  <c r="L23" i="55"/>
  <c r="G133" i="1" s="1"/>
  <c r="M23" i="55"/>
  <c r="H133" i="1" s="1"/>
  <c r="N23" i="55"/>
  <c r="I133" i="1" s="1"/>
  <c r="K24" i="55"/>
  <c r="F134" i="1" s="1"/>
  <c r="L24" i="55"/>
  <c r="G134" i="1" s="1"/>
  <c r="M24" i="55"/>
  <c r="H134" i="1" s="1"/>
  <c r="N24" i="55"/>
  <c r="I134" i="1" s="1"/>
  <c r="O22" i="55"/>
  <c r="J132" i="1" s="1"/>
  <c r="P22" i="55"/>
  <c r="K132" i="1" s="1"/>
  <c r="O23" i="55"/>
  <c r="J133" i="1" s="1"/>
  <c r="P23" i="55"/>
  <c r="K133" i="1" s="1"/>
  <c r="O24" i="55"/>
  <c r="J134" i="1" s="1"/>
  <c r="P24" i="55"/>
  <c r="K134" i="1" s="1"/>
  <c r="E26" i="1"/>
  <c r="K31" i="1" s="1"/>
  <c r="H60" i="1" l="1"/>
  <c r="J60" i="1" s="1"/>
  <c r="M554" i="1" l="1"/>
  <c r="N550" i="1" s="1"/>
  <c r="P904" i="1"/>
  <c r="R904" i="1" s="1"/>
  <c r="H8" i="30"/>
  <c r="L9" i="30" s="1"/>
  <c r="P9" i="30" s="1"/>
  <c r="L21" i="30" l="1"/>
  <c r="D22" i="30" s="1"/>
  <c r="E22" i="30" s="1"/>
  <c r="M576" i="1"/>
  <c r="K21" i="30"/>
  <c r="L10" i="30"/>
  <c r="P10" i="30" s="1"/>
  <c r="M642" i="1" l="1"/>
  <c r="M650" i="1"/>
  <c r="G22" i="30"/>
  <c r="F22" i="30" l="1"/>
  <c r="H22" i="30" s="1"/>
  <c r="J22" i="30" l="1"/>
  <c r="I22" i="30" s="1"/>
  <c r="L22" i="30" l="1"/>
  <c r="D23" i="30" s="1"/>
  <c r="K22" i="30"/>
  <c r="E23" i="30" l="1"/>
  <c r="G23" i="30" s="1"/>
  <c r="F23" i="30" l="1"/>
  <c r="H23" i="30" s="1"/>
  <c r="J23" i="30" l="1"/>
  <c r="I23" i="30" s="1"/>
  <c r="K23" i="30" l="1"/>
  <c r="L23" i="30"/>
  <c r="D24" i="30" s="1"/>
  <c r="E24" i="30" l="1"/>
  <c r="G24" i="30" l="1"/>
  <c r="F24" i="30" l="1"/>
  <c r="H24" i="30" s="1"/>
  <c r="J24" i="30" l="1"/>
  <c r="I24" i="30" s="1"/>
  <c r="K24" i="30" l="1"/>
  <c r="L24" i="30"/>
  <c r="D25" i="30" s="1"/>
  <c r="E25" i="30" l="1"/>
  <c r="G25" i="30" l="1"/>
  <c r="F25" i="30" l="1"/>
  <c r="H25" i="30" s="1"/>
  <c r="J25" i="30" l="1"/>
  <c r="I25" i="30" s="1"/>
  <c r="K25" i="30" s="1"/>
  <c r="L25" i="30" l="1"/>
  <c r="D26" i="30" s="1"/>
  <c r="E26" i="30" s="1"/>
  <c r="G26" i="30" s="1"/>
  <c r="F26" i="30" s="1"/>
  <c r="H26" i="30" s="1"/>
  <c r="K16" i="30" l="1"/>
  <c r="J26" i="30"/>
  <c r="I26" i="30" s="1"/>
  <c r="N115" i="1"/>
  <c r="L26" i="30" l="1"/>
  <c r="D27" i="30" s="1"/>
  <c r="K26" i="30"/>
  <c r="K17" i="30"/>
  <c r="N500" i="1"/>
  <c r="N551" i="1" l="1"/>
  <c r="E27" i="30"/>
  <c r="G27" i="30" l="1"/>
  <c r="N552" i="1"/>
  <c r="N662" i="1" s="1"/>
  <c r="F27" i="30" l="1"/>
  <c r="H27" i="30" s="1"/>
  <c r="J27" i="30" l="1"/>
  <c r="I27" i="30" s="1"/>
  <c r="L27" i="30" l="1"/>
  <c r="D28" i="30" s="1"/>
  <c r="K27" i="30"/>
  <c r="E28" i="30" l="1"/>
  <c r="G28" i="30" l="1"/>
  <c r="F28" i="30" l="1"/>
  <c r="H28" i="30" s="1"/>
  <c r="J28" i="30" l="1"/>
  <c r="I28" i="30" s="1"/>
  <c r="L28" i="30" l="1"/>
  <c r="D29" i="30" s="1"/>
  <c r="K28" i="30"/>
  <c r="E29" i="30" l="1"/>
  <c r="G29" i="30" l="1"/>
  <c r="F29" i="30" l="1"/>
  <c r="H29" i="30" s="1"/>
  <c r="J29" i="30" l="1"/>
  <c r="I29" i="30" s="1"/>
  <c r="K29" i="30" s="1"/>
  <c r="L29" i="30" l="1"/>
  <c r="D30" i="30" s="1"/>
  <c r="E30" i="30" l="1"/>
  <c r="G30" i="30" s="1"/>
  <c r="F30" i="30" l="1"/>
  <c r="H30" i="30" s="1"/>
  <c r="J30" i="30" l="1"/>
  <c r="I30" i="30" s="1"/>
  <c r="K30" i="30" s="1"/>
  <c r="L30" i="30" l="1"/>
  <c r="D31" i="30" s="1"/>
  <c r="E31" i="30" l="1"/>
  <c r="G31" i="30" s="1"/>
  <c r="F31" i="30" l="1"/>
  <c r="H31" i="30" s="1"/>
  <c r="J31" i="30" l="1"/>
  <c r="I31" i="30" s="1"/>
  <c r="L31" i="30" s="1"/>
  <c r="D32" i="30" s="1"/>
  <c r="E32" i="30" l="1"/>
  <c r="G32" i="30" s="1"/>
  <c r="K31" i="30"/>
  <c r="F32" i="30" l="1"/>
  <c r="H32" i="30" s="1"/>
  <c r="J32" i="30" l="1"/>
  <c r="I32" i="30" s="1"/>
  <c r="L32" i="30" l="1"/>
  <c r="D33" i="30" s="1"/>
  <c r="K32" i="30"/>
  <c r="E33" i="30" l="1"/>
  <c r="G33" i="30" l="1"/>
  <c r="F33" i="30" l="1"/>
  <c r="H33" i="30" s="1"/>
  <c r="J33" i="30" l="1"/>
  <c r="I33" i="30" s="1"/>
  <c r="L33" i="30" l="1"/>
  <c r="D34" i="30" s="1"/>
  <c r="K33" i="30"/>
  <c r="E34" i="30" l="1"/>
  <c r="G34" i="30" s="1"/>
  <c r="F34" i="30" l="1"/>
  <c r="H34" i="30" s="1"/>
  <c r="J34" i="30" l="1"/>
  <c r="I34" i="30" s="1"/>
  <c r="L34" i="30" s="1"/>
  <c r="D35" i="30" s="1"/>
  <c r="K34" i="30" l="1"/>
  <c r="E35" i="30"/>
  <c r="G35" i="30" s="1"/>
  <c r="F35" i="30" s="1"/>
  <c r="H35" i="30" s="1"/>
  <c r="J35" i="30" l="1"/>
  <c r="I35" i="30" s="1"/>
  <c r="L35" i="30" l="1"/>
  <c r="D36" i="30" s="1"/>
  <c r="K35" i="30"/>
  <c r="E36" i="30" l="1"/>
  <c r="G36" i="30" l="1"/>
  <c r="F36" i="30" l="1"/>
  <c r="H36" i="30" s="1"/>
  <c r="J36" i="30" l="1"/>
  <c r="I36" i="30" s="1"/>
  <c r="L36" i="30" l="1"/>
  <c r="D37" i="30" s="1"/>
  <c r="K36" i="30"/>
  <c r="E37" i="30" l="1"/>
  <c r="G37" i="30" l="1"/>
  <c r="F37" i="30" s="1"/>
  <c r="H37" i="30" s="1"/>
  <c r="J37" i="30" s="1"/>
  <c r="I37" i="30" l="1"/>
  <c r="L37" i="30" s="1"/>
  <c r="D38" i="30" s="1"/>
  <c r="K37" i="30" l="1"/>
  <c r="E38" i="30"/>
  <c r="G38" i="30" s="1"/>
  <c r="F38" i="30" s="1"/>
  <c r="H38" i="30" s="1"/>
  <c r="J38" i="30" l="1"/>
  <c r="I38" i="30" s="1"/>
  <c r="K38" i="30" l="1"/>
  <c r="L38" i="30"/>
  <c r="D39" i="30" s="1"/>
  <c r="E39" i="30" l="1"/>
  <c r="G39" i="30" l="1"/>
  <c r="F39" i="30" l="1"/>
  <c r="H39" i="30" s="1"/>
  <c r="J39" i="30" l="1"/>
  <c r="I39" i="30" s="1"/>
  <c r="L39" i="30" l="1"/>
  <c r="D40" i="30" s="1"/>
  <c r="K39" i="30"/>
  <c r="E40" i="30" l="1"/>
  <c r="G40" i="30" s="1"/>
  <c r="F40" i="30" l="1"/>
  <c r="H40" i="30" s="1"/>
  <c r="J40" i="30" l="1"/>
  <c r="I40" i="30" s="1"/>
  <c r="L40" i="30" s="1"/>
  <c r="D41" i="30" s="1"/>
  <c r="E41" i="30" l="1"/>
  <c r="G41" i="30" s="1"/>
  <c r="F41" i="30" s="1"/>
  <c r="H41" i="30" s="1"/>
  <c r="K40" i="30"/>
  <c r="J41" i="30" l="1"/>
  <c r="I41" i="30" s="1"/>
  <c r="L41" i="30" l="1"/>
  <c r="D42" i="30" s="1"/>
  <c r="K41" i="30"/>
  <c r="E42" i="30" l="1"/>
  <c r="G42" i="30" s="1"/>
  <c r="F42" i="30" l="1"/>
  <c r="H42" i="30" s="1"/>
  <c r="J42" i="30" l="1"/>
  <c r="I42" i="30" s="1"/>
  <c r="L42" i="30" s="1"/>
  <c r="D43" i="30" s="1"/>
  <c r="E43" i="30" l="1"/>
  <c r="K42" i="30"/>
  <c r="G43" i="30" l="1"/>
  <c r="F43" i="30" l="1"/>
  <c r="H43" i="30" s="1"/>
  <c r="J43" i="30" l="1"/>
  <c r="I43" i="30" s="1"/>
  <c r="L43" i="30" l="1"/>
  <c r="D44" i="30" s="1"/>
  <c r="K43" i="30"/>
  <c r="E44" i="30" l="1"/>
  <c r="G44" i="30" s="1"/>
  <c r="F44" i="30" l="1"/>
  <c r="H44" i="30" s="1"/>
  <c r="J44" i="30" l="1"/>
  <c r="I44" i="30" s="1"/>
  <c r="L44" i="30" s="1"/>
  <c r="D45" i="30" s="1"/>
  <c r="K44" i="30" l="1"/>
  <c r="E45" i="30"/>
  <c r="G45" i="30" s="1"/>
  <c r="F45" i="30" l="1"/>
  <c r="H45" i="30" s="1"/>
  <c r="J45" i="30" s="1"/>
  <c r="I45" i="30" l="1"/>
  <c r="L45" i="30" s="1"/>
  <c r="D46" i="30" s="1"/>
  <c r="K45" i="30" l="1"/>
  <c r="E46" i="30"/>
  <c r="G46" i="30" s="1"/>
  <c r="F46" i="30" l="1"/>
  <c r="H46" i="30" s="1"/>
  <c r="J46" i="30" s="1"/>
  <c r="I46" i="30" l="1"/>
  <c r="L46" i="30" s="1"/>
  <c r="D47" i="30" s="1"/>
  <c r="K46" i="30" l="1"/>
  <c r="E47" i="30"/>
  <c r="G47" i="30" l="1"/>
  <c r="F47" i="30" l="1"/>
  <c r="H47" i="30" s="1"/>
  <c r="J47" i="30" l="1"/>
  <c r="I47" i="30" s="1"/>
  <c r="L47" i="30" s="1"/>
  <c r="D48" i="30" s="1"/>
  <c r="K47" i="30" l="1"/>
  <c r="E48" i="30"/>
  <c r="G48" i="30" s="1"/>
  <c r="F48" i="30" l="1"/>
  <c r="H48" i="30" s="1"/>
  <c r="J48" i="30" l="1"/>
  <c r="I48" i="30" s="1"/>
  <c r="L48" i="30" s="1"/>
  <c r="D49" i="30" s="1"/>
  <c r="K48" i="30" l="1"/>
  <c r="E49" i="30"/>
  <c r="G49" i="30" s="1"/>
  <c r="F49" i="30" l="1"/>
  <c r="H49" i="30" s="1"/>
  <c r="J49" i="30" l="1"/>
  <c r="I49" i="30" s="1"/>
  <c r="K49" i="30" s="1"/>
  <c r="L49" i="30" l="1"/>
  <c r="D50" i="30" s="1"/>
  <c r="E50" i="30" l="1"/>
  <c r="G50" i="30" s="1"/>
  <c r="F50" i="30" l="1"/>
  <c r="H50" i="30" s="1"/>
  <c r="J50" i="30" l="1"/>
  <c r="I50" i="30" l="1"/>
  <c r="L50" i="30" s="1"/>
  <c r="D51" i="30" s="1"/>
  <c r="E51" i="30" l="1"/>
  <c r="K50" i="30"/>
  <c r="G51" i="30" l="1"/>
  <c r="F51" i="30" l="1"/>
  <c r="H51" i="30" s="1"/>
  <c r="J51" i="30" l="1"/>
  <c r="I51" i="30" s="1"/>
  <c r="L51" i="30" l="1"/>
  <c r="D52" i="30" s="1"/>
  <c r="K51" i="30"/>
  <c r="E52" i="30" l="1"/>
  <c r="G52" i="30" s="1"/>
  <c r="F52" i="30" l="1"/>
  <c r="H52" i="30" s="1"/>
  <c r="J52" i="30" l="1"/>
  <c r="I52" i="30" s="1"/>
  <c r="L52" i="30" s="1"/>
  <c r="D53" i="30" s="1"/>
  <c r="E53" i="30" l="1"/>
  <c r="G53" i="30" s="1"/>
  <c r="K52" i="30"/>
  <c r="F53" i="30" l="1"/>
  <c r="H53" i="30" s="1"/>
  <c r="J53" i="30" l="1"/>
  <c r="I53" i="30" s="1"/>
  <c r="K53" i="30" l="1"/>
  <c r="L53" i="30"/>
  <c r="D54" i="30" s="1"/>
  <c r="E54" i="30" l="1"/>
  <c r="G54" i="30" s="1"/>
  <c r="F54" i="30" l="1"/>
  <c r="H54" i="30" s="1"/>
  <c r="J54" i="30" l="1"/>
  <c r="I54" i="30" s="1"/>
  <c r="L54" i="30" l="1"/>
  <c r="D55" i="30" s="1"/>
  <c r="K54" i="30"/>
  <c r="E55" i="30" l="1"/>
  <c r="G55" i="30" s="1"/>
  <c r="F55" i="30" l="1"/>
  <c r="H55" i="30" s="1"/>
  <c r="J55" i="30" l="1"/>
  <c r="I55" i="30" s="1"/>
  <c r="L55" i="30" l="1"/>
  <c r="D56" i="30" s="1"/>
  <c r="K55" i="30"/>
  <c r="E56" i="30" l="1"/>
  <c r="G56" i="30" s="1"/>
  <c r="F56" i="30" l="1"/>
  <c r="H56" i="30" s="1"/>
  <c r="J56" i="30" l="1"/>
  <c r="I56" i="30" s="1"/>
  <c r="L56" i="30" s="1"/>
  <c r="D57" i="30" s="1"/>
  <c r="K56" i="30" l="1"/>
  <c r="E57" i="30"/>
  <c r="G57" i="30" s="1"/>
  <c r="F57" i="30" l="1"/>
  <c r="H57" i="30" s="1"/>
  <c r="J57" i="30" l="1"/>
  <c r="I57" i="30" s="1"/>
  <c r="K57" i="30" l="1"/>
  <c r="L57" i="30"/>
  <c r="D58" i="30" s="1"/>
  <c r="E58" i="30" l="1"/>
  <c r="G58" i="30" s="1"/>
  <c r="F58" i="30" l="1"/>
  <c r="H58" i="30" s="1"/>
  <c r="J58" i="30" l="1"/>
  <c r="I58" i="30" l="1"/>
  <c r="L58" i="30" s="1"/>
  <c r="D59" i="30" s="1"/>
  <c r="E59" i="30" l="1"/>
  <c r="K58" i="30"/>
  <c r="G59" i="30" l="1"/>
  <c r="F59" i="30" l="1"/>
  <c r="H59" i="30" s="1"/>
  <c r="J59" i="30" l="1"/>
  <c r="I59" i="30" s="1"/>
  <c r="L59" i="30" s="1"/>
  <c r="D60" i="30" s="1"/>
  <c r="K59" i="30" l="1"/>
  <c r="E60" i="30"/>
  <c r="G60" i="30" s="1"/>
  <c r="F60" i="30" s="1"/>
  <c r="H60" i="30" s="1"/>
  <c r="J60" i="30" l="1"/>
  <c r="I60" i="30" s="1"/>
  <c r="L60" i="30" l="1"/>
  <c r="D61" i="30" s="1"/>
  <c r="K60" i="30"/>
  <c r="E61" i="30" l="1"/>
  <c r="G61" i="30" s="1"/>
  <c r="F61" i="30" l="1"/>
  <c r="H61" i="30" s="1"/>
  <c r="J61" i="30" l="1"/>
  <c r="I61" i="30" s="1"/>
  <c r="L61" i="30" l="1"/>
  <c r="D62" i="30" s="1"/>
  <c r="K61" i="30"/>
  <c r="E62" i="30" l="1"/>
  <c r="G62" i="30" s="1"/>
  <c r="F62" i="30" l="1"/>
  <c r="H62" i="30" s="1"/>
  <c r="J62" i="30" l="1"/>
  <c r="I62" i="30" s="1"/>
  <c r="L62" i="30" l="1"/>
  <c r="D63" i="30" s="1"/>
  <c r="K62" i="30"/>
  <c r="E63" i="30" l="1"/>
  <c r="G63" i="30" l="1"/>
  <c r="F63" i="30" s="1"/>
  <c r="H63" i="30" s="1"/>
  <c r="J63" i="30" l="1"/>
  <c r="I63" i="30" s="1"/>
  <c r="L63" i="30" l="1"/>
  <c r="D64" i="30" s="1"/>
  <c r="K63" i="30"/>
  <c r="E64" i="30" l="1"/>
  <c r="G64" i="30" s="1"/>
  <c r="F64" i="30" l="1"/>
  <c r="H64" i="30" s="1"/>
  <c r="J64" i="30" s="1"/>
  <c r="I64" i="30" l="1"/>
  <c r="K64" i="30" s="1"/>
  <c r="L64" i="30" l="1"/>
  <c r="D65" i="30" s="1"/>
  <c r="E65" i="30" l="1"/>
  <c r="G65" i="30" s="1"/>
  <c r="F65" i="30" l="1"/>
  <c r="H65" i="30" s="1"/>
  <c r="J65" i="30" l="1"/>
  <c r="I65" i="30" s="1"/>
  <c r="L65" i="30" l="1"/>
  <c r="D66" i="30" s="1"/>
  <c r="K65" i="30"/>
  <c r="E66" i="30" l="1"/>
  <c r="G66" i="30" s="1"/>
  <c r="F66" i="30" l="1"/>
  <c r="H66" i="30" s="1"/>
  <c r="J66" i="30" l="1"/>
  <c r="I66" i="30" s="1"/>
  <c r="K66" i="30" l="1"/>
  <c r="L66" i="30"/>
  <c r="D67" i="30" s="1"/>
  <c r="E67" i="30" l="1"/>
  <c r="G67" i="30" l="1"/>
  <c r="F67" i="30" l="1"/>
  <c r="H67" i="30" s="1"/>
  <c r="J67" i="30" l="1"/>
  <c r="I67" i="30" s="1"/>
  <c r="L67" i="30" l="1"/>
  <c r="D68" i="30" s="1"/>
  <c r="K67" i="30"/>
  <c r="E68" i="30" l="1"/>
  <c r="G68" i="30" s="1"/>
  <c r="F68" i="30" s="1"/>
  <c r="H68" i="30" s="1"/>
  <c r="J68" i="30" l="1"/>
  <c r="I68" i="30" s="1"/>
  <c r="L68" i="30" s="1"/>
  <c r="D69" i="30" s="1"/>
  <c r="K68" i="30" l="1"/>
  <c r="E69" i="30"/>
  <c r="G69" i="30" s="1"/>
  <c r="F69" i="30" l="1"/>
  <c r="H69" i="30" s="1"/>
  <c r="J69" i="30" l="1"/>
  <c r="I69" i="30" s="1"/>
  <c r="L69" i="30" s="1"/>
  <c r="D70" i="30" s="1"/>
  <c r="K69" i="30" l="1"/>
  <c r="E70" i="30"/>
  <c r="G70" i="30" s="1"/>
  <c r="F70" i="30" l="1"/>
  <c r="H70" i="30" s="1"/>
  <c r="J70" i="30" l="1"/>
  <c r="I70" i="30" s="1"/>
  <c r="L70" i="30" l="1"/>
  <c r="D71" i="30" s="1"/>
  <c r="K70" i="30"/>
  <c r="E71" i="30" l="1"/>
  <c r="G71" i="30" s="1"/>
  <c r="F71" i="30" l="1"/>
  <c r="H71" i="30" s="1"/>
  <c r="J71" i="30" l="1"/>
  <c r="I71" i="30" s="1"/>
  <c r="L71" i="30" s="1"/>
  <c r="D72" i="30" s="1"/>
  <c r="E72" i="30" l="1"/>
  <c r="G72" i="30" s="1"/>
  <c r="K71" i="30"/>
  <c r="F72" i="30" l="1"/>
  <c r="H72" i="30" s="1"/>
  <c r="J72" i="30" l="1"/>
  <c r="I72" i="30" s="1"/>
  <c r="L72" i="30" s="1"/>
  <c r="D73" i="30" s="1"/>
  <c r="K72" i="30" l="1"/>
  <c r="E73" i="30"/>
  <c r="G73" i="30" s="1"/>
  <c r="F73" i="30" l="1"/>
  <c r="H73" i="30" s="1"/>
  <c r="J73" i="30" s="1"/>
  <c r="I73" i="30" l="1"/>
  <c r="L73" i="30" s="1"/>
  <c r="D74" i="30" s="1"/>
  <c r="E74" i="30" l="1"/>
  <c r="G74" i="30" s="1"/>
  <c r="K73" i="30"/>
  <c r="F74" i="30" l="1"/>
  <c r="H74" i="30" s="1"/>
  <c r="J74" i="30" l="1"/>
  <c r="I74" i="30" l="1"/>
  <c r="L74" i="30" s="1"/>
  <c r="D75" i="30" s="1"/>
  <c r="E75" i="30" l="1"/>
  <c r="K74" i="30"/>
  <c r="G75" i="30" l="1"/>
  <c r="F75" i="30" l="1"/>
  <c r="H75" i="30" s="1"/>
  <c r="J75" i="30" l="1"/>
  <c r="I75" i="30" s="1"/>
  <c r="L75" i="30" s="1"/>
  <c r="D76" i="30" s="1"/>
  <c r="E76" i="30" l="1"/>
  <c r="G76" i="30" s="1"/>
  <c r="K75" i="30"/>
  <c r="F76" i="30" l="1"/>
  <c r="H76" i="30" s="1"/>
  <c r="J76" i="30" l="1"/>
  <c r="I76" i="30" s="1"/>
  <c r="L76" i="30" s="1"/>
  <c r="D77" i="30" s="1"/>
  <c r="E77" i="30" l="1"/>
  <c r="G77" i="30" s="1"/>
  <c r="F77" i="30" s="1"/>
  <c r="H77" i="30" s="1"/>
  <c r="K76" i="30"/>
  <c r="J77" i="30" l="1"/>
  <c r="I77" i="30" s="1"/>
  <c r="L77" i="30" l="1"/>
  <c r="D78" i="30" s="1"/>
  <c r="K77" i="30"/>
  <c r="E78" i="30" l="1"/>
  <c r="G78" i="30" s="1"/>
  <c r="F78" i="30" l="1"/>
  <c r="H78" i="30" s="1"/>
  <c r="J78" i="30" l="1"/>
  <c r="I78" i="30" s="1"/>
  <c r="L78" i="30" l="1"/>
  <c r="D79" i="30" s="1"/>
  <c r="K78" i="30"/>
  <c r="E79" i="30" l="1"/>
  <c r="G79" i="30" s="1"/>
  <c r="F79" i="30" l="1"/>
  <c r="H79" i="30" s="1"/>
  <c r="J79" i="30" l="1"/>
  <c r="I79" i="30" s="1"/>
  <c r="L79" i="30" l="1"/>
  <c r="D80" i="30" s="1"/>
  <c r="K79" i="30"/>
  <c r="E80" i="30" l="1"/>
  <c r="G80" i="30" s="1"/>
  <c r="F80" i="30" l="1"/>
  <c r="H80" i="30" s="1"/>
  <c r="J80" i="30" l="1"/>
  <c r="I80" i="30" s="1"/>
  <c r="L80" i="30" s="1"/>
  <c r="D81" i="30" s="1"/>
  <c r="K80" i="30" l="1"/>
  <c r="E81" i="30"/>
  <c r="G81" i="30" s="1"/>
  <c r="F81" i="30" l="1"/>
  <c r="H81" i="30" s="1"/>
  <c r="J81" i="30" s="1"/>
  <c r="I81" i="30" l="1"/>
  <c r="H12" i="30" s="1" a="1"/>
  <c r="H12" i="30" s="1"/>
  <c r="L81" i="30" l="1"/>
  <c r="D82" i="30" s="1"/>
  <c r="K81" i="30"/>
  <c r="G82" i="30" l="1"/>
  <c r="H82" i="30"/>
  <c r="I82" i="30"/>
  <c r="J82" i="30"/>
  <c r="K82" i="30"/>
  <c r="L82" i="30"/>
  <c r="D83" i="30" s="1"/>
  <c r="E82" i="30"/>
  <c r="F82" i="30"/>
  <c r="F83" i="30" l="1"/>
  <c r="G83" i="30"/>
  <c r="H83" i="30"/>
  <c r="I83" i="30"/>
  <c r="J83" i="30"/>
  <c r="K83" i="30"/>
  <c r="L83" i="30"/>
  <c r="D84" i="30" s="1"/>
  <c r="E83" i="30"/>
  <c r="E84" i="30" l="1"/>
  <c r="F84" i="30"/>
  <c r="G84" i="30"/>
  <c r="H84" i="30"/>
  <c r="I84" i="30"/>
  <c r="J84" i="30"/>
  <c r="K84" i="30"/>
  <c r="L84" i="30"/>
  <c r="D85" i="30" s="1"/>
  <c r="L85" i="30" l="1"/>
  <c r="D86" i="30" s="1"/>
  <c r="E85" i="30"/>
  <c r="F85" i="30"/>
  <c r="G85" i="30"/>
  <c r="H85" i="30"/>
  <c r="I85" i="30"/>
  <c r="J85" i="30"/>
  <c r="K85" i="30"/>
  <c r="K86" i="30" l="1"/>
  <c r="L86" i="30"/>
  <c r="D87" i="30" s="1"/>
  <c r="E86" i="30"/>
  <c r="F86" i="30"/>
  <c r="G86" i="30"/>
  <c r="H86" i="30"/>
  <c r="I86" i="30"/>
  <c r="J86" i="30"/>
  <c r="J87" i="30" l="1"/>
  <c r="K87" i="30"/>
  <c r="L87" i="30"/>
  <c r="D88" i="30" s="1"/>
  <c r="E87" i="30"/>
  <c r="F87" i="30"/>
  <c r="G87" i="30"/>
  <c r="H87" i="30"/>
  <c r="I87" i="30"/>
  <c r="I88" i="30" l="1"/>
  <c r="J88" i="30"/>
  <c r="K88" i="30"/>
  <c r="L88" i="30"/>
  <c r="D89" i="30" s="1"/>
  <c r="E88" i="30"/>
  <c r="F88" i="30"/>
  <c r="G88" i="30"/>
  <c r="H88" i="30"/>
  <c r="H89" i="30" l="1"/>
  <c r="I89" i="30"/>
  <c r="J89" i="30"/>
  <c r="K89" i="30"/>
  <c r="L89" i="30"/>
  <c r="D90" i="30" s="1"/>
  <c r="E89" i="30"/>
  <c r="F89" i="30"/>
  <c r="G89" i="30"/>
  <c r="G90" i="30" l="1"/>
  <c r="H90" i="30"/>
  <c r="I90" i="30"/>
  <c r="J90" i="30"/>
  <c r="K90" i="30"/>
  <c r="L90" i="30"/>
  <c r="D91" i="30" s="1"/>
  <c r="E90" i="30"/>
  <c r="F90" i="30"/>
  <c r="F91" i="30" l="1"/>
  <c r="G91" i="30"/>
  <c r="H91" i="30"/>
  <c r="I91" i="30"/>
  <c r="J91" i="30"/>
  <c r="K91" i="30"/>
  <c r="L91" i="30"/>
  <c r="D92" i="30" s="1"/>
  <c r="E91" i="30"/>
  <c r="E92" i="30" l="1"/>
  <c r="F92" i="30"/>
  <c r="G92" i="30"/>
  <c r="H92" i="30"/>
  <c r="I92" i="30"/>
  <c r="J92" i="30"/>
  <c r="K92" i="30"/>
  <c r="L92" i="30"/>
  <c r="D93" i="30" s="1"/>
  <c r="L93" i="30" l="1"/>
  <c r="D94" i="30" s="1"/>
  <c r="E93" i="30"/>
  <c r="F93" i="30"/>
  <c r="G93" i="30"/>
  <c r="H93" i="30"/>
  <c r="I93" i="30"/>
  <c r="J93" i="30"/>
  <c r="K93" i="30"/>
  <c r="K94" i="30" l="1"/>
  <c r="L94" i="30"/>
  <c r="D95" i="30" s="1"/>
  <c r="E94" i="30"/>
  <c r="F94" i="30"/>
  <c r="G94" i="30"/>
  <c r="H94" i="30"/>
  <c r="I94" i="30"/>
  <c r="J94" i="30"/>
  <c r="J95" i="30" l="1"/>
  <c r="K95" i="30"/>
  <c r="L95" i="30"/>
  <c r="D96" i="30" s="1"/>
  <c r="E95" i="30"/>
  <c r="F95" i="30"/>
  <c r="G95" i="30"/>
  <c r="H95" i="30"/>
  <c r="I95" i="30"/>
  <c r="I96" i="30" l="1"/>
  <c r="J96" i="30"/>
  <c r="K96" i="30"/>
  <c r="L96" i="30"/>
  <c r="D97" i="30" s="1"/>
  <c r="E96" i="30"/>
  <c r="F96" i="30"/>
  <c r="G96" i="30"/>
  <c r="H96" i="30"/>
  <c r="H97" i="30" l="1"/>
  <c r="I97" i="30"/>
  <c r="J97" i="30"/>
  <c r="K97" i="30"/>
  <c r="L97" i="30"/>
  <c r="D98" i="30" s="1"/>
  <c r="E97" i="30"/>
  <c r="F97" i="30"/>
  <c r="G97" i="30"/>
  <c r="G98" i="30" l="1"/>
  <c r="H98" i="30"/>
  <c r="I98" i="30"/>
  <c r="J98" i="30"/>
  <c r="K98" i="30"/>
  <c r="L98" i="30"/>
  <c r="D99" i="30" s="1"/>
  <c r="E98" i="30"/>
  <c r="F98" i="30"/>
  <c r="F99" i="30" l="1"/>
  <c r="G99" i="30"/>
  <c r="H99" i="30"/>
  <c r="I99" i="30"/>
  <c r="J99" i="30"/>
  <c r="K99" i="30"/>
  <c r="L99" i="30"/>
  <c r="D100" i="30" s="1"/>
  <c r="E99" i="30"/>
  <c r="E100" i="30" l="1"/>
  <c r="F100" i="30"/>
  <c r="G100" i="30"/>
  <c r="H100" i="30"/>
  <c r="I100" i="30"/>
  <c r="J100" i="30"/>
  <c r="K100" i="30"/>
  <c r="L100" i="30"/>
  <c r="D101" i="30" s="1"/>
  <c r="L101" i="30" l="1"/>
  <c r="D102" i="30" s="1"/>
  <c r="E101" i="30"/>
  <c r="F101" i="30"/>
  <c r="G101" i="30"/>
  <c r="H101" i="30"/>
  <c r="I101" i="30"/>
  <c r="J101" i="30"/>
  <c r="K101" i="30"/>
  <c r="K102" i="30" l="1"/>
  <c r="L102" i="30"/>
  <c r="D103" i="30" s="1"/>
  <c r="E102" i="30"/>
  <c r="F102" i="30"/>
  <c r="G102" i="30"/>
  <c r="H102" i="30"/>
  <c r="I102" i="30"/>
  <c r="J102" i="30"/>
  <c r="J103" i="30" l="1"/>
  <c r="K103" i="30"/>
  <c r="L103" i="30"/>
  <c r="D104" i="30" s="1"/>
  <c r="E103" i="30"/>
  <c r="F103" i="30"/>
  <c r="G103" i="30"/>
  <c r="H103" i="30"/>
  <c r="I103" i="30"/>
  <c r="I104" i="30" l="1"/>
  <c r="J104" i="30"/>
  <c r="K104" i="30"/>
  <c r="L104" i="30"/>
  <c r="D105" i="30" s="1"/>
  <c r="E104" i="30"/>
  <c r="F104" i="30"/>
  <c r="G104" i="30"/>
  <c r="H104" i="30"/>
  <c r="H105" i="30" l="1"/>
  <c r="I105" i="30"/>
  <c r="J105" i="30"/>
  <c r="K105" i="30"/>
  <c r="L105" i="30"/>
  <c r="D106" i="30" s="1"/>
  <c r="E105" i="30"/>
  <c r="F105" i="30"/>
  <c r="G105" i="30"/>
  <c r="G106" i="30" l="1"/>
  <c r="H106" i="30"/>
  <c r="I106" i="30"/>
  <c r="K106" i="30"/>
  <c r="L106" i="30"/>
  <c r="D107" i="30" s="1"/>
  <c r="E106" i="30"/>
  <c r="F106" i="30"/>
  <c r="J106" i="30"/>
  <c r="F107" i="30" l="1"/>
  <c r="G107" i="30"/>
  <c r="H107" i="30"/>
  <c r="J107" i="30"/>
  <c r="K107" i="30"/>
  <c r="L107" i="30"/>
  <c r="D108" i="30" s="1"/>
  <c r="E107" i="30"/>
  <c r="I107" i="30"/>
  <c r="E108" i="30" l="1"/>
  <c r="F108" i="30"/>
  <c r="G108" i="30"/>
  <c r="I108" i="30"/>
  <c r="L108" i="30"/>
  <c r="D109" i="30" s="1"/>
  <c r="H108" i="30"/>
  <c r="J108" i="30"/>
  <c r="K108" i="30"/>
  <c r="L109" i="30" l="1"/>
  <c r="D110" i="30" s="1"/>
  <c r="E109" i="30"/>
  <c r="F109" i="30"/>
  <c r="H109" i="30"/>
  <c r="G109" i="30"/>
  <c r="I109" i="30"/>
  <c r="J109" i="30"/>
  <c r="K109" i="30"/>
  <c r="E110" i="30" l="1"/>
  <c r="G110" i="30"/>
  <c r="J110" i="30"/>
  <c r="K110" i="30"/>
  <c r="L110" i="30"/>
  <c r="D111" i="30" s="1"/>
  <c r="F110" i="30"/>
  <c r="H110" i="30"/>
  <c r="I110" i="30"/>
  <c r="I111" i="30" l="1"/>
  <c r="J111" i="30"/>
  <c r="K111" i="30"/>
  <c r="L111" i="30"/>
  <c r="D112" i="30" s="1"/>
  <c r="E111" i="30"/>
  <c r="F111" i="30"/>
  <c r="G111" i="30"/>
  <c r="H111" i="30"/>
  <c r="H112" i="30" l="1"/>
  <c r="I112" i="30"/>
  <c r="J112" i="30"/>
  <c r="K112" i="30"/>
  <c r="L112" i="30"/>
  <c r="D113" i="30" s="1"/>
  <c r="E112" i="30"/>
  <c r="F112" i="30"/>
  <c r="G112" i="30"/>
  <c r="G113" i="30" l="1"/>
  <c r="H113" i="30"/>
  <c r="I113" i="30"/>
  <c r="J113" i="30"/>
  <c r="K113" i="30"/>
  <c r="L113" i="30"/>
  <c r="D114" i="30" s="1"/>
  <c r="E113" i="30"/>
  <c r="F113" i="30"/>
  <c r="F114" i="30" l="1"/>
  <c r="G114" i="30"/>
  <c r="H114" i="30"/>
  <c r="I114" i="30"/>
  <c r="J114" i="30"/>
  <c r="K114" i="30"/>
  <c r="L114" i="30"/>
  <c r="D115" i="30" s="1"/>
  <c r="E114" i="30"/>
  <c r="E115" i="30" l="1"/>
  <c r="F115" i="30"/>
  <c r="G115" i="30"/>
  <c r="H115" i="30"/>
  <c r="I115" i="30"/>
  <c r="J115" i="30"/>
  <c r="K115" i="30"/>
  <c r="L115" i="30"/>
  <c r="D116" i="30" s="1"/>
  <c r="L116" i="30" l="1"/>
  <c r="D117" i="30" s="1"/>
  <c r="E116" i="30"/>
  <c r="F116" i="30"/>
  <c r="G116" i="30"/>
  <c r="H116" i="30"/>
  <c r="I116" i="30"/>
  <c r="J116" i="30"/>
  <c r="K116" i="30"/>
  <c r="K117" i="30" l="1"/>
  <c r="L117" i="30"/>
  <c r="D118" i="30" s="1"/>
  <c r="E117" i="30"/>
  <c r="F117" i="30"/>
  <c r="G117" i="30"/>
  <c r="H117" i="30"/>
  <c r="I117" i="30"/>
  <c r="J117" i="30"/>
  <c r="J118" i="30" l="1"/>
  <c r="K118" i="30"/>
  <c r="L118" i="30"/>
  <c r="D119" i="30" s="1"/>
  <c r="E118" i="30"/>
  <c r="F118" i="30"/>
  <c r="G118" i="30"/>
  <c r="H118" i="30"/>
  <c r="I118" i="30"/>
  <c r="I119" i="30" l="1"/>
  <c r="J119" i="30"/>
  <c r="K119" i="30"/>
  <c r="L119" i="30"/>
  <c r="D120" i="30" s="1"/>
  <c r="E119" i="30"/>
  <c r="F119" i="30"/>
  <c r="G119" i="30"/>
  <c r="H119" i="30"/>
  <c r="H120" i="30" l="1"/>
  <c r="I120" i="30"/>
  <c r="J120" i="30"/>
  <c r="K120" i="30"/>
  <c r="L120" i="30"/>
  <c r="D121" i="30" s="1"/>
  <c r="E120" i="30"/>
  <c r="F120" i="30"/>
  <c r="G120" i="30"/>
  <c r="G121" i="30" l="1"/>
  <c r="H121" i="30"/>
  <c r="I121" i="30"/>
  <c r="J121" i="30"/>
  <c r="K121" i="30"/>
  <c r="L121" i="30"/>
  <c r="D122" i="30" s="1"/>
  <c r="E121" i="30"/>
  <c r="F121" i="30"/>
  <c r="F122" i="30" l="1"/>
  <c r="G122" i="30"/>
  <c r="H122" i="30"/>
  <c r="I122" i="30"/>
  <c r="J122" i="30"/>
  <c r="K122" i="30"/>
  <c r="L122" i="30"/>
  <c r="D123" i="30" s="1"/>
  <c r="E122" i="30"/>
  <c r="E123" i="30" l="1"/>
  <c r="F123" i="30"/>
  <c r="G123" i="30"/>
  <c r="H123" i="30"/>
  <c r="I123" i="30"/>
  <c r="J123" i="30"/>
  <c r="K123" i="30"/>
  <c r="L123" i="30"/>
  <c r="D124" i="30" s="1"/>
  <c r="L124" i="30" l="1"/>
  <c r="D125" i="30" s="1"/>
  <c r="E124" i="30"/>
  <c r="F124" i="30"/>
  <c r="G124" i="30"/>
  <c r="H124" i="30"/>
  <c r="I124" i="30"/>
  <c r="J124" i="30"/>
  <c r="K124" i="30"/>
  <c r="K125" i="30" l="1"/>
  <c r="L125" i="30"/>
  <c r="D126" i="30" s="1"/>
  <c r="E125" i="30"/>
  <c r="F125" i="30"/>
  <c r="G125" i="30"/>
  <c r="H125" i="30"/>
  <c r="I125" i="30"/>
  <c r="J125" i="30"/>
  <c r="J126" i="30" l="1"/>
  <c r="K126" i="30"/>
  <c r="L126" i="30"/>
  <c r="D127" i="30" s="1"/>
  <c r="E126" i="30"/>
  <c r="F126" i="30"/>
  <c r="G126" i="30"/>
  <c r="H126" i="30"/>
  <c r="I126" i="30"/>
  <c r="I127" i="30" l="1"/>
  <c r="J127" i="30"/>
  <c r="K127" i="30"/>
  <c r="L127" i="30"/>
  <c r="D128" i="30" s="1"/>
  <c r="E127" i="30"/>
  <c r="F127" i="30"/>
  <c r="G127" i="30"/>
  <c r="H127" i="30"/>
  <c r="H128" i="30" l="1"/>
  <c r="I128" i="30"/>
  <c r="J128" i="30"/>
  <c r="K128" i="30"/>
  <c r="L128" i="30"/>
  <c r="D129" i="30" s="1"/>
  <c r="E128" i="30"/>
  <c r="F128" i="30"/>
  <c r="G128" i="30"/>
  <c r="G129" i="30" l="1"/>
  <c r="H129" i="30"/>
  <c r="I129" i="30"/>
  <c r="J129" i="30"/>
  <c r="K129" i="30"/>
  <c r="L129" i="30"/>
  <c r="D130" i="30" s="1"/>
  <c r="E129" i="30"/>
  <c r="F129" i="30"/>
  <c r="F130" i="30" l="1"/>
  <c r="G130" i="30"/>
  <c r="H130" i="30"/>
  <c r="I130" i="30"/>
  <c r="J130" i="30"/>
  <c r="K130" i="30"/>
  <c r="L130" i="30"/>
  <c r="D131" i="30" s="1"/>
  <c r="E130" i="30"/>
  <c r="E131" i="30" l="1"/>
  <c r="F131" i="30"/>
  <c r="G131" i="30"/>
  <c r="H131" i="30"/>
  <c r="I131" i="30"/>
  <c r="J131" i="30"/>
  <c r="K131" i="30"/>
  <c r="L131" i="30"/>
  <c r="D132" i="30" s="1"/>
  <c r="L132" i="30" l="1"/>
  <c r="D133" i="30" s="1"/>
  <c r="E132" i="30"/>
  <c r="F132" i="30"/>
  <c r="G132" i="30"/>
  <c r="H132" i="30"/>
  <c r="I132" i="30"/>
  <c r="J132" i="30"/>
  <c r="K132" i="30"/>
  <c r="K133" i="30" l="1"/>
  <c r="L133" i="30"/>
  <c r="D134" i="30" s="1"/>
  <c r="E133" i="30"/>
  <c r="F133" i="30"/>
  <c r="G133" i="30"/>
  <c r="H133" i="30"/>
  <c r="I133" i="30"/>
  <c r="J133" i="30"/>
  <c r="J134" i="30" l="1"/>
  <c r="K134" i="30"/>
  <c r="L134" i="30"/>
  <c r="D135" i="30" s="1"/>
  <c r="E134" i="30"/>
  <c r="F134" i="30"/>
  <c r="G134" i="30"/>
  <c r="H134" i="30"/>
  <c r="I134" i="30"/>
  <c r="I135" i="30" l="1"/>
  <c r="J135" i="30"/>
  <c r="K135" i="30"/>
  <c r="L135" i="30"/>
  <c r="D136" i="30" s="1"/>
  <c r="E135" i="30"/>
  <c r="F135" i="30"/>
  <c r="G135" i="30"/>
  <c r="H135" i="30"/>
  <c r="H136" i="30" l="1"/>
  <c r="I136" i="30"/>
  <c r="J136" i="30"/>
  <c r="K136" i="30"/>
  <c r="L136" i="30"/>
  <c r="D137" i="30" s="1"/>
  <c r="E136" i="30"/>
  <c r="F136" i="30"/>
  <c r="G136" i="30"/>
  <c r="G137" i="30" l="1"/>
  <c r="H137" i="30"/>
  <c r="I137" i="30"/>
  <c r="J137" i="30"/>
  <c r="K137" i="30"/>
  <c r="L137" i="30"/>
  <c r="D138" i="30" s="1"/>
  <c r="E137" i="30"/>
  <c r="F137" i="30"/>
  <c r="F138" i="30" l="1"/>
  <c r="G138" i="30"/>
  <c r="H138" i="30"/>
  <c r="I138" i="30"/>
  <c r="J138" i="30"/>
  <c r="K138" i="30"/>
  <c r="L138" i="30"/>
  <c r="D139" i="30" s="1"/>
  <c r="E138" i="30"/>
  <c r="E139" i="30" l="1"/>
  <c r="F139" i="30"/>
  <c r="G139" i="30"/>
  <c r="H139" i="30"/>
  <c r="I139" i="30"/>
  <c r="J139" i="30"/>
  <c r="K139" i="30"/>
  <c r="L139" i="30"/>
  <c r="D140" i="30" s="1"/>
  <c r="L140" i="30" l="1"/>
  <c r="D141" i="30" s="1"/>
  <c r="E140" i="30"/>
  <c r="F140" i="30"/>
  <c r="G140" i="30"/>
  <c r="H140" i="30"/>
  <c r="I140" i="30"/>
  <c r="J140" i="30"/>
  <c r="K140" i="30"/>
  <c r="K141" i="30" l="1"/>
  <c r="D17" i="30" s="1"/>
  <c r="L141" i="30"/>
  <c r="D142" i="30" s="1"/>
  <c r="E141" i="30"/>
  <c r="F141" i="30"/>
  <c r="G141" i="30"/>
  <c r="H141" i="30"/>
  <c r="I141" i="30"/>
  <c r="J141" i="30"/>
  <c r="K15" i="30" l="1"/>
  <c r="L15" i="30"/>
  <c r="M15" i="30"/>
  <c r="N15" i="30"/>
  <c r="O15" i="30"/>
  <c r="P15" i="30"/>
  <c r="Q15" i="30"/>
  <c r="R15" i="30"/>
  <c r="S15" i="30"/>
  <c r="T15" i="30"/>
  <c r="L16" i="30"/>
  <c r="M16" i="30"/>
  <c r="N16" i="30"/>
  <c r="O16" i="30"/>
  <c r="P16" i="30"/>
  <c r="Q16" i="30"/>
  <c r="R16" i="30"/>
  <c r="S16" i="30"/>
  <c r="T16" i="30"/>
  <c r="J142" i="30"/>
  <c r="K142" i="30"/>
  <c r="L142" i="30"/>
  <c r="D143" i="30" s="1"/>
  <c r="E142" i="30"/>
  <c r="F142" i="30"/>
  <c r="G142" i="30"/>
  <c r="H142" i="30"/>
  <c r="I142" i="30"/>
  <c r="V115" i="1"/>
  <c r="U114" i="1"/>
  <c r="S115" i="1"/>
  <c r="R114" i="1"/>
  <c r="P114" i="1"/>
  <c r="S114" i="1"/>
  <c r="O115" i="1"/>
  <c r="R115" i="1"/>
  <c r="W114" i="1"/>
  <c r="N114" i="1"/>
  <c r="W115" i="1"/>
  <c r="T114" i="1"/>
  <c r="V114" i="1"/>
  <c r="Q114" i="1"/>
  <c r="U115" i="1"/>
  <c r="P115" i="1"/>
  <c r="T115" i="1"/>
  <c r="O114" i="1"/>
  <c r="Q115" i="1"/>
  <c r="T116" i="1" l="1"/>
  <c r="S116" i="1"/>
  <c r="U116" i="1"/>
  <c r="R116" i="1"/>
  <c r="Q116" i="1"/>
  <c r="P116" i="1"/>
  <c r="W116" i="1"/>
  <c r="O116" i="1"/>
  <c r="V116" i="1"/>
  <c r="N116" i="1"/>
  <c r="Q17" i="30"/>
  <c r="P17" i="30"/>
  <c r="O17" i="30"/>
  <c r="N17" i="30"/>
  <c r="I143" i="30"/>
  <c r="J143" i="30"/>
  <c r="K143" i="30"/>
  <c r="L143" i="30"/>
  <c r="D144" i="30" s="1"/>
  <c r="E143" i="30"/>
  <c r="F143" i="30"/>
  <c r="G143" i="30"/>
  <c r="H143" i="30"/>
  <c r="M17" i="30"/>
  <c r="T17" i="30"/>
  <c r="L17" i="30"/>
  <c r="S17" i="30"/>
  <c r="R17" i="30"/>
  <c r="U500" i="1"/>
  <c r="V500" i="1"/>
  <c r="Q500" i="1"/>
  <c r="R500" i="1"/>
  <c r="P500" i="1"/>
  <c r="S500" i="1"/>
  <c r="W500" i="1"/>
  <c r="O500" i="1"/>
  <c r="T500" i="1"/>
  <c r="H144" i="30" l="1"/>
  <c r="I144" i="30"/>
  <c r="J144" i="30"/>
  <c r="K144" i="30"/>
  <c r="L144" i="30"/>
  <c r="D145" i="30" s="1"/>
  <c r="E144" i="30"/>
  <c r="F144" i="30"/>
  <c r="G144" i="30"/>
  <c r="G145" i="30" l="1"/>
  <c r="H145" i="30"/>
  <c r="I145" i="30"/>
  <c r="J145" i="30"/>
  <c r="K145" i="30"/>
  <c r="L145" i="30"/>
  <c r="D146" i="30" s="1"/>
  <c r="E145" i="30"/>
  <c r="F145" i="30"/>
  <c r="F146" i="30" l="1"/>
  <c r="G146" i="30"/>
  <c r="H146" i="30"/>
  <c r="I146" i="30"/>
  <c r="J146" i="30"/>
  <c r="K146" i="30"/>
  <c r="L146" i="30"/>
  <c r="D147" i="30" s="1"/>
  <c r="E146" i="30"/>
  <c r="E147" i="30" l="1"/>
  <c r="F147" i="30"/>
  <c r="G147" i="30"/>
  <c r="H147" i="30"/>
  <c r="I147" i="30"/>
  <c r="J147" i="30"/>
  <c r="K147" i="30"/>
  <c r="L147" i="30"/>
  <c r="D148" i="30" s="1"/>
  <c r="L148" i="30" l="1"/>
  <c r="D149" i="30" s="1"/>
  <c r="E148" i="30"/>
  <c r="F148" i="30"/>
  <c r="G148" i="30"/>
  <c r="H148" i="30"/>
  <c r="I148" i="30"/>
  <c r="J148" i="30"/>
  <c r="K148" i="30"/>
  <c r="K149" i="30" l="1"/>
  <c r="L149" i="30"/>
  <c r="D150" i="30" s="1"/>
  <c r="E149" i="30"/>
  <c r="F149" i="30"/>
  <c r="G149" i="30"/>
  <c r="H149" i="30"/>
  <c r="I149" i="30"/>
  <c r="J149" i="30"/>
  <c r="J150" i="30" l="1"/>
  <c r="K150" i="30"/>
  <c r="L150" i="30"/>
  <c r="D151" i="30" s="1"/>
  <c r="E150" i="30"/>
  <c r="F150" i="30"/>
  <c r="G150" i="30"/>
  <c r="H150" i="30"/>
  <c r="I150" i="30"/>
  <c r="I151" i="30" l="1"/>
  <c r="J151" i="30"/>
  <c r="K151" i="30"/>
  <c r="L151" i="30"/>
  <c r="D152" i="30" s="1"/>
  <c r="E151" i="30"/>
  <c r="F151" i="30"/>
  <c r="G151" i="30"/>
  <c r="H151" i="30"/>
  <c r="H152" i="30" l="1"/>
  <c r="I152" i="30"/>
  <c r="J152" i="30"/>
  <c r="K152" i="30"/>
  <c r="L152" i="30"/>
  <c r="D153" i="30" s="1"/>
  <c r="E152" i="30"/>
  <c r="F152" i="30"/>
  <c r="G152" i="30"/>
  <c r="G153" i="30" l="1"/>
  <c r="H153" i="30"/>
  <c r="I153" i="30"/>
  <c r="J153" i="30"/>
  <c r="K153" i="30"/>
  <c r="L153" i="30"/>
  <c r="D154" i="30" s="1"/>
  <c r="E153" i="30"/>
  <c r="F153" i="30"/>
  <c r="F154" i="30" l="1"/>
  <c r="G154" i="30"/>
  <c r="H154" i="30"/>
  <c r="I154" i="30"/>
  <c r="J154" i="30"/>
  <c r="K154" i="30"/>
  <c r="L154" i="30"/>
  <c r="D155" i="30" s="1"/>
  <c r="E154" i="30"/>
  <c r="E155" i="30" l="1"/>
  <c r="F155" i="30"/>
  <c r="G155" i="30"/>
  <c r="H155" i="30"/>
  <c r="I155" i="30"/>
  <c r="J155" i="30"/>
  <c r="K155" i="30"/>
  <c r="L155" i="30"/>
  <c r="D156" i="30" s="1"/>
  <c r="L156" i="30" l="1"/>
  <c r="D157" i="30" s="1"/>
  <c r="E156" i="30"/>
  <c r="F156" i="30"/>
  <c r="G156" i="30"/>
  <c r="H156" i="30"/>
  <c r="I156" i="30"/>
  <c r="J156" i="30"/>
  <c r="K156" i="30"/>
  <c r="K157" i="30" l="1"/>
  <c r="L157" i="30"/>
  <c r="D158" i="30" s="1"/>
  <c r="E157" i="30"/>
  <c r="F157" i="30"/>
  <c r="G157" i="30"/>
  <c r="H157" i="30"/>
  <c r="I157" i="30"/>
  <c r="J157" i="30"/>
  <c r="J158" i="30" l="1"/>
  <c r="K158" i="30"/>
  <c r="L158" i="30"/>
  <c r="D159" i="30" s="1"/>
  <c r="E158" i="30"/>
  <c r="F158" i="30"/>
  <c r="G158" i="30"/>
  <c r="H158" i="30"/>
  <c r="I158" i="30"/>
  <c r="I159" i="30" l="1"/>
  <c r="J159" i="30"/>
  <c r="K159" i="30"/>
  <c r="L159" i="30"/>
  <c r="D160" i="30" s="1"/>
  <c r="E159" i="30"/>
  <c r="F159" i="30"/>
  <c r="G159" i="30"/>
  <c r="H159" i="30"/>
  <c r="H160" i="30" l="1"/>
  <c r="I160" i="30"/>
  <c r="J160" i="30"/>
  <c r="K160" i="30"/>
  <c r="L160" i="30"/>
  <c r="D161" i="30" s="1"/>
  <c r="E160" i="30"/>
  <c r="F160" i="30"/>
  <c r="G160" i="30"/>
  <c r="G161" i="30" l="1"/>
  <c r="H161" i="30"/>
  <c r="I161" i="30"/>
  <c r="J161" i="30"/>
  <c r="K161" i="30"/>
  <c r="L161" i="30"/>
  <c r="D162" i="30" s="1"/>
  <c r="E161" i="30"/>
  <c r="F161" i="30"/>
  <c r="F162" i="30" l="1"/>
  <c r="G162" i="30"/>
  <c r="H162" i="30"/>
  <c r="I162" i="30"/>
  <c r="J162" i="30"/>
  <c r="K162" i="30"/>
  <c r="L162" i="30"/>
  <c r="D163" i="30" s="1"/>
  <c r="E162" i="30"/>
  <c r="E163" i="30" l="1"/>
  <c r="F163" i="30"/>
  <c r="G163" i="30"/>
  <c r="H163" i="30"/>
  <c r="I163" i="30"/>
  <c r="J163" i="30"/>
  <c r="K163" i="30"/>
  <c r="L163" i="30"/>
  <c r="D164" i="30" s="1"/>
  <c r="L164" i="30" l="1"/>
  <c r="D165" i="30" s="1"/>
  <c r="E164" i="30"/>
  <c r="F164" i="30"/>
  <c r="G164" i="30"/>
  <c r="H164" i="30"/>
  <c r="I164" i="30"/>
  <c r="J164" i="30"/>
  <c r="K164" i="30"/>
  <c r="K165" i="30" l="1"/>
  <c r="L165" i="30"/>
  <c r="D166" i="30" s="1"/>
  <c r="E165" i="30"/>
  <c r="F165" i="30"/>
  <c r="G165" i="30"/>
  <c r="H165" i="30"/>
  <c r="I165" i="30"/>
  <c r="J165" i="30"/>
  <c r="J166" i="30" l="1"/>
  <c r="K166" i="30"/>
  <c r="L166" i="30"/>
  <c r="D167" i="30" s="1"/>
  <c r="E166" i="30"/>
  <c r="F166" i="30"/>
  <c r="G166" i="30"/>
  <c r="H166" i="30"/>
  <c r="I166" i="30"/>
  <c r="I167" i="30" l="1"/>
  <c r="J167" i="30"/>
  <c r="K167" i="30"/>
  <c r="L167" i="30"/>
  <c r="D168" i="30" s="1"/>
  <c r="E167" i="30"/>
  <c r="F167" i="30"/>
  <c r="G167" i="30"/>
  <c r="H167" i="30"/>
  <c r="H168" i="30" l="1"/>
  <c r="I168" i="30"/>
  <c r="J168" i="30"/>
  <c r="K168" i="30"/>
  <c r="L168" i="30"/>
  <c r="D169" i="30" s="1"/>
  <c r="E168" i="30"/>
  <c r="F168" i="30"/>
  <c r="G168" i="30"/>
  <c r="G169" i="30" l="1"/>
  <c r="H169" i="30"/>
  <c r="I169" i="30"/>
  <c r="J169" i="30"/>
  <c r="K169" i="30"/>
  <c r="L169" i="30"/>
  <c r="D170" i="30" s="1"/>
  <c r="E169" i="30"/>
  <c r="F169" i="30"/>
  <c r="F170" i="30" l="1"/>
  <c r="G170" i="30"/>
  <c r="H170" i="30"/>
  <c r="I170" i="30"/>
  <c r="J170" i="30"/>
  <c r="K170" i="30"/>
  <c r="L170" i="30"/>
  <c r="D171" i="30" s="1"/>
  <c r="E170" i="30"/>
  <c r="E171" i="30" l="1"/>
  <c r="F171" i="30"/>
  <c r="G171" i="30"/>
  <c r="H171" i="30"/>
  <c r="I171" i="30"/>
  <c r="J171" i="30"/>
  <c r="K171" i="30"/>
  <c r="L171" i="30"/>
  <c r="D172" i="30" s="1"/>
  <c r="L172" i="30" l="1"/>
  <c r="D173" i="30" s="1"/>
  <c r="E172" i="30"/>
  <c r="F172" i="30"/>
  <c r="G172" i="30"/>
  <c r="H172" i="30"/>
  <c r="I172" i="30"/>
  <c r="J172" i="30"/>
  <c r="K172" i="30"/>
  <c r="K173" i="30" l="1"/>
  <c r="L173" i="30"/>
  <c r="D174" i="30" s="1"/>
  <c r="E173" i="30"/>
  <c r="F173" i="30"/>
  <c r="G173" i="30"/>
  <c r="H173" i="30"/>
  <c r="I173" i="30"/>
  <c r="J173" i="30"/>
  <c r="J174" i="30" l="1"/>
  <c r="K174" i="30"/>
  <c r="L174" i="30"/>
  <c r="D175" i="30" s="1"/>
  <c r="E174" i="30"/>
  <c r="F174" i="30"/>
  <c r="G174" i="30"/>
  <c r="H174" i="30"/>
  <c r="I174" i="30"/>
  <c r="I175" i="30" l="1"/>
  <c r="J175" i="30"/>
  <c r="K175" i="30"/>
  <c r="L175" i="30"/>
  <c r="D176" i="30" s="1"/>
  <c r="E175" i="30"/>
  <c r="F175" i="30"/>
  <c r="G175" i="30"/>
  <c r="H175" i="30"/>
  <c r="H176" i="30" l="1"/>
  <c r="I176" i="30"/>
  <c r="J176" i="30"/>
  <c r="K176" i="30"/>
  <c r="L176" i="30"/>
  <c r="D177" i="30" s="1"/>
  <c r="E176" i="30"/>
  <c r="F176" i="30"/>
  <c r="G176" i="30"/>
  <c r="G177" i="30" l="1"/>
  <c r="H177" i="30"/>
  <c r="I177" i="30"/>
  <c r="J177" i="30"/>
  <c r="K177" i="30"/>
  <c r="L177" i="30"/>
  <c r="D178" i="30" s="1"/>
  <c r="E177" i="30"/>
  <c r="F177" i="30"/>
  <c r="F178" i="30" l="1"/>
  <c r="G178" i="30"/>
  <c r="H178" i="30"/>
  <c r="I178" i="30"/>
  <c r="J178" i="30"/>
  <c r="K178" i="30"/>
  <c r="L178" i="30"/>
  <c r="E178" i="30"/>
  <c r="E24" i="1"/>
  <c r="K30" i="1" s="1"/>
  <c r="H57" i="1" l="1"/>
  <c r="E19" i="1" s="1"/>
  <c r="O881" i="1" s="1"/>
  <c r="R881" i="1" s="1"/>
  <c r="M403" i="1" s="1"/>
  <c r="N401" i="1" s="1"/>
  <c r="M530" i="1"/>
  <c r="R527" i="1" s="1"/>
  <c r="P902" i="1"/>
  <c r="R902" i="1" s="1"/>
  <c r="R905" i="1" s="1"/>
  <c r="R906" i="1" s="1"/>
  <c r="S527" i="1" l="1"/>
  <c r="T527" i="1"/>
  <c r="U527" i="1"/>
  <c r="N526" i="1"/>
  <c r="V527" i="1"/>
  <c r="O527" i="1"/>
  <c r="W527" i="1"/>
  <c r="P527" i="1"/>
  <c r="Q527" i="1"/>
  <c r="G19" i="1"/>
  <c r="J57" i="1"/>
  <c r="N402" i="1" s="1"/>
  <c r="N527" i="1"/>
  <c r="M573" i="1"/>
  <c r="M649" i="1" s="1"/>
  <c r="M641" i="1"/>
  <c r="M643" i="1" s="1"/>
  <c r="M709" i="1" s="1"/>
  <c r="M710" i="1" s="1"/>
  <c r="M651" i="1" l="1"/>
  <c r="M719" i="1"/>
  <c r="N403" i="1"/>
  <c r="O401" i="1" s="1"/>
  <c r="M716" i="1" l="1"/>
  <c r="M717" i="1"/>
  <c r="O402" i="1"/>
  <c r="O403" i="1" l="1"/>
  <c r="P401" i="1" s="1"/>
  <c r="P402" i="1" l="1"/>
  <c r="P403" i="1" l="1"/>
  <c r="Q401" i="1" s="1"/>
  <c r="Q402" i="1" l="1"/>
  <c r="Q403" i="1" l="1"/>
  <c r="R401" i="1" s="1"/>
  <c r="R402" i="1" l="1"/>
  <c r="R403" i="1" l="1"/>
  <c r="S401" i="1" s="1"/>
  <c r="S402" i="1" l="1"/>
  <c r="S403" i="1" l="1"/>
  <c r="T401" i="1" s="1"/>
  <c r="T402" i="1" l="1"/>
  <c r="T403" i="1" l="1"/>
  <c r="U401" i="1" s="1"/>
  <c r="U402" i="1" l="1"/>
  <c r="U403" i="1" l="1"/>
  <c r="V401" i="1" s="1"/>
  <c r="V402" i="1" l="1"/>
  <c r="V403" i="1" l="1"/>
  <c r="W401" i="1" s="1"/>
  <c r="W402" i="1" l="1"/>
  <c r="W403" i="1" l="1"/>
  <c r="E13" i="1" l="1"/>
  <c r="L13" i="1"/>
  <c r="E18" i="1" s="1"/>
  <c r="L40" i="1" s="1"/>
  <c r="H201" i="1" s="1"/>
  <c r="I201" i="1" s="1"/>
  <c r="Q201" i="1" s="1"/>
  <c r="L25" i="1"/>
  <c r="L26" i="1"/>
  <c r="L27" i="1"/>
  <c r="O916" i="1"/>
  <c r="L14" i="1" l="1"/>
  <c r="L16" i="1" s="1"/>
  <c r="O880" i="1"/>
  <c r="R880" i="1" s="1"/>
  <c r="T201" i="1"/>
  <c r="U201" i="1"/>
  <c r="N201" i="1"/>
  <c r="V201" i="1"/>
  <c r="O201" i="1"/>
  <c r="W201" i="1"/>
  <c r="P201" i="1"/>
  <c r="R201" i="1"/>
  <c r="S201" i="1"/>
  <c r="L42" i="1"/>
  <c r="H204" i="1" s="1"/>
  <c r="I204" i="1" s="1"/>
  <c r="G18" i="1"/>
  <c r="L43" i="1"/>
  <c r="L38" i="1"/>
  <c r="L39" i="1"/>
  <c r="H200" i="1" s="1"/>
  <c r="I200" i="1" s="1"/>
  <c r="L44" i="1"/>
  <c r="L41" i="1"/>
  <c r="H202" i="1" s="1"/>
  <c r="I202" i="1" s="1"/>
  <c r="L45" i="1"/>
  <c r="M413" i="1" s="1"/>
  <c r="E20" i="1"/>
  <c r="F13" i="1" s="1"/>
  <c r="G13" i="1"/>
  <c r="T204" i="1" l="1"/>
  <c r="U204" i="1"/>
  <c r="N204" i="1"/>
  <c r="V204" i="1"/>
  <c r="O204" i="1"/>
  <c r="W204" i="1"/>
  <c r="P204" i="1"/>
  <c r="R204" i="1"/>
  <c r="Q204" i="1"/>
  <c r="S204" i="1"/>
  <c r="N411" i="1"/>
  <c r="F18" i="1"/>
  <c r="P202" i="1"/>
  <c r="Q202" i="1"/>
  <c r="R202" i="1"/>
  <c r="S202" i="1"/>
  <c r="T202" i="1"/>
  <c r="N202" i="1"/>
  <c r="V202" i="1"/>
  <c r="O202" i="1"/>
  <c r="U202" i="1"/>
  <c r="W202" i="1"/>
  <c r="H199" i="1"/>
  <c r="I199" i="1" s="1"/>
  <c r="Q41" i="1"/>
  <c r="L46" i="1"/>
  <c r="Q42" i="1"/>
  <c r="M408" i="1"/>
  <c r="F15" i="1"/>
  <c r="F19" i="1"/>
  <c r="F16" i="1"/>
  <c r="F14" i="1"/>
  <c r="F17" i="1"/>
  <c r="E28" i="1"/>
  <c r="O860" i="1"/>
  <c r="P200" i="1"/>
  <c r="Q200" i="1"/>
  <c r="R200" i="1"/>
  <c r="S200" i="1"/>
  <c r="T200" i="1"/>
  <c r="N200" i="1"/>
  <c r="V200" i="1"/>
  <c r="O200" i="1"/>
  <c r="U200" i="1"/>
  <c r="W200" i="1"/>
  <c r="F20" i="1" l="1"/>
  <c r="N406" i="1"/>
  <c r="N407" i="1" s="1"/>
  <c r="N412" i="1"/>
  <c r="N413" i="1" s="1"/>
  <c r="O411" i="1" s="1"/>
  <c r="G28" i="1"/>
  <c r="E31" i="1"/>
  <c r="K32" i="1"/>
  <c r="M568" i="1"/>
  <c r="M796" i="1"/>
  <c r="M802" i="1" s="1"/>
  <c r="P914" i="1"/>
  <c r="Q43" i="1"/>
  <c r="Q44" i="1" s="1"/>
  <c r="T199" i="1"/>
  <c r="T205" i="1" s="1"/>
  <c r="T217" i="1" s="1"/>
  <c r="T154" i="1" s="1"/>
  <c r="U199" i="1"/>
  <c r="U205" i="1" s="1"/>
  <c r="U217" i="1" s="1"/>
  <c r="U154" i="1" s="1"/>
  <c r="N199" i="1"/>
  <c r="N205" i="1" s="1"/>
  <c r="N217" i="1" s="1"/>
  <c r="N154" i="1" s="1"/>
  <c r="V199" i="1"/>
  <c r="V205" i="1" s="1"/>
  <c r="V217" i="1" s="1"/>
  <c r="V154" i="1" s="1"/>
  <c r="O199" i="1"/>
  <c r="O205" i="1" s="1"/>
  <c r="O217" i="1" s="1"/>
  <c r="O154" i="1" s="1"/>
  <c r="W199" i="1"/>
  <c r="W205" i="1" s="1"/>
  <c r="W217" i="1" s="1"/>
  <c r="W154" i="1" s="1"/>
  <c r="P199" i="1"/>
  <c r="P205" i="1" s="1"/>
  <c r="P217" i="1" s="1"/>
  <c r="P154" i="1" s="1"/>
  <c r="R199" i="1"/>
  <c r="R205" i="1" s="1"/>
  <c r="R217" i="1" s="1"/>
  <c r="R154" i="1" s="1"/>
  <c r="S199" i="1"/>
  <c r="S205" i="1" s="1"/>
  <c r="S217" i="1" s="1"/>
  <c r="S154" i="1" s="1"/>
  <c r="Q199" i="1"/>
  <c r="Q205" i="1" s="1"/>
  <c r="Q217" i="1" s="1"/>
  <c r="Q154" i="1" s="1"/>
  <c r="O412" i="1" l="1"/>
  <c r="O413" i="1" s="1"/>
  <c r="P411" i="1" s="1"/>
  <c r="U431" i="1"/>
  <c r="K33" i="1"/>
  <c r="T431" i="1"/>
  <c r="F25" i="1"/>
  <c r="F29" i="1"/>
  <c r="F26" i="1"/>
  <c r="F30" i="1"/>
  <c r="F27" i="1"/>
  <c r="F23" i="1"/>
  <c r="F24" i="1"/>
  <c r="P860" i="1"/>
  <c r="R860" i="1" s="1"/>
  <c r="R431" i="1"/>
  <c r="P431" i="1"/>
  <c r="M418" i="1"/>
  <c r="N416" i="1" s="1"/>
  <c r="N417" i="1" s="1"/>
  <c r="N421" i="1" s="1"/>
  <c r="N155" i="1" s="1"/>
  <c r="N432" i="1" s="1"/>
  <c r="Q882" i="1"/>
  <c r="Q431" i="1"/>
  <c r="W431" i="1"/>
  <c r="R914" i="1"/>
  <c r="P916" i="1"/>
  <c r="O431" i="1"/>
  <c r="V431" i="1"/>
  <c r="N565" i="1"/>
  <c r="M578" i="1"/>
  <c r="S431" i="1"/>
  <c r="N431" i="1"/>
  <c r="F28" i="1"/>
  <c r="N408" i="1"/>
  <c r="O406" i="1" s="1"/>
  <c r="P412" i="1" l="1"/>
  <c r="P413" i="1" s="1"/>
  <c r="Q411" i="1" s="1"/>
  <c r="Q916" i="1"/>
  <c r="R916" i="1" s="1"/>
  <c r="R918" i="1" s="1"/>
  <c r="R882" i="1"/>
  <c r="R886" i="1" s="1"/>
  <c r="M463" i="1"/>
  <c r="R865" i="1"/>
  <c r="R888" i="1" s="1"/>
  <c r="F31" i="1"/>
  <c r="L30" i="1"/>
  <c r="L31" i="1"/>
  <c r="L32" i="1"/>
  <c r="O407" i="1"/>
  <c r="O408" i="1" s="1"/>
  <c r="P406" i="1" s="1"/>
  <c r="N418" i="1"/>
  <c r="O416" i="1" s="1"/>
  <c r="N566" i="1"/>
  <c r="N156" i="1"/>
  <c r="L33" i="1" l="1"/>
  <c r="R920" i="1"/>
  <c r="V13" i="1" s="1"/>
  <c r="P407" i="1"/>
  <c r="Q412" i="1"/>
  <c r="Q413" i="1" s="1"/>
  <c r="R411" i="1" s="1"/>
  <c r="N461" i="1"/>
  <c r="M645" i="1"/>
  <c r="O417" i="1"/>
  <c r="O421" i="1" s="1"/>
  <c r="O155" i="1" s="1"/>
  <c r="O432" i="1" l="1"/>
  <c r="O156" i="1"/>
  <c r="R412" i="1"/>
  <c r="R413" i="1" s="1"/>
  <c r="S411" i="1" s="1"/>
  <c r="O418" i="1"/>
  <c r="P416" i="1" s="1"/>
  <c r="M646" i="1"/>
  <c r="M712" i="1" s="1"/>
  <c r="M718" i="1"/>
  <c r="N465" i="1"/>
  <c r="N467" i="1" s="1"/>
  <c r="P408" i="1"/>
  <c r="Q406" i="1" s="1"/>
  <c r="S412" i="1" l="1"/>
  <c r="S413" i="1" s="1"/>
  <c r="T411" i="1" s="1"/>
  <c r="P417" i="1"/>
  <c r="P421" i="1" s="1"/>
  <c r="P155" i="1" s="1"/>
  <c r="Q407" i="1"/>
  <c r="N470" i="1"/>
  <c r="N158" i="1" s="1"/>
  <c r="N477" i="1"/>
  <c r="T412" i="1" l="1"/>
  <c r="T413" i="1" s="1"/>
  <c r="U411" i="1" s="1"/>
  <c r="Q408" i="1"/>
  <c r="R406" i="1" s="1"/>
  <c r="P418" i="1"/>
  <c r="Q416" i="1" s="1"/>
  <c r="P432" i="1"/>
  <c r="P156" i="1"/>
  <c r="U412" i="1" l="1"/>
  <c r="U413" i="1" s="1"/>
  <c r="V411" i="1" s="1"/>
  <c r="R407" i="1"/>
  <c r="Q417" i="1"/>
  <c r="Q421" i="1" s="1"/>
  <c r="Q155" i="1" s="1"/>
  <c r="V412" i="1" l="1"/>
  <c r="V413" i="1" s="1"/>
  <c r="W411" i="1" s="1"/>
  <c r="Q418" i="1"/>
  <c r="R416" i="1" s="1"/>
  <c r="R408" i="1"/>
  <c r="S406" i="1" s="1"/>
  <c r="Q432" i="1"/>
  <c r="Q156" i="1"/>
  <c r="W412" i="1" l="1"/>
  <c r="W413" i="1" s="1"/>
  <c r="R417" i="1"/>
  <c r="R421" i="1" s="1"/>
  <c r="R155" i="1" s="1"/>
  <c r="S407" i="1"/>
  <c r="S408" i="1" s="1"/>
  <c r="T406" i="1" s="1"/>
  <c r="T407" i="1" l="1"/>
  <c r="R432" i="1"/>
  <c r="R156" i="1"/>
  <c r="R418" i="1"/>
  <c r="S416" i="1" s="1"/>
  <c r="S417" i="1" l="1"/>
  <c r="S421" i="1" s="1"/>
  <c r="S155" i="1" s="1"/>
  <c r="T408" i="1"/>
  <c r="U406" i="1" s="1"/>
  <c r="U407" i="1" l="1"/>
  <c r="S432" i="1"/>
  <c r="S156" i="1"/>
  <c r="S418" i="1"/>
  <c r="T416" i="1" s="1"/>
  <c r="T417" i="1" l="1"/>
  <c r="T421" i="1" s="1"/>
  <c r="T155" i="1" s="1"/>
  <c r="U408" i="1"/>
  <c r="V406" i="1" s="1"/>
  <c r="T432" i="1" l="1"/>
  <c r="T156" i="1"/>
  <c r="T418" i="1"/>
  <c r="U416" i="1" s="1"/>
  <c r="V407" i="1"/>
  <c r="V408" i="1" l="1"/>
  <c r="W406" i="1" s="1"/>
  <c r="U417" i="1"/>
  <c r="U421" i="1" s="1"/>
  <c r="U155" i="1" s="1"/>
  <c r="U432" i="1" l="1"/>
  <c r="U156" i="1"/>
  <c r="U418" i="1"/>
  <c r="V416" i="1" s="1"/>
  <c r="W407" i="1"/>
  <c r="V417" i="1" l="1"/>
  <c r="V421" i="1" s="1"/>
  <c r="V155" i="1" s="1"/>
  <c r="W408" i="1"/>
  <c r="V432" i="1" l="1"/>
  <c r="V156" i="1"/>
  <c r="V418" i="1"/>
  <c r="W416" i="1" s="1"/>
  <c r="W417" i="1" l="1"/>
  <c r="W421" i="1" s="1"/>
  <c r="W155" i="1" s="1"/>
  <c r="W432" i="1" l="1"/>
  <c r="W156" i="1"/>
  <c r="W418" i="1"/>
  <c r="V14" i="1" l="1"/>
  <c r="V15" i="1"/>
  <c r="V16" i="1"/>
  <c r="O158" i="1"/>
  <c r="P158" i="1"/>
  <c r="Q158" i="1"/>
  <c r="R158" i="1"/>
  <c r="S158" i="1"/>
  <c r="T158" i="1"/>
  <c r="U158" i="1"/>
  <c r="V158" i="1"/>
  <c r="W158" i="1"/>
  <c r="N159" i="1"/>
  <c r="O159" i="1"/>
  <c r="P159" i="1"/>
  <c r="Q159" i="1"/>
  <c r="R159" i="1"/>
  <c r="S159" i="1"/>
  <c r="T159" i="1"/>
  <c r="U159" i="1"/>
  <c r="V159" i="1"/>
  <c r="W159" i="1"/>
  <c r="N160" i="1"/>
  <c r="O160" i="1"/>
  <c r="P160" i="1"/>
  <c r="Q160" i="1"/>
  <c r="R160" i="1"/>
  <c r="S160" i="1"/>
  <c r="T160" i="1"/>
  <c r="U160" i="1"/>
  <c r="V160" i="1"/>
  <c r="W160" i="1"/>
  <c r="N162" i="1"/>
  <c r="O162" i="1"/>
  <c r="P162" i="1"/>
  <c r="Q162" i="1"/>
  <c r="R162" i="1"/>
  <c r="S162" i="1"/>
  <c r="T162" i="1"/>
  <c r="U162" i="1"/>
  <c r="V162" i="1"/>
  <c r="W162" i="1"/>
  <c r="N163" i="1"/>
  <c r="O163" i="1"/>
  <c r="P163" i="1"/>
  <c r="Q163" i="1"/>
  <c r="R163" i="1"/>
  <c r="S163" i="1"/>
  <c r="T163" i="1"/>
  <c r="U163" i="1"/>
  <c r="V163" i="1"/>
  <c r="W163" i="1"/>
  <c r="N430" i="1"/>
  <c r="O430" i="1"/>
  <c r="P430" i="1"/>
  <c r="Q430" i="1"/>
  <c r="R430" i="1"/>
  <c r="S430" i="1"/>
  <c r="T430" i="1"/>
  <c r="U430" i="1"/>
  <c r="V430" i="1"/>
  <c r="W430" i="1"/>
  <c r="N435" i="1"/>
  <c r="O435" i="1"/>
  <c r="P435" i="1"/>
  <c r="Q435" i="1"/>
  <c r="R435" i="1"/>
  <c r="S435" i="1"/>
  <c r="T435" i="1"/>
  <c r="U435" i="1"/>
  <c r="V435" i="1"/>
  <c r="W435" i="1"/>
  <c r="N443" i="1"/>
  <c r="O443" i="1"/>
  <c r="P443" i="1"/>
  <c r="Q443" i="1"/>
  <c r="R443" i="1"/>
  <c r="S443" i="1"/>
  <c r="T443" i="1"/>
  <c r="U443" i="1"/>
  <c r="V443" i="1"/>
  <c r="W443" i="1"/>
  <c r="N444" i="1"/>
  <c r="O444" i="1"/>
  <c r="P444" i="1"/>
  <c r="Q444" i="1"/>
  <c r="R444" i="1"/>
  <c r="S444" i="1"/>
  <c r="T444" i="1"/>
  <c r="U444" i="1"/>
  <c r="V444" i="1"/>
  <c r="W444" i="1"/>
  <c r="N445" i="1"/>
  <c r="O445" i="1"/>
  <c r="P445" i="1"/>
  <c r="Q445" i="1"/>
  <c r="R445" i="1"/>
  <c r="S445" i="1"/>
  <c r="T445" i="1"/>
  <c r="U445" i="1"/>
  <c r="V445" i="1"/>
  <c r="W445" i="1"/>
  <c r="N446" i="1"/>
  <c r="O446" i="1"/>
  <c r="P446" i="1"/>
  <c r="Q446" i="1"/>
  <c r="R446" i="1"/>
  <c r="S446" i="1"/>
  <c r="T446" i="1"/>
  <c r="U446" i="1"/>
  <c r="V446" i="1"/>
  <c r="W446" i="1"/>
  <c r="N447" i="1"/>
  <c r="O447" i="1"/>
  <c r="P447" i="1"/>
  <c r="Q447" i="1"/>
  <c r="R447" i="1"/>
  <c r="S447" i="1"/>
  <c r="T447" i="1"/>
  <c r="U447" i="1"/>
  <c r="V447" i="1"/>
  <c r="W447" i="1"/>
  <c r="N448" i="1"/>
  <c r="O448" i="1"/>
  <c r="P448" i="1"/>
  <c r="Q448" i="1"/>
  <c r="R448" i="1"/>
  <c r="S448" i="1"/>
  <c r="T448" i="1"/>
  <c r="U448" i="1"/>
  <c r="V448" i="1"/>
  <c r="W448" i="1"/>
  <c r="N449" i="1"/>
  <c r="O449" i="1"/>
  <c r="P449" i="1"/>
  <c r="Q449" i="1"/>
  <c r="R449" i="1"/>
  <c r="S449" i="1"/>
  <c r="T449" i="1"/>
  <c r="U449" i="1"/>
  <c r="V449" i="1"/>
  <c r="W449" i="1"/>
  <c r="N450" i="1"/>
  <c r="O450" i="1"/>
  <c r="P450" i="1"/>
  <c r="Q450" i="1"/>
  <c r="R450" i="1"/>
  <c r="S450" i="1"/>
  <c r="T450" i="1"/>
  <c r="U450" i="1"/>
  <c r="V450" i="1"/>
  <c r="W450" i="1"/>
  <c r="N451" i="1"/>
  <c r="O451" i="1"/>
  <c r="P451" i="1"/>
  <c r="Q451" i="1"/>
  <c r="R451" i="1"/>
  <c r="S451" i="1"/>
  <c r="T451" i="1"/>
  <c r="U451" i="1"/>
  <c r="V451" i="1"/>
  <c r="W451" i="1"/>
  <c r="O461" i="1"/>
  <c r="P461" i="1"/>
  <c r="Q461" i="1"/>
  <c r="R461" i="1"/>
  <c r="S461" i="1"/>
  <c r="T461" i="1"/>
  <c r="U461" i="1"/>
  <c r="V461" i="1"/>
  <c r="W461" i="1"/>
  <c r="N462" i="1"/>
  <c r="O462" i="1"/>
  <c r="P462" i="1"/>
  <c r="Q462" i="1"/>
  <c r="R462" i="1"/>
  <c r="S462" i="1"/>
  <c r="T462" i="1"/>
  <c r="U462" i="1"/>
  <c r="V462" i="1"/>
  <c r="W462" i="1"/>
  <c r="N463" i="1"/>
  <c r="O463" i="1"/>
  <c r="P463" i="1"/>
  <c r="Q463" i="1"/>
  <c r="R463" i="1"/>
  <c r="S463" i="1"/>
  <c r="T463" i="1"/>
  <c r="U463" i="1"/>
  <c r="V463" i="1"/>
  <c r="W463" i="1"/>
  <c r="O465" i="1"/>
  <c r="P465" i="1"/>
  <c r="Q465" i="1"/>
  <c r="R465" i="1"/>
  <c r="S465" i="1"/>
  <c r="T465" i="1"/>
  <c r="U465" i="1"/>
  <c r="V465" i="1"/>
  <c r="W465" i="1"/>
  <c r="O467" i="1"/>
  <c r="P467" i="1"/>
  <c r="Q467" i="1"/>
  <c r="R467" i="1"/>
  <c r="S467" i="1"/>
  <c r="T467" i="1"/>
  <c r="U467" i="1"/>
  <c r="V467" i="1"/>
  <c r="W467" i="1"/>
  <c r="O470" i="1"/>
  <c r="P470" i="1"/>
  <c r="Q470" i="1"/>
  <c r="R470" i="1"/>
  <c r="S470" i="1"/>
  <c r="T470" i="1"/>
  <c r="U470" i="1"/>
  <c r="V470" i="1"/>
  <c r="W470" i="1"/>
  <c r="O477" i="1"/>
  <c r="P477" i="1"/>
  <c r="Q477" i="1"/>
  <c r="R477" i="1"/>
  <c r="S477" i="1"/>
  <c r="T477" i="1"/>
  <c r="U477" i="1"/>
  <c r="V477" i="1"/>
  <c r="W477" i="1"/>
  <c r="N478" i="1"/>
  <c r="O478" i="1"/>
  <c r="P478" i="1"/>
  <c r="Q478" i="1"/>
  <c r="R478" i="1"/>
  <c r="S478" i="1"/>
  <c r="T478" i="1"/>
  <c r="U478" i="1"/>
  <c r="V478" i="1"/>
  <c r="W478" i="1"/>
  <c r="N479" i="1"/>
  <c r="O479" i="1"/>
  <c r="P479" i="1"/>
  <c r="Q479" i="1"/>
  <c r="R479" i="1"/>
  <c r="S479" i="1"/>
  <c r="T479" i="1"/>
  <c r="U479" i="1"/>
  <c r="V479" i="1"/>
  <c r="W479" i="1"/>
  <c r="O482" i="1"/>
  <c r="P482" i="1"/>
  <c r="Q482" i="1"/>
  <c r="R482" i="1"/>
  <c r="S482" i="1"/>
  <c r="T482" i="1"/>
  <c r="U482" i="1"/>
  <c r="V482" i="1"/>
  <c r="W482" i="1"/>
  <c r="N483" i="1"/>
  <c r="O483" i="1"/>
  <c r="P483" i="1"/>
  <c r="Q483" i="1"/>
  <c r="R483" i="1"/>
  <c r="S483" i="1"/>
  <c r="T483" i="1"/>
  <c r="U483" i="1"/>
  <c r="V483" i="1"/>
  <c r="W483" i="1"/>
  <c r="N484" i="1"/>
  <c r="O484" i="1"/>
  <c r="P484" i="1"/>
  <c r="Q484" i="1"/>
  <c r="R484" i="1"/>
  <c r="S484" i="1"/>
  <c r="T484" i="1"/>
  <c r="U484" i="1"/>
  <c r="V484" i="1"/>
  <c r="W484" i="1"/>
  <c r="N486" i="1"/>
  <c r="O486" i="1"/>
  <c r="P486" i="1"/>
  <c r="Q486" i="1"/>
  <c r="R486" i="1"/>
  <c r="S486" i="1"/>
  <c r="T486" i="1"/>
  <c r="U486" i="1"/>
  <c r="V486" i="1"/>
  <c r="W486" i="1"/>
  <c r="N487" i="1"/>
  <c r="O487" i="1"/>
  <c r="P487" i="1"/>
  <c r="Q487" i="1"/>
  <c r="R487" i="1"/>
  <c r="S487" i="1"/>
  <c r="T487" i="1"/>
  <c r="U487" i="1"/>
  <c r="V487" i="1"/>
  <c r="W487" i="1"/>
  <c r="N508" i="1"/>
  <c r="O508" i="1"/>
  <c r="P508" i="1"/>
  <c r="Q508" i="1"/>
  <c r="R508" i="1"/>
  <c r="S508" i="1"/>
  <c r="T508" i="1"/>
  <c r="U508" i="1"/>
  <c r="V508" i="1"/>
  <c r="W508" i="1"/>
  <c r="O526" i="1"/>
  <c r="P526" i="1"/>
  <c r="Q526" i="1"/>
  <c r="R526" i="1"/>
  <c r="S526" i="1"/>
  <c r="T526" i="1"/>
  <c r="U526" i="1"/>
  <c r="V526" i="1"/>
  <c r="W526" i="1"/>
  <c r="N528" i="1"/>
  <c r="O528" i="1"/>
  <c r="P528" i="1"/>
  <c r="Q528" i="1"/>
  <c r="R528" i="1"/>
  <c r="S528" i="1"/>
  <c r="T528" i="1"/>
  <c r="U528" i="1"/>
  <c r="V528" i="1"/>
  <c r="W528" i="1"/>
  <c r="N529" i="1"/>
  <c r="O529" i="1"/>
  <c r="P529" i="1"/>
  <c r="Q529" i="1"/>
  <c r="R529" i="1"/>
  <c r="S529" i="1"/>
  <c r="T529" i="1"/>
  <c r="U529" i="1"/>
  <c r="V529" i="1"/>
  <c r="W529" i="1"/>
  <c r="N530" i="1"/>
  <c r="O530" i="1"/>
  <c r="P530" i="1"/>
  <c r="Q530" i="1"/>
  <c r="R530" i="1"/>
  <c r="S530" i="1"/>
  <c r="T530" i="1"/>
  <c r="U530" i="1"/>
  <c r="V530" i="1"/>
  <c r="W530" i="1"/>
  <c r="O534" i="1"/>
  <c r="P534" i="1"/>
  <c r="Q534" i="1"/>
  <c r="R534" i="1"/>
  <c r="S534" i="1"/>
  <c r="T534" i="1"/>
  <c r="U534" i="1"/>
  <c r="V534" i="1"/>
  <c r="W534" i="1"/>
  <c r="N535" i="1"/>
  <c r="O535" i="1"/>
  <c r="P535" i="1"/>
  <c r="Q535" i="1"/>
  <c r="R535" i="1"/>
  <c r="S535" i="1"/>
  <c r="T535" i="1"/>
  <c r="U535" i="1"/>
  <c r="V535" i="1"/>
  <c r="W535" i="1"/>
  <c r="N536" i="1"/>
  <c r="O536" i="1"/>
  <c r="P536" i="1"/>
  <c r="Q536" i="1"/>
  <c r="R536" i="1"/>
  <c r="S536" i="1"/>
  <c r="T536" i="1"/>
  <c r="U536" i="1"/>
  <c r="V536" i="1"/>
  <c r="W536" i="1"/>
  <c r="N537" i="1"/>
  <c r="O537" i="1"/>
  <c r="P537" i="1"/>
  <c r="Q537" i="1"/>
  <c r="R537" i="1"/>
  <c r="S537" i="1"/>
  <c r="T537" i="1"/>
  <c r="U537" i="1"/>
  <c r="V537" i="1"/>
  <c r="W537" i="1"/>
  <c r="N538" i="1"/>
  <c r="O538" i="1"/>
  <c r="P538" i="1"/>
  <c r="Q538" i="1"/>
  <c r="R538" i="1"/>
  <c r="S538" i="1"/>
  <c r="T538" i="1"/>
  <c r="U538" i="1"/>
  <c r="V538" i="1"/>
  <c r="W538" i="1"/>
  <c r="O542" i="1"/>
  <c r="P542" i="1"/>
  <c r="Q542" i="1"/>
  <c r="R542" i="1"/>
  <c r="S542" i="1"/>
  <c r="T542" i="1"/>
  <c r="U542" i="1"/>
  <c r="V542" i="1"/>
  <c r="W542" i="1"/>
  <c r="O543" i="1"/>
  <c r="P543" i="1"/>
  <c r="Q543" i="1"/>
  <c r="R543" i="1"/>
  <c r="S543" i="1"/>
  <c r="T543" i="1"/>
  <c r="U543" i="1"/>
  <c r="V543" i="1"/>
  <c r="W543" i="1"/>
  <c r="O544" i="1"/>
  <c r="P544" i="1"/>
  <c r="Q544" i="1"/>
  <c r="R544" i="1"/>
  <c r="S544" i="1"/>
  <c r="T544" i="1"/>
  <c r="U544" i="1"/>
  <c r="V544" i="1"/>
  <c r="W544" i="1"/>
  <c r="N545" i="1"/>
  <c r="O545" i="1"/>
  <c r="P545" i="1"/>
  <c r="Q545" i="1"/>
  <c r="R545" i="1"/>
  <c r="S545" i="1"/>
  <c r="T545" i="1"/>
  <c r="U545" i="1"/>
  <c r="V545" i="1"/>
  <c r="W545" i="1"/>
  <c r="N546" i="1"/>
  <c r="O546" i="1"/>
  <c r="P546" i="1"/>
  <c r="Q546" i="1"/>
  <c r="R546" i="1"/>
  <c r="S546" i="1"/>
  <c r="T546" i="1"/>
  <c r="U546" i="1"/>
  <c r="V546" i="1"/>
  <c r="W546" i="1"/>
  <c r="O550" i="1"/>
  <c r="P550" i="1"/>
  <c r="Q550" i="1"/>
  <c r="R550" i="1"/>
  <c r="S550" i="1"/>
  <c r="T550" i="1"/>
  <c r="U550" i="1"/>
  <c r="V550" i="1"/>
  <c r="W550" i="1"/>
  <c r="O551" i="1"/>
  <c r="P551" i="1"/>
  <c r="Q551" i="1"/>
  <c r="R551" i="1"/>
  <c r="S551" i="1"/>
  <c r="T551" i="1"/>
  <c r="U551" i="1"/>
  <c r="V551" i="1"/>
  <c r="W551" i="1"/>
  <c r="O552" i="1"/>
  <c r="P552" i="1"/>
  <c r="Q552" i="1"/>
  <c r="R552" i="1"/>
  <c r="S552" i="1"/>
  <c r="T552" i="1"/>
  <c r="U552" i="1"/>
  <c r="V552" i="1"/>
  <c r="W552" i="1"/>
  <c r="N553" i="1"/>
  <c r="O553" i="1"/>
  <c r="P553" i="1"/>
  <c r="Q553" i="1"/>
  <c r="R553" i="1"/>
  <c r="S553" i="1"/>
  <c r="T553" i="1"/>
  <c r="U553" i="1"/>
  <c r="V553" i="1"/>
  <c r="W553" i="1"/>
  <c r="N554" i="1"/>
  <c r="O554" i="1"/>
  <c r="P554" i="1"/>
  <c r="Q554" i="1"/>
  <c r="R554" i="1"/>
  <c r="S554" i="1"/>
  <c r="T554" i="1"/>
  <c r="U554" i="1"/>
  <c r="V554" i="1"/>
  <c r="W554" i="1"/>
  <c r="O558" i="1"/>
  <c r="P558" i="1"/>
  <c r="Q558" i="1"/>
  <c r="R558" i="1"/>
  <c r="S558" i="1"/>
  <c r="T558" i="1"/>
  <c r="U558" i="1"/>
  <c r="V558" i="1"/>
  <c r="W558" i="1"/>
  <c r="O559" i="1"/>
  <c r="P559" i="1"/>
  <c r="Q559" i="1"/>
  <c r="R559" i="1"/>
  <c r="S559" i="1"/>
  <c r="T559" i="1"/>
  <c r="U559" i="1"/>
  <c r="V559" i="1"/>
  <c r="W559" i="1"/>
  <c r="N560" i="1"/>
  <c r="O560" i="1"/>
  <c r="P560" i="1"/>
  <c r="Q560" i="1"/>
  <c r="R560" i="1"/>
  <c r="S560" i="1"/>
  <c r="T560" i="1"/>
  <c r="U560" i="1"/>
  <c r="V560" i="1"/>
  <c r="W560" i="1"/>
  <c r="N561" i="1"/>
  <c r="O561" i="1"/>
  <c r="P561" i="1"/>
  <c r="Q561" i="1"/>
  <c r="R561" i="1"/>
  <c r="S561" i="1"/>
  <c r="T561" i="1"/>
  <c r="U561" i="1"/>
  <c r="V561" i="1"/>
  <c r="W561" i="1"/>
  <c r="O565" i="1"/>
  <c r="P565" i="1"/>
  <c r="Q565" i="1"/>
  <c r="R565" i="1"/>
  <c r="S565" i="1"/>
  <c r="T565" i="1"/>
  <c r="U565" i="1"/>
  <c r="V565" i="1"/>
  <c r="W565" i="1"/>
  <c r="O566" i="1"/>
  <c r="P566" i="1"/>
  <c r="Q566" i="1"/>
  <c r="R566" i="1"/>
  <c r="S566" i="1"/>
  <c r="T566" i="1"/>
  <c r="U566" i="1"/>
  <c r="V566" i="1"/>
  <c r="W566" i="1"/>
  <c r="N567" i="1"/>
  <c r="O567" i="1"/>
  <c r="P567" i="1"/>
  <c r="Q567" i="1"/>
  <c r="R567" i="1"/>
  <c r="S567" i="1"/>
  <c r="T567" i="1"/>
  <c r="U567" i="1"/>
  <c r="V567" i="1"/>
  <c r="W567" i="1"/>
  <c r="N568" i="1"/>
  <c r="O568" i="1"/>
  <c r="P568" i="1"/>
  <c r="Q568" i="1"/>
  <c r="R568" i="1"/>
  <c r="S568" i="1"/>
  <c r="T568" i="1"/>
  <c r="U568" i="1"/>
  <c r="V568" i="1"/>
  <c r="W568" i="1"/>
  <c r="N572" i="1"/>
  <c r="O572" i="1"/>
  <c r="P572" i="1"/>
  <c r="Q572" i="1"/>
  <c r="R572" i="1"/>
  <c r="S572" i="1"/>
  <c r="T572" i="1"/>
  <c r="U572" i="1"/>
  <c r="V572" i="1"/>
  <c r="W572" i="1"/>
  <c r="N573" i="1"/>
  <c r="O573" i="1"/>
  <c r="P573" i="1"/>
  <c r="Q573" i="1"/>
  <c r="R573" i="1"/>
  <c r="S573" i="1"/>
  <c r="T573" i="1"/>
  <c r="U573" i="1"/>
  <c r="V573" i="1"/>
  <c r="W573" i="1"/>
  <c r="N574" i="1"/>
  <c r="O574" i="1"/>
  <c r="P574" i="1"/>
  <c r="Q574" i="1"/>
  <c r="R574" i="1"/>
  <c r="S574" i="1"/>
  <c r="T574" i="1"/>
  <c r="U574" i="1"/>
  <c r="V574" i="1"/>
  <c r="W574" i="1"/>
  <c r="N575" i="1"/>
  <c r="O575" i="1"/>
  <c r="P575" i="1"/>
  <c r="Q575" i="1"/>
  <c r="R575" i="1"/>
  <c r="S575" i="1"/>
  <c r="T575" i="1"/>
  <c r="U575" i="1"/>
  <c r="V575" i="1"/>
  <c r="W575" i="1"/>
  <c r="N576" i="1"/>
  <c r="O576" i="1"/>
  <c r="P576" i="1"/>
  <c r="Q576" i="1"/>
  <c r="R576" i="1"/>
  <c r="S576" i="1"/>
  <c r="T576" i="1"/>
  <c r="U576" i="1"/>
  <c r="V576" i="1"/>
  <c r="W576" i="1"/>
  <c r="N577" i="1"/>
  <c r="O577" i="1"/>
  <c r="P577" i="1"/>
  <c r="Q577" i="1"/>
  <c r="R577" i="1"/>
  <c r="S577" i="1"/>
  <c r="T577" i="1"/>
  <c r="U577" i="1"/>
  <c r="V577" i="1"/>
  <c r="W577" i="1"/>
  <c r="N578" i="1"/>
  <c r="O578" i="1"/>
  <c r="P578" i="1"/>
  <c r="Q578" i="1"/>
  <c r="R578" i="1"/>
  <c r="S578" i="1"/>
  <c r="T578" i="1"/>
  <c r="U578" i="1"/>
  <c r="V578" i="1"/>
  <c r="W578" i="1"/>
  <c r="N608" i="1"/>
  <c r="O608" i="1"/>
  <c r="P608" i="1"/>
  <c r="Q608" i="1"/>
  <c r="R608" i="1"/>
  <c r="S608" i="1"/>
  <c r="T608" i="1"/>
  <c r="U608" i="1"/>
  <c r="V608" i="1"/>
  <c r="W608" i="1"/>
  <c r="N610" i="1"/>
  <c r="O610" i="1"/>
  <c r="P610" i="1"/>
  <c r="Q610" i="1"/>
  <c r="R610" i="1"/>
  <c r="S610" i="1"/>
  <c r="T610" i="1"/>
  <c r="U610" i="1"/>
  <c r="V610" i="1"/>
  <c r="W610" i="1"/>
  <c r="N611" i="1"/>
  <c r="O611" i="1"/>
  <c r="P611" i="1"/>
  <c r="Q611" i="1"/>
  <c r="R611" i="1"/>
  <c r="S611" i="1"/>
  <c r="T611" i="1"/>
  <c r="U611" i="1"/>
  <c r="V611" i="1"/>
  <c r="W611" i="1"/>
  <c r="N612" i="1"/>
  <c r="O612" i="1"/>
  <c r="P612" i="1"/>
  <c r="Q612" i="1"/>
  <c r="R612" i="1"/>
  <c r="S612" i="1"/>
  <c r="T612" i="1"/>
  <c r="U612" i="1"/>
  <c r="V612" i="1"/>
  <c r="W612" i="1"/>
  <c r="N613" i="1"/>
  <c r="O613" i="1"/>
  <c r="P613" i="1"/>
  <c r="Q613" i="1"/>
  <c r="R613" i="1"/>
  <c r="S613" i="1"/>
  <c r="T613" i="1"/>
  <c r="U613" i="1"/>
  <c r="V613" i="1"/>
  <c r="W613" i="1"/>
  <c r="N614" i="1"/>
  <c r="O614" i="1"/>
  <c r="P614" i="1"/>
  <c r="Q614" i="1"/>
  <c r="R614" i="1"/>
  <c r="S614" i="1"/>
  <c r="T614" i="1"/>
  <c r="U614" i="1"/>
  <c r="V614" i="1"/>
  <c r="W614" i="1"/>
  <c r="N615" i="1"/>
  <c r="O615" i="1"/>
  <c r="P615" i="1"/>
  <c r="Q615" i="1"/>
  <c r="R615" i="1"/>
  <c r="S615" i="1"/>
  <c r="T615" i="1"/>
  <c r="U615" i="1"/>
  <c r="V615" i="1"/>
  <c r="W615" i="1"/>
  <c r="N617" i="1"/>
  <c r="O617" i="1"/>
  <c r="P617" i="1"/>
  <c r="Q617" i="1"/>
  <c r="R617" i="1"/>
  <c r="S617" i="1"/>
  <c r="T617" i="1"/>
  <c r="U617" i="1"/>
  <c r="V617" i="1"/>
  <c r="W617" i="1"/>
  <c r="N618" i="1"/>
  <c r="O618" i="1"/>
  <c r="P618" i="1"/>
  <c r="Q618" i="1"/>
  <c r="R618" i="1"/>
  <c r="S618" i="1"/>
  <c r="T618" i="1"/>
  <c r="U618" i="1"/>
  <c r="V618" i="1"/>
  <c r="W618" i="1"/>
  <c r="N619" i="1"/>
  <c r="O619" i="1"/>
  <c r="P619" i="1"/>
  <c r="Q619" i="1"/>
  <c r="R619" i="1"/>
  <c r="S619" i="1"/>
  <c r="T619" i="1"/>
  <c r="U619" i="1"/>
  <c r="V619" i="1"/>
  <c r="W619" i="1"/>
  <c r="N632" i="1"/>
  <c r="O632" i="1"/>
  <c r="P632" i="1"/>
  <c r="Q632" i="1"/>
  <c r="R632" i="1"/>
  <c r="S632" i="1"/>
  <c r="T632" i="1"/>
  <c r="U632" i="1"/>
  <c r="V632" i="1"/>
  <c r="W632" i="1"/>
  <c r="N634" i="1"/>
  <c r="O634" i="1"/>
  <c r="P634" i="1"/>
  <c r="Q634" i="1"/>
  <c r="R634" i="1"/>
  <c r="S634" i="1"/>
  <c r="T634" i="1"/>
  <c r="U634" i="1"/>
  <c r="V634" i="1"/>
  <c r="W634" i="1"/>
  <c r="N641" i="1"/>
  <c r="O641" i="1"/>
  <c r="P641" i="1"/>
  <c r="Q641" i="1"/>
  <c r="R641" i="1"/>
  <c r="S641" i="1"/>
  <c r="T641" i="1"/>
  <c r="U641" i="1"/>
  <c r="V641" i="1"/>
  <c r="W641" i="1"/>
  <c r="N642" i="1"/>
  <c r="O642" i="1"/>
  <c r="P642" i="1"/>
  <c r="Q642" i="1"/>
  <c r="R642" i="1"/>
  <c r="S642" i="1"/>
  <c r="T642" i="1"/>
  <c r="U642" i="1"/>
  <c r="V642" i="1"/>
  <c r="W642" i="1"/>
  <c r="N643" i="1"/>
  <c r="O643" i="1"/>
  <c r="P643" i="1"/>
  <c r="Q643" i="1"/>
  <c r="R643" i="1"/>
  <c r="S643" i="1"/>
  <c r="T643" i="1"/>
  <c r="U643" i="1"/>
  <c r="V643" i="1"/>
  <c r="W643" i="1"/>
  <c r="N645" i="1"/>
  <c r="O645" i="1"/>
  <c r="P645" i="1"/>
  <c r="Q645" i="1"/>
  <c r="R645" i="1"/>
  <c r="S645" i="1"/>
  <c r="T645" i="1"/>
  <c r="U645" i="1"/>
  <c r="V645" i="1"/>
  <c r="W645" i="1"/>
  <c r="N646" i="1"/>
  <c r="O646" i="1"/>
  <c r="P646" i="1"/>
  <c r="Q646" i="1"/>
  <c r="R646" i="1"/>
  <c r="S646" i="1"/>
  <c r="T646" i="1"/>
  <c r="U646" i="1"/>
  <c r="V646" i="1"/>
  <c r="W646" i="1"/>
  <c r="N649" i="1"/>
  <c r="O649" i="1"/>
  <c r="P649" i="1"/>
  <c r="Q649" i="1"/>
  <c r="R649" i="1"/>
  <c r="S649" i="1"/>
  <c r="T649" i="1"/>
  <c r="U649" i="1"/>
  <c r="V649" i="1"/>
  <c r="W649" i="1"/>
  <c r="N650" i="1"/>
  <c r="O650" i="1"/>
  <c r="P650" i="1"/>
  <c r="Q650" i="1"/>
  <c r="R650" i="1"/>
  <c r="S650" i="1"/>
  <c r="T650" i="1"/>
  <c r="U650" i="1"/>
  <c r="V650" i="1"/>
  <c r="W650" i="1"/>
  <c r="N651" i="1"/>
  <c r="O651" i="1"/>
  <c r="P651" i="1"/>
  <c r="Q651" i="1"/>
  <c r="R651" i="1"/>
  <c r="S651" i="1"/>
  <c r="T651" i="1"/>
  <c r="U651" i="1"/>
  <c r="V651" i="1"/>
  <c r="W651" i="1"/>
  <c r="N654" i="1"/>
  <c r="O654" i="1"/>
  <c r="P654" i="1"/>
  <c r="Q654" i="1"/>
  <c r="R654" i="1"/>
  <c r="S654" i="1"/>
  <c r="T654" i="1"/>
  <c r="U654" i="1"/>
  <c r="V654" i="1"/>
  <c r="W654" i="1"/>
  <c r="N658" i="1"/>
  <c r="O658" i="1"/>
  <c r="P658" i="1"/>
  <c r="Q658" i="1"/>
  <c r="R658" i="1"/>
  <c r="S658" i="1"/>
  <c r="T658" i="1"/>
  <c r="U658" i="1"/>
  <c r="V658" i="1"/>
  <c r="W658" i="1"/>
  <c r="N661" i="1"/>
  <c r="O661" i="1"/>
  <c r="P661" i="1"/>
  <c r="Q661" i="1"/>
  <c r="R661" i="1"/>
  <c r="S661" i="1"/>
  <c r="T661" i="1"/>
  <c r="U661" i="1"/>
  <c r="V661" i="1"/>
  <c r="W661" i="1"/>
  <c r="O662" i="1"/>
  <c r="P662" i="1"/>
  <c r="Q662" i="1"/>
  <c r="R662" i="1"/>
  <c r="S662" i="1"/>
  <c r="T662" i="1"/>
  <c r="U662" i="1"/>
  <c r="V662" i="1"/>
  <c r="W662" i="1"/>
  <c r="N663" i="1"/>
  <c r="O663" i="1"/>
  <c r="P663" i="1"/>
  <c r="Q663" i="1"/>
  <c r="R663" i="1"/>
  <c r="S663" i="1"/>
  <c r="T663" i="1"/>
  <c r="U663" i="1"/>
  <c r="V663" i="1"/>
  <c r="W663" i="1"/>
  <c r="N668" i="1"/>
  <c r="O668" i="1"/>
  <c r="P668" i="1"/>
  <c r="Q668" i="1"/>
  <c r="R668" i="1"/>
  <c r="S668" i="1"/>
  <c r="T668" i="1"/>
  <c r="U668" i="1"/>
  <c r="V668" i="1"/>
  <c r="W668" i="1"/>
  <c r="N669" i="1"/>
  <c r="O669" i="1"/>
  <c r="P669" i="1"/>
  <c r="Q669" i="1"/>
  <c r="R669" i="1"/>
  <c r="S669" i="1"/>
  <c r="T669" i="1"/>
  <c r="U669" i="1"/>
  <c r="V669" i="1"/>
  <c r="W669" i="1"/>
  <c r="N670" i="1"/>
  <c r="O670" i="1"/>
  <c r="P670" i="1"/>
  <c r="Q670" i="1"/>
  <c r="R670" i="1"/>
  <c r="S670" i="1"/>
  <c r="T670" i="1"/>
  <c r="U670" i="1"/>
  <c r="V670" i="1"/>
  <c r="W670" i="1"/>
  <c r="N673" i="1"/>
  <c r="O673" i="1"/>
  <c r="P673" i="1"/>
  <c r="Q673" i="1"/>
  <c r="R673" i="1"/>
  <c r="S673" i="1"/>
  <c r="T673" i="1"/>
  <c r="U673" i="1"/>
  <c r="V673" i="1"/>
  <c r="W673" i="1"/>
  <c r="N674" i="1"/>
  <c r="O674" i="1"/>
  <c r="P674" i="1"/>
  <c r="Q674" i="1"/>
  <c r="R674" i="1"/>
  <c r="S674" i="1"/>
  <c r="T674" i="1"/>
  <c r="U674" i="1"/>
  <c r="V674" i="1"/>
  <c r="W674" i="1"/>
  <c r="N675" i="1"/>
  <c r="O675" i="1"/>
  <c r="P675" i="1"/>
  <c r="Q675" i="1"/>
  <c r="R675" i="1"/>
  <c r="S675" i="1"/>
  <c r="T675" i="1"/>
  <c r="U675" i="1"/>
  <c r="V675" i="1"/>
  <c r="W675" i="1"/>
  <c r="N677" i="1"/>
  <c r="O677" i="1"/>
  <c r="P677" i="1"/>
  <c r="Q677" i="1"/>
  <c r="R677" i="1"/>
  <c r="S677" i="1"/>
  <c r="T677" i="1"/>
  <c r="U677" i="1"/>
  <c r="V677" i="1"/>
  <c r="W677" i="1"/>
  <c r="N686" i="1"/>
  <c r="O686" i="1"/>
  <c r="P686" i="1"/>
  <c r="Q686" i="1"/>
  <c r="R686" i="1"/>
  <c r="S686" i="1"/>
  <c r="T686" i="1"/>
  <c r="U686" i="1"/>
  <c r="V686" i="1"/>
  <c r="W686" i="1"/>
  <c r="N687" i="1"/>
  <c r="O687" i="1"/>
  <c r="P687" i="1"/>
  <c r="Q687" i="1"/>
  <c r="R687" i="1"/>
  <c r="S687" i="1"/>
  <c r="T687" i="1"/>
  <c r="U687" i="1"/>
  <c r="V687" i="1"/>
  <c r="W687" i="1"/>
  <c r="N689" i="1"/>
  <c r="O689" i="1"/>
  <c r="P689" i="1"/>
  <c r="Q689" i="1"/>
  <c r="R689" i="1"/>
  <c r="S689" i="1"/>
  <c r="T689" i="1"/>
  <c r="U689" i="1"/>
  <c r="V689" i="1"/>
  <c r="W689" i="1"/>
  <c r="N690" i="1"/>
  <c r="O690" i="1"/>
  <c r="P690" i="1"/>
  <c r="Q690" i="1"/>
  <c r="R690" i="1"/>
  <c r="S690" i="1"/>
  <c r="T690" i="1"/>
  <c r="U690" i="1"/>
  <c r="V690" i="1"/>
  <c r="W690" i="1"/>
  <c r="N691" i="1"/>
  <c r="O691" i="1"/>
  <c r="P691" i="1"/>
  <c r="Q691" i="1"/>
  <c r="R691" i="1"/>
  <c r="S691" i="1"/>
  <c r="T691" i="1"/>
  <c r="U691" i="1"/>
  <c r="V691" i="1"/>
  <c r="W691" i="1"/>
  <c r="N695" i="1"/>
  <c r="O695" i="1"/>
  <c r="P695" i="1"/>
  <c r="Q695" i="1"/>
  <c r="R695" i="1"/>
  <c r="S695" i="1"/>
  <c r="T695" i="1"/>
  <c r="U695" i="1"/>
  <c r="V695" i="1"/>
  <c r="W695" i="1"/>
  <c r="N696" i="1"/>
  <c r="O696" i="1"/>
  <c r="P696" i="1"/>
  <c r="Q696" i="1"/>
  <c r="R696" i="1"/>
  <c r="S696" i="1"/>
  <c r="T696" i="1"/>
  <c r="U696" i="1"/>
  <c r="V696" i="1"/>
  <c r="W696" i="1"/>
  <c r="N698" i="1"/>
  <c r="O698" i="1"/>
  <c r="P698" i="1"/>
  <c r="Q698" i="1"/>
  <c r="R698" i="1"/>
  <c r="S698" i="1"/>
  <c r="T698" i="1"/>
  <c r="U698" i="1"/>
  <c r="V698" i="1"/>
  <c r="W698" i="1"/>
  <c r="N699" i="1"/>
  <c r="O699" i="1"/>
  <c r="P699" i="1"/>
  <c r="Q699" i="1"/>
  <c r="R699" i="1"/>
  <c r="S699" i="1"/>
  <c r="T699" i="1"/>
  <c r="U699" i="1"/>
  <c r="V699" i="1"/>
  <c r="W699" i="1"/>
  <c r="N700" i="1"/>
  <c r="O700" i="1"/>
  <c r="P700" i="1"/>
  <c r="Q700" i="1"/>
  <c r="R700" i="1"/>
  <c r="S700" i="1"/>
  <c r="T700" i="1"/>
  <c r="U700" i="1"/>
  <c r="V700" i="1"/>
  <c r="W700" i="1"/>
  <c r="N709" i="1"/>
  <c r="O709" i="1"/>
  <c r="P709" i="1"/>
  <c r="Q709" i="1"/>
  <c r="R709" i="1"/>
  <c r="S709" i="1"/>
  <c r="T709" i="1"/>
  <c r="U709" i="1"/>
  <c r="V709" i="1"/>
  <c r="W709" i="1"/>
  <c r="N710" i="1"/>
  <c r="O710" i="1"/>
  <c r="P710" i="1"/>
  <c r="Q710" i="1"/>
  <c r="R710" i="1"/>
  <c r="S710" i="1"/>
  <c r="T710" i="1"/>
  <c r="U710" i="1"/>
  <c r="V710" i="1"/>
  <c r="W710" i="1"/>
  <c r="N712" i="1"/>
  <c r="O712" i="1"/>
  <c r="P712" i="1"/>
  <c r="Q712" i="1"/>
  <c r="R712" i="1"/>
  <c r="S712" i="1"/>
  <c r="T712" i="1"/>
  <c r="U712" i="1"/>
  <c r="V712" i="1"/>
  <c r="W712" i="1"/>
  <c r="N716" i="1"/>
  <c r="O716" i="1"/>
  <c r="P716" i="1"/>
  <c r="Q716" i="1"/>
  <c r="R716" i="1"/>
  <c r="S716" i="1"/>
  <c r="T716" i="1"/>
  <c r="U716" i="1"/>
  <c r="V716" i="1"/>
  <c r="W716" i="1"/>
  <c r="N717" i="1"/>
  <c r="O717" i="1"/>
  <c r="P717" i="1"/>
  <c r="Q717" i="1"/>
  <c r="R717" i="1"/>
  <c r="S717" i="1"/>
  <c r="T717" i="1"/>
  <c r="U717" i="1"/>
  <c r="V717" i="1"/>
  <c r="W717" i="1"/>
  <c r="N718" i="1"/>
  <c r="O718" i="1"/>
  <c r="P718" i="1"/>
  <c r="Q718" i="1"/>
  <c r="R718" i="1"/>
  <c r="S718" i="1"/>
  <c r="T718" i="1"/>
  <c r="U718" i="1"/>
  <c r="V718" i="1"/>
  <c r="W718" i="1"/>
  <c r="N719" i="1"/>
  <c r="O719" i="1"/>
  <c r="P719" i="1"/>
  <c r="Q719" i="1"/>
  <c r="R719" i="1"/>
  <c r="S719" i="1"/>
  <c r="T719" i="1"/>
  <c r="U719" i="1"/>
  <c r="V719" i="1"/>
  <c r="W719" i="1"/>
  <c r="N741" i="1"/>
  <c r="O741" i="1"/>
  <c r="P741" i="1"/>
  <c r="Q741" i="1"/>
  <c r="R741" i="1"/>
  <c r="S741" i="1"/>
  <c r="T741" i="1"/>
  <c r="U741" i="1"/>
  <c r="V741" i="1"/>
  <c r="W741" i="1"/>
  <c r="N742" i="1"/>
  <c r="O742" i="1"/>
  <c r="P742" i="1"/>
  <c r="Q742" i="1"/>
  <c r="R742" i="1"/>
  <c r="S742" i="1"/>
  <c r="T742" i="1"/>
  <c r="U742" i="1"/>
  <c r="V742" i="1"/>
  <c r="W742" i="1"/>
  <c r="N743" i="1"/>
  <c r="O743" i="1"/>
  <c r="P743" i="1"/>
  <c r="Q743" i="1"/>
  <c r="R743" i="1"/>
  <c r="S743" i="1"/>
  <c r="T743" i="1"/>
  <c r="U743" i="1"/>
  <c r="V743" i="1"/>
  <c r="W743" i="1"/>
  <c r="N745" i="1"/>
  <c r="O745" i="1"/>
  <c r="P745" i="1"/>
  <c r="Q745" i="1"/>
  <c r="R745" i="1"/>
  <c r="S745" i="1"/>
  <c r="T745" i="1"/>
  <c r="U745" i="1"/>
  <c r="V745" i="1"/>
  <c r="W745" i="1"/>
  <c r="N746" i="1"/>
  <c r="O746" i="1"/>
  <c r="P746" i="1"/>
  <c r="Q746" i="1"/>
  <c r="R746" i="1"/>
  <c r="S746" i="1"/>
  <c r="T746" i="1"/>
  <c r="U746" i="1"/>
  <c r="V746" i="1"/>
  <c r="W746" i="1"/>
  <c r="N747" i="1"/>
  <c r="O747" i="1"/>
  <c r="P747" i="1"/>
  <c r="Q747" i="1"/>
  <c r="R747" i="1"/>
  <c r="S747" i="1"/>
  <c r="T747" i="1"/>
  <c r="U747" i="1"/>
  <c r="V747" i="1"/>
  <c r="W747" i="1"/>
  <c r="N749" i="1"/>
  <c r="O749" i="1"/>
  <c r="P749" i="1"/>
  <c r="Q749" i="1"/>
  <c r="R749" i="1"/>
  <c r="S749" i="1"/>
  <c r="T749" i="1"/>
  <c r="U749" i="1"/>
  <c r="V749" i="1"/>
  <c r="W749" i="1"/>
  <c r="N752" i="1"/>
  <c r="O752" i="1"/>
  <c r="P752" i="1"/>
  <c r="Q752" i="1"/>
  <c r="R752" i="1"/>
  <c r="S752" i="1"/>
  <c r="T752" i="1"/>
  <c r="U752" i="1"/>
  <c r="V752" i="1"/>
  <c r="W752" i="1"/>
  <c r="N753" i="1"/>
  <c r="O753" i="1"/>
  <c r="P753" i="1"/>
  <c r="Q753" i="1"/>
  <c r="R753" i="1"/>
  <c r="S753" i="1"/>
  <c r="T753" i="1"/>
  <c r="U753" i="1"/>
  <c r="V753" i="1"/>
  <c r="W753" i="1"/>
  <c r="N754" i="1"/>
  <c r="O754" i="1"/>
  <c r="P754" i="1"/>
  <c r="Q754" i="1"/>
  <c r="R754" i="1"/>
  <c r="S754" i="1"/>
  <c r="T754" i="1"/>
  <c r="U754" i="1"/>
  <c r="V754" i="1"/>
  <c r="W754" i="1"/>
  <c r="N756" i="1"/>
  <c r="O756" i="1"/>
  <c r="P756" i="1"/>
  <c r="Q756" i="1"/>
  <c r="R756" i="1"/>
  <c r="S756" i="1"/>
  <c r="T756" i="1"/>
  <c r="U756" i="1"/>
  <c r="V756" i="1"/>
  <c r="W756" i="1"/>
  <c r="N758" i="1"/>
  <c r="O758" i="1"/>
  <c r="P758" i="1"/>
  <c r="Q758" i="1"/>
  <c r="R758" i="1"/>
  <c r="S758" i="1"/>
  <c r="T758" i="1"/>
  <c r="U758" i="1"/>
  <c r="V758" i="1"/>
  <c r="W758" i="1"/>
  <c r="N759" i="1"/>
  <c r="O759" i="1"/>
  <c r="P759" i="1"/>
  <c r="Q759" i="1"/>
  <c r="R759" i="1"/>
  <c r="S759" i="1"/>
  <c r="T759" i="1"/>
  <c r="U759" i="1"/>
  <c r="V759" i="1"/>
  <c r="W759" i="1"/>
  <c r="N761" i="1"/>
  <c r="O761" i="1"/>
  <c r="P761" i="1"/>
  <c r="Q761" i="1"/>
  <c r="R761" i="1"/>
  <c r="S761" i="1"/>
  <c r="T761" i="1"/>
  <c r="U761" i="1"/>
  <c r="V761" i="1"/>
  <c r="W761" i="1"/>
  <c r="N764" i="1"/>
  <c r="O764" i="1"/>
  <c r="P764" i="1"/>
  <c r="Q764" i="1"/>
  <c r="R764" i="1"/>
  <c r="S764" i="1"/>
  <c r="T764" i="1"/>
  <c r="U764" i="1"/>
  <c r="V764" i="1"/>
  <c r="W764" i="1"/>
  <c r="N766" i="1"/>
  <c r="O766" i="1"/>
  <c r="P766" i="1"/>
  <c r="Q766" i="1"/>
  <c r="R766" i="1"/>
  <c r="S766" i="1"/>
  <c r="T766" i="1"/>
  <c r="U766" i="1"/>
  <c r="V766" i="1"/>
  <c r="W766" i="1"/>
  <c r="N768" i="1"/>
  <c r="O768" i="1"/>
  <c r="P768" i="1"/>
  <c r="Q768" i="1"/>
  <c r="R768" i="1"/>
  <c r="S768" i="1"/>
  <c r="T768" i="1"/>
  <c r="U768" i="1"/>
  <c r="V768" i="1"/>
  <c r="W768" i="1"/>
  <c r="N797" i="1"/>
  <c r="O797" i="1"/>
  <c r="P797" i="1"/>
  <c r="Q797" i="1"/>
  <c r="R797" i="1"/>
  <c r="S797" i="1"/>
  <c r="T797" i="1"/>
  <c r="U797" i="1"/>
  <c r="V797" i="1"/>
  <c r="W797" i="1"/>
  <c r="N798" i="1"/>
  <c r="O798" i="1"/>
  <c r="P798" i="1"/>
  <c r="Q798" i="1"/>
  <c r="R798" i="1"/>
  <c r="S798" i="1"/>
  <c r="T798" i="1"/>
  <c r="U798" i="1"/>
  <c r="V798" i="1"/>
  <c r="W798" i="1"/>
  <c r="N799" i="1"/>
  <c r="O799" i="1"/>
  <c r="P799" i="1"/>
  <c r="Q799" i="1"/>
  <c r="R799" i="1"/>
  <c r="S799" i="1"/>
  <c r="T799" i="1"/>
  <c r="U799" i="1"/>
  <c r="V799" i="1"/>
  <c r="W799" i="1"/>
  <c r="N800" i="1"/>
  <c r="O800" i="1"/>
  <c r="P800" i="1"/>
  <c r="Q800" i="1"/>
  <c r="R800" i="1"/>
  <c r="S800" i="1"/>
  <c r="T800" i="1"/>
  <c r="U800" i="1"/>
  <c r="V800" i="1"/>
  <c r="W800" i="1"/>
  <c r="N801" i="1"/>
  <c r="O801" i="1"/>
  <c r="P801" i="1"/>
  <c r="Q801" i="1"/>
  <c r="R801" i="1"/>
  <c r="S801" i="1"/>
  <c r="T801" i="1"/>
  <c r="U801" i="1"/>
  <c r="V801" i="1"/>
  <c r="W801" i="1"/>
  <c r="N802" i="1"/>
  <c r="O802" i="1"/>
  <c r="P802" i="1"/>
  <c r="Q802" i="1"/>
  <c r="R802" i="1"/>
  <c r="S802" i="1"/>
  <c r="T802" i="1"/>
  <c r="U802" i="1"/>
  <c r="V802" i="1"/>
  <c r="W802" i="1"/>
  <c r="D804" i="1"/>
  <c r="D805" i="1"/>
  <c r="N812" i="1"/>
  <c r="O812" i="1"/>
  <c r="P812" i="1"/>
  <c r="Q812" i="1"/>
  <c r="R812" i="1"/>
  <c r="S812" i="1"/>
  <c r="T812" i="1"/>
  <c r="U812" i="1"/>
  <c r="V812" i="1"/>
  <c r="W812" i="1"/>
  <c r="N813" i="1"/>
  <c r="O813" i="1"/>
  <c r="P813" i="1"/>
  <c r="Q813" i="1"/>
  <c r="R813" i="1"/>
  <c r="S813" i="1"/>
  <c r="T813" i="1"/>
  <c r="U813" i="1"/>
  <c r="V813" i="1"/>
  <c r="W813" i="1"/>
  <c r="E835" i="1"/>
  <c r="N83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Bryer</author>
  </authors>
  <commentList>
    <comment ref="Q23" authorId="0" shapeId="0" xr:uid="{17756B46-9727-45B0-80B3-E3AF7F984B72}">
      <text>
        <r>
          <rPr>
            <sz val="9"/>
            <color indexed="81"/>
            <rFont val="Tahoma"/>
            <family val="2"/>
          </rPr>
          <t xml:space="preserve">Guideline: 2-3% of revenue.
</t>
        </r>
      </text>
    </comment>
    <comment ref="D27" authorId="0" shapeId="0" xr:uid="{790E567E-CA58-4C4F-A90D-9A1F1513C2C8}">
      <text>
        <r>
          <rPr>
            <sz val="9"/>
            <color indexed="81"/>
            <rFont val="Tahoma"/>
            <family val="2"/>
          </rPr>
          <t>PropCo. preferred equity, based on real estate value and CRE loan LTV.</t>
        </r>
      </text>
    </comment>
    <comment ref="D28" authorId="0" shapeId="0" xr:uid="{B440206E-0B2E-444A-B3BA-39CA5DF61E79}">
      <text>
        <r>
          <rPr>
            <sz val="9"/>
            <color indexed="81"/>
            <rFont val="Tahoma"/>
            <family val="2"/>
          </rPr>
          <t>OpCo. preferred equity.</t>
        </r>
      </text>
    </comment>
    <comment ref="V30" authorId="0" shapeId="0" xr:uid="{05CCDD03-EF70-4AE4-88BE-8CDE09A0B444}">
      <text>
        <r>
          <rPr>
            <sz val="9"/>
            <color indexed="81"/>
            <rFont val="Tahoma"/>
            <family val="2"/>
          </rPr>
          <t>Max. individual income tax rate (proposed).
Assumption: NEWCO is a pass-through entity.</t>
        </r>
      </text>
    </comment>
    <comment ref="T31" authorId="0" shapeId="0" xr:uid="{E11BE56C-CF6F-4867-823F-F284022F9963}">
      <text>
        <r>
          <rPr>
            <sz val="9"/>
            <color indexed="81"/>
            <rFont val="Tahoma"/>
            <family val="2"/>
          </rPr>
          <t>QBI Deduction is detailed in section 199A of the tax code.</t>
        </r>
      </text>
    </comment>
    <comment ref="O35" authorId="0" shapeId="0" xr:uid="{900EB584-92C4-4DFF-9BE4-8987D05CC433}">
      <text>
        <r>
          <rPr>
            <sz val="9"/>
            <color indexed="81"/>
            <rFont val="Tahoma"/>
            <family val="2"/>
          </rPr>
          <t>Per IRC Section 1060.</t>
        </r>
      </text>
    </comment>
    <comment ref="Q36" authorId="0" shapeId="0" xr:uid="{4FFBDABE-8E17-40F8-AE69-A460D44BEA28}">
      <text>
        <r>
          <rPr>
            <sz val="9"/>
            <color indexed="81"/>
            <rFont val="Tahoma"/>
            <family val="2"/>
          </rPr>
          <t>Inclusive of pro-rata transaction cost allocation.</t>
        </r>
      </text>
    </comment>
    <comment ref="G37" authorId="0" shapeId="0" xr:uid="{36C92A4C-4FC7-4196-A36B-79F4081F54F9}">
      <text>
        <r>
          <rPr>
            <sz val="9"/>
            <color indexed="81"/>
            <rFont val="Tahoma"/>
            <family val="2"/>
          </rPr>
          <t>Fair market value, excludes pro-rata transaction cost allocation.</t>
        </r>
      </text>
    </comment>
    <comment ref="I37" authorId="0" shapeId="0" xr:uid="{73BF990D-9BDB-42F3-A5C5-3C55A445860F}">
      <text>
        <r>
          <rPr>
            <sz val="9"/>
            <color indexed="81"/>
            <rFont val="Tahoma"/>
            <family val="2"/>
          </rPr>
          <t>Fair market value adjustments are expressed in the direction of the adjustment, exclude pro-rata transaction cost allocation(s).</t>
        </r>
      </text>
    </comment>
    <comment ref="L54" authorId="0" shapeId="0" xr:uid="{C267C263-16CD-4F3C-9848-AE8BAC077518}">
      <text>
        <r>
          <rPr>
            <sz val="9"/>
            <color indexed="81"/>
            <rFont val="Tahoma"/>
            <family val="2"/>
          </rPr>
          <t>Floor pertains to the total interest rate (reference rate + spread).</t>
        </r>
      </text>
    </comment>
    <comment ref="O54" authorId="0" shapeId="0" xr:uid="{7B391611-5DB6-4A5A-93D4-238BCAFEF954}">
      <text>
        <r>
          <rPr>
            <sz val="9"/>
            <color indexed="81"/>
            <rFont val="Tahoma"/>
            <family val="2"/>
          </rPr>
          <t>Percent of fixed rate/coupon.</t>
        </r>
      </text>
    </comment>
    <comment ref="G56" authorId="0" shapeId="0" xr:uid="{BC71B3E6-2CD2-464C-87DC-D6F67F364FD5}">
      <text>
        <r>
          <rPr>
            <sz val="9"/>
            <color indexed="81"/>
            <rFont val="Tahoma"/>
            <family val="2"/>
          </rPr>
          <t>Commitment Fee.
Based on the size of the facility, not the balance drawn.</t>
        </r>
      </text>
    </comment>
    <comment ref="I56" authorId="0" shapeId="0" xr:uid="{A8EE3253-102B-46C3-AB15-6142889DA68D}">
      <text>
        <r>
          <rPr>
            <sz val="9"/>
            <color indexed="81"/>
            <rFont val="Tahoma"/>
            <family val="2"/>
          </rPr>
          <t xml:space="preserve">Revolver commitment term.
</t>
        </r>
      </text>
    </comment>
    <comment ref="M79" authorId="0" shapeId="0" xr:uid="{7A23A107-15EB-43E4-A429-C2F8B74F4865}">
      <text>
        <r>
          <rPr>
            <sz val="9"/>
            <color indexed="81"/>
            <rFont val="Tahoma"/>
            <family val="2"/>
          </rPr>
          <t>Unadjusted for fractional years.</t>
        </r>
      </text>
    </comment>
    <comment ref="M96" authorId="0" shapeId="0" xr:uid="{BDD26D90-0A54-4201-B0B5-B533E52CAD8D}">
      <text>
        <r>
          <rPr>
            <sz val="9"/>
            <color indexed="81"/>
            <rFont val="Tahoma"/>
            <family val="2"/>
          </rPr>
          <t>Unadjusted for fractional years.</t>
        </r>
      </text>
    </comment>
    <comment ref="C98" authorId="0" shapeId="0" xr:uid="{8DAD6B39-084D-4BD3-8D9B-EC36486E050E}">
      <text>
        <r>
          <rPr>
            <sz val="9"/>
            <color indexed="81"/>
            <rFont val="Tahoma"/>
            <family val="2"/>
          </rPr>
          <t>Level payment annuity structure.</t>
        </r>
      </text>
    </comment>
    <comment ref="C108" authorId="0" shapeId="0" xr:uid="{4C206682-347B-47C5-9DBC-93C64733C4E7}">
      <text>
        <r>
          <rPr>
            <sz val="9"/>
            <color indexed="81"/>
            <rFont val="Tahoma"/>
            <family val="2"/>
          </rPr>
          <t>Level payment annuity structure.</t>
        </r>
      </text>
    </comment>
    <comment ref="D130" authorId="0" shapeId="0" xr:uid="{9EE55159-6852-45BE-8DC9-AAE28D6938AD}">
      <text>
        <r>
          <rPr>
            <sz val="9"/>
            <color indexed="81"/>
            <rFont val="Tahoma"/>
            <family val="2"/>
          </rPr>
          <t>Pro forma adjusted; net of D&amp;A.</t>
        </r>
      </text>
    </comment>
    <comment ref="D131" authorId="0" shapeId="0" xr:uid="{0C7D3B62-4600-4A4D-A69A-EF98F1615493}">
      <text>
        <r>
          <rPr>
            <sz val="9"/>
            <color indexed="81"/>
            <rFont val="Tahoma"/>
            <family val="2"/>
          </rPr>
          <t>Pro forma adjusted; net of D&amp;A.</t>
        </r>
      </text>
    </comment>
    <comment ref="D145" authorId="0" shapeId="0" xr:uid="{D7AA9A18-0BA2-47EE-8CAD-5BFC23FFAD27}">
      <text>
        <r>
          <rPr>
            <sz val="9"/>
            <color indexed="81"/>
            <rFont val="Tahoma"/>
            <family val="2"/>
          </rPr>
          <t>Pro forma adjusted; net of D&amp;A.</t>
        </r>
      </text>
    </comment>
    <comment ref="D148" authorId="0" shapeId="0" xr:uid="{2B1E4919-A68B-48E6-960B-0A5C75BEBCCE}">
      <text>
        <r>
          <rPr>
            <sz val="9"/>
            <color indexed="81"/>
            <rFont val="Tahoma"/>
            <family val="2"/>
          </rPr>
          <t>Pro forma adjusted; net of D&amp;A.</t>
        </r>
      </text>
    </comment>
    <comment ref="D151" authorId="0" shapeId="0" xr:uid="{6777A25B-577B-482F-ADCE-0ADB7CC3BE73}">
      <text>
        <r>
          <rPr>
            <sz val="9"/>
            <color indexed="81"/>
            <rFont val="Tahoma"/>
            <family val="2"/>
          </rPr>
          <t>Historical Period: Rent expense is as reported (unadjusted).
Forecast Period: Rent expense is assumed to be equal to CRE loan P&amp;I payments.</t>
        </r>
      </text>
    </comment>
    <comment ref="D162" authorId="0" shapeId="0" xr:uid="{DBA5760B-6F7D-42A6-891A-CCE64B68A873}">
      <text>
        <r>
          <rPr>
            <sz val="9"/>
            <color indexed="81"/>
            <rFont val="Tahoma"/>
            <family val="2"/>
          </rPr>
          <t>NewCo is an LLC, so these  will not appear on the income statement; however, NewCo will distribute tax distributions each year to investors to cover their tax liability.</t>
        </r>
      </text>
    </comment>
    <comment ref="S193" authorId="0" shapeId="0" xr:uid="{87C21FD6-5E99-403C-B293-5986D7F91AB8}">
      <text>
        <r>
          <rPr>
            <sz val="9"/>
            <color indexed="81"/>
            <rFont val="Tahoma"/>
            <family val="2"/>
          </rPr>
          <t>Depreciation After A Short Tax Year: The Simplified Method.
Source: IRS Publication 946.</t>
        </r>
      </text>
    </comment>
    <comment ref="N194" authorId="0" shapeId="0" xr:uid="{C86E924A-C600-4E86-9420-85D061C52F58}">
      <text>
        <r>
          <rPr>
            <sz val="9"/>
            <color indexed="81"/>
            <rFont val="Tahoma"/>
            <family val="2"/>
          </rPr>
          <t>Number of months in tax year, per IRS Publication 946.</t>
        </r>
      </text>
    </comment>
    <comment ref="O194" authorId="0" shapeId="0" xr:uid="{9E7D2B68-9C2F-4844-8D4A-3CB5339ED481}">
      <text>
        <r>
          <rPr>
            <sz val="9"/>
            <color indexed="81"/>
            <rFont val="Tahoma"/>
            <family val="2"/>
          </rPr>
          <t>MACRS depreciation rates  cannot be used in a short tax year, which is any period with less than 12 months.
Source: IRS Publication 946.</t>
        </r>
      </text>
    </comment>
    <comment ref="N195" authorId="0" shapeId="0" xr:uid="{5974DF7E-BB7C-48FD-A5CB-3A85670B1820}">
      <text>
        <r>
          <rPr>
            <sz val="9"/>
            <color indexed="81"/>
            <rFont val="Tahoma"/>
            <family val="2"/>
          </rPr>
          <t>Half-Year convention.</t>
        </r>
      </text>
    </comment>
    <comment ref="D229" authorId="0" shapeId="0" xr:uid="{5008ACB5-FCC0-491D-9058-AA8CBE1755E3}">
      <text>
        <r>
          <rPr>
            <sz val="9"/>
            <color indexed="81"/>
            <rFont val="Tahoma"/>
            <family val="2"/>
          </rPr>
          <t>Historical figures are not separated between maintenance and growth capex.</t>
        </r>
      </text>
    </comment>
    <comment ref="G266" authorId="0" shapeId="0" xr:uid="{45E7491A-E041-4DDD-9B6F-BBE1B7541968}">
      <text>
        <r>
          <rPr>
            <sz val="9"/>
            <color indexed="81"/>
            <rFont val="Tahoma"/>
            <family val="2"/>
          </rPr>
          <t>There is no growth capex in the Downside scenario.</t>
        </r>
      </text>
    </comment>
    <comment ref="O334" authorId="0" shapeId="0" xr:uid="{06AC125B-D52B-4259-B2E2-57FEDA9D8B01}">
      <text>
        <r>
          <rPr>
            <sz val="9"/>
            <color indexed="81"/>
            <rFont val="Tahoma"/>
            <family val="2"/>
          </rPr>
          <t>Financed by escrow account proceeds.</t>
        </r>
      </text>
    </comment>
    <comment ref="D335" authorId="0" shapeId="0" xr:uid="{92F4A735-923E-4B5A-821F-47A79544F022}">
      <text>
        <r>
          <rPr>
            <sz val="9"/>
            <color indexed="81"/>
            <rFont val="Tahoma"/>
            <family val="2"/>
          </rPr>
          <t>All future leasehold improvements are delayed in the Downside scenario.</t>
        </r>
      </text>
    </comment>
    <comment ref="M408" authorId="0" shapeId="0" xr:uid="{4DE3C963-03CA-4240-ACD4-5E912A1D2039}">
      <text>
        <r>
          <rPr>
            <sz val="9"/>
            <color indexed="81"/>
            <rFont val="Tahoma"/>
            <family val="2"/>
          </rPr>
          <t>FMV at close plus pro rata transaction cost allocation.</t>
        </r>
      </text>
    </comment>
    <comment ref="M413" authorId="0" shapeId="0" xr:uid="{FC36C02D-CF06-416F-B1E2-AB853B5C7769}">
      <text>
        <r>
          <rPr>
            <sz val="9"/>
            <color indexed="81"/>
            <rFont val="Tahoma"/>
            <family val="2"/>
          </rPr>
          <t xml:space="preserve">FMV at close plus pro rata transaction cost allocation.
</t>
        </r>
      </text>
    </comment>
    <comment ref="E438" authorId="0" shapeId="0" xr:uid="{4F47AFF1-D14E-4422-965C-3E579BC858F4}">
      <text>
        <r>
          <rPr>
            <sz val="9"/>
            <color indexed="81"/>
            <rFont val="Tahoma"/>
            <family val="2"/>
          </rPr>
          <t>Unfunded capex.
Underlying assumption is that all capex is financed through internal cash generation.</t>
        </r>
      </text>
    </comment>
    <comment ref="E439" authorId="0" shapeId="0" xr:uid="{3A6D4D61-CEB9-49CF-90C1-ECEF6032275F}">
      <text>
        <r>
          <rPr>
            <sz val="9"/>
            <color indexed="81"/>
            <rFont val="Tahoma"/>
            <family val="2"/>
          </rPr>
          <t>Excludes leasehold improvements funded by repair escrow account.</t>
        </r>
      </text>
    </comment>
    <comment ref="E443" authorId="0" shapeId="0" xr:uid="{7F8AB9C9-9E56-42B2-9109-1BE681E1DF00}">
      <text>
        <r>
          <rPr>
            <sz val="9"/>
            <color indexed="81"/>
            <rFont val="Tahoma"/>
            <family val="2"/>
          </rPr>
          <t>Unlevered FCF (i.e. FCF available for debt service).</t>
        </r>
      </text>
    </comment>
    <comment ref="E444" authorId="0" shapeId="0" xr:uid="{5A670B47-2A29-4605-BD34-649A47662F4D}">
      <text>
        <r>
          <rPr>
            <sz val="9"/>
            <color indexed="81"/>
            <rFont val="Tahoma"/>
            <family val="2"/>
          </rPr>
          <t>Includes scheduled debt amortization and bullet payments.</t>
        </r>
      </text>
    </comment>
    <comment ref="E446" authorId="0" shapeId="0" xr:uid="{7E9CEC07-742B-4873-BCCB-89340E0891D9}">
      <text>
        <r>
          <rPr>
            <sz val="9"/>
            <color indexed="81"/>
            <rFont val="Tahoma"/>
            <family val="2"/>
          </rPr>
          <t>Levered free cash flow (FCF) (i.e. FCF after debt service).</t>
        </r>
      </text>
    </comment>
    <comment ref="F491" authorId="0" shapeId="0" xr:uid="{7F4193EB-7E73-4626-9079-086A4F84D5CB}">
      <text>
        <r>
          <rPr>
            <sz val="9"/>
            <color indexed="81"/>
            <rFont val="Tahoma"/>
            <family val="2"/>
          </rPr>
          <t>Adjusted for stub period; excludes bullet payment.</t>
        </r>
      </text>
    </comment>
    <comment ref="E510" authorId="0" shapeId="0" xr:uid="{C9374372-748E-45C2-A46E-1D4B91D0F163}">
      <text>
        <r>
          <rPr>
            <sz val="9"/>
            <color indexed="81"/>
            <rFont val="Tahoma"/>
            <family val="2"/>
          </rPr>
          <t>Period when cash sweep begins.</t>
        </r>
      </text>
    </comment>
    <comment ref="F510" authorId="0" shapeId="0" xr:uid="{BEED5759-3F6F-4F26-9CA1-7A6E8EC4939C}">
      <text>
        <r>
          <rPr>
            <sz val="9"/>
            <color indexed="81"/>
            <rFont val="Tahoma"/>
            <family val="2"/>
          </rPr>
          <t xml:space="preserve">Percentage of excess cash. </t>
        </r>
      </text>
    </comment>
    <comment ref="M628" authorId="0" shapeId="0" xr:uid="{21ADDDF8-8A4F-453E-862D-D219986271C8}">
      <text>
        <r>
          <rPr>
            <sz val="9"/>
            <color indexed="81"/>
            <rFont val="Tahoma"/>
            <family val="2"/>
          </rPr>
          <t>LTM as of closing date.</t>
        </r>
      </text>
    </comment>
    <comment ref="D638" authorId="0" shapeId="0" xr:uid="{41D01144-6CB0-4A66-AFB3-38D05DAA1E97}">
      <text>
        <r>
          <rPr>
            <sz val="9"/>
            <color indexed="81"/>
            <rFont val="Tahoma"/>
            <family val="2"/>
          </rPr>
          <t>Excludes Pref. Equity</t>
        </r>
      </text>
    </comment>
    <comment ref="D656" authorId="0" shapeId="0" xr:uid="{35DA121A-5BEE-40A1-A20C-CF5C034CA77D}">
      <text>
        <r>
          <rPr>
            <sz val="9"/>
            <color indexed="81"/>
            <rFont val="Tahoma"/>
            <family val="2"/>
          </rPr>
          <t>Adjusted for stub period (annualized).</t>
        </r>
      </text>
    </comment>
    <comment ref="G691" authorId="0" shapeId="0" xr:uid="{C0CA4D2B-20A8-4D12-B212-26485C36B75C}">
      <text>
        <r>
          <rPr>
            <sz val="9"/>
            <color indexed="81"/>
            <rFont val="Tahoma"/>
            <family val="2"/>
          </rPr>
          <t>Fixed Charge Coverage Ratio (FCCR).</t>
        </r>
      </text>
    </comment>
    <comment ref="C693" authorId="0" shapeId="0" xr:uid="{2FFB6FE2-15D7-49B2-9AF6-B3E19BCEFFCE}">
      <text>
        <r>
          <rPr>
            <sz val="9"/>
            <color indexed="81"/>
            <rFont val="Tahoma"/>
            <family val="2"/>
          </rPr>
          <t>Metrics reflect OpCo debt only.</t>
        </r>
      </text>
    </comment>
    <comment ref="D770" authorId="0" shapeId="0" xr:uid="{568F5CBB-D91A-48F3-9B1B-06014125DF2E}">
      <text>
        <r>
          <rPr>
            <sz val="9"/>
            <color indexed="81"/>
            <rFont val="Tahoma"/>
            <family val="2"/>
          </rPr>
          <t>Applicable only if principal is repaid early from sources other than cash from the Borrower’s operations and/or ownership capital.</t>
        </r>
      </text>
    </comment>
    <comment ref="D799" authorId="0" shapeId="0" xr:uid="{E7E6B947-8E3E-400B-B8C5-97B5CEF1C0D1}">
      <text>
        <r>
          <rPr>
            <sz val="9"/>
            <color indexed="81"/>
            <rFont val="Tahoma"/>
            <family val="2"/>
          </rPr>
          <t>Includes PIK accrual.</t>
        </r>
      </text>
    </comment>
    <comment ref="K854" authorId="0" shapeId="0" xr:uid="{C3ADB53C-BA43-48B2-B142-2A2066CB9024}">
      <text>
        <r>
          <rPr>
            <sz val="9"/>
            <color indexed="81"/>
            <rFont val="Tahoma"/>
            <family val="2"/>
          </rPr>
          <t>Based on most recent balance sheet.</t>
        </r>
      </text>
    </comment>
    <comment ref="L854" authorId="0" shapeId="0" xr:uid="{92FCD9D4-D438-4DE9-AE31-6EFE1641D870}">
      <text>
        <r>
          <rPr>
            <sz val="9"/>
            <color indexed="81"/>
            <rFont val="Tahoma"/>
            <family val="2"/>
          </rPr>
          <t>Adjust manually to reflect the specific balance sheet accounts that are included in the transaction.</t>
        </r>
      </text>
    </comment>
    <comment ref="N854" authorId="0" shapeId="0" xr:uid="{D0D5F525-5FAE-4C7D-BDFB-5A6A1810FA0A}">
      <text>
        <r>
          <rPr>
            <sz val="9"/>
            <color indexed="81"/>
            <rFont val="Tahoma"/>
            <family val="2"/>
          </rPr>
          <t>Adjust manually to reflect the specific balance sheet accounts that are included in the transaction.</t>
        </r>
      </text>
    </comment>
    <comment ref="L861" authorId="0" shapeId="0" xr:uid="{46A8B4A0-260B-452F-A686-9DC97F29A1A1}">
      <text>
        <r>
          <rPr>
            <sz val="9"/>
            <color indexed="81"/>
            <rFont val="Tahoma"/>
            <family val="2"/>
          </rPr>
          <t>TTM avg as of balance sheet date.</t>
        </r>
      </text>
    </comment>
    <comment ref="L862" authorId="0" shapeId="0" xr:uid="{A3D5AFB5-8599-4D67-A78D-BB8F7DC20D86}">
      <text>
        <r>
          <rPr>
            <sz val="9"/>
            <color indexed="81"/>
            <rFont val="Tahoma"/>
            <family val="2"/>
          </rPr>
          <t xml:space="preserve">TTM avg as of balance sheet date.
</t>
        </r>
      </text>
    </comment>
    <comment ref="D867" authorId="0" shapeId="0" xr:uid="{A6FB345A-1441-426B-9E88-26B62E8EE5B8}">
      <text>
        <r>
          <rPr>
            <sz val="9"/>
            <color indexed="81"/>
            <rFont val="Tahoma"/>
            <family val="2"/>
          </rPr>
          <t>Net of D&amp;A.</t>
        </r>
      </text>
    </comment>
    <comment ref="L875" authorId="0" shapeId="0" xr:uid="{4457304C-9EB1-4688-8160-8369ACBCE595}">
      <text>
        <r>
          <rPr>
            <sz val="9"/>
            <color indexed="81"/>
            <rFont val="Tahoma"/>
            <family val="2"/>
          </rPr>
          <t>Previously on the balance sheet of separate, related entity.</t>
        </r>
      </text>
    </comment>
    <comment ref="L876" authorId="0" shapeId="0" xr:uid="{0A5EBF2E-C705-4AC3-9A44-31BF75707582}">
      <text>
        <r>
          <rPr>
            <sz val="9"/>
            <color indexed="81"/>
            <rFont val="Tahoma"/>
            <family val="2"/>
          </rPr>
          <t>Previously on the balance sheet of separate, related entity.</t>
        </r>
      </text>
    </comment>
    <comment ref="C879" authorId="0" shapeId="0" xr:uid="{6236E546-F6E9-48CB-9F6D-CCA84686C121}">
      <text>
        <r>
          <rPr>
            <sz val="9"/>
            <color indexed="81"/>
            <rFont val="Tahoma"/>
            <family val="2"/>
          </rPr>
          <t>Net of D&amp;A.</t>
        </r>
      </text>
    </comment>
    <comment ref="E880" authorId="0" shapeId="0" xr:uid="{120438E7-6C84-42D9-AF0B-997434E5D0A5}">
      <text>
        <r>
          <rPr>
            <sz val="9"/>
            <color indexed="81"/>
            <rFont val="Tahoma"/>
            <family val="2"/>
          </rPr>
          <t>Capitalized transaction costs increase the basis of the assets acquired. 
Reg 1.263(a)-5(g).</t>
        </r>
      </text>
    </comment>
    <comment ref="L893" authorId="0" shapeId="0" xr:uid="{B0EA48B5-ED66-409A-9D29-1DC150B806F9}">
      <text>
        <r>
          <rPr>
            <sz val="9"/>
            <color indexed="81"/>
            <rFont val="Tahoma"/>
            <family val="2"/>
          </rPr>
          <t>TTM avg as of balance sheet date.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tc={1FD2C651-F21B-4625-A194-C4FB20395974}</author>
    <author>tc={91E39FD8-A3E1-4B29-ABE8-272097BBE203}</author>
  </authors>
  <commentList>
    <comment ref="D12" authorId="0" shapeId="0" xr:uid="{1FD2C651-F21B-4625-A194-C4FB20395974}">
      <text>
        <t>[Threaded comment]
Your version of Excel allows you to read this threaded comment; however, any edits to it will get removed if the file is opened in a newer version of Excel. Learn more: https://go.microsoft.com/fwlink/?linkid=870924
Comment:
    Rule of thumb: 
Basket ≤ 0.75-1.00% of purchase price</t>
      </text>
    </comment>
    <comment ref="D13" authorId="1" shapeId="0" xr:uid="{91E39FD8-A3E1-4B29-ABE8-272097BBE203}">
      <text>
        <t>[Threaded comment]
Your version of Excel allows you to read this threaded comment; however, any edits to it will get removed if the file is opened in a newer version of Excel. Learn more: https://go.microsoft.com/fwlink/?linkid=870924
Comment:
    Rule of thumb: 
Cap on Non-Fundamental R&amp;Ws ≥ 15% of purchase price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Bryer</author>
  </authors>
  <commentList>
    <comment ref="B10" authorId="0" shapeId="0" xr:uid="{6A624612-3BB8-49F2-80E7-0EA071291E78}">
      <text>
        <r>
          <rPr>
            <sz val="9"/>
            <color indexed="81"/>
            <rFont val="Tahoma"/>
            <family val="2"/>
          </rPr>
          <t xml:space="preserve">Divisor.
</t>
        </r>
      </text>
    </comment>
    <comment ref="D25" authorId="0" shapeId="0" xr:uid="{5C61AE42-449D-41B5-A844-EDF9F6AF6490}">
      <text>
        <r>
          <rPr>
            <sz val="9"/>
            <color indexed="81"/>
            <rFont val="Tahoma"/>
            <family val="2"/>
          </rPr>
          <t>Machinery &amp; Equipment</t>
        </r>
      </text>
    </comment>
    <comment ref="B31" authorId="0" shapeId="0" xr:uid="{9B8E3BE5-A391-4DF1-B5BF-8F368804A7BA}">
      <text>
        <r>
          <rPr>
            <sz val="9"/>
            <color indexed="81"/>
            <rFont val="Tahoma"/>
            <family val="2"/>
          </rPr>
          <t>Net of discounts.
Excludes  freight income.</t>
        </r>
      </text>
    </comment>
    <comment ref="B51" authorId="0" shapeId="0" xr:uid="{862A6474-C68B-4D50-8657-A101B214FB26}">
      <text>
        <r>
          <rPr>
            <sz val="9"/>
            <color indexed="81"/>
            <rFont val="Tahoma"/>
            <family val="2"/>
          </rPr>
          <t>Net of discounts, excluding freight/S&amp;H.</t>
        </r>
      </text>
    </comment>
    <comment ref="P52" authorId="0" shapeId="0" xr:uid="{535BA68E-B657-4A1D-8C81-D456C0ED1E86}">
      <text>
        <r>
          <rPr>
            <sz val="9"/>
            <color indexed="81"/>
            <rFont val="Tahoma"/>
            <family val="2"/>
          </rPr>
          <t>LTM Apr.-22 relative to LTM Apr.-21 (comparable prior year period).</t>
        </r>
      </text>
    </comment>
    <comment ref="B54" authorId="0" shapeId="0" xr:uid="{19602039-3C7F-4D99-8138-44C2C16E7384}">
      <text>
        <r>
          <rPr>
            <sz val="9"/>
            <color indexed="81"/>
            <rFont val="Tahoma"/>
            <family val="2"/>
          </rPr>
          <t>Excludes quantities booked for delivery/S&amp;H and/or other misc./unique job-related charges (tooling, programming, material, painting, plating, powder coat, etc.).</t>
        </r>
      </text>
    </comment>
    <comment ref="P54" authorId="0" shapeId="0" xr:uid="{BE6EFC0E-D193-4DF7-987B-965FBEDBF165}">
      <text>
        <r>
          <rPr>
            <sz val="9"/>
            <color indexed="81"/>
            <rFont val="Tahoma"/>
            <family val="2"/>
          </rPr>
          <t>FY2021 volume held constant.</t>
        </r>
      </text>
    </comment>
    <comment ref="P57" authorId="0" shapeId="0" xr:uid="{731BAD9E-3A91-48C7-A528-6ED743EA3398}">
      <text>
        <r>
          <rPr>
            <sz val="9"/>
            <color indexed="81"/>
            <rFont val="Tahoma"/>
            <family val="2"/>
          </rPr>
          <t>Implied.</t>
        </r>
      </text>
    </comment>
    <comment ref="D62" authorId="0" shapeId="0" xr:uid="{2F5D0F7F-74C0-4A2B-87BF-35B1FD262D7B}">
      <text>
        <r>
          <rPr>
            <sz val="9"/>
            <color indexed="81"/>
            <rFont val="Tahoma"/>
            <family val="2"/>
          </rPr>
          <t>See 'Top Customer Analysis' tab.</t>
        </r>
      </text>
    </comment>
    <comment ref="C88" authorId="0" shapeId="0" xr:uid="{EE9463A5-5A37-4D28-8800-4A8AB2C895BC}">
      <text>
        <r>
          <rPr>
            <sz val="9"/>
            <color indexed="81"/>
            <rFont val="Tahoma"/>
            <family val="2"/>
          </rPr>
          <t>Includes bonus pay.</t>
        </r>
      </text>
    </comment>
    <comment ref="C89" authorId="0" shapeId="0" xr:uid="{FDEE582C-6C94-4313-A073-53D05BAE71C0}">
      <text>
        <r>
          <rPr>
            <sz val="9"/>
            <color indexed="81"/>
            <rFont val="Tahoma"/>
            <family val="2"/>
          </rPr>
          <t>Includes bonus pay.</t>
        </r>
      </text>
    </comment>
    <comment ref="P110" authorId="0" shapeId="0" xr:uid="{114AD58E-3F86-457E-84E5-CF9E8DB38523}">
      <text>
        <r>
          <rPr>
            <sz val="9"/>
            <color indexed="81"/>
            <rFont val="Tahoma"/>
            <family val="2"/>
          </rPr>
          <t>TTM purchase figures are as of January 2022.</t>
        </r>
      </text>
    </comment>
    <comment ref="B124" authorId="0" shapeId="0" xr:uid="{F329494D-0E75-4A68-A719-165DBCCB579B}">
      <text>
        <r>
          <rPr>
            <sz val="9"/>
            <color indexed="81"/>
            <rFont val="Tahoma"/>
            <family val="2"/>
          </rPr>
          <t>Excludes quantities booked for delivery/S&amp;H and/or other job-related charges (tooling, programming, material, painting, plating, powder coat, etc.).</t>
        </r>
      </text>
    </comment>
    <comment ref="D148" authorId="0" shapeId="0" xr:uid="{FDDBF5C0-B1F7-4C87-ACD0-2ECA0BE4D7DB}">
      <text>
        <r>
          <rPr>
            <sz val="9"/>
            <color indexed="81"/>
            <rFont val="Tahoma"/>
            <family val="2"/>
          </rPr>
          <t>Avg. per period.</t>
        </r>
      </text>
    </comment>
    <comment ref="B150" authorId="0" shapeId="0" xr:uid="{059C1BCD-EE48-42FF-B2CB-C2CCBF103AC5}">
      <text>
        <r>
          <rPr>
            <sz val="9"/>
            <color indexed="81"/>
            <rFont val="Tahoma"/>
            <family val="2"/>
          </rPr>
          <t>Avg. per period.</t>
        </r>
      </text>
    </comment>
    <comment ref="P151" authorId="0" shapeId="0" xr:uid="{49727C3B-6E56-43D4-A605-29915EB9C94A}">
      <text>
        <r>
          <rPr>
            <sz val="9"/>
            <color indexed="81"/>
            <rFont val="Tahoma"/>
            <family val="2"/>
          </rPr>
          <t>As of 12/20/2021.</t>
        </r>
      </text>
    </comment>
    <comment ref="C162" authorId="0" shapeId="0" xr:uid="{1C5BA3BE-5BD7-4563-9C13-119F2BD3FB41}">
      <text>
        <r>
          <rPr>
            <sz val="9"/>
            <color indexed="81"/>
            <rFont val="Tahoma"/>
            <family val="2"/>
          </rPr>
          <t>As a result of social distancing measures, customers did not allow outside vendors to come into their warehouses to deliver products. As a result, the Company began to exclusively ship products to customers through logistics carriers (UPS/FedEx/DHL). Before the pandemic, the Company delivered 70% of its products.</t>
        </r>
      </text>
    </comment>
    <comment ref="C166" authorId="0" shapeId="0" xr:uid="{7E9B2084-DA72-44B3-9B42-330FA3EE9789}">
      <text>
        <r>
          <rPr>
            <sz val="9"/>
            <color indexed="81"/>
            <rFont val="Tahoma"/>
            <family val="2"/>
          </rPr>
          <t>All drivers have been PT historically.</t>
        </r>
      </text>
    </comment>
    <comment ref="D193" authorId="0" shapeId="0" xr:uid="{AEA17284-A293-4550-9DE2-D7D57F9C0016}">
      <text>
        <r>
          <rPr>
            <sz val="9"/>
            <color indexed="81"/>
            <rFont val="Tahoma"/>
            <family val="2"/>
          </rPr>
          <t xml:space="preserve">Excludes payroll tax and benefits. </t>
        </r>
      </text>
    </comment>
    <comment ref="D200" authorId="0" shapeId="0" xr:uid="{CA045ABD-891F-4F92-8887-AA3278F12D36}">
      <text>
        <r>
          <rPr>
            <sz val="9"/>
            <color indexed="81"/>
            <rFont val="Tahoma"/>
            <family val="2"/>
          </rPr>
          <t>Excludes truck drivers.</t>
        </r>
      </text>
    </comment>
    <comment ref="C304" authorId="0" shapeId="0" xr:uid="{C475A3DA-CDE9-49A0-A960-F77693E4A029}">
      <text>
        <r>
          <rPr>
            <sz val="9"/>
            <color indexed="81"/>
            <rFont val="Tahoma"/>
            <family val="2"/>
          </rPr>
          <t>Net freight.</t>
        </r>
      </text>
    </comment>
    <comment ref="C305" authorId="0" shapeId="0" xr:uid="{6E72E1DA-3E4C-4495-8A44-B192145E2FD6}">
      <text>
        <r>
          <rPr>
            <sz val="9"/>
            <color indexed="81"/>
            <rFont val="Tahoma"/>
            <family val="2"/>
          </rPr>
          <t>Raw materials only.</t>
        </r>
      </text>
    </comment>
    <comment ref="B315" authorId="0" shapeId="0" xr:uid="{3154B21A-8A7D-4FC0-B4D1-5E642FBBA377}">
      <text>
        <r>
          <rPr>
            <sz val="9"/>
            <color indexed="81"/>
            <rFont val="Tahoma"/>
            <family val="2"/>
          </rPr>
          <t>Excludes quantities booked for delivery/S&amp;H and/or other job-related charges (tooling, programming, material, painting, plating, powder coat, etc.).</t>
        </r>
      </text>
    </comment>
    <comment ref="E356" authorId="0" shapeId="0" xr:uid="{03C53E75-4E06-4B6F-A9A7-2CC419CE28D6}">
      <text>
        <r>
          <rPr>
            <sz val="9"/>
            <color indexed="81"/>
            <rFont val="Tahoma"/>
            <family val="2"/>
          </rPr>
          <t>New hire starting base pay/week.</t>
        </r>
      </text>
    </comment>
    <comment ref="C396" authorId="0" shapeId="0" xr:uid="{4098570A-E4B5-4D4D-A57A-C63DD6A84338}">
      <text>
        <r>
          <rPr>
            <sz val="9"/>
            <color indexed="81"/>
            <rFont val="Tahoma"/>
            <family val="2"/>
          </rPr>
          <t>New hire starting base pay/week.</t>
        </r>
      </text>
    </comment>
    <comment ref="M429" authorId="0" shapeId="0" xr:uid="{AD142E64-ED56-4CA5-9C72-EE3C0B6CCC71}">
      <text>
        <r>
          <rPr>
            <sz val="9"/>
            <color indexed="81"/>
            <rFont val="Tahoma"/>
            <family val="2"/>
          </rPr>
          <t>FY 2019 was the first year that the CPA accounted for owner health insurance premium payments as distributions, instead of as expenses.</t>
        </r>
      </text>
    </comment>
    <comment ref="N429" authorId="0" shapeId="0" xr:uid="{210F1F46-B9B1-497C-9210-DB29F5726362}">
      <text>
        <r>
          <rPr>
            <sz val="9"/>
            <color indexed="81"/>
            <rFont val="Tahoma"/>
            <family val="2"/>
          </rPr>
          <t>Seller went on Medicare as soon as he turned 65 on 5/1/2019.</t>
        </r>
      </text>
    </comment>
    <comment ref="B446" authorId="0" shapeId="0" xr:uid="{F792A88C-9EC3-4123-806A-877115B4F705}">
      <text>
        <r>
          <rPr>
            <sz val="9"/>
            <color indexed="81"/>
            <rFont val="Tahoma"/>
            <family val="2"/>
          </rPr>
          <t>Manager benefits.</t>
        </r>
      </text>
    </comment>
    <comment ref="B496" authorId="0" shapeId="0" xr:uid="{FD6AB730-23D4-417A-A3E5-4927AA1513ED}">
      <text>
        <r>
          <rPr>
            <sz val="9"/>
            <color indexed="81"/>
            <rFont val="Tahoma"/>
            <family val="2"/>
          </rPr>
          <t>Assumes no CMMC-related expenses are passed on ("allowable costs").</t>
        </r>
      </text>
    </comment>
    <comment ref="U509" authorId="0" shapeId="0" xr:uid="{DE751EEE-B7E5-48E3-A1D2-B1BC2816973A}">
      <text>
        <r>
          <rPr>
            <sz val="9"/>
            <color indexed="81"/>
            <rFont val="Tahoma"/>
            <family val="2"/>
          </rPr>
          <t>2024 figures reflect run-rate software operating expenses.</t>
        </r>
      </text>
    </comment>
    <comment ref="R530" authorId="0" shapeId="0" xr:uid="{6C4A8620-E4A8-4949-9DE0-8919D5AD31F8}">
      <text>
        <r>
          <rPr>
            <sz val="9"/>
            <color indexed="81"/>
            <rFont val="Tahoma"/>
            <family val="2"/>
          </rPr>
          <t xml:space="preserve">Precision Metalforming Association (PMA) annual dues. </t>
        </r>
      </text>
    </comment>
    <comment ref="C531" authorId="0" shapeId="0" xr:uid="{12864BB7-0ACF-4669-AA73-645E5F6A4C96}">
      <text>
        <r>
          <rPr>
            <sz val="9"/>
            <color indexed="81"/>
            <rFont val="Tahoma"/>
            <family val="2"/>
          </rPr>
          <t>Pitney Bowes postage machine.</t>
        </r>
      </text>
    </comment>
    <comment ref="O532" authorId="0" shapeId="0" xr:uid="{18C588D5-CB01-4986-B3CC-18F18E31AD7F}">
      <text>
        <r>
          <rPr>
            <sz val="9"/>
            <color indexed="81"/>
            <rFont val="Tahoma"/>
            <family val="2"/>
          </rPr>
          <t>Expense decrease reflects witch from Selective Insurance to Travelers in 2020.</t>
        </r>
      </text>
    </comment>
    <comment ref="C535" authorId="0" shapeId="0" xr:uid="{062C4EBD-B06E-4144-8384-A23577598AC1}">
      <text>
        <r>
          <rPr>
            <sz val="9"/>
            <color indexed="81"/>
            <rFont val="Tahoma"/>
            <family val="2"/>
          </rPr>
          <t>Historical property maintenance expenses were immaterial.</t>
        </r>
      </text>
    </comment>
    <comment ref="R535" authorId="0" shapeId="0" xr:uid="{966A645E-7487-4E5F-8F6B-4F8BD812D626}">
      <text>
        <r>
          <rPr>
            <sz val="9"/>
            <color indexed="81"/>
            <rFont val="Tahoma"/>
            <family val="2"/>
          </rPr>
          <t>Pro forma property maintenance costs that  were not incurred historically.
Source:
1 Yellow Brick Road  Appraisal Report (p.47)
Prepared by Walt Disney</t>
        </r>
      </text>
    </comment>
    <comment ref="C537" authorId="0" shapeId="0" xr:uid="{095921F4-5F00-479E-A0E1-B785BCD18CC0}">
      <text>
        <r>
          <rPr>
            <sz val="9"/>
            <color indexed="81"/>
            <rFont val="Tahoma"/>
            <family val="2"/>
          </rPr>
          <t>Adjusted for SOLIDWORKS-related expenses.</t>
        </r>
      </text>
    </comment>
    <comment ref="C538" authorId="0" shapeId="0" xr:uid="{B2714E00-179A-47DD-BCBF-15A44389006E}">
      <text>
        <r>
          <rPr>
            <sz val="9"/>
            <color indexed="81"/>
            <rFont val="Tahoma"/>
            <family val="2"/>
          </rPr>
          <t>Primarily property tax</t>
        </r>
      </text>
    </comment>
    <comment ref="C542" authorId="0" shapeId="0" xr:uid="{64E2A1F7-55B4-4C5E-98F8-4245A83D7AC3}">
      <text>
        <r>
          <rPr>
            <sz val="9"/>
            <color indexed="81"/>
            <rFont val="Tahoma"/>
            <family val="2"/>
          </rPr>
          <t xml:space="preserve">Consisted exclusively of discretionary expenses historically.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Bryer</author>
  </authors>
  <commentList>
    <comment ref="G16" authorId="0" shapeId="0" xr:uid="{55563A60-08C0-4A40-A911-D9FDB5152642}">
      <text>
        <r>
          <rPr>
            <sz val="9"/>
            <color indexed="81"/>
            <rFont val="Tahoma"/>
            <family val="2"/>
          </rPr>
          <t>Accounted for separately in the model.</t>
        </r>
      </text>
    </comment>
    <comment ref="G17" authorId="0" shapeId="0" xr:uid="{394F587F-FB67-4B53-BAD3-FEB4CB6AF549}">
      <text>
        <r>
          <rPr>
            <sz val="9"/>
            <color indexed="81"/>
            <rFont val="Tahoma"/>
            <family val="2"/>
          </rPr>
          <t>Payoff @ End of Term</t>
        </r>
      </text>
    </comment>
    <comment ref="J17" authorId="0" shapeId="0" xr:uid="{2F42A6DF-52FF-4109-B2DB-F4D58AA2860D}">
      <text>
        <r>
          <rPr>
            <sz val="9"/>
            <color indexed="81"/>
            <rFont val="Tahoma"/>
            <family val="2"/>
          </rPr>
          <t>Excludes bullet payment.</t>
        </r>
      </text>
    </comment>
    <comment ref="I20" authorId="0" shapeId="0" xr:uid="{2C3BCAE0-75A6-4C75-8C0F-EC894675E62B}">
      <text>
        <r>
          <rPr>
            <sz val="9"/>
            <color indexed="81"/>
            <rFont val="Tahoma"/>
            <family val="2"/>
          </rPr>
          <t>Balance due at EOP, based on loan term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Bryer</author>
  </authors>
  <commentList>
    <comment ref="G11" authorId="0" shapeId="0" xr:uid="{3857FDB2-9A80-44C1-9C55-0D501635C63C}">
      <text>
        <r>
          <rPr>
            <sz val="9"/>
            <color indexed="81"/>
            <rFont val="Tahoma"/>
            <family val="2"/>
          </rPr>
          <t>Accounted for separately in the model.</t>
        </r>
      </text>
    </comment>
    <comment ref="G12" authorId="0" shapeId="0" xr:uid="{E63D3BB7-C261-482A-B2AF-928B0A3B531B}">
      <text>
        <r>
          <rPr>
            <sz val="9"/>
            <color indexed="81"/>
            <rFont val="Tahoma"/>
            <family val="2"/>
          </rPr>
          <t>Payoff @ End of Term</t>
        </r>
      </text>
    </comment>
    <comment ref="J17" authorId="0" shapeId="0" xr:uid="{43D21043-F4E0-4EE3-A33E-E47E21C218C0}">
      <text>
        <r>
          <rPr>
            <sz val="9"/>
            <color indexed="81"/>
            <rFont val="Tahoma"/>
            <family val="2"/>
          </rPr>
          <t>Excludes bullet payment.</t>
        </r>
      </text>
    </comment>
    <comment ref="I20" authorId="0" shapeId="0" xr:uid="{8816F01A-CA5E-4A8D-B791-23572312F50A}">
      <text>
        <r>
          <rPr>
            <sz val="9"/>
            <color indexed="81"/>
            <rFont val="Tahoma"/>
            <family val="2"/>
          </rPr>
          <t>Balance due at EOP, based on loan term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tc={9CB6B07A-F6ED-4EBA-91CC-EBFA32707E92}</author>
    <author>tc={69845F6E-A9E5-4707-B92C-B372B11252CD}</author>
    <author>tc={C1557A32-BC18-4179-9B9C-896E13FE31E6}</author>
    <author>tc={0EF16015-6B3E-4E38-916A-4F94B65A4E83}</author>
    <author>tc={AFF251F1-2BB1-4629-9F6A-CC9A07273FD3}</author>
  </authors>
  <commentList>
    <comment ref="H5" authorId="0" shapeId="0" xr:uid="{9CB6B07A-F6ED-4EBA-91CC-EBFA32707E92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of discounts.</t>
      </text>
    </comment>
    <comment ref="H7" authorId="1" shapeId="0" xr:uid="{69845F6E-A9E5-4707-B92C-B372B11252CD}">
      <text>
        <t>[Threaded comment]
Your version of Excel allows you to read this threaded comment; however, any edits to it will get removed if the file is opened in a newer version of Excel. Learn more: https://go.microsoft.com/fwlink/?linkid=870924
Comment:
    CMMC-related capex</t>
      </text>
    </comment>
    <comment ref="D9" authorId="2" shapeId="0" xr:uid="{C1557A32-BC18-4179-9B9C-896E13FE31E6}">
      <text>
        <t>[Threaded comment]
Your version of Excel allows you to read this threaded comment; however, any edits to it will get removed if the file is opened in a newer version of Excel. Learn more: https://go.microsoft.com/fwlink/?linkid=870924
Comment:
    Enterprise User License x4
CRM Site License x1</t>
      </text>
    </comment>
    <comment ref="D11" authorId="3" shapeId="0" xr:uid="{0EF16015-6B3E-4E38-916A-4F94B65A4E83}">
      <text>
        <t>[Threaded comment]
Your version of Excel allows you to read this threaded comment; however, any edits to it will get removed if the file is opened in a newer version of Excel. Learn more: https://go.microsoft.com/fwlink/?linkid=870924
Comment:
    "Timesaver"
Timing: next 2-3 years (Don 6/4/2021)
Replace every 15-18 years.</t>
      </text>
    </comment>
    <comment ref="H14" authorId="4" shapeId="0" xr:uid="{AFF251F1-2BB1-4629-9F6A-CC9A07273FD3}">
      <text>
        <t>[Threaded comment]
Your version of Excel allows you to read this threaded comment; however, any edits to it will get removed if the file is opened in a newer version of Excel. Learn more: https://go.microsoft.com/fwlink/?linkid=870924
Comment:
    Trumpf TruPrint 1000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tc={BB0659FA-6AE9-4E22-B245-3F80B43EED4B}</author>
  </authors>
  <commentList>
    <comment ref="I74" authorId="0" shapeId="0" xr:uid="{BB0659FA-6AE9-4E22-B245-3F80B43EED4B}">
      <text>
        <t>[Threaded comment]
Your version of Excel allows you to read this threaded comment; however, any edits to it will get removed if the file is opened in a newer version of Excel. Learn more: https://go.microsoft.com/fwlink/?linkid=870924
Comment:
    IT infrastructure will migrate from on-premise server to the cloud on this date.
Pre-existing managed services contract will no longer be applicable.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tc={9301350D-FF16-4EE0-90CD-72D4110ADACC}</author>
    <author>tc={C24725B2-5F1A-491C-A2BA-CF934F9DD4A5}</author>
    <author>tc={31B1A7F1-5396-4985-AD2E-60C4EEBE0147}</author>
    <author>tc={0C458118-5759-4C6E-AD1F-1026DDCBD493}</author>
    <author>tc={000A1EC9-4394-4E26-8D4A-F2DEE2CB9050}</author>
    <author>tc={EEFEB987-48F4-4A66-BEC6-F63A6DBC18BD}</author>
    <author>tc={4B7C0FE8-1219-447F-AB2E-75D528F2DBA8}</author>
    <author>tc={4EF4DAD0-3676-4C60-B24F-8ECED4E36EAD}</author>
    <author>tc={9E3A54AF-2C2D-427E-ABFD-8911DACAC865}</author>
    <author>tc={B1C055F8-6F3C-4C57-BC31-ECD536CC4BFE}</author>
    <author>tc={2D9C2FCA-EE6D-4613-9F38-715D62A07BD2}</author>
    <author>tc={CBC195A5-719F-44C4-AF0C-99FFEE5BA211}</author>
  </authors>
  <commentList>
    <comment ref="B36" authorId="0" shapeId="0" xr:uid="{9301350D-FF16-4EE0-90CD-72D4110ADACC}">
      <text>
        <t>[Threaded comment]
Your version of Excel allows you to read this threaded comment; however, any edits to it will get removed if the file is opened in a newer version of Excel. Learn more: https://go.microsoft.com/fwlink/?linkid=870924
Comment:
    Monthly subscription fees begin 2 months after implementation.</t>
      </text>
    </comment>
    <comment ref="B40" authorId="1" shapeId="0" xr:uid="{C24725B2-5F1A-491C-A2BA-CF934F9DD4A5}">
      <text>
        <t>[Threaded comment]
Your version of Excel allows you to read this threaded comment; however, any edits to it will get removed if the file is opened in a newer version of Excel. Learn more: https://go.microsoft.com/fwlink/?linkid=870924
Comment:
    Free for the first 12 months.</t>
      </text>
    </comment>
    <comment ref="D44" authorId="2" shapeId="0" xr:uid="{31B1A7F1-5396-4985-AD2E-60C4EEBE0147}">
      <text>
        <t>[Threaded comment]
Your version of Excel allows you to read this threaded comment; however, any edits to it will get removed if the file is opened in a newer version of Excel. Learn more: https://go.microsoft.com/fwlink/?linkid=870924
Comment:
    One-time integration cost.</t>
      </text>
    </comment>
    <comment ref="B56" authorId="3" shapeId="0" xr:uid="{0C458118-5759-4C6E-AD1F-1026DDCBD493}">
      <text>
        <t>[Threaded comment]
Your version of Excel allows you to read this threaded comment; however, any edits to it will get removed if the file is opened in a newer version of Excel. Learn more: https://go.microsoft.com/fwlink/?linkid=870924
Comment:
    Based on calendar year.</t>
      </text>
    </comment>
    <comment ref="B57" authorId="4" shapeId="0" xr:uid="{000A1EC9-4394-4E26-8D4A-F2DEE2CB9050}">
      <text>
        <t>[Threaded comment]
Your version of Excel allows you to read this threaded comment; however, any edits to it will get removed if the file is opened in a newer version of Excel. Learn more: https://go.microsoft.com/fwlink/?linkid=870924
Comment:
    First 6 mos. of support at no charge.</t>
      </text>
    </comment>
    <comment ref="C65" authorId="5" shapeId="0" xr:uid="{EEFEB987-48F4-4A66-BEC6-F63A6DBC18BD}">
      <text>
        <t>[Threaded comment]
Your version of Excel allows you to read this threaded comment; however, any edits to it will get removed if the file is opened in a newer version of Excel. Learn more: https://go.microsoft.com/fwlink/?linkid=870924
Comment:
    2 users, includes expected $500 increase.</t>
      </text>
    </comment>
    <comment ref="D65" authorId="6" shapeId="0" xr:uid="{4B7C0FE8-1219-447F-AB2E-75D528F2DBA8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First year included in original purchase. 
</t>
      </text>
    </comment>
    <comment ref="B72" authorId="7" shapeId="0" xr:uid="{4EF4DAD0-3676-4C60-B24F-8ECED4E36EAD}">
      <text>
        <t>[Threaded comment]
Your version of Excel allows you to read this threaded comment; however, any edits to it will get removed if the file is opened in a newer version of Excel. Learn more: https://go.microsoft.com/fwlink/?linkid=870924
Comment:
    Based on calendar year.</t>
      </text>
    </comment>
    <comment ref="C72" authorId="8" shapeId="0" xr:uid="{9E3A54AF-2C2D-427E-ABFD-8911DACAC865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year</t>
      </text>
    </comment>
    <comment ref="B83" authorId="9" shapeId="0" xr:uid="{B1C055F8-6F3C-4C57-BC31-ECD536CC4BFE}">
      <text>
        <t>[Threaded comment]
Your version of Excel allows you to read this threaded comment; however, any edits to it will get removed if the file is opened in a newer version of Excel. Learn more: https://go.microsoft.com/fwlink/?linkid=870924
Comment:
    Based on calendar year.</t>
      </text>
    </comment>
    <comment ref="C83" authorId="10" shapeId="0" xr:uid="{2D9C2FCA-EE6D-4613-9F38-715D62A07BD2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year</t>
      </text>
    </comment>
    <comment ref="D91" authorId="11" shapeId="0" xr:uid="{CBC195A5-719F-44C4-AF0C-99FFEE5BA211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$180/mo. is the full list price. 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tc={D5D8BDF2-BC9E-4F30-8AA9-860D7332231B}</author>
    <author>tc={F63DA374-078C-4AFC-843B-B330EC298A78}</author>
    <author>tc={D31D4406-0AFC-4F73-BAA2-4D09D557E234}</author>
    <author>tc={3EEF282C-C082-4131-9A46-FC0796DD7DE6}</author>
    <author>Ben Bryer</author>
  </authors>
  <commentList>
    <comment ref="N19" authorId="0" shapeId="0" xr:uid="{D5D8BDF2-BC9E-4F30-8AA9-860D7332231B}">
      <text>
        <t>[Threaded comment]
Your version of Excel allows you to read this threaded comment; however, any edits to it will get removed if the file is opened in a newer version of Excel. Learn more: https://go.microsoft.com/fwlink/?linkid=870924
Comment:
    Additional Medicare payroll tax is only required if wages exceed this figure</t>
      </text>
    </comment>
    <comment ref="N23" authorId="1" shapeId="0" xr:uid="{F63DA374-078C-4AFC-843B-B330EC298A78}">
      <text>
        <t>[Threaded comment]
Your version of Excel allows you to read this threaded comment; however, any edits to it will get removed if the file is opened in a newer version of Excel. Learn more: https://go.microsoft.com/fwlink/?linkid=870924
Comment:
    Wage Base</t>
      </text>
    </comment>
    <comment ref="N24" authorId="2" shapeId="0" xr:uid="{D31D4406-0AFC-4F73-BAA2-4D09D557E234}">
      <text>
        <t>[Threaded comment]
Your version of Excel allows you to read this threaded comment; however, any edits to it will get removed if the file is opened in a newer version of Excel. Learn more: https://go.microsoft.com/fwlink/?linkid=870924
Comment:
    Wage Base</t>
      </text>
    </comment>
    <comment ref="N25" authorId="3" shapeId="0" xr:uid="{3EEF282C-C082-4131-9A46-FC0796DD7DE6}">
      <text>
        <t>[Threaded comment]
Your version of Excel allows you to read this threaded comment; however, any edits to it will get removed if the file is opened in a newer version of Excel. Learn more: https://go.microsoft.com/fwlink/?linkid=870924
Comment:
    Wage Base</t>
      </text>
    </comment>
    <comment ref="C36" authorId="4" shapeId="0" xr:uid="{F2656F38-C8D1-43E3-9100-493BCEE3A47D}">
      <text>
        <r>
          <rPr>
            <sz val="9"/>
            <color indexed="81"/>
            <rFont val="Tahoma"/>
            <family val="2"/>
          </rPr>
          <t>$1,000,000 life insurance policy (10-year term); owned by Op. Co.
Collateralizes seller note (first priority), remaining proceeds go to Op. Co./Hold Co.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Bryer</author>
  </authors>
  <commentList>
    <comment ref="B9" authorId="0" shapeId="0" xr:uid="{EEE3E0F1-A8D9-47CC-A93C-CE387C58C9D7}">
      <text>
        <r>
          <rPr>
            <sz val="9"/>
            <color indexed="81"/>
            <rFont val="Tahoma"/>
            <family val="2"/>
          </rPr>
          <t>Per pay period.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<sst xmlns="http://schemas.openxmlformats.org/spreadsheetml/2006/main" count="1779" uniqueCount="914">
  <si>
    <t>SG&amp;A (% of Sales)</t>
  </si>
  <si>
    <t>Assets</t>
  </si>
  <si>
    <t>Cash</t>
  </si>
  <si>
    <t>Inventory</t>
  </si>
  <si>
    <t>Goodwill</t>
  </si>
  <si>
    <t>Base</t>
  </si>
  <si>
    <t>IRR</t>
  </si>
  <si>
    <t>Revolver</t>
  </si>
  <si>
    <t>COGS (% of Sales)</t>
  </si>
  <si>
    <t>Tax Rate</t>
  </si>
  <si>
    <t>Retained Earnings</t>
  </si>
  <si>
    <t>Accounts Payable</t>
  </si>
  <si>
    <t>Accounts Receivable</t>
  </si>
  <si>
    <t>Other Current Assets</t>
  </si>
  <si>
    <t>Other Current Liabilities</t>
  </si>
  <si>
    <t>Total Current Assets</t>
  </si>
  <si>
    <t>Total Assets</t>
  </si>
  <si>
    <t>Accrued Expenses</t>
  </si>
  <si>
    <t>Total Current Liabilities</t>
  </si>
  <si>
    <t>Total Debt</t>
  </si>
  <si>
    <t>Total Liabilities</t>
  </si>
  <si>
    <t>Check</t>
  </si>
  <si>
    <t>EBITDA</t>
  </si>
  <si>
    <t>Enterprise Value</t>
  </si>
  <si>
    <t>Fund Cash Balance</t>
  </si>
  <si>
    <t>Financing Fees</t>
  </si>
  <si>
    <t>Total</t>
  </si>
  <si>
    <t xml:space="preserve">Revolver </t>
  </si>
  <si>
    <t>Floor</t>
  </si>
  <si>
    <t>Spread</t>
  </si>
  <si>
    <t>Revolver Commitment</t>
  </si>
  <si>
    <t>Prepaid Expenses</t>
  </si>
  <si>
    <t>Source</t>
  </si>
  <si>
    <t>Tax Return</t>
  </si>
  <si>
    <t>Purchase Price</t>
  </si>
  <si>
    <t>Pro Forma Adjustments</t>
  </si>
  <si>
    <t>Accounting</t>
  </si>
  <si>
    <t>Gross Profit</t>
  </si>
  <si>
    <t>Depreciation</t>
  </si>
  <si>
    <t>Amortization</t>
  </si>
  <si>
    <t>EBIT</t>
  </si>
  <si>
    <t>Interest Expense</t>
  </si>
  <si>
    <t>Income Tax Expense</t>
  </si>
  <si>
    <t>Net Income</t>
  </si>
  <si>
    <t>SG&amp;A</t>
  </si>
  <si>
    <t>Interest Income</t>
  </si>
  <si>
    <t>Pre-Tax Income</t>
  </si>
  <si>
    <t>Upside</t>
  </si>
  <si>
    <t>Downside</t>
  </si>
  <si>
    <t>Total Liabilities &amp; Equity</t>
  </si>
  <si>
    <t>At Close</t>
  </si>
  <si>
    <t>Net Working Capital (NWC)</t>
  </si>
  <si>
    <t>Legend</t>
  </si>
  <si>
    <t>Benjamin Bryer, CFA</t>
  </si>
  <si>
    <t>bbryer@highspireholdings.com</t>
  </si>
  <si>
    <t>Cash Flow from Operations</t>
  </si>
  <si>
    <t>Cash Flow from Investing</t>
  </si>
  <si>
    <t>Pre-Revolver Cash Flows</t>
  </si>
  <si>
    <t>Post-Revolver Cash Flows</t>
  </si>
  <si>
    <t>Net Change in Cash</t>
  </si>
  <si>
    <t>Leverage</t>
  </si>
  <si>
    <t>Coverage</t>
  </si>
  <si>
    <t>Step</t>
  </si>
  <si>
    <t>X</t>
  </si>
  <si>
    <t>Furniture &amp; Fixtures</t>
  </si>
  <si>
    <t>Leasehold Improvements</t>
  </si>
  <si>
    <t>Tools</t>
  </si>
  <si>
    <t>Office Equipment</t>
  </si>
  <si>
    <t>Machinery &amp; Equipment</t>
  </si>
  <si>
    <t>Transportation Equipment</t>
  </si>
  <si>
    <t>LTV</t>
  </si>
  <si>
    <t>Down Payment</t>
  </si>
  <si>
    <t>Fees</t>
  </si>
  <si>
    <t>Covenant</t>
  </si>
  <si>
    <t>Curtailment (Per Period) ($)</t>
  </si>
  <si>
    <t>Interest Rate (%)</t>
  </si>
  <si>
    <t>Interest-Only</t>
  </si>
  <si>
    <t>Amortization Term</t>
  </si>
  <si>
    <t>Amortizing</t>
  </si>
  <si>
    <t>Payments Per Year</t>
  </si>
  <si>
    <t>Interest-Only Term</t>
  </si>
  <si>
    <t>Lender Yield (APR)</t>
  </si>
  <si>
    <t>Period</t>
  </si>
  <si>
    <t>Payment</t>
  </si>
  <si>
    <t>Interest</t>
  </si>
  <si>
    <t>Principal</t>
  </si>
  <si>
    <t>Payoff</t>
  </si>
  <si>
    <t>Curtailment</t>
  </si>
  <si>
    <t>Lender CF</t>
  </si>
  <si>
    <t>Free Cash Flow</t>
  </si>
  <si>
    <t>Seller Note</t>
  </si>
  <si>
    <t>Cap</t>
  </si>
  <si>
    <t>Basket</t>
  </si>
  <si>
    <t>Principal Balance ($)</t>
  </si>
  <si>
    <t>Investor</t>
  </si>
  <si>
    <t>Transaction Costs</t>
  </si>
  <si>
    <t>Operating Case</t>
  </si>
  <si>
    <t>QBI Deduction</t>
  </si>
  <si>
    <t>Balance Sheet Date</t>
  </si>
  <si>
    <t>Day Count</t>
  </si>
  <si>
    <t>Circuit Breaker</t>
  </si>
  <si>
    <t>Balance</t>
  </si>
  <si>
    <t>Prepayment Penalties</t>
  </si>
  <si>
    <t>Exit Multiple</t>
  </si>
  <si>
    <t>`</t>
  </si>
  <si>
    <t>Beginning Balance</t>
  </si>
  <si>
    <t>Ending Balance</t>
  </si>
  <si>
    <t>Total Interest Expense</t>
  </si>
  <si>
    <t>( + ) PIK Accrual</t>
  </si>
  <si>
    <t>Total Amortization</t>
  </si>
  <si>
    <t>( + ) Pre-Revolver Cash Flows</t>
  </si>
  <si>
    <t>Total Net Debt</t>
  </si>
  <si>
    <t>Debt</t>
  </si>
  <si>
    <t>Total Equity Cash Flow</t>
  </si>
  <si>
    <t>Common Equity Cash Flow</t>
  </si>
  <si>
    <t>Exit Year?</t>
  </si>
  <si>
    <t>Initial Investment</t>
  </si>
  <si>
    <t>Principal Repayment</t>
  </si>
  <si>
    <t>Cash Dividends</t>
  </si>
  <si>
    <t>Periodic Amortization</t>
  </si>
  <si>
    <t>Equity Participation at Exit</t>
  </si>
  <si>
    <t>Calendarization / Timing</t>
  </si>
  <si>
    <t>Pre-Deal</t>
  </si>
  <si>
    <t xml:space="preserve">Book Value </t>
  </si>
  <si>
    <t>of Acquired</t>
  </si>
  <si>
    <t>Balance Sheet</t>
  </si>
  <si>
    <t>Adjustments</t>
  </si>
  <si>
    <t>Sources</t>
  </si>
  <si>
    <t>of Funds</t>
  </si>
  <si>
    <t>Uses</t>
  </si>
  <si>
    <t>Liabilities &amp; Shareholders' Equity</t>
  </si>
  <si>
    <t>MOIC</t>
  </si>
  <si>
    <t>Total Cash Flows</t>
  </si>
  <si>
    <t>Common Equity Allocation</t>
  </si>
  <si>
    <t>Percentage of</t>
  </si>
  <si>
    <t>Dropdown</t>
  </si>
  <si>
    <t>Contact</t>
  </si>
  <si>
    <t>Instructions</t>
  </si>
  <si>
    <t>Pro Forma</t>
  </si>
  <si>
    <t>CRE Loan</t>
  </si>
  <si>
    <t>Term Loan</t>
  </si>
  <si>
    <t>Sources of Funds</t>
  </si>
  <si>
    <t>Uses of Funds</t>
  </si>
  <si>
    <t>Commercial Real Estate Loan</t>
  </si>
  <si>
    <t>Real Estate Sale Price</t>
  </si>
  <si>
    <t>Periodic Payment</t>
  </si>
  <si>
    <t>Interest Only</t>
  </si>
  <si>
    <t>Original Principal Balance</t>
  </si>
  <si>
    <t>Annual Payment</t>
  </si>
  <si>
    <t>Total Initial Payment</t>
  </si>
  <si>
    <t>Balance at End of Term</t>
  </si>
  <si>
    <t>Month</t>
  </si>
  <si>
    <t>Year</t>
  </si>
  <si>
    <t>Beg. Balance</t>
  </si>
  <si>
    <t>End. Balance</t>
  </si>
  <si>
    <t>Rent</t>
  </si>
  <si>
    <t>EBITDAR</t>
  </si>
  <si>
    <t>Expected Closing Date</t>
  </si>
  <si>
    <t>Sources &amp; Uses of Funds</t>
  </si>
  <si>
    <t>Preferred Equity - A</t>
  </si>
  <si>
    <t>Preferred Equity - B</t>
  </si>
  <si>
    <t>Real Estate</t>
  </si>
  <si>
    <t>Interest Rates</t>
  </si>
  <si>
    <t>Interest on Excess Cash</t>
  </si>
  <si>
    <t>OFF</t>
  </si>
  <si>
    <t>( – ) Optional Repayment</t>
  </si>
  <si>
    <t>Dashboard</t>
  </si>
  <si>
    <t>Operating Assumptions</t>
  </si>
  <si>
    <t>Income Statement</t>
  </si>
  <si>
    <t>Working Capital</t>
  </si>
  <si>
    <t>Cash Flow Statement</t>
  </si>
  <si>
    <t>Credit Metrics</t>
  </si>
  <si>
    <t>Exit Analysis</t>
  </si>
  <si>
    <t>Return Sensitivities</t>
  </si>
  <si>
    <t>Transaction Balance Sheet</t>
  </si>
  <si>
    <t>Model Checks</t>
  </si>
  <si>
    <t>Fixed Rate</t>
  </si>
  <si>
    <t>LTM</t>
  </si>
  <si>
    <t>Origination Fee (% Loan)</t>
  </si>
  <si>
    <t>Internal</t>
  </si>
  <si>
    <t>As of</t>
  </si>
  <si>
    <t>Cash Sweep</t>
  </si>
  <si>
    <t>( – ) Cash Sweep</t>
  </si>
  <si>
    <t>( – ) Rent</t>
  </si>
  <si>
    <t>Land</t>
  </si>
  <si>
    <t>Current Assets</t>
  </si>
  <si>
    <t>Current Liabilities</t>
  </si>
  <si>
    <t>OldCo Debt (Total)</t>
  </si>
  <si>
    <t>NewCo Debt</t>
  </si>
  <si>
    <t>Capital Stock</t>
  </si>
  <si>
    <t>OldCo Equity</t>
  </si>
  <si>
    <t>NewCo Preferred Equity</t>
  </si>
  <si>
    <t>( – ) Amortization</t>
  </si>
  <si>
    <t xml:space="preserve">Total </t>
  </si>
  <si>
    <t>FHLB 5 Yr. Amortizing Fixed Rate</t>
  </si>
  <si>
    <t>WSJ Prime Rate</t>
  </si>
  <si>
    <t>Amount ($)</t>
  </si>
  <si>
    <t>Discount Points (% Loan)</t>
  </si>
  <si>
    <t>( – ) Min. Cash Balance</t>
  </si>
  <si>
    <t>( – ) Transaction Costs</t>
  </si>
  <si>
    <t>Revolver Capacity</t>
  </si>
  <si>
    <t xml:space="preserve"> </t>
  </si>
  <si>
    <t>(Preferred Cash Dividend)</t>
  </si>
  <si>
    <t>FMV</t>
  </si>
  <si>
    <t>Adjustment</t>
  </si>
  <si>
    <t>Cash &amp; Equivalents</t>
  </si>
  <si>
    <t>Securities </t>
  </si>
  <si>
    <t>Inventory </t>
  </si>
  <si>
    <t>Fixed Assets </t>
  </si>
  <si>
    <t>Intangibles </t>
  </si>
  <si>
    <t>Goodwill </t>
  </si>
  <si>
    <t>Scheduled Debt Amortization</t>
  </si>
  <si>
    <t>Tax Assumptions</t>
  </si>
  <si>
    <t>Purchase Price Allocation</t>
  </si>
  <si>
    <t>( – ) Scheduled Amortization</t>
  </si>
  <si>
    <t>Asset Class</t>
  </si>
  <si>
    <t>Reference</t>
  </si>
  <si>
    <t>Valuation</t>
  </si>
  <si>
    <t>Transaction Costs (% EV)</t>
  </si>
  <si>
    <t xml:space="preserve">Exit Year </t>
  </si>
  <si>
    <t>Debt Summary</t>
  </si>
  <si>
    <t>Senior Debt</t>
  </si>
  <si>
    <t>( – ) Cash</t>
  </si>
  <si>
    <t>Senior Interest Expense</t>
  </si>
  <si>
    <t xml:space="preserve">Senior </t>
  </si>
  <si>
    <t>Fee (%)</t>
  </si>
  <si>
    <t>Capitalized Financing Fees</t>
  </si>
  <si>
    <t>Term Debt Schedule</t>
  </si>
  <si>
    <t>PIK (%)</t>
  </si>
  <si>
    <t>Debt?</t>
  </si>
  <si>
    <t>Interest Expense &amp; Preferred Dividends</t>
  </si>
  <si>
    <t>Preferred Dividends (Cash)</t>
  </si>
  <si>
    <t>Total Cash Dividends</t>
  </si>
  <si>
    <t>Undrawn Commitment Fee</t>
  </si>
  <si>
    <t>Undrawn Commitment Fee (%)</t>
  </si>
  <si>
    <t>Interest &amp; Cash Dividend Rates</t>
  </si>
  <si>
    <t xml:space="preserve">Interest Expense &amp; Preferred Cash Dividends  </t>
  </si>
  <si>
    <t>OpCo Senior Debt / EBITDA</t>
  </si>
  <si>
    <t>OpCo Senior Debt</t>
  </si>
  <si>
    <t>DSCR Covenant (HoldCo)</t>
  </si>
  <si>
    <t>Term / Bullet Year</t>
  </si>
  <si>
    <t>Financing Fees &amp; Rates</t>
  </si>
  <si>
    <t>Financing Scenarios</t>
  </si>
  <si>
    <t>Amort. Term</t>
  </si>
  <si>
    <t>Exp./Yr.</t>
  </si>
  <si>
    <t>Annual Payment Totals</t>
  </si>
  <si>
    <t>Scheduled Am.</t>
  </si>
  <si>
    <t>Term Loan (Refi)</t>
  </si>
  <si>
    <t>End Date</t>
  </si>
  <si>
    <t>Start Date</t>
  </si>
  <si>
    <t>Scheduled</t>
  </si>
  <si>
    <t>( – ) Refinance</t>
  </si>
  <si>
    <t>Financing Assumptions</t>
  </si>
  <si>
    <r>
      <t>Operating Data</t>
    </r>
    <r>
      <rPr>
        <sz val="11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(Annualized)</t>
    </r>
  </si>
  <si>
    <r>
      <t>Interest Expense &amp; Preferred Dividends</t>
    </r>
    <r>
      <rPr>
        <sz val="11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(Annualized)</t>
    </r>
  </si>
  <si>
    <t>Balloon (% Orig. Bal.)</t>
  </si>
  <si>
    <t>( – ) Total Preferred Equity</t>
  </si>
  <si>
    <t>Prepayment Premium</t>
  </si>
  <si>
    <t>Real Estate Value</t>
  </si>
  <si>
    <t>Exit Assumptions</t>
  </si>
  <si>
    <t>Start</t>
  </si>
  <si>
    <t>End</t>
  </si>
  <si>
    <t>Last Fiscal Year End (FYE)</t>
  </si>
  <si>
    <t>( – ) Total Prepayment Penalties</t>
  </si>
  <si>
    <t>Capitalized Transaction Costs</t>
  </si>
  <si>
    <t>PP&amp;E Sale Proceeds</t>
  </si>
  <si>
    <t>Interest on Excess Cash (%)</t>
  </si>
  <si>
    <t>Non-Compete Covenant</t>
  </si>
  <si>
    <t>NBV</t>
  </si>
  <si>
    <t>Asset</t>
  </si>
  <si>
    <t>Class</t>
  </si>
  <si>
    <t>Tax</t>
  </si>
  <si>
    <t>Eligible?</t>
  </si>
  <si>
    <t>Transaction Cost Allocation</t>
  </si>
  <si>
    <t>Total Consideration</t>
  </si>
  <si>
    <t>Assumed Liabilities</t>
  </si>
  <si>
    <t>Other Identifiable Intangibles</t>
  </si>
  <si>
    <t>Manufacturing &amp; Office Bldgs.</t>
  </si>
  <si>
    <t>($ '000)</t>
  </si>
  <si>
    <t>Assumptions</t>
  </si>
  <si>
    <t>Transaction is structured as an asset purchase.</t>
  </si>
  <si>
    <t>NM</t>
  </si>
  <si>
    <t>─</t>
  </si>
  <si>
    <t>NewCo is a pass-through entity.</t>
  </si>
  <si>
    <t xml:space="preserve">Scheduled Amortization </t>
  </si>
  <si>
    <t>Maturity Date</t>
  </si>
  <si>
    <t>Refi Year?</t>
  </si>
  <si>
    <t>Refi Yr. + 1?</t>
  </si>
  <si>
    <t>EBIDA</t>
  </si>
  <si>
    <t>OpCo Sub. Debt</t>
  </si>
  <si>
    <t>Sub. Interest Expense</t>
  </si>
  <si>
    <t>Scheduled Debt Amortization (% Orig. Balance)</t>
  </si>
  <si>
    <t>Excess Cash Available to Sweep</t>
  </si>
  <si>
    <t>HoldCo</t>
  </si>
  <si>
    <t>OpCo</t>
  </si>
  <si>
    <t>EBITDAR / (CPLTD + Int. Exp. + Pref. Div.)</t>
  </si>
  <si>
    <t>OpCo Scheduled Debt Amortization</t>
  </si>
  <si>
    <t>HoldCo Total</t>
  </si>
  <si>
    <t>HoldCo Interest Expense</t>
  </si>
  <si>
    <t xml:space="preserve"> Total</t>
  </si>
  <si>
    <t>OpCo Interest Expense</t>
  </si>
  <si>
    <t>Total Debt / EBITDAR</t>
  </si>
  <si>
    <t>Total Net Debt / EBITDAR</t>
  </si>
  <si>
    <t>Total Debt / EBITDA</t>
  </si>
  <si>
    <t>Total Net Debt / EBITDA</t>
  </si>
  <si>
    <t>Leverage Covenant (HoldCo)</t>
  </si>
  <si>
    <t>Excess cash accumulates on the balance sheet.</t>
  </si>
  <si>
    <t>Yellow-highlighted cells contain unique formulas that are applicable to those cells only.</t>
  </si>
  <si>
    <t>Pink-highlighted cells contain dropdown menus; click into the cell to access the dropdown menu.</t>
  </si>
  <si>
    <t>Company</t>
  </si>
  <si>
    <r>
      <t xml:space="preserve">Cells with </t>
    </r>
    <r>
      <rPr>
        <b/>
        <sz val="11"/>
        <color rgb="FF0000FF"/>
        <rFont val="Calibri"/>
        <family val="2"/>
        <scheme val="minor"/>
      </rPr>
      <t>blue text</t>
    </r>
    <r>
      <rPr>
        <sz val="11"/>
        <rFont val="Calibri"/>
        <family val="2"/>
        <scheme val="minor"/>
      </rPr>
      <t xml:space="preserve"> contain hard-coded inputs.</t>
    </r>
  </si>
  <si>
    <r>
      <t xml:space="preserve">Cells with </t>
    </r>
    <r>
      <rPr>
        <b/>
        <sz val="11"/>
        <color rgb="FF007400"/>
        <rFont val="Calibri"/>
        <family val="2"/>
        <scheme val="minor"/>
      </rPr>
      <t>green text</t>
    </r>
    <r>
      <rPr>
        <sz val="11"/>
        <rFont val="Calibri"/>
        <family val="2"/>
        <scheme val="minor"/>
      </rPr>
      <t xml:space="preserve"> are populated with data from another tab in this Excel workbook.</t>
    </r>
  </si>
  <si>
    <r>
      <t xml:space="preserve">Cells with </t>
    </r>
    <r>
      <rPr>
        <b/>
        <sz val="11"/>
        <color theme="1"/>
        <rFont val="Calibri"/>
        <family val="2"/>
        <scheme val="minor"/>
      </rPr>
      <t>black text</t>
    </r>
    <r>
      <rPr>
        <sz val="11"/>
        <color rgb="FF000000"/>
        <rFont val="Calibri"/>
        <family val="2"/>
        <scheme val="minor"/>
      </rPr>
      <t xml:space="preserve"> contain formula outputs.</t>
    </r>
  </si>
  <si>
    <t>The Seller strategically pays vendors ASAP; as a result, vendors prioritize Company jobs, giving the Company a critical advantage in turn-around time. Steel prices and Company DPO tend to increase during times of economic stress.</t>
  </si>
  <si>
    <t>Sub. Debt</t>
  </si>
  <si>
    <t xml:space="preserve">PropCo </t>
  </si>
  <si>
    <t>Returns Analysis</t>
  </si>
  <si>
    <t>Cash Flows to Contributors of Capital</t>
  </si>
  <si>
    <t>Total Enterprise Value</t>
  </si>
  <si>
    <t>Company Assets</t>
  </si>
  <si>
    <t>Metric</t>
  </si>
  <si>
    <t>Multiple</t>
  </si>
  <si>
    <t>Other Assumptions</t>
  </si>
  <si>
    <t>Total Purchase Price</t>
  </si>
  <si>
    <t>Minimum Cash &amp; Revolver</t>
  </si>
  <si>
    <t>Min. Cash Balance</t>
  </si>
  <si>
    <t>Total Debt / (EBITDA - Capex)</t>
  </si>
  <si>
    <t>Reference Rates</t>
  </si>
  <si>
    <t>Implied cash conversion cycle.</t>
  </si>
  <si>
    <t>Loan Term / Bullet Year</t>
  </si>
  <si>
    <t>( – ) Bullet</t>
  </si>
  <si>
    <t>COGS</t>
  </si>
  <si>
    <t>Indirect Labor</t>
  </si>
  <si>
    <t>Direct Labor</t>
  </si>
  <si>
    <t>Paperless Parts</t>
  </si>
  <si>
    <t>Software</t>
  </si>
  <si>
    <t>MIE Trak Pro</t>
  </si>
  <si>
    <t>Bonus</t>
  </si>
  <si>
    <t>MIE Trak Pro Support</t>
  </si>
  <si>
    <t>AP100US</t>
  </si>
  <si>
    <t>Purchases</t>
  </si>
  <si>
    <t>Date</t>
  </si>
  <si>
    <t>Revenue</t>
  </si>
  <si>
    <t>Freight</t>
  </si>
  <si>
    <t>Subcontract</t>
  </si>
  <si>
    <t>Employee Benefits</t>
  </si>
  <si>
    <t>Supplies</t>
  </si>
  <si>
    <t>Utilities</t>
  </si>
  <si>
    <t>Insurance</t>
  </si>
  <si>
    <t>Professional Fees</t>
  </si>
  <si>
    <t>Repairs &amp; Maintenance</t>
  </si>
  <si>
    <t>Auto &amp; Truck</t>
  </si>
  <si>
    <t>Taxes - Other All</t>
  </si>
  <si>
    <t>Office Expenses</t>
  </si>
  <si>
    <t>Telephone</t>
  </si>
  <si>
    <t>Equipment Lease</t>
  </si>
  <si>
    <t>Commissions</t>
  </si>
  <si>
    <t>Training</t>
  </si>
  <si>
    <t>Advertising</t>
  </si>
  <si>
    <t>Bank Fees</t>
  </si>
  <si>
    <t>Dues &amp; Subscriptions</t>
  </si>
  <si>
    <t>Tax Period</t>
  </si>
  <si>
    <t>Type</t>
  </si>
  <si>
    <t xml:space="preserve"> ─</t>
  </si>
  <si>
    <t xml:space="preserve">─ </t>
  </si>
  <si>
    <t>Steelmaster Deburring Machine</t>
  </si>
  <si>
    <t>Annual</t>
  </si>
  <si>
    <t>Press Brake Gauges</t>
  </si>
  <si>
    <t>3D CAD Printer</t>
  </si>
  <si>
    <t xml:space="preserve">Summary Income Statement </t>
  </si>
  <si>
    <t>Cost of Goods Sold (COGS)</t>
  </si>
  <si>
    <t>Salary</t>
  </si>
  <si>
    <t>Other</t>
  </si>
  <si>
    <t>Payroll Tax</t>
  </si>
  <si>
    <t>Other COGS</t>
  </si>
  <si>
    <t>COGS Summary</t>
  </si>
  <si>
    <t>Total COGS</t>
  </si>
  <si>
    <t>Growth (%)</t>
  </si>
  <si>
    <t>Variable</t>
  </si>
  <si>
    <t>Fixed</t>
  </si>
  <si>
    <t>(Mandatory Debt Repayment)</t>
  </si>
  <si>
    <t>Units ('000)</t>
  </si>
  <si>
    <t>Credit Card Fees</t>
  </si>
  <si>
    <t>Operating Model</t>
  </si>
  <si>
    <t>Selling, General &amp; Administrative (SG&amp;A)</t>
  </si>
  <si>
    <t>% of Sales</t>
  </si>
  <si>
    <t>Other Assets</t>
  </si>
  <si>
    <t>Other Long Term Assets</t>
  </si>
  <si>
    <t>Property, Plant, &amp; Equipment</t>
  </si>
  <si>
    <t>Total Equity</t>
  </si>
  <si>
    <t>Headcount</t>
  </si>
  <si>
    <t>Travel &amp; Entertainment</t>
  </si>
  <si>
    <t>Administrative</t>
  </si>
  <si>
    <t>Enrolled Employees (% of Total)</t>
  </si>
  <si>
    <t>Truck Driver</t>
  </si>
  <si>
    <t>Payroll Tax - Direct &amp; Indirect</t>
  </si>
  <si>
    <t>Total Base Pay ($)</t>
  </si>
  <si>
    <t>Bonus Pay ($)</t>
  </si>
  <si>
    <t>Avg. Hrs./Employee</t>
  </si>
  <si>
    <t>Avg. Hourly Rate ($)</t>
  </si>
  <si>
    <t>Avg. Base Pay ($)</t>
  </si>
  <si>
    <t>Overtime</t>
  </si>
  <si>
    <t>Hours</t>
  </si>
  <si>
    <t>Bonus (% Base)</t>
  </si>
  <si>
    <t>Payroll Tax (% Base + Bonus)</t>
  </si>
  <si>
    <t>Rate</t>
  </si>
  <si>
    <t>Revenue Assumptions</t>
  </si>
  <si>
    <t>Total Overtime Pay ($)</t>
  </si>
  <si>
    <t>Total Direct Labor, as reported</t>
  </si>
  <si>
    <t>Variance (%)</t>
  </si>
  <si>
    <t>Other SG&amp;A</t>
  </si>
  <si>
    <t>Total Indirect Labor, as calculated</t>
  </si>
  <si>
    <t>Base Pay</t>
  </si>
  <si>
    <t>Regular Labor Hrs./Yr.</t>
  </si>
  <si>
    <t>Annual Total</t>
  </si>
  <si>
    <t>Salary Per Pay</t>
  </si>
  <si>
    <t>Total Indirect Base Pay</t>
  </si>
  <si>
    <t>Total Indirect Bonus</t>
  </si>
  <si>
    <t>Total Indirect Payroll Tax</t>
  </si>
  <si>
    <t xml:space="preserve">Total Indirect Labor </t>
  </si>
  <si>
    <t>Misc. Assumptions</t>
  </si>
  <si>
    <t>Pay Periods Per Year</t>
  </si>
  <si>
    <t>Other Income Statement Assumptions</t>
  </si>
  <si>
    <t xml:space="preserve">Working Capital </t>
  </si>
  <si>
    <t xml:space="preserve">Working Capital Assumptions </t>
  </si>
  <si>
    <r>
      <rPr>
        <i/>
        <sz val="11"/>
        <rFont val="Calibri"/>
        <family val="2"/>
        <scheme val="minor"/>
      </rPr>
      <t>Source</t>
    </r>
    <r>
      <rPr>
        <sz val="11"/>
        <rFont val="Calibri"/>
        <family val="2"/>
        <scheme val="minor"/>
      </rPr>
      <t>: Federal Reserve Bank of St. Louis.</t>
    </r>
  </si>
  <si>
    <t>Total Direct Labor, as reported ($)</t>
  </si>
  <si>
    <t>Total Direct Labor, as calculated ($)</t>
  </si>
  <si>
    <t>OT Rate ($)</t>
  </si>
  <si>
    <t>Payroll Tax - Direct Labor</t>
  </si>
  <si>
    <t>Hourly Wage ($)</t>
  </si>
  <si>
    <t>Salary Per Pay ($)</t>
  </si>
  <si>
    <t>Administrative Labor</t>
  </si>
  <si>
    <t>New Hire</t>
  </si>
  <si>
    <r>
      <t xml:space="preserve">Bonus - </t>
    </r>
    <r>
      <rPr>
        <i/>
        <sz val="11"/>
        <rFont val="Calibri"/>
        <family val="2"/>
        <scheme val="minor"/>
      </rPr>
      <t>New Hire</t>
    </r>
    <r>
      <rPr>
        <sz val="11"/>
        <rFont val="Calibri"/>
        <family val="2"/>
        <scheme val="minor"/>
      </rPr>
      <t xml:space="preserve"> (% Base)</t>
    </r>
  </si>
  <si>
    <t>SG&amp;A Summary</t>
  </si>
  <si>
    <t>Hourly</t>
  </si>
  <si>
    <t>Annual Pay</t>
  </si>
  <si>
    <t>Total SG&amp;A</t>
  </si>
  <si>
    <t>Enrolled Employees</t>
  </si>
  <si>
    <t>Months in Yr.</t>
  </si>
  <si>
    <t>401k</t>
  </si>
  <si>
    <t>Total Employee Benefits</t>
  </si>
  <si>
    <t>($)</t>
  </si>
  <si>
    <t>401(k) Plan</t>
  </si>
  <si>
    <t>Avg. Employee Contribution</t>
  </si>
  <si>
    <t xml:space="preserve">Base Pay  </t>
  </si>
  <si>
    <t>Healthcare Reimbursement</t>
  </si>
  <si>
    <t>Payroll Tax (2022)</t>
  </si>
  <si>
    <t>Federal</t>
  </si>
  <si>
    <t>Social Security (FICA)</t>
  </si>
  <si>
    <t>Medicare (FICA)</t>
  </si>
  <si>
    <t>Add'l Medicare (Wages &gt;$200,000)</t>
  </si>
  <si>
    <t>Unemployment, Net (FUTA)</t>
  </si>
  <si>
    <t>New Jersey</t>
  </si>
  <si>
    <t>Unemployment (NJUI)</t>
  </si>
  <si>
    <t>Disability (NJDI)</t>
  </si>
  <si>
    <t>Workforce Development</t>
  </si>
  <si>
    <t>Family Leave (NJFLI)</t>
  </si>
  <si>
    <t>Employer</t>
  </si>
  <si>
    <t>Max. Liability</t>
  </si>
  <si>
    <t>Wage Limit</t>
  </si>
  <si>
    <t>Apartment</t>
  </si>
  <si>
    <t>Renters Insurance</t>
  </si>
  <si>
    <t>Per Month</t>
  </si>
  <si>
    <t>Premium</t>
  </si>
  <si>
    <t>Payroll Tax - Administrative</t>
  </si>
  <si>
    <t>Life Insurance Policy</t>
  </si>
  <si>
    <t>Misc.</t>
  </si>
  <si>
    <t>Historical industry average sales growth (2013-2021) is 3.7%.</t>
  </si>
  <si>
    <t>Revenue (Δ%)</t>
  </si>
  <si>
    <t xml:space="preserve">Revolver Limit </t>
  </si>
  <si>
    <t xml:space="preserve">Term Debt </t>
  </si>
  <si>
    <t>(Optional Debt Repayment)</t>
  </si>
  <si>
    <t>(Optional Pref. Equity Repayment)</t>
  </si>
  <si>
    <t>Excess Cash (Beginning)</t>
  </si>
  <si>
    <t>Capex</t>
  </si>
  <si>
    <t>(EBITDAR - Capex) / (CPLTD + Int. Exp. + Pref. Div.)</t>
  </si>
  <si>
    <t>(EBITDA - Capex) / (CPLTD + Int. Exp. + Pref. Div.)</t>
  </si>
  <si>
    <t>(Net Income + Depr. + Amort. - Pref. Div.) / CPLTD</t>
  </si>
  <si>
    <t>Rent: Studio / 1 Bed</t>
  </si>
  <si>
    <t xml:space="preserve">Health Insurance </t>
  </si>
  <si>
    <t xml:space="preserve">Property Maintenance </t>
  </si>
  <si>
    <t>Phase</t>
  </si>
  <si>
    <t>Status</t>
  </si>
  <si>
    <t>Full-Time</t>
  </si>
  <si>
    <t>FT, no changes in roles or responsibilities</t>
  </si>
  <si>
    <t>Total Administrative Labor</t>
  </si>
  <si>
    <t>Price (Δ%)</t>
  </si>
  <si>
    <t>Volume (Δ%)</t>
  </si>
  <si>
    <t>Advisory Fees</t>
  </si>
  <si>
    <t>Week #</t>
  </si>
  <si>
    <t>Part-Time</t>
  </si>
  <si>
    <t xml:space="preserve"> Hrs./Wk.</t>
  </si>
  <si>
    <t>Hourly Rate ($)</t>
  </si>
  <si>
    <t>Transition Period</t>
  </si>
  <si>
    <t>Company Matching Contribution</t>
  </si>
  <si>
    <t>QuickBooks Advanced</t>
  </si>
  <si>
    <t>SolidWorks</t>
  </si>
  <si>
    <t>Bullet Year?</t>
  </si>
  <si>
    <t>Implementation</t>
  </si>
  <si>
    <t>MIE Trak Pro Integration</t>
  </si>
  <si>
    <t>Cost</t>
  </si>
  <si>
    <t>Users</t>
  </si>
  <si>
    <t>Cost / User</t>
  </si>
  <si>
    <t>Cost / Mo.</t>
  </si>
  <si>
    <t>Implementation / Project Hours</t>
  </si>
  <si>
    <t>Base Cost</t>
  </si>
  <si>
    <t>Assemblies Capability</t>
  </si>
  <si>
    <t>License Subscription - Professional</t>
  </si>
  <si>
    <t>Maintenance</t>
  </si>
  <si>
    <t>Closing Date:</t>
  </si>
  <si>
    <t>Period #</t>
  </si>
  <si>
    <t>Software Detail</t>
  </si>
  <si>
    <t>$ / Hour</t>
  </si>
  <si>
    <t>Month #</t>
  </si>
  <si>
    <t>License Transfer</t>
  </si>
  <si>
    <t>Maintenance Agreement</t>
  </si>
  <si>
    <t>Standard Subscription Service</t>
  </si>
  <si>
    <t>Microsoft Office 365 GCC High</t>
  </si>
  <si>
    <t>Office 365 Business Premium</t>
  </si>
  <si>
    <t>GCC High Premium (%)</t>
  </si>
  <si>
    <t>CMMC</t>
  </si>
  <si>
    <t>Readiness Assessment</t>
  </si>
  <si>
    <t>C3PAO Assessment</t>
  </si>
  <si>
    <t>Min.</t>
  </si>
  <si>
    <t>Max.</t>
  </si>
  <si>
    <t>Operating Expenses</t>
  </si>
  <si>
    <t>Data Validation</t>
  </si>
  <si>
    <t>Working Capital Summary</t>
  </si>
  <si>
    <t>Remediation</t>
  </si>
  <si>
    <t>Avg.</t>
  </si>
  <si>
    <t>Every 3 years; performed by C3PAO</t>
  </si>
  <si>
    <t>MSSP Services</t>
  </si>
  <si>
    <t>Recurring maintenance cost per entity, per year; consists of monitoring, reporting, maintenance services.</t>
  </si>
  <si>
    <t>Δ%</t>
  </si>
  <si>
    <t>Intangible Assets</t>
  </si>
  <si>
    <t>PP&amp;E</t>
  </si>
  <si>
    <t>Notes</t>
  </si>
  <si>
    <t>Recovery Period</t>
  </si>
  <si>
    <t xml:space="preserve">Modified Accelerated Cost Recovery System (MACRS) </t>
  </si>
  <si>
    <t>We note that the decline in price elasticity mirrors trends we have seen in churn rate and AR days, indicating that the customer base is becoming increasingly "sticky."</t>
  </si>
  <si>
    <t>Regular Labor Hours (Total)</t>
  </si>
  <si>
    <t>Medical care benefits: private industry participation rate, full time employees (59%).</t>
  </si>
  <si>
    <t>BLS</t>
  </si>
  <si>
    <t>Source:</t>
  </si>
  <si>
    <t>Retirement benefits: private industry participation rate, full time employees (62%).</t>
  </si>
  <si>
    <t>Current Office Mgr. retires after Year 5.</t>
  </si>
  <si>
    <t>Trumpf TruTops Boost</t>
  </si>
  <si>
    <t>Every 3 years, preceding C3PAO Assessment</t>
  </si>
  <si>
    <t>Every 3 years, following Readiness Assessment, preceding C3PAO Assessment</t>
  </si>
  <si>
    <t>Manager</t>
  </si>
  <si>
    <t>% of Base Salary</t>
  </si>
  <si>
    <t>Misc. Benefits</t>
  </si>
  <si>
    <t>Fixed Rate Assumptions (Δ%)</t>
  </si>
  <si>
    <t>Increase in pro forma insurance expense reflects added coverage, such as cyber.</t>
  </si>
  <si>
    <r>
      <rPr>
        <i/>
        <sz val="11"/>
        <rFont val="Calibri"/>
        <family val="2"/>
        <scheme val="minor"/>
      </rPr>
      <t>Source</t>
    </r>
    <r>
      <rPr>
        <sz val="11"/>
        <rFont val="Calibri"/>
        <family val="2"/>
        <scheme val="minor"/>
      </rPr>
      <t>: 2021-2022 RMA Annual Statement Studies (NAICS 332322, Sales $1-3MM).</t>
    </r>
  </si>
  <si>
    <t xml:space="preserve">Pct. increase in sales per employee reflects increased use of technology, process improvements. </t>
  </si>
  <si>
    <t>Other Suppliers</t>
  </si>
  <si>
    <t>Assessment</t>
  </si>
  <si>
    <t>Readiness</t>
  </si>
  <si>
    <t>Server</t>
  </si>
  <si>
    <t>Cloud</t>
  </si>
  <si>
    <t>NA</t>
  </si>
  <si>
    <t>̶</t>
  </si>
  <si>
    <t>LTM Date</t>
  </si>
  <si>
    <t>Closing Date</t>
  </si>
  <si>
    <t>Managed Services</t>
  </si>
  <si>
    <t>Managed IT Services</t>
  </si>
  <si>
    <t>Recurring Expense Forecast</t>
  </si>
  <si>
    <t>Includes website-related expenses, including re-design in 2023.</t>
  </si>
  <si>
    <t>DSO</t>
  </si>
  <si>
    <t>DIO</t>
  </si>
  <si>
    <t>DPO</t>
  </si>
  <si>
    <t>Days Sales Outstanding (DSO)</t>
  </si>
  <si>
    <t>Days Inventory Outstanding (DIO)</t>
  </si>
  <si>
    <t>Days Payable Outstanding (DPO)</t>
  </si>
  <si>
    <t>(Days)</t>
  </si>
  <si>
    <t>EBITDA (x)</t>
  </si>
  <si>
    <t>Forecast reflects implementation of bespoke, customer-specific price increases (existing customers).</t>
  </si>
  <si>
    <t>Maintenance Contract</t>
  </si>
  <si>
    <t>Cost/Yr.</t>
  </si>
  <si>
    <t>Term (Mos.)</t>
  </si>
  <si>
    <t>Steel &amp; Aluminum</t>
  </si>
  <si>
    <t>Stainless Steel</t>
  </si>
  <si>
    <t>Paint</t>
  </si>
  <si>
    <t>Fasteners</t>
  </si>
  <si>
    <t>Sandpaper</t>
  </si>
  <si>
    <t>Oxygen</t>
  </si>
  <si>
    <r>
      <rPr>
        <i/>
        <sz val="11"/>
        <color theme="1"/>
        <rFont val="Calibri"/>
        <family val="2"/>
        <scheme val="minor"/>
      </rPr>
      <t>Source</t>
    </r>
    <r>
      <rPr>
        <sz val="11"/>
        <color theme="1"/>
        <rFont val="Calibri"/>
        <family val="2"/>
        <scheme val="minor"/>
      </rPr>
      <t>: Steel Market Update, 2021. (See 'Supporting Info' tab).</t>
    </r>
  </si>
  <si>
    <t>Historical Company Info: Purchases (% Sales) by FY</t>
  </si>
  <si>
    <t>Steel prices spike during times of economic stress; historical company financials reflect this assertion.</t>
  </si>
  <si>
    <t>Avg. Material Cost/Unit ($)</t>
  </si>
  <si>
    <t>Avg. Material Cost/Unit (Δ%)</t>
  </si>
  <si>
    <t>Avg. /Unit (Δ%)</t>
  </si>
  <si>
    <t>CMMC 2.0 Level 2 Estimates</t>
  </si>
  <si>
    <t>Avg. Direct Labor Cost/Unit ($)</t>
  </si>
  <si>
    <t>Avg. Other COGS/Unit ($)</t>
  </si>
  <si>
    <t>Avg. Hourly Rate (Δ%)</t>
  </si>
  <si>
    <t>% of Direct Labor</t>
  </si>
  <si>
    <t>Inflation</t>
  </si>
  <si>
    <t>Base Pay (Δ%)</t>
  </si>
  <si>
    <t>HVAC</t>
  </si>
  <si>
    <t>Electric</t>
  </si>
  <si>
    <t>Exterior</t>
  </si>
  <si>
    <t>Interior</t>
  </si>
  <si>
    <t>Plumbing</t>
  </si>
  <si>
    <t>Roofing</t>
  </si>
  <si>
    <t>Site</t>
  </si>
  <si>
    <t>Structure</t>
  </si>
  <si>
    <t>Septic</t>
  </si>
  <si>
    <t>Immediate Repairs/Replacements</t>
  </si>
  <si>
    <t>Future Capex</t>
  </si>
  <si>
    <t>Total Depreciation</t>
  </si>
  <si>
    <r>
      <rPr>
        <i/>
        <sz val="11"/>
        <color theme="1"/>
        <rFont val="Calibri"/>
        <family val="2"/>
        <scheme val="minor"/>
      </rPr>
      <t>Source</t>
    </r>
    <r>
      <rPr>
        <sz val="11"/>
        <color theme="1"/>
        <rFont val="Calibri"/>
        <family val="2"/>
        <scheme val="minor"/>
      </rPr>
      <t>: IRS Publication 946</t>
    </r>
  </si>
  <si>
    <t xml:space="preserve">Table A-1. </t>
  </si>
  <si>
    <t>3-, 5-, 7-, 10-, 15-, and 20-Year Property</t>
  </si>
  <si>
    <t>Half-Year Convention</t>
  </si>
  <si>
    <t xml:space="preserve">Table A-7a. </t>
  </si>
  <si>
    <t>Depreciation rate for recovery period</t>
  </si>
  <si>
    <t>Month property placed in service</t>
  </si>
  <si>
    <t>Mid-Month Convention</t>
  </si>
  <si>
    <t>Nonresidential Real Property, Straight Line—39 Years</t>
  </si>
  <si>
    <t>Sub-Total</t>
  </si>
  <si>
    <t>PropCo Capex</t>
  </si>
  <si>
    <t>Depreciation by Capex Year</t>
  </si>
  <si>
    <t>Summary</t>
  </si>
  <si>
    <t>Beg. Year</t>
  </si>
  <si>
    <t>(%)</t>
  </si>
  <si>
    <t>Managed Services + Cloud</t>
  </si>
  <si>
    <t>Non-Recurring Fees</t>
  </si>
  <si>
    <t>Managed IT Services &amp; CMMC</t>
  </si>
  <si>
    <t>Cost / Mo. ($)</t>
  </si>
  <si>
    <t>Contract Term (Mos.)</t>
  </si>
  <si>
    <t>Timing: Months Post-Close</t>
  </si>
  <si>
    <t>Recurring Expenses</t>
  </si>
  <si>
    <t>Per Year</t>
  </si>
  <si>
    <t xml:space="preserve">Contract No. </t>
  </si>
  <si>
    <r>
      <t>Cost / Mo. (</t>
    </r>
    <r>
      <rPr>
        <i/>
        <sz val="11"/>
        <rFont val="Calibri"/>
        <family val="2"/>
      </rPr>
      <t>Δ</t>
    </r>
    <r>
      <rPr>
        <i/>
        <sz val="9.9"/>
        <rFont val="Calibri"/>
        <family val="2"/>
      </rPr>
      <t>%</t>
    </r>
    <r>
      <rPr>
        <i/>
        <sz val="11"/>
        <rFont val="Calibri"/>
        <family val="2"/>
        <scheme val="minor"/>
      </rPr>
      <t>)</t>
    </r>
  </si>
  <si>
    <t>Manager healthcare expenses are accounted for separately.</t>
  </si>
  <si>
    <t>Assumption: Indirect employee who does not participate in the 401(k) plan retires at end of Year 5; corresponding new hire participates in plan.</t>
  </si>
  <si>
    <t>Historical average DPO is 16.9.</t>
  </si>
  <si>
    <t>DIO migrates to historical Company average (44.6).</t>
  </si>
  <si>
    <t>DSO remains in-line with historical average (30.4).</t>
  </si>
  <si>
    <t>Maintenance Capex</t>
  </si>
  <si>
    <t>Growth Capex</t>
  </si>
  <si>
    <t>FMV &amp; Transaction Cost Adjustments</t>
  </si>
  <si>
    <t>Group</t>
  </si>
  <si>
    <t>Property Description</t>
  </si>
  <si>
    <t>Tax Method</t>
  </si>
  <si>
    <t>200DB</t>
  </si>
  <si>
    <t>S/L</t>
  </si>
  <si>
    <t>150DB</t>
  </si>
  <si>
    <t>Office Furniture, Fixtures, &amp; Equipment</t>
  </si>
  <si>
    <t>Class Life</t>
  </si>
  <si>
    <t>MACRS</t>
  </si>
  <si>
    <t>Information Systems</t>
  </si>
  <si>
    <t>Desks, files, safes, communications equipment.</t>
  </si>
  <si>
    <t>Computers and peripheral equipment (i.e. printers).</t>
  </si>
  <si>
    <t>00.11</t>
  </si>
  <si>
    <t>00.12</t>
  </si>
  <si>
    <t>Description of Assets Included</t>
  </si>
  <si>
    <t>Examples</t>
  </si>
  <si>
    <t>00.241</t>
  </si>
  <si>
    <t>Light General Purpose Trucks</t>
  </si>
  <si>
    <t>trucks for use over the road (actual weight less than 13,000 pounds)</t>
  </si>
  <si>
    <t>00.3</t>
  </si>
  <si>
    <t>Manufacture of Fabricated Metal Products</t>
  </si>
  <si>
    <t>Land Improvements</t>
  </si>
  <si>
    <t>Includes assets used in the production of metal cans, tinware, fabricated structural metal
products</t>
  </si>
  <si>
    <t>de_x001F_ned as special tools such as dies, jigs, molds, patterns, _x001F_xtures, gauges</t>
  </si>
  <si>
    <t>Manufacture of Fabricated Metal Products—Special Tools</t>
  </si>
  <si>
    <t>Computer-based Telephone Central Office Switching Equipment:</t>
  </si>
  <si>
    <t>ncludes equipment whose functions are those of a computer or peripheral equipment</t>
  </si>
  <si>
    <t>MACRS Year</t>
  </si>
  <si>
    <t>Tax Year</t>
  </si>
  <si>
    <t>Reference Information</t>
  </si>
  <si>
    <t>Asset Group</t>
  </si>
  <si>
    <t>In Service Date</t>
  </si>
  <si>
    <t>Tax Cost ($)</t>
  </si>
  <si>
    <t>% of FMV</t>
  </si>
  <si>
    <t>Non-Compete Agreement</t>
  </si>
  <si>
    <t>Trans. Cost</t>
  </si>
  <si>
    <t>Allocation</t>
  </si>
  <si>
    <t xml:space="preserve">Tax </t>
  </si>
  <si>
    <t>Existing Assets</t>
  </si>
  <si>
    <r>
      <rPr>
        <i/>
        <sz val="10"/>
        <color theme="1"/>
        <rFont val="Calibri"/>
        <family val="2"/>
        <scheme val="minor"/>
      </rPr>
      <t>Source</t>
    </r>
    <r>
      <rPr>
        <sz val="10"/>
        <color theme="1"/>
        <rFont val="Calibri"/>
        <family val="2"/>
        <scheme val="minor"/>
      </rPr>
      <t>: IRS Publication 946</t>
    </r>
  </si>
  <si>
    <t>Depreciation of Existing PP&amp;E</t>
  </si>
  <si>
    <t xml:space="preserve">Maintenance Capex </t>
  </si>
  <si>
    <t>M-Capex as a % of sales migrates towards bottom quartile industry depreciation as a % of sales (0.5%)</t>
  </si>
  <si>
    <t>M-Capex as a % of sales migrates towards top quartile industry depreciation as a % of sales (4.8%)</t>
  </si>
  <si>
    <t>Maintenance Capex (% of Sales)</t>
  </si>
  <si>
    <t>Depreciation of Maintenance Capex</t>
  </si>
  <si>
    <t>Fiscal Yr.</t>
  </si>
  <si>
    <t>Assumption: Industry depreciation as a % of sales is equal to maintenance capex as a % of sales.</t>
  </si>
  <si>
    <t>We expect future demand to become increasingly inelastic, reflecting the impact of CMMC regulation and the seasoning of the customer portfolio.</t>
  </si>
  <si>
    <t>Growth</t>
  </si>
  <si>
    <t xml:space="preserve">TruTops Boost </t>
  </si>
  <si>
    <t>Truck/Van</t>
  </si>
  <si>
    <t>Box Truck</t>
  </si>
  <si>
    <t>Depreciation of Growth Capex</t>
  </si>
  <si>
    <t>Material Purchases by Supplier</t>
  </si>
  <si>
    <t>M-Capex as a % of sales aligns with median industry depreciation as a % of sales (1.7%)</t>
  </si>
  <si>
    <t xml:space="preserve">Δ NWC </t>
  </si>
  <si>
    <t>% of Sales Method</t>
  </si>
  <si>
    <t>Sales</t>
  </si>
  <si>
    <t>Net Fixed Asset Turnover</t>
  </si>
  <si>
    <t>Net Fixed Assets</t>
  </si>
  <si>
    <t>https://all3dp.com/1/3d-metal-3d-printer-metal-3d-printing/</t>
  </si>
  <si>
    <t>Detail</t>
  </si>
  <si>
    <t>Resistance Spot Welding Machine</t>
  </si>
  <si>
    <t>Top-Down Reconciliation</t>
  </si>
  <si>
    <t>Growth Capex (Implied)</t>
  </si>
  <si>
    <r>
      <t>Net Fixed Assets (</t>
    </r>
    <r>
      <rPr>
        <i/>
        <sz val="11"/>
        <color theme="1"/>
        <rFont val="Calibri"/>
        <family val="2"/>
        <scheme val="minor"/>
      </rPr>
      <t>Implied</t>
    </r>
    <r>
      <rPr>
        <sz val="11"/>
        <color theme="1"/>
        <rFont val="Calibri"/>
        <family val="2"/>
        <scheme val="minor"/>
      </rPr>
      <t>)</t>
    </r>
  </si>
  <si>
    <t>Projected Sales</t>
  </si>
  <si>
    <r>
      <rPr>
        <i/>
        <sz val="11"/>
        <color theme="1"/>
        <rFont val="Calibri"/>
        <family val="2"/>
        <scheme val="minor"/>
      </rPr>
      <t>Source</t>
    </r>
    <r>
      <rPr>
        <sz val="11"/>
        <color theme="1"/>
        <rFont val="Calibri"/>
        <family val="2"/>
        <scheme val="minor"/>
      </rPr>
      <t>: Fabricators &amp; Manufacturers Association (FMA) 2021 Financial Ratios &amp; Operational Benchmarking Survey. (See 'Supporting Info' tab).</t>
    </r>
  </si>
  <si>
    <t>Total Growth Capex Depreciation</t>
  </si>
  <si>
    <t>Total Maintenance Capex Depreciation</t>
  </si>
  <si>
    <r>
      <t>Maintenance Capex (</t>
    </r>
    <r>
      <rPr>
        <i/>
        <sz val="11"/>
        <color theme="1"/>
        <rFont val="Calibri"/>
        <family val="2"/>
        <scheme val="minor"/>
      </rPr>
      <t>Bottom-Up</t>
    </r>
    <r>
      <rPr>
        <sz val="11"/>
        <color theme="1"/>
        <rFont val="Calibri"/>
        <family val="2"/>
        <scheme val="minor"/>
      </rPr>
      <t>)</t>
    </r>
  </si>
  <si>
    <t>Computer(s)</t>
  </si>
  <si>
    <t>IT Equipment - Other</t>
  </si>
  <si>
    <t>(EBITDA - Tax Exp. - Pref. Div.) / (CPLTD + Int. Exp.)</t>
  </si>
  <si>
    <t>Growth Capex Waterfall</t>
  </si>
  <si>
    <t>Model</t>
  </si>
  <si>
    <t>(EBITDAR - Capex - Δ NWC - Tax Exp.) / (CPLTD + Int. Exp. + Pref. Div.)</t>
  </si>
  <si>
    <t>(EBITDA - Capex - Δ NWC) / (CPLTD + Int. Exp. + Pref. Div.)</t>
  </si>
  <si>
    <t>(EBITDA - Capex - Δ NWC - Tax Exp.) / (CPLTD + Int. Exp. + Pref. Div.)</t>
  </si>
  <si>
    <t>(Leasehold Improvements)</t>
  </si>
  <si>
    <t>(Growth Capex)</t>
  </si>
  <si>
    <t>(Maintenance Capex)</t>
  </si>
  <si>
    <t>(Tax Expense)</t>
  </si>
  <si>
    <t>(Rent Expense)</t>
  </si>
  <si>
    <t>(EBITDAR - Capex - Δ NWC) / (CPLTD + Int. Exp. + Pref. Div.)</t>
  </si>
  <si>
    <r>
      <t>Source</t>
    </r>
    <r>
      <rPr>
        <sz val="11"/>
        <color theme="1"/>
        <rFont val="Calibri"/>
        <family val="2"/>
        <scheme val="minor"/>
      </rPr>
      <t>: 332322 Sheet Metal Work Manufacturing (&lt;$5M): Philadelphia Metro Area, Bizminer Industry Financial Report. Dec. 2021.</t>
    </r>
  </si>
  <si>
    <t>Single</t>
  </si>
  <si>
    <t>Family</t>
  </si>
  <si>
    <t>Health Benefits</t>
  </si>
  <si>
    <t>Total Annual Premium ($)</t>
  </si>
  <si>
    <t>Totals</t>
  </si>
  <si>
    <t>Health Benefits - Single</t>
  </si>
  <si>
    <t>Health Benefits - Family</t>
  </si>
  <si>
    <t>Participants (% of Total Employees by Coverage Type, by Labor Category)</t>
  </si>
  <si>
    <t>Headcount (FT)</t>
  </si>
  <si>
    <t>Participants (% Total FT Employees)</t>
  </si>
  <si>
    <t>Enrolled Employees by Coverage Type</t>
  </si>
  <si>
    <t>Avg. Premium/Employee ($)</t>
  </si>
  <si>
    <t>Benefits Summary</t>
  </si>
  <si>
    <t>Sales/Employee (Total)</t>
  </si>
  <si>
    <t>Sales/Employee (FT)</t>
  </si>
  <si>
    <t>Sales/ Employee (FT Direct)</t>
  </si>
  <si>
    <r>
      <t>Sales/Direct Employee (</t>
    </r>
    <r>
      <rPr>
        <u/>
        <sz val="11"/>
        <color theme="1"/>
        <rFont val="Calibri"/>
        <family val="2"/>
      </rPr>
      <t>Δ</t>
    </r>
    <r>
      <rPr>
        <u/>
        <sz val="11"/>
        <color theme="1"/>
        <rFont val="Calibri"/>
        <family val="2"/>
        <scheme val="minor"/>
      </rPr>
      <t>%)</t>
    </r>
  </si>
  <si>
    <t>Units</t>
  </si>
  <si>
    <r>
      <t>Units Δ</t>
    </r>
    <r>
      <rPr>
        <b/>
        <sz val="8.8000000000000007"/>
        <color theme="1"/>
        <rFont val="Calibri"/>
        <family val="2"/>
      </rPr>
      <t>%</t>
    </r>
  </si>
  <si>
    <t>Units % Total</t>
  </si>
  <si>
    <t>Sales  % Total</t>
  </si>
  <si>
    <t>Avg. Price/Unit</t>
  </si>
  <si>
    <r>
      <t>Avg. Price/Unit Δ</t>
    </r>
    <r>
      <rPr>
        <b/>
        <sz val="8.8000000000000007"/>
        <color theme="1"/>
        <rFont val="Calibri"/>
        <family val="2"/>
      </rPr>
      <t>%</t>
    </r>
  </si>
  <si>
    <t>Price Elasticity</t>
  </si>
  <si>
    <t>Adj. Price Elasticity</t>
  </si>
  <si>
    <t>Select Top Customers</t>
  </si>
  <si>
    <t>Unit Wtd. Avg.</t>
  </si>
  <si>
    <t>All Customers (Unadjusted)</t>
  </si>
  <si>
    <t>Select Top Customers (Adjusted)</t>
  </si>
  <si>
    <t>Company 2002-2022 sales CAGR =  1.94%; cold rolled steel prices have increased 2.4% on avg. (1984-2020).</t>
  </si>
  <si>
    <r>
      <t>Price Elasticity (</t>
    </r>
    <r>
      <rPr>
        <i/>
        <sz val="11"/>
        <color theme="1"/>
        <rFont val="Calibri"/>
        <family val="2"/>
        <scheme val="minor"/>
      </rPr>
      <t>Implied</t>
    </r>
    <r>
      <rPr>
        <sz val="11"/>
        <color theme="1"/>
        <rFont val="Calibri"/>
        <family val="2"/>
        <scheme val="minor"/>
      </rPr>
      <t>)</t>
    </r>
  </si>
  <si>
    <t>Industry 2016-2021 average = 0.85%.</t>
  </si>
  <si>
    <t>Industry 2016-2021 average = 0.95%.</t>
  </si>
  <si>
    <t>Max. Company DIO during the historical period and FY08-FY09 is 55.8.</t>
  </si>
  <si>
    <t xml:space="preserve">The 3 yr. (2019-2021) historical decline corresponds with decreases in annual customer churn rates (see 'Sales by Customer' analysis). </t>
  </si>
  <si>
    <t>OpCo Capex</t>
  </si>
  <si>
    <t>See 'Supporting Info' tab.</t>
  </si>
  <si>
    <t xml:space="preserve">Labor hours held constant. </t>
  </si>
  <si>
    <t xml:space="preserve">Direct labor headcount driver. </t>
  </si>
  <si>
    <t>(Annualized)</t>
  </si>
  <si>
    <t>Model Case:</t>
  </si>
  <si>
    <t>Supporting Information</t>
  </si>
  <si>
    <t>Adj. Unit Wtd. Avg.</t>
  </si>
  <si>
    <t>Bonus (Downside Scenario: % Cut)</t>
  </si>
  <si>
    <t>Total Indirect Bonus (Downside)</t>
  </si>
  <si>
    <t>New hire brought on after Year 4 (except in Downside case).</t>
  </si>
  <si>
    <t xml:space="preserve"> Bonus (Downside)</t>
  </si>
  <si>
    <t>Managed IT Services &amp; CMMC Expense Summary</t>
  </si>
  <si>
    <t xml:space="preserve">Software Expense Summary </t>
  </si>
  <si>
    <t>62% of workers who work at a company that offers healthcare benefits enroll in the company-sponsored healthcare plan.</t>
  </si>
  <si>
    <t>Repair/Replacement Escrow</t>
  </si>
  <si>
    <t>PF EBITDA</t>
  </si>
  <si>
    <t>Exit Year</t>
  </si>
  <si>
    <t>Highlight IRR &gt;</t>
  </si>
  <si>
    <t>"Preferred Equity - B" IRR Sensitivity</t>
  </si>
  <si>
    <t>"Preferred Equity - B" MOIC Sensitivity</t>
  </si>
  <si>
    <t>Data Table Controls</t>
  </si>
  <si>
    <t>Purchase Price Step</t>
  </si>
  <si>
    <t>Highlight MOIC &gt;</t>
  </si>
  <si>
    <t>Data tables must be updated manually using the F9 key.</t>
  </si>
  <si>
    <t>% of Total</t>
  </si>
  <si>
    <t>Δ NWC</t>
  </si>
  <si>
    <t>DO NOT DELETE</t>
  </si>
  <si>
    <t>Maximum</t>
  </si>
  <si>
    <t>As needed, Available for consultations via phone</t>
  </si>
  <si>
    <t>Employement</t>
  </si>
  <si>
    <t xml:space="preserve">Transition </t>
  </si>
  <si>
    <t>Duration</t>
  </si>
  <si>
    <t>(Weeks)</t>
  </si>
  <si>
    <t>Total Compensation</t>
  </si>
  <si>
    <t>Compensation</t>
  </si>
  <si>
    <t>Wages</t>
  </si>
  <si>
    <t>Responsibilities of Seller</t>
  </si>
  <si>
    <t>Seller Compensation</t>
  </si>
  <si>
    <t>Pro Forma FYE Date</t>
  </si>
  <si>
    <t>Exit EV/EBITDA</t>
  </si>
  <si>
    <t>Avg. Price / Unit ($)</t>
  </si>
  <si>
    <t>Scenarios</t>
  </si>
  <si>
    <t>Total Administrative Bonus (Downside)</t>
  </si>
  <si>
    <t>Cash Available to Paydown/(Draw On) Revolver</t>
  </si>
  <si>
    <t>Draw/(Paydown)</t>
  </si>
  <si>
    <t>(Increase)/Decrease in NWC</t>
  </si>
  <si>
    <t>(Gain)/Loss on Sale of Equipment</t>
  </si>
  <si>
    <t>Revolver Draw/(Paydown)</t>
  </si>
  <si>
    <t>Increase/(Decrease)</t>
  </si>
  <si>
    <t xml:space="preserve">Δ Inventory </t>
  </si>
  <si>
    <t>DoD CMMC 1.0 Level 3 Compliance Cost Estimates</t>
  </si>
  <si>
    <t>ACME Corporation</t>
  </si>
  <si>
    <t>ON</t>
  </si>
  <si>
    <t>Industry Fixed Asset Turnover: 3.4x  / 11.9x / 41.0x  (Bottom 25% / Median / Top 25%).</t>
  </si>
  <si>
    <t>Cash, Beginning</t>
  </si>
  <si>
    <t>Excess Cash, Beginning</t>
  </si>
  <si>
    <t>Supplier 1</t>
  </si>
  <si>
    <t>Supplier 2</t>
  </si>
  <si>
    <t>Supplier 3</t>
  </si>
  <si>
    <t>Supplier 4</t>
  </si>
  <si>
    <t>Supplier 5</t>
  </si>
  <si>
    <t>Supplier 6</t>
  </si>
  <si>
    <t>Supplier 7</t>
  </si>
  <si>
    <t>Supplier 8</t>
  </si>
  <si>
    <t>Indirect Employee 1</t>
  </si>
  <si>
    <t>Indirect Employee 2</t>
  </si>
  <si>
    <t>Administrative Employee 1</t>
  </si>
  <si>
    <t>Manager would train the new hire in the Downside scenario.</t>
  </si>
  <si>
    <t>Seller</t>
  </si>
  <si>
    <t>Advisor 1</t>
  </si>
  <si>
    <t>Advisor 2</t>
  </si>
  <si>
    <r>
      <rPr>
        <i/>
        <sz val="11"/>
        <color theme="1"/>
        <rFont val="Calibri"/>
        <family val="2"/>
        <scheme val="minor"/>
      </rPr>
      <t>Source</t>
    </r>
    <r>
      <rPr>
        <sz val="11"/>
        <color theme="1"/>
        <rFont val="Calibri"/>
        <family val="2"/>
        <scheme val="minor"/>
      </rPr>
      <t>: KFF Annual Employer Health Benefits Survey (2021).</t>
    </r>
  </si>
  <si>
    <r>
      <t>Cash Conversion Cycle (</t>
    </r>
    <r>
      <rPr>
        <i/>
        <sz val="11"/>
        <color theme="1"/>
        <rFont val="Calibri"/>
        <family val="2"/>
        <scheme val="minor"/>
      </rPr>
      <t>Implied</t>
    </r>
    <r>
      <rPr>
        <sz val="11"/>
        <color theme="1"/>
        <rFont val="Calibri"/>
        <family val="2"/>
        <scheme val="minor"/>
      </rPr>
      <t>)</t>
    </r>
  </si>
  <si>
    <t>Cash Conversion Cycle</t>
  </si>
  <si>
    <t xml:space="preserve">Total Software Op. Expense </t>
  </si>
  <si>
    <t>Customer 1</t>
  </si>
  <si>
    <t>Customer 2</t>
  </si>
  <si>
    <t>Customer 3</t>
  </si>
  <si>
    <t>Customer 4</t>
  </si>
  <si>
    <t>Customer 5</t>
  </si>
  <si>
    <t>Customer 6</t>
  </si>
  <si>
    <t>Customer 7</t>
  </si>
  <si>
    <t>Customer 8</t>
  </si>
  <si>
    <t>Customer 9</t>
  </si>
  <si>
    <t>Customer 10</t>
  </si>
  <si>
    <t>Customer 11</t>
  </si>
  <si>
    <t>Customer 12</t>
  </si>
  <si>
    <t>Customer 13</t>
  </si>
  <si>
    <t>Customer 14</t>
  </si>
  <si>
    <t>Customer 15</t>
  </si>
  <si>
    <t>Customer 16</t>
  </si>
  <si>
    <t>Customer 17</t>
  </si>
  <si>
    <t>Customer 18</t>
  </si>
  <si>
    <t>Customer 19</t>
  </si>
  <si>
    <t>Customer 20</t>
  </si>
  <si>
    <t>Other Advisor</t>
  </si>
  <si>
    <t>DSO migrates to industry top-quartile (19).</t>
  </si>
  <si>
    <t>DSO migrates to industry bottom-quartile (49).</t>
  </si>
  <si>
    <t>DIO migrates to industry top-quartile (24).</t>
  </si>
  <si>
    <t>DPO migrates to industry top-quartile (8).</t>
  </si>
  <si>
    <t>Avg. Company DPO in during the FY08-FY09 period is 26.5.</t>
  </si>
  <si>
    <t>IT Firm</t>
  </si>
  <si>
    <t>Readiness Assessment - IT Firm</t>
  </si>
  <si>
    <t>Managed IT Services  - IT Firm</t>
  </si>
  <si>
    <t>Expert 1</t>
  </si>
  <si>
    <t>Expert 2</t>
  </si>
  <si>
    <t>Contents</t>
  </si>
  <si>
    <t>Tab</t>
  </si>
  <si>
    <t>Supporting Info</t>
  </si>
  <si>
    <t>Top Customer Analysis</t>
  </si>
  <si>
    <t>Description of Content</t>
  </si>
  <si>
    <t>OpCo operating model.</t>
  </si>
  <si>
    <t>PropCo capex and depreciation schedules; repair/replacement escrow account details.</t>
  </si>
  <si>
    <t>DoD CMMC Compliance Cost Estimates</t>
  </si>
  <si>
    <t>C3PAO Assessment Cost Estimates</t>
  </si>
  <si>
    <t>Leveraged buyout (LBO) model, depicted at the HoldCo level.</t>
  </si>
  <si>
    <t xml:space="preserve">Commercial real estate (CRE) loan details and amortization schedule. </t>
  </si>
  <si>
    <t xml:space="preserve">Seller note details and amortization schedule. </t>
  </si>
  <si>
    <t>Select third-party data used to support and/or contextualize various modeled assumptions.</t>
  </si>
  <si>
    <t>Manager compensation and benefits.</t>
  </si>
  <si>
    <t xml:space="preserve">Pro forma software operating expenses. </t>
  </si>
  <si>
    <t>Historical sales and price elasticity analyses for the top 20 customers.</t>
  </si>
  <si>
    <r>
      <rPr>
        <b/>
        <i/>
        <sz val="11"/>
        <rFont val="Calibri"/>
        <family val="2"/>
        <scheme val="minor"/>
      </rPr>
      <t>Iterative calculation</t>
    </r>
    <r>
      <rPr>
        <sz val="11"/>
        <color theme="1"/>
        <rFont val="Calibri"/>
        <family val="2"/>
        <scheme val="minor"/>
      </rPr>
      <t xml:space="preserve"> must be enabled to properly account for the inherent circularity in the model. To enable iterative calculation, go to File &gt; Options &gt; Formulas and then select the "Enable iterative calculation" option.</t>
    </r>
  </si>
  <si>
    <r>
      <t xml:space="preserve">If the model "blows up" (i.e. #DIV/0!, #REF!), toggle the </t>
    </r>
    <r>
      <rPr>
        <b/>
        <sz val="11"/>
        <color theme="1"/>
        <rFont val="Calibri"/>
        <family val="2"/>
        <scheme val="minor"/>
      </rPr>
      <t>circuit breaker</t>
    </r>
    <r>
      <rPr>
        <sz val="11"/>
        <color theme="1"/>
        <rFont val="Calibri"/>
        <family val="2"/>
        <scheme val="minor"/>
      </rPr>
      <t xml:space="preserve"> in cell V12 to "ON" and then immediately to "OFF" </t>
    </r>
    <r>
      <rPr>
        <sz val="11"/>
        <color theme="1"/>
        <rFont val="Calibri"/>
        <family val="2"/>
      </rPr>
      <t>─</t>
    </r>
    <r>
      <rPr>
        <sz val="11"/>
        <color theme="1"/>
        <rFont val="Calibri"/>
        <family val="2"/>
        <scheme val="minor"/>
      </rPr>
      <t xml:space="preserve"> this should fix the error. </t>
    </r>
  </si>
  <si>
    <t>Pro forma managed IT services and Cybersecurity Maturity Model Certification (CMMC) compliance costs.</t>
  </si>
  <si>
    <t>Post-close ownership transition schedule and compensation.</t>
  </si>
  <si>
    <t>OpCo capex forecast.</t>
  </si>
  <si>
    <t>LBO Model</t>
  </si>
  <si>
    <t>Asset Purchase Price</t>
  </si>
  <si>
    <t>Real Estate Purchase Price</t>
  </si>
  <si>
    <t>Management Equity</t>
  </si>
  <si>
    <t>Sponsor Equity</t>
  </si>
  <si>
    <t>OpCo. Capital Structure Summary</t>
  </si>
  <si>
    <t>Section 197 Intangibles Tax Period</t>
  </si>
  <si>
    <t>Enterprise Value Multiples</t>
  </si>
  <si>
    <t>Property</t>
  </si>
  <si>
    <t>Refinance Term Loan?</t>
  </si>
  <si>
    <t>Case</t>
  </si>
  <si>
    <t>Refi Loan Term / Tenor</t>
  </si>
  <si>
    <t>Amortization (% per Year)</t>
  </si>
  <si>
    <t>Refinance OldCo Debt</t>
  </si>
  <si>
    <t>PT, critical decisions made by Manager</t>
  </si>
  <si>
    <t>Exit occurs at the end of the selected exit year and only pertains to OpCo.</t>
  </si>
  <si>
    <r>
      <t>Term Loan (</t>
    </r>
    <r>
      <rPr>
        <b/>
        <i/>
        <sz val="11"/>
        <color rgb="FF0000E1"/>
        <rFont val="Calibri"/>
        <family val="2"/>
        <scheme val="minor"/>
      </rPr>
      <t>Refi</t>
    </r>
    <r>
      <rPr>
        <b/>
        <sz val="11"/>
        <color rgb="FF0000E1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</si>
</sst>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2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-* #,##0_-;\(#,##0\)_-;_-* &quot;-&quot;_-;_-@_-"/>
    <numFmt numFmtId="166" formatCode="_(* #,##0_);_(* \(#,##0\);_(* &quot;-&quot;??_);_(@_)"/>
    <numFmt numFmtId="167" formatCode="##\ &quot;yrs.&quot;"/>
    <numFmt numFmtId="168" formatCode="0.00\x"/>
    <numFmt numFmtId="169" formatCode="_(* #,##0.0_);_(* \(#,##0.0\);_(* &quot;-&quot;??_);_(@_)"/>
    <numFmt numFmtId="170" formatCode="0.0"/>
    <numFmt numFmtId="171" formatCode="#,##0.0_);\(#,##0.0\)"/>
    <numFmt numFmtId="172" formatCode="yyyy"/>
    <numFmt numFmtId="173" formatCode="mmm\.\ d\,\ yyyy"/>
    <numFmt numFmtId="174" formatCode="&quot;Year&quot;\ #"/>
    <numFmt numFmtId="175" formatCode="0&quot; yrs.&quot;"/>
    <numFmt numFmtId="176" formatCode="_(&quot;$&quot;* #,##0_);_(&quot;$&quot;* \(#,##0\);_(&quot;$&quot;* &quot;-&quot;??_);_(@_)"/>
    <numFmt numFmtId="177" formatCode="_(0.0%_);\(0.0%\);_(&quot;–&quot;_)_%;@_(_%"/>
    <numFmt numFmtId="178" formatCode="_(0.0\x_)_);_(\(0.0\x\);_(&quot;–&quot;_)_%;@_(_%"/>
    <numFmt numFmtId="179" formatCode="#,##0.0_);\(#,##0.0\);&quot;– &quot;;"/>
    <numFmt numFmtId="180" formatCode="0.00\x;0.00\x;&quot;– &quot;"/>
    <numFmt numFmtId="181" formatCode="_(* #,##0.0_);_(* \(#,##0.0\);&quot;– &quot;;_(@_)"/>
    <numFmt numFmtId="182" formatCode="0&quot; yrs.&quot;;0&quot; yrs.&quot;;&quot;–&quot;"/>
    <numFmt numFmtId="183" formatCode="_00.0%;\(0.0%\);_(&quot;–&quot;_)_%;@_(_%"/>
    <numFmt numFmtId="184" formatCode="#,##0.0000_);\(#,##0.0000\)"/>
    <numFmt numFmtId="185" formatCode="#,##0_);\(#,##0\);&quot;– &quot;"/>
    <numFmt numFmtId="186" formatCode="mmmm"/>
    <numFmt numFmtId="187" formatCode="_(0.00%_);\(0.00%\);_(&quot;–&quot;_)_%;@_(_%"/>
    <numFmt numFmtId="188" formatCode="_-* #,##0.00_-;\-* #,##0.00_-;_-* &quot;-&quot;??_-;_-@_-"/>
    <numFmt numFmtId="189" formatCode="0.00\x&quot; &quot;"/>
    <numFmt numFmtId="190" formatCode="_(#,##0.000_)_%;_(\(#,##0.000\)_%;_(&quot;–&quot;_)_%;@_(_%"/>
    <numFmt numFmtId="191" formatCode="#,##0.00_);\(#,##0.00\);&quot;– &quot;"/>
    <numFmt numFmtId="192" formatCode="&quot;Yes&quot;_);&quot;ERROR&quot;_)_%;&quot;No&quot;_);&quot;ERROR&quot;_)_%"/>
    <numFmt numFmtId="193" formatCode="0&quot; yrs.&quot;;0&quot; yr.&quot;;&quot;–&quot;"/>
    <numFmt numFmtId="194" formatCode="_(0.0%_);\(0.0%\);_(&quot;–&quot;_%;@_(_%"/>
    <numFmt numFmtId="195" formatCode="dd\-mmm\-yy"/>
    <numFmt numFmtId="196" formatCode="_(0.0%_);\(0.0%\);&quot;–&quot;;@_(_%"/>
    <numFmt numFmtId="197" formatCode="#,##0.00_);\(#,##0.00\);&quot;–&quot;"/>
    <numFmt numFmtId="198" formatCode="0&quot; yrs.&quot;;0&quot; yrs.&quot;;&quot;–&quot;_:"/>
    <numFmt numFmtId="199" formatCode="&quot;Class &quot;#"/>
    <numFmt numFmtId="200" formatCode="_(* #,##0.0;_(* \(#,##0.0\);_(* &quot;-&quot;??_);_(@_)"/>
    <numFmt numFmtId="201" formatCode="#,##0.0;\(#,##0.0\);&quot;–&quot;"/>
    <numFmt numFmtId="202" formatCode="#,##0;\(#,##0\);&quot;–&quot;"/>
    <numFmt numFmtId="203" formatCode="0.0&quot; yrs.&quot;;0&quot; yrs.&quot;;&quot;–&quot;"/>
    <numFmt numFmtId="204" formatCode="#,##0.0;\(#,##0.0\);&quot;–&quot;_;"/>
    <numFmt numFmtId="205" formatCode="_00%;\(0%\);_(&quot;–&quot;_)_%;@_(_%"/>
    <numFmt numFmtId="206" formatCode="#,##0.0;\(#,##0.0\);&quot;– &quot;;"/>
    <numFmt numFmtId="207" formatCode="#,##0;\(#,##0\);&quot;– &quot;"/>
    <numFmt numFmtId="208" formatCode="#,##0.0;\(#,##0.0\);&quot;– &quot;"/>
    <numFmt numFmtId="209" formatCode="#,##0.00;\(#,##0.00\);&quot;–&quot;_;"/>
    <numFmt numFmtId="210" formatCode="#,##0;\(#,##0\);&quot;–&quot;_;"/>
    <numFmt numFmtId="211" formatCode="_(* #,##0;_(* \(#,##0\);_(* &quot;-&quot;??_);_(@_)"/>
    <numFmt numFmtId="212" formatCode="#\ &quot;yrs.&quot;"/>
    <numFmt numFmtId="213" formatCode="&quot;Item&quot;\ #"/>
    <numFmt numFmtId="214" formatCode="&quot;Item_&quot;#"/>
    <numFmt numFmtId="215" formatCode="_(0%_);\(0%\);_(&quot;–&quot;_)_%;@_(_%"/>
    <numFmt numFmtId="216" formatCode="mmm\-yyyy"/>
    <numFmt numFmtId="217" formatCode="0.0%;\(0.0%\);_(&quot;–&quot;_)_%;@_(_%"/>
    <numFmt numFmtId="218" formatCode="#,##0.00;\-#,##0.00"/>
    <numFmt numFmtId="219" formatCode="&quot;$&quot;#,##0.0"/>
    <numFmt numFmtId="220" formatCode="_0.0%;\(0.0%\);_(&quot;–&quot;_)\%;@_(_%"/>
    <numFmt numFmtId="221" formatCode="#.#&quot;x&quot;"/>
    <numFmt numFmtId="222" formatCode="#,##0.00;\(#,##0.00\);&quot;– &quot;"/>
    <numFmt numFmtId="223" formatCode="mmm\-dd\-yy"/>
    <numFmt numFmtId="224" formatCode="#,##0;\(#,##0\);&quot;–&quot;;"/>
    <numFmt numFmtId="225" formatCode="_(0%_);\(0%\);_(&quot;–&quot;_%;@_(_%"/>
    <numFmt numFmtId="226" formatCode="mmm\-dd\-yyyy"/>
    <numFmt numFmtId="227" formatCode="_(* #,##0.00;_(* \(#,##0.00\);_(* &quot;-&quot;??_);_(@_)"/>
    <numFmt numFmtId="228" formatCode="0%;\(0%\);_(&quot;–&quot;_)_%;@_(_%"/>
    <numFmt numFmtId="229" formatCode="&quot;Year &quot;#"/>
    <numFmt numFmtId="230" formatCode="0.00%;\(0.00%\);_(&quot;–&quot;_)_%;@_(_%"/>
    <numFmt numFmtId="231" formatCode="mmm\-dd"/>
    <numFmt numFmtId="232" formatCode="##&quot; / Mo.&quot;;\(#,##0.00\);&quot;– &quot;"/>
    <numFmt numFmtId="233" formatCode="###;\(#,##0.00\);&quot;– &quot;"/>
    <numFmt numFmtId="234" formatCode="&quot;+ &quot;##&quot; / Mo.&quot;;\(#,##0.00\);&quot;– &quot;"/>
    <numFmt numFmtId="235" formatCode="_(#,##0.0_)_%;_(\(#,##0.0\)_%;_(&quot;–&quot;_)_%;@_(_%"/>
    <numFmt numFmtId="236" formatCode="#\-&quot;Year&quot;"/>
    <numFmt numFmtId="237" formatCode="mmm"/>
    <numFmt numFmtId="238" formatCode="#,###&quot; / Mo.&quot;;\(#,##0.00\);&quot;– &quot;"/>
    <numFmt numFmtId="239" formatCode="0.0;\(0.0\);_(&quot;–&quot;\)\%;@"/>
    <numFmt numFmtId="240" formatCode="_00.0%;\(0.0%\);_(&quot;–&quot;;@_(_%"/>
    <numFmt numFmtId="241" formatCode="0_);\(0\)"/>
    <numFmt numFmtId="242" formatCode="_00.0%;\(0.0%\);_(&quot;–&quot;_);@_(_%"/>
    <numFmt numFmtId="243" formatCode="_(0.0%_);\(0.0%\);&quot;–&quot;_%;@_(_%"/>
    <numFmt numFmtId="244" formatCode="#,##0.0;\(#,##0.0\);&quot;– &quot;_:"/>
    <numFmt numFmtId="245" formatCode="0.0%;\(0.0%\);_(&quot;–&quot;_%;@_(_%"/>
    <numFmt numFmtId="246" formatCode="_00.0%;\(0.0%\);_(&quot;–&quot;_);@"/>
    <numFmt numFmtId="247" formatCode="#\ &quot;Months&quot;"/>
    <numFmt numFmtId="248" formatCode="&quot;Yes&quot;;&quot;ERROR&quot;_)_%;&quot;No&quot;;&quot;ERROR&quot;_)_%"/>
    <numFmt numFmtId="249" formatCode="_(0.0%;\(0.0%\);_(&quot;–&quot;_)_%;@_(_%"/>
    <numFmt numFmtId="250" formatCode="###0;\(###0\);&quot;– &quot;"/>
    <numFmt numFmtId="251" formatCode="0.0\x"/>
    <numFmt numFmtId="252" formatCode="#\-&quot;Year Property&quot;"/>
    <numFmt numFmtId="253" formatCode="_00.00%;\(0.00%\);_(&quot;–&quot;_)_%;@_(_%"/>
    <numFmt numFmtId="254" formatCode="_(0.00%_);\(0.00%\);_(&quot;–&quot;_%;@_(_%"/>
    <numFmt numFmtId="255" formatCode="_(0.0%;\(0.0%\);&quot;–&quot;\ "/>
    <numFmt numFmtId="256" formatCode="_(0.0%;\(0.0%\);&quot;–&quot;;@_(_%"/>
    <numFmt numFmtId="257" formatCode="0%;\(0%\);_(&quot;–&quot;_%;@_(_%"/>
    <numFmt numFmtId="258" formatCode="0%;\(0%\);_(&quot;–&quot;;@_(_%"/>
    <numFmt numFmtId="259" formatCode="0%;\(0%\);_(&quot;–&quot;;@"/>
    <numFmt numFmtId="260" formatCode="#,##0.0;\(#,##0.0\);&quot;–&quot;_:"/>
    <numFmt numFmtId="261" formatCode="#,##0.00;\(#,##0.00\);&quot;– &quot;_:"/>
    <numFmt numFmtId="262" formatCode="_(* #,##0.0;_(* \(#,##0.0\);&quot;– &quot;;_(@_)"/>
    <numFmt numFmtId="263" formatCode="_(0.0%;\(0.0%\);_(&quot;–&quot;_%;@_(_%"/>
    <numFmt numFmtId="264" formatCode="#,##0.0_);\(#,##0.0\);&quot;–&quot;_:"/>
    <numFmt numFmtId="265" formatCode="_(0.0\x;_(\(0.0\x\);_(&quot;–&quot;_)_%;@_(_%"/>
    <numFmt numFmtId="266" formatCode="0.0\x;0.0\x;&quot;– &quot;"/>
    <numFmt numFmtId="267" formatCode="ddd\.\ mmm\-dd"/>
    <numFmt numFmtId="268" formatCode="ddd\.\ m/dd/yy"/>
    <numFmt numFmtId="269" formatCode="ddd\.\ m/dd"/>
    <numFmt numFmtId="270" formatCode="_(0.00%_);\(0.00%\);&quot;– &quot;;@_(_%"/>
    <numFmt numFmtId="271" formatCode="_(0%_);\(0%\);&quot;– &quot;;@_(_%"/>
    <numFmt numFmtId="272" formatCode="_(0.0%;\(0.0%\);_(&quot;–&quot;_);@_(_%"/>
  </numFmts>
  <fonts count="1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i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00E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0000E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i/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8000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ⓒoUAAA¨u"/>
      <family val="1"/>
      <charset val="255"/>
    </font>
    <font>
      <sz val="11"/>
      <name val="￥i￠￢￠?o"/>
      <family val="3"/>
      <charset val="255"/>
    </font>
    <font>
      <sz val="12"/>
      <name val="¹ÙÅÁÃ¼"/>
      <family val="1"/>
      <charset val="129"/>
    </font>
    <font>
      <sz val="12"/>
      <name val="¹UAAA¼"/>
      <family val="3"/>
      <charset val="129"/>
    </font>
    <font>
      <sz val="12"/>
      <name val="¹UAAA¼"/>
      <family val="1"/>
      <charset val="255"/>
    </font>
    <font>
      <sz val="12"/>
      <name val="System"/>
      <family val="3"/>
      <charset val="129"/>
    </font>
    <font>
      <sz val="10"/>
      <name val="±¼¸²Ã¼"/>
      <family val="3"/>
      <charset val="129"/>
    </font>
    <font>
      <b/>
      <sz val="12"/>
      <color indexed="8"/>
      <name val="Verdana"/>
      <family val="2"/>
    </font>
    <font>
      <b/>
      <sz val="10"/>
      <color indexed="9"/>
      <name val="Arial"/>
      <family val="2"/>
    </font>
    <font>
      <b/>
      <u val="singleAccounting"/>
      <sz val="8"/>
      <color indexed="8"/>
      <name val="Verdana"/>
      <family val="2"/>
    </font>
    <font>
      <b/>
      <sz val="8"/>
      <color indexed="9"/>
      <name val="Verdana"/>
      <family val="2"/>
    </font>
    <font>
      <b/>
      <u val="singleAccounting"/>
      <sz val="8"/>
      <color indexed="8"/>
      <name val="Arial"/>
      <family val="2"/>
    </font>
    <font>
      <vertAlign val="subscript"/>
      <sz val="8"/>
      <color indexed="8"/>
      <name val="Arial"/>
      <family val="2"/>
    </font>
    <font>
      <sz val="1"/>
      <color indexed="9"/>
      <name val="Symbol"/>
      <family val="1"/>
      <charset val="2"/>
    </font>
    <font>
      <sz val="10"/>
      <color indexed="8"/>
      <name val="Arial"/>
      <family val="2"/>
    </font>
    <font>
      <b/>
      <sz val="8"/>
      <color indexed="8"/>
      <name val="Verdana"/>
      <family val="2"/>
    </font>
    <font>
      <u/>
      <sz val="10"/>
      <color theme="10"/>
      <name val="Arial"/>
      <family val="2"/>
    </font>
    <font>
      <i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1"/>
      <color rgb="FF008000"/>
      <name val="Calibri"/>
      <family val="2"/>
      <scheme val="minor"/>
    </font>
    <font>
      <i/>
      <sz val="11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Calibri"/>
      <family val="2"/>
      <scheme val="minor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E1"/>
      <name val="Calibri"/>
      <family val="2"/>
    </font>
    <font>
      <b/>
      <sz val="12"/>
      <color rgb="FF000000"/>
      <name val="Calibri"/>
      <family val="2"/>
      <scheme val="minor"/>
    </font>
    <font>
      <sz val="11"/>
      <color rgb="FF0000CC"/>
      <name val="Calibri"/>
      <family val="2"/>
      <scheme val="minor"/>
    </font>
    <font>
      <b/>
      <sz val="11"/>
      <color rgb="FF0000E1"/>
      <name val="Calibri"/>
      <family val="2"/>
      <scheme val="minor"/>
    </font>
    <font>
      <b/>
      <i/>
      <sz val="11"/>
      <color rgb="FF0000E1"/>
      <name val="Calibri"/>
      <family val="2"/>
      <scheme val="minor"/>
    </font>
    <font>
      <i/>
      <sz val="10.5"/>
      <color theme="1"/>
      <name val="Calibri"/>
      <family val="2"/>
      <scheme val="minor"/>
    </font>
    <font>
      <u/>
      <sz val="11"/>
      <color theme="1"/>
      <name val="Calibri"/>
      <family val="2"/>
    </font>
    <font>
      <b/>
      <sz val="11"/>
      <color theme="1"/>
      <name val="Calibri"/>
      <family val="2"/>
    </font>
    <font>
      <b/>
      <u/>
      <sz val="11"/>
      <color theme="1"/>
      <name val="Calibri"/>
      <family val="2"/>
    </font>
    <font>
      <b/>
      <sz val="11"/>
      <color rgb="FF0000FF"/>
      <name val="Calibri"/>
      <family val="2"/>
      <scheme val="minor"/>
    </font>
    <font>
      <b/>
      <sz val="11"/>
      <color rgb="FF0074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340CB4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u val="singleAccounting"/>
      <sz val="11"/>
      <color theme="1"/>
      <name val="Calibri"/>
      <family val="2"/>
      <scheme val="minor"/>
    </font>
    <font>
      <b/>
      <i/>
      <u val="singleAccounting"/>
      <sz val="11"/>
      <name val="Calibri"/>
      <family val="2"/>
      <scheme val="minor"/>
    </font>
    <font>
      <i/>
      <u val="singleAccounting"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i/>
      <u/>
      <sz val="11"/>
      <name val="Calibri"/>
      <family val="2"/>
      <scheme val="minor"/>
    </font>
    <font>
      <sz val="11"/>
      <color rgb="FF000000"/>
      <name val="Arial"/>
      <family val="2"/>
    </font>
    <font>
      <sz val="8"/>
      <color theme="1"/>
      <name val="Arial"/>
      <family val="2"/>
    </font>
    <font>
      <sz val="11"/>
      <color theme="1"/>
      <name val="Trebuchet MS"/>
      <family val="2"/>
    </font>
    <font>
      <u/>
      <sz val="8"/>
      <color theme="10"/>
      <name val="Arial"/>
      <family val="2"/>
    </font>
    <font>
      <sz val="11"/>
      <color indexed="16"/>
      <name val="Calibri"/>
      <family val="2"/>
      <scheme val="minor"/>
    </font>
    <font>
      <b/>
      <sz val="11"/>
      <color rgb="FF1F497D"/>
      <name val="Calibri"/>
      <family val="2"/>
      <scheme val="minor"/>
    </font>
    <font>
      <i/>
      <sz val="11"/>
      <color rgb="FF0000FF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rgb="FF0000E1"/>
      <name val="Calibri"/>
      <family val="2"/>
      <scheme val="minor"/>
    </font>
    <font>
      <sz val="11"/>
      <color rgb="FF0409D6"/>
      <name val="Calibri"/>
      <family val="2"/>
      <scheme val="minor"/>
    </font>
    <font>
      <i/>
      <sz val="11"/>
      <color rgb="FF0409D6"/>
      <name val="Calibri"/>
      <family val="2"/>
      <scheme val="minor"/>
    </font>
    <font>
      <i/>
      <sz val="11"/>
      <name val="Calibri"/>
      <family val="2"/>
    </font>
    <font>
      <i/>
      <sz val="9.9"/>
      <name val="Calibri"/>
      <family val="2"/>
    </font>
    <font>
      <i/>
      <sz val="11"/>
      <color rgb="FF008000"/>
      <name val="Calibri"/>
      <family val="2"/>
      <scheme val="minor"/>
    </font>
    <font>
      <i/>
      <u val="singleAccounting"/>
      <sz val="11"/>
      <name val="Calibri"/>
      <family val="2"/>
      <scheme val="minor"/>
    </font>
    <font>
      <b/>
      <i/>
      <sz val="11"/>
      <color rgb="FF0409D6"/>
      <name val="Calibri"/>
      <family val="2"/>
      <scheme val="minor"/>
    </font>
    <font>
      <b/>
      <i/>
      <u/>
      <sz val="11"/>
      <name val="Calibri"/>
      <family val="2"/>
      <scheme val="minor"/>
    </font>
    <font>
      <i/>
      <sz val="10"/>
      <color rgb="FF0409D6"/>
      <name val="Calibri"/>
      <family val="2"/>
      <scheme val="minor"/>
    </font>
    <font>
      <sz val="10"/>
      <color rgb="FF0000E1"/>
      <name val="Calibri"/>
      <family val="2"/>
      <scheme val="minor"/>
    </font>
    <font>
      <i/>
      <u val="singleAccounting"/>
      <sz val="10"/>
      <color rgb="FF0409D6"/>
      <name val="Calibri"/>
      <family val="2"/>
      <scheme val="minor"/>
    </font>
    <font>
      <b/>
      <sz val="8.8000000000000007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 val="singleAccounting"/>
      <sz val="11"/>
      <color theme="0"/>
      <name val="Calibri"/>
      <family val="2"/>
      <scheme val="minor"/>
    </font>
    <font>
      <u/>
      <sz val="11"/>
      <color rgb="FF0000E1"/>
      <name val="Calibri"/>
      <family val="2"/>
      <scheme val="minor"/>
    </font>
    <font>
      <sz val="9"/>
      <color indexed="81"/>
      <name val="Tahoma"/>
      <family val="2"/>
    </font>
    <font>
      <b/>
      <u/>
      <sz val="11"/>
      <color rgb="FF000000"/>
      <name val="Calibri"/>
      <family val="2"/>
      <scheme val="minor"/>
    </font>
    <font>
      <i/>
      <sz val="12"/>
      <name val="Calibri"/>
      <family val="2"/>
      <scheme val="minor"/>
    </font>
    <font>
      <sz val="12"/>
      <color theme="1"/>
      <name val="Calibri"/>
      <family val="2"/>
    </font>
    <font>
      <sz val="12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0000CC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rgb="FFFFFFC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EBEBE6"/>
        <bgColor indexed="64"/>
      </patternFill>
    </fill>
    <fill>
      <patternFill patternType="solid">
        <fgColor rgb="FFDCE6EB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D9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65"/>
        <bgColor indexed="64"/>
      </patternFill>
    </fill>
  </fills>
  <borders count="4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B4C3D2"/>
      </top>
      <bottom style="thin">
        <color rgb="FFB4C3D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CBCBCB"/>
      </top>
      <bottom/>
      <diagonal/>
    </border>
    <border>
      <left style="thin">
        <color rgb="FFB4C3D2"/>
      </left>
      <right/>
      <top style="thin">
        <color rgb="FFB4C3D2"/>
      </top>
      <bottom style="thin">
        <color rgb="FFB4C3D2"/>
      </bottom>
      <diagonal/>
    </border>
    <border>
      <left/>
      <right style="thin">
        <color rgb="FFB4C3D2"/>
      </right>
      <top style="thin">
        <color rgb="FFB4C3D2"/>
      </top>
      <bottom style="thin">
        <color rgb="FFB4C3D2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rgb="FFB4C3D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double">
        <color theme="0" tint="-0.499984740745262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rgb="FFB4C3D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rgb="FF0409D6"/>
      </left>
      <right style="dotted">
        <color rgb="FF0409D6"/>
      </right>
      <top style="dotted">
        <color rgb="FF0409D6"/>
      </top>
      <bottom/>
      <diagonal/>
    </border>
    <border>
      <left style="dotted">
        <color rgb="FF0409D6"/>
      </left>
      <right style="dotted">
        <color rgb="FF0409D6"/>
      </right>
      <top/>
      <bottom/>
      <diagonal/>
    </border>
    <border>
      <left style="dotted">
        <color rgb="FF0409D6"/>
      </left>
      <right style="dotted">
        <color rgb="FF0409D6"/>
      </right>
      <top style="thin">
        <color indexed="64"/>
      </top>
      <bottom style="dotted">
        <color rgb="FF0409D6"/>
      </bottom>
      <diagonal/>
    </border>
    <border>
      <left style="thin">
        <color rgb="FFB4C3D2"/>
      </left>
      <right/>
      <top/>
      <bottom style="thin">
        <color rgb="FFB4C3D2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/>
      <right style="thin">
        <color rgb="FFB4C3D2"/>
      </right>
      <top style="thin">
        <color rgb="FFB4C3D2"/>
      </top>
      <bottom/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/>
      <top style="thin">
        <color rgb="FFB4C3D2"/>
      </top>
      <bottom style="thin">
        <color indexed="64"/>
      </bottom>
      <diagonal/>
    </border>
  </borders>
  <cellStyleXfs count="62">
    <xf numFmtId="0" fontId="0" fillId="0" borderId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" fillId="0" borderId="0"/>
    <xf numFmtId="0" fontId="16" fillId="0" borderId="0"/>
    <xf numFmtId="44" fontId="1" fillId="0" borderId="0" applyFont="0" applyFill="0" applyBorder="0" applyAlignment="0" applyProtection="0"/>
    <xf numFmtId="0" fontId="14" fillId="0" borderId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4" fillId="0" borderId="0"/>
    <xf numFmtId="0" fontId="26" fillId="0" borderId="0"/>
    <xf numFmtId="0" fontId="28" fillId="0" borderId="0"/>
    <xf numFmtId="0" fontId="28" fillId="0" borderId="0"/>
    <xf numFmtId="0" fontId="25" fillId="0" borderId="0"/>
    <xf numFmtId="0" fontId="27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29" fillId="0" borderId="0"/>
    <xf numFmtId="208" fontId="1" fillId="0" borderId="0" applyProtection="0"/>
    <xf numFmtId="0" fontId="30" fillId="0" borderId="0" applyAlignment="0"/>
    <xf numFmtId="0" fontId="31" fillId="9" borderId="0" applyAlignment="0"/>
    <xf numFmtId="0" fontId="32" fillId="10" borderId="0" applyAlignment="0"/>
    <xf numFmtId="0" fontId="33" fillId="11" borderId="0" applyAlignment="0"/>
    <xf numFmtId="0" fontId="34" fillId="12" borderId="0" applyAlignment="0"/>
    <xf numFmtId="0" fontId="35" fillId="0" borderId="0" applyAlignment="0"/>
    <xf numFmtId="208" fontId="9" fillId="0" borderId="0" applyProtection="0"/>
    <xf numFmtId="0" fontId="36" fillId="0" borderId="0" applyAlignment="0"/>
    <xf numFmtId="0" fontId="37" fillId="0" borderId="0" applyAlignment="0"/>
    <xf numFmtId="0" fontId="38" fillId="0" borderId="0" applyAlignment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39" fillId="0" borderId="0" applyNumberFormat="0" applyFill="0" applyBorder="0" applyAlignment="0" applyProtection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200" fontId="9" fillId="0" borderId="0" applyProtection="0">
      <alignment horizontal="right"/>
    </xf>
    <xf numFmtId="0" fontId="75" fillId="18" borderId="19" applyNumberFormat="0" applyAlignment="0" applyProtection="0"/>
    <xf numFmtId="0" fontId="76" fillId="19" borderId="20" applyNumberFormat="0" applyAlignment="0" applyProtection="0"/>
    <xf numFmtId="208" fontId="19" fillId="0" borderId="0" applyProtection="0"/>
    <xf numFmtId="208" fontId="11" fillId="0" borderId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208" fontId="11" fillId="5" borderId="0" applyProtection="0"/>
    <xf numFmtId="208" fontId="9" fillId="5" borderId="0" applyProtection="0"/>
    <xf numFmtId="0" fontId="77" fillId="0" borderId="0" applyNumberFormat="0" applyFill="0" applyBorder="0" applyAlignment="0" applyProtection="0"/>
    <xf numFmtId="0" fontId="84" fillId="0" borderId="0"/>
    <xf numFmtId="0" fontId="85" fillId="0" borderId="0"/>
    <xf numFmtId="0" fontId="86" fillId="0" borderId="0" applyNumberFormat="0" applyFill="0" applyBorder="0" applyAlignment="0" applyProtection="0"/>
    <xf numFmtId="0" fontId="76" fillId="19" borderId="20" applyNumberFormat="0" applyAlignment="0" applyProtection="0"/>
  </cellStyleXfs>
  <cellXfs count="1696">
    <xf numFmtId="0" fontId="0" fillId="0" borderId="0" xfId="0"/>
    <xf numFmtId="0" fontId="3" fillId="0" borderId="0" xfId="0" applyFont="1"/>
    <xf numFmtId="0" fontId="9" fillId="0" borderId="0" xfId="0" applyFont="1"/>
    <xf numFmtId="0" fontId="0" fillId="0" borderId="0" xfId="0" applyFont="1"/>
    <xf numFmtId="0" fontId="9" fillId="0" borderId="0" xfId="0" applyFont="1" applyBorder="1"/>
    <xf numFmtId="10" fontId="9" fillId="0" borderId="0" xfId="0" applyNumberFormat="1" applyFont="1" applyFill="1" applyProtection="1"/>
    <xf numFmtId="0" fontId="3" fillId="0" borderId="0" xfId="0" applyFont="1" applyAlignment="1">
      <alignment horizontal="center"/>
    </xf>
    <xf numFmtId="0" fontId="3" fillId="0" borderId="1" xfId="0" applyFont="1" applyBorder="1"/>
    <xf numFmtId="0" fontId="0" fillId="0" borderId="1" xfId="0" applyBorder="1"/>
    <xf numFmtId="10" fontId="9" fillId="0" borderId="0" xfId="0" applyNumberFormat="1" applyFont="1" applyBorder="1"/>
    <xf numFmtId="166" fontId="0" fillId="0" borderId="0" xfId="1" applyNumberFormat="1" applyFont="1" applyBorder="1"/>
    <xf numFmtId="166" fontId="9" fillId="0" borderId="0" xfId="1" applyNumberFormat="1" applyFont="1" applyBorder="1"/>
    <xf numFmtId="0" fontId="0" fillId="0" borderId="0" xfId="0" applyAlignment="1">
      <alignment vertical="center"/>
    </xf>
    <xf numFmtId="0" fontId="3" fillId="0" borderId="0" xfId="0" applyFont="1" applyAlignment="1">
      <alignment horizontal="right"/>
    </xf>
    <xf numFmtId="0" fontId="0" fillId="0" borderId="0" xfId="0" applyBorder="1"/>
    <xf numFmtId="176" fontId="19" fillId="0" borderId="0" xfId="0" applyNumberFormat="1" applyFont="1"/>
    <xf numFmtId="176" fontId="0" fillId="0" borderId="0" xfId="8" applyNumberFormat="1" applyFont="1"/>
    <xf numFmtId="0" fontId="0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vertical="center"/>
    </xf>
    <xf numFmtId="14" fontId="20" fillId="0" borderId="0" xfId="0" applyNumberFormat="1" applyFont="1" applyFill="1" applyBorder="1" applyAlignment="1">
      <alignment horizontal="centerContinuous" vertical="center"/>
    </xf>
    <xf numFmtId="0" fontId="0" fillId="0" borderId="0" xfId="0" applyFont="1" applyFill="1" applyBorder="1" applyAlignment="1">
      <alignment horizontal="centerContinuous" vertical="center"/>
    </xf>
    <xf numFmtId="0" fontId="10" fillId="8" borderId="3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14" fontId="20" fillId="0" borderId="2" xfId="0" applyNumberFormat="1" applyFont="1" applyFill="1" applyBorder="1" applyAlignment="1">
      <alignment horizontal="centerContinuous" vertical="center"/>
    </xf>
    <xf numFmtId="170" fontId="11" fillId="0" borderId="0" xfId="0" applyNumberFormat="1" applyFont="1" applyBorder="1" applyAlignment="1">
      <alignment horizontal="right"/>
    </xf>
    <xf numFmtId="0" fontId="20" fillId="0" borderId="2" xfId="0" applyFont="1" applyFill="1" applyBorder="1" applyAlignment="1">
      <alignment horizontal="centerContinuous"/>
    </xf>
    <xf numFmtId="0" fontId="3" fillId="0" borderId="0" xfId="0" applyFont="1" applyAlignment="1">
      <alignment horizontal="left"/>
    </xf>
    <xf numFmtId="0" fontId="22" fillId="0" borderId="0" xfId="0" applyFont="1"/>
    <xf numFmtId="166" fontId="0" fillId="0" borderId="1" xfId="1" applyNumberFormat="1" applyFont="1" applyBorder="1"/>
    <xf numFmtId="185" fontId="11" fillId="0" borderId="0" xfId="0" applyNumberFormat="1" applyFont="1"/>
    <xf numFmtId="185" fontId="9" fillId="0" borderId="0" xfId="0" applyNumberFormat="1" applyFont="1"/>
    <xf numFmtId="10" fontId="0" fillId="0" borderId="1" xfId="0" applyNumberFormat="1" applyFont="1" applyFill="1" applyBorder="1"/>
    <xf numFmtId="0" fontId="3" fillId="0" borderId="0" xfId="0" applyFont="1" applyAlignment="1">
      <alignment horizontal="right" vertical="center"/>
    </xf>
    <xf numFmtId="185" fontId="9" fillId="4" borderId="0" xfId="0" applyNumberFormat="1" applyFont="1" applyFill="1" applyAlignment="1">
      <alignment horizontal="center"/>
    </xf>
    <xf numFmtId="185" fontId="11" fillId="0" borderId="1" xfId="0" applyNumberFormat="1" applyFont="1" applyBorder="1"/>
    <xf numFmtId="0" fontId="10" fillId="8" borderId="0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1" fontId="21" fillId="0" borderId="0" xfId="0" applyNumberFormat="1" applyFont="1" applyBorder="1" applyAlignment="1">
      <alignment horizontal="center" vertical="center"/>
    </xf>
    <xf numFmtId="187" fontId="8" fillId="0" borderId="0" xfId="9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top"/>
    </xf>
    <xf numFmtId="0" fontId="41" fillId="3" borderId="0" xfId="7" applyFont="1" applyFill="1" applyAlignment="1">
      <alignment horizontal="left" vertical="top"/>
    </xf>
    <xf numFmtId="0" fontId="4" fillId="0" borderId="0" xfId="0" applyFont="1" applyAlignment="1">
      <alignment vertical="center"/>
    </xf>
    <xf numFmtId="0" fontId="40" fillId="0" borderId="0" xfId="0" applyFont="1"/>
    <xf numFmtId="0" fontId="4" fillId="0" borderId="0" xfId="0" applyFont="1"/>
    <xf numFmtId="0" fontId="42" fillId="3" borderId="0" xfId="7" applyFont="1" applyFill="1" applyAlignment="1">
      <alignment vertical="center"/>
    </xf>
    <xf numFmtId="0" fontId="42" fillId="3" borderId="0" xfId="7" applyFont="1" applyFill="1" applyAlignment="1">
      <alignment vertical="top"/>
    </xf>
    <xf numFmtId="0" fontId="3" fillId="3" borderId="0" xfId="7" applyFont="1" applyFill="1" applyAlignment="1">
      <alignment vertical="top"/>
    </xf>
    <xf numFmtId="164" fontId="19" fillId="0" borderId="0" xfId="0" applyNumberFormat="1" applyFont="1" applyBorder="1"/>
    <xf numFmtId="166" fontId="43" fillId="0" borderId="0" xfId="1" applyNumberFormat="1" applyFont="1" applyBorder="1"/>
    <xf numFmtId="10" fontId="19" fillId="0" borderId="0" xfId="0" applyNumberFormat="1" applyFont="1" applyBorder="1"/>
    <xf numFmtId="0" fontId="10" fillId="8" borderId="0" xfId="0" applyNumberFormat="1" applyFont="1" applyFill="1" applyBorder="1" applyAlignment="1">
      <alignment horizontal="left" vertical="center"/>
    </xf>
    <xf numFmtId="0" fontId="0" fillId="0" borderId="0" xfId="0" applyFont="1" applyFill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46" fillId="0" borderId="0" xfId="0" applyFont="1" applyAlignment="1">
      <alignment horizontal="centerContinuous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11" fillId="0" borderId="0" xfId="1" applyNumberFormat="1" applyFont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169" fontId="9" fillId="0" borderId="0" xfId="1" applyNumberFormat="1" applyFont="1" applyFill="1" applyBorder="1" applyAlignment="1">
      <alignment horizontal="center" vertical="center"/>
    </xf>
    <xf numFmtId="177" fontId="11" fillId="0" borderId="0" xfId="0" applyNumberFormat="1" applyFont="1" applyFill="1" applyBorder="1" applyAlignment="1" applyProtection="1">
      <alignment horizontal="right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left" vertical="center"/>
    </xf>
    <xf numFmtId="179" fontId="0" fillId="0" borderId="1" xfId="0" applyNumberFormat="1" applyFont="1" applyBorder="1" applyAlignment="1">
      <alignment vertical="center"/>
    </xf>
    <xf numFmtId="0" fontId="0" fillId="0" borderId="0" xfId="0" applyFont="1" applyBorder="1" applyAlignment="1">
      <alignment horizontal="right" vertical="center"/>
    </xf>
    <xf numFmtId="0" fontId="11" fillId="0" borderId="0" xfId="0" applyFont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182" fontId="9" fillId="0" borderId="0" xfId="0" applyNumberFormat="1" applyFont="1" applyFill="1" applyBorder="1" applyAlignment="1">
      <alignment horizontal="center" vertical="center"/>
    </xf>
    <xf numFmtId="179" fontId="0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Continuous" vertical="center"/>
    </xf>
    <xf numFmtId="0" fontId="20" fillId="0" borderId="0" xfId="0" applyFont="1" applyFill="1" applyBorder="1" applyAlignment="1">
      <alignment horizontal="centerContinuous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Continuous" vertical="center"/>
    </xf>
    <xf numFmtId="173" fontId="3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183" fontId="19" fillId="0" borderId="0" xfId="0" applyNumberFormat="1" applyFont="1" applyFill="1" applyBorder="1" applyAlignment="1" applyProtection="1">
      <alignment vertical="center"/>
    </xf>
    <xf numFmtId="0" fontId="5" fillId="0" borderId="1" xfId="0" applyFont="1" applyBorder="1" applyAlignment="1">
      <alignment horizontal="right" vertical="center"/>
    </xf>
    <xf numFmtId="166" fontId="0" fillId="0" borderId="0" xfId="0" applyNumberFormat="1" applyFont="1" applyBorder="1" applyAlignment="1">
      <alignment vertical="center"/>
    </xf>
    <xf numFmtId="169" fontId="3" fillId="0" borderId="0" xfId="0" applyNumberFormat="1" applyFont="1" applyBorder="1" applyAlignment="1">
      <alignment vertical="center"/>
    </xf>
    <xf numFmtId="171" fontId="3" fillId="0" borderId="0" xfId="0" applyNumberFormat="1" applyFont="1" applyBorder="1" applyAlignment="1">
      <alignment vertical="center"/>
    </xf>
    <xf numFmtId="183" fontId="7" fillId="0" borderId="0" xfId="0" applyNumberFormat="1" applyFont="1" applyFill="1" applyBorder="1" applyAlignment="1" applyProtection="1">
      <alignment vertical="center"/>
    </xf>
    <xf numFmtId="171" fontId="0" fillId="0" borderId="0" xfId="0" applyNumberFormat="1" applyFont="1" applyBorder="1" applyAlignment="1">
      <alignment vertical="center"/>
    </xf>
    <xf numFmtId="171" fontId="0" fillId="0" borderId="0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0" fillId="0" borderId="5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171" fontId="9" fillId="0" borderId="0" xfId="0" applyNumberFormat="1" applyFont="1" applyFill="1" applyBorder="1" applyAlignment="1">
      <alignment vertical="center"/>
    </xf>
    <xf numFmtId="0" fontId="0" fillId="0" borderId="0" xfId="0" applyFont="1" applyBorder="1" applyAlignment="1">
      <alignment horizontal="left" vertical="center"/>
    </xf>
    <xf numFmtId="179" fontId="0" fillId="0" borderId="0" xfId="0" applyNumberFormat="1" applyFont="1" applyBorder="1" applyAlignment="1">
      <alignment vertical="center"/>
    </xf>
    <xf numFmtId="171" fontId="0" fillId="0" borderId="1" xfId="0" applyNumberFormat="1" applyFont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71" fontId="3" fillId="0" borderId="0" xfId="0" applyNumberFormat="1" applyFont="1" applyFill="1" applyBorder="1" applyAlignment="1">
      <alignment vertical="center"/>
    </xf>
    <xf numFmtId="0" fontId="0" fillId="4" borderId="0" xfId="0" applyFont="1" applyFill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179" fontId="0" fillId="0" borderId="0" xfId="0" applyNumberFormat="1" applyFont="1" applyFill="1" applyBorder="1" applyAlignment="1">
      <alignment vertical="center"/>
    </xf>
    <xf numFmtId="10" fontId="5" fillId="0" borderId="0" xfId="0" applyNumberFormat="1" applyFont="1" applyBorder="1" applyAlignment="1">
      <alignment vertical="center"/>
    </xf>
    <xf numFmtId="170" fontId="0" fillId="0" borderId="0" xfId="0" applyNumberFormat="1" applyFont="1" applyFill="1" applyBorder="1" applyAlignment="1">
      <alignment vertical="center"/>
    </xf>
    <xf numFmtId="0" fontId="18" fillId="0" borderId="0" xfId="0" applyFont="1" applyBorder="1" applyAlignment="1">
      <alignment vertical="center"/>
    </xf>
    <xf numFmtId="169" fontId="0" fillId="0" borderId="0" xfId="0" applyNumberFormat="1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/>
    </xf>
    <xf numFmtId="0" fontId="15" fillId="0" borderId="0" xfId="0" applyFont="1" applyBorder="1" applyAlignment="1">
      <alignment vertical="center"/>
    </xf>
    <xf numFmtId="0" fontId="15" fillId="0" borderId="0" xfId="0" applyFont="1" applyAlignment="1">
      <alignment vertical="center"/>
    </xf>
    <xf numFmtId="168" fontId="0" fillId="0" borderId="0" xfId="0" applyNumberFormat="1" applyFont="1" applyBorder="1" applyAlignment="1">
      <alignment vertical="center"/>
    </xf>
    <xf numFmtId="169" fontId="3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179" fontId="9" fillId="0" borderId="0" xfId="0" applyNumberFormat="1" applyFont="1" applyFill="1" applyBorder="1" applyAlignment="1">
      <alignment vertical="center"/>
    </xf>
    <xf numFmtId="171" fontId="9" fillId="7" borderId="0" xfId="0" applyNumberFormat="1" applyFont="1" applyFill="1" applyBorder="1" applyAlignment="1">
      <alignment vertical="center"/>
    </xf>
    <xf numFmtId="171" fontId="0" fillId="7" borderId="0" xfId="0" applyNumberFormat="1" applyFont="1" applyFill="1" applyBorder="1" applyAlignment="1">
      <alignment vertical="center"/>
    </xf>
    <xf numFmtId="179" fontId="0" fillId="7" borderId="0" xfId="0" applyNumberFormat="1" applyFont="1" applyFill="1" applyBorder="1" applyAlignment="1">
      <alignment vertical="center"/>
    </xf>
    <xf numFmtId="179" fontId="9" fillId="5" borderId="0" xfId="0" applyNumberFormat="1" applyFont="1" applyFill="1" applyBorder="1" applyAlignment="1">
      <alignment vertical="center"/>
    </xf>
    <xf numFmtId="179" fontId="9" fillId="7" borderId="0" xfId="0" applyNumberFormat="1" applyFont="1" applyFill="1" applyBorder="1" applyAlignment="1">
      <alignment vertical="center"/>
    </xf>
    <xf numFmtId="0" fontId="3" fillId="0" borderId="1" xfId="0" applyNumberFormat="1" applyFont="1" applyBorder="1" applyAlignment="1">
      <alignment horizontal="left" vertical="center"/>
    </xf>
    <xf numFmtId="171" fontId="0" fillId="7" borderId="1" xfId="0" applyNumberFormat="1" applyFont="1" applyFill="1" applyBorder="1" applyAlignment="1">
      <alignment vertical="center"/>
    </xf>
    <xf numFmtId="179" fontId="0" fillId="0" borderId="1" xfId="0" applyNumberFormat="1" applyFont="1" applyFill="1" applyBorder="1" applyAlignment="1">
      <alignment vertical="center"/>
    </xf>
    <xf numFmtId="179" fontId="0" fillId="7" borderId="1" xfId="0" applyNumberFormat="1" applyFont="1" applyFill="1" applyBorder="1" applyAlignment="1">
      <alignment vertical="center"/>
    </xf>
    <xf numFmtId="179" fontId="3" fillId="0" borderId="1" xfId="0" applyNumberFormat="1" applyFont="1" applyBorder="1" applyAlignment="1">
      <alignment vertical="center"/>
    </xf>
    <xf numFmtId="0" fontId="3" fillId="0" borderId="0" xfId="0" applyNumberFormat="1" applyFont="1" applyBorder="1" applyAlignment="1">
      <alignment horizontal="left" vertical="center"/>
    </xf>
    <xf numFmtId="171" fontId="3" fillId="7" borderId="0" xfId="0" applyNumberFormat="1" applyFont="1" applyFill="1" applyBorder="1" applyAlignment="1">
      <alignment vertical="center"/>
    </xf>
    <xf numFmtId="179" fontId="3" fillId="7" borderId="0" xfId="0" applyNumberFormat="1" applyFont="1" applyFill="1" applyBorder="1" applyAlignment="1">
      <alignment vertical="center"/>
    </xf>
    <xf numFmtId="0" fontId="0" fillId="0" borderId="0" xfId="0" applyNumberFormat="1" applyFont="1" applyBorder="1" applyAlignment="1">
      <alignment horizontal="left" vertical="center"/>
    </xf>
    <xf numFmtId="0" fontId="10" fillId="0" borderId="0" xfId="1" applyNumberFormat="1" applyFont="1" applyBorder="1" applyAlignment="1">
      <alignment horizontal="left" vertical="center"/>
    </xf>
    <xf numFmtId="179" fontId="3" fillId="0" borderId="0" xfId="0" applyNumberFormat="1" applyFont="1" applyFill="1" applyBorder="1" applyAlignment="1">
      <alignment vertical="center"/>
    </xf>
    <xf numFmtId="179" fontId="3" fillId="0" borderId="0" xfId="0" applyNumberFormat="1" applyFont="1" applyBorder="1" applyAlignment="1">
      <alignment vertical="center"/>
    </xf>
    <xf numFmtId="171" fontId="11" fillId="0" borderId="0" xfId="0" applyNumberFormat="1" applyFont="1" applyFill="1" applyBorder="1" applyAlignment="1">
      <alignment vertical="center"/>
    </xf>
    <xf numFmtId="0" fontId="3" fillId="0" borderId="5" xfId="0" applyNumberFormat="1" applyFont="1" applyBorder="1" applyAlignment="1">
      <alignment horizontal="left" vertical="center"/>
    </xf>
    <xf numFmtId="171" fontId="3" fillId="0" borderId="5" xfId="0" applyNumberFormat="1" applyFont="1" applyFill="1" applyBorder="1" applyAlignment="1">
      <alignment vertical="center"/>
    </xf>
    <xf numFmtId="171" fontId="3" fillId="7" borderId="5" xfId="0" applyNumberFormat="1" applyFont="1" applyFill="1" applyBorder="1" applyAlignment="1">
      <alignment vertical="center"/>
    </xf>
    <xf numFmtId="179" fontId="3" fillId="0" borderId="5" xfId="0" applyNumberFormat="1" applyFont="1" applyFill="1" applyBorder="1" applyAlignment="1">
      <alignment vertical="center"/>
    </xf>
    <xf numFmtId="171" fontId="3" fillId="0" borderId="5" xfId="0" applyNumberFormat="1" applyFont="1" applyBorder="1" applyAlignment="1">
      <alignment vertical="center"/>
    </xf>
    <xf numFmtId="179" fontId="3" fillId="0" borderId="5" xfId="0" applyNumberFormat="1" applyFont="1" applyBorder="1" applyAlignment="1">
      <alignment vertical="center"/>
    </xf>
    <xf numFmtId="179" fontId="3" fillId="0" borderId="0" xfId="0" applyNumberFormat="1" applyFont="1" applyAlignment="1">
      <alignment vertical="center"/>
    </xf>
    <xf numFmtId="184" fontId="0" fillId="0" borderId="0" xfId="0" applyNumberFormat="1" applyFont="1" applyAlignment="1">
      <alignment vertical="center"/>
    </xf>
    <xf numFmtId="190" fontId="44" fillId="0" borderId="0" xfId="0" applyNumberFormat="1" applyFont="1" applyAlignment="1">
      <alignment vertical="center"/>
    </xf>
    <xf numFmtId="0" fontId="0" fillId="0" borderId="0" xfId="0" applyFont="1" applyAlignment="1">
      <alignment horizontal="centerContinuous" vertical="center"/>
    </xf>
    <xf numFmtId="10" fontId="9" fillId="0" borderId="0" xfId="0" applyNumberFormat="1" applyFont="1" applyBorder="1" applyAlignment="1" applyProtection="1">
      <alignment horizontal="center" vertical="center"/>
    </xf>
    <xf numFmtId="0" fontId="17" fillId="0" borderId="0" xfId="0" applyFont="1" applyAlignment="1">
      <alignment horizontal="center" vertical="center"/>
    </xf>
    <xf numFmtId="174" fontId="5" fillId="0" borderId="0" xfId="0" applyNumberFormat="1" applyFont="1" applyBorder="1" applyAlignment="1">
      <alignment horizontal="center" vertical="center"/>
    </xf>
    <xf numFmtId="0" fontId="11" fillId="0" borderId="0" xfId="0" applyFont="1" applyBorder="1"/>
    <xf numFmtId="0" fontId="10" fillId="0" borderId="0" xfId="0" applyFont="1" applyBorder="1"/>
    <xf numFmtId="0" fontId="0" fillId="0" borderId="0" xfId="0" applyFont="1" applyBorder="1"/>
    <xf numFmtId="0" fontId="0" fillId="0" borderId="0" xfId="0" applyFont="1" applyFill="1" applyBorder="1"/>
    <xf numFmtId="170" fontId="9" fillId="0" borderId="0" xfId="0" applyNumberFormat="1" applyFont="1"/>
    <xf numFmtId="0" fontId="9" fillId="0" borderId="0" xfId="0" applyFont="1" applyAlignment="1">
      <alignment horizontal="left" indent="1"/>
    </xf>
    <xf numFmtId="0" fontId="11" fillId="0" borderId="0" xfId="0" applyFont="1" applyBorder="1" applyAlignment="1">
      <alignment horizontal="left" indent="1"/>
    </xf>
    <xf numFmtId="0" fontId="11" fillId="0" borderId="1" xfId="0" applyFont="1" applyBorder="1" applyAlignment="1">
      <alignment horizontal="left" indent="1"/>
    </xf>
    <xf numFmtId="170" fontId="9" fillId="0" borderId="1" xfId="0" applyNumberFormat="1" applyFont="1" applyBorder="1"/>
    <xf numFmtId="0" fontId="47" fillId="0" borderId="0" xfId="0" applyFont="1" applyAlignment="1">
      <alignment horizontal="centerContinuous" vertical="center"/>
    </xf>
    <xf numFmtId="174" fontId="7" fillId="0" borderId="0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Continuous"/>
    </xf>
    <xf numFmtId="0" fontId="47" fillId="0" borderId="0" xfId="0" applyFont="1" applyAlignment="1">
      <alignment horizontal="centerContinuous"/>
    </xf>
    <xf numFmtId="189" fontId="11" fillId="0" borderId="0" xfId="0" applyNumberFormat="1" applyFont="1" applyFill="1" applyBorder="1" applyAlignment="1" applyProtection="1">
      <alignment vertical="center"/>
    </xf>
    <xf numFmtId="0" fontId="3" fillId="0" borderId="6" xfId="0" applyFont="1" applyBorder="1" applyAlignment="1">
      <alignment vertical="center"/>
    </xf>
    <xf numFmtId="0" fontId="0" fillId="4" borderId="0" xfId="0" applyFill="1"/>
    <xf numFmtId="0" fontId="0" fillId="0" borderId="0" xfId="0" applyFont="1" applyAlignment="1">
      <alignment horizontal="right" vertical="center"/>
    </xf>
    <xf numFmtId="0" fontId="11" fillId="0" borderId="1" xfId="0" applyFont="1" applyBorder="1" applyAlignment="1">
      <alignment horizontal="left" vertical="center"/>
    </xf>
    <xf numFmtId="177" fontId="10" fillId="0" borderId="0" xfId="0" applyNumberFormat="1" applyFont="1" applyFill="1" applyBorder="1" applyAlignment="1">
      <alignment horizontal="right" vertical="center"/>
    </xf>
    <xf numFmtId="177" fontId="10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47" fillId="0" borderId="0" xfId="0" applyFont="1" applyBorder="1" applyAlignment="1">
      <alignment horizontal="centerContinuous" vertical="center"/>
    </xf>
    <xf numFmtId="0" fontId="5" fillId="0" borderId="0" xfId="0" applyFont="1" applyFill="1" applyBorder="1" applyAlignment="1">
      <alignment horizontal="center" vertical="center"/>
    </xf>
    <xf numFmtId="192" fontId="9" fillId="0" borderId="0" xfId="0" applyNumberFormat="1" applyFont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/>
    </xf>
    <xf numFmtId="0" fontId="0" fillId="0" borderId="0" xfId="0" applyFill="1"/>
    <xf numFmtId="0" fontId="49" fillId="0" borderId="0" xfId="0" applyFont="1" applyAlignment="1">
      <alignment horizontal="centerContinuous"/>
    </xf>
    <xf numFmtId="0" fontId="22" fillId="0" borderId="0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177" fontId="8" fillId="0" borderId="0" xfId="0" applyNumberFormat="1" applyFont="1" applyFill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Continuous" vertical="center"/>
    </xf>
    <xf numFmtId="0" fontId="0" fillId="0" borderId="0" xfId="0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193" fontId="9" fillId="0" borderId="0" xfId="0" applyNumberFormat="1" applyFont="1" applyFill="1" applyBorder="1" applyAlignment="1">
      <alignment horizontal="center" vertical="center"/>
    </xf>
    <xf numFmtId="182" fontId="0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Continuous" vertical="center"/>
    </xf>
    <xf numFmtId="0" fontId="52" fillId="0" borderId="0" xfId="0" applyFont="1" applyBorder="1" applyAlignment="1">
      <alignment vertical="center"/>
    </xf>
    <xf numFmtId="0" fontId="0" fillId="0" borderId="1" xfId="0" applyFont="1" applyBorder="1"/>
    <xf numFmtId="179" fontId="0" fillId="0" borderId="0" xfId="0" applyNumberFormat="1" applyFont="1" applyAlignment="1">
      <alignment horizontal="center"/>
    </xf>
    <xf numFmtId="0" fontId="10" fillId="0" borderId="0" xfId="0" applyFont="1" applyFill="1" applyBorder="1" applyAlignment="1">
      <alignment vertical="center"/>
    </xf>
    <xf numFmtId="182" fontId="0" fillId="0" borderId="0" xfId="0" applyNumberFormat="1" applyFont="1" applyAlignment="1">
      <alignment horizontal="center"/>
    </xf>
    <xf numFmtId="0" fontId="0" fillId="0" borderId="0" xfId="6" applyFont="1"/>
    <xf numFmtId="0" fontId="0" fillId="0" borderId="0" xfId="0" applyFont="1" applyAlignment="1">
      <alignment horizontal="left"/>
    </xf>
    <xf numFmtId="0" fontId="0" fillId="0" borderId="1" xfId="0" applyFont="1" applyBorder="1" applyAlignment="1">
      <alignment horizontal="left"/>
    </xf>
    <xf numFmtId="166" fontId="0" fillId="0" borderId="1" xfId="0" applyNumberFormat="1" applyFont="1" applyBorder="1"/>
    <xf numFmtId="166" fontId="0" fillId="0" borderId="0" xfId="0" applyNumberFormat="1" applyFont="1"/>
    <xf numFmtId="0" fontId="0" fillId="0" borderId="1" xfId="0" applyFont="1" applyBorder="1" applyAlignment="1">
      <alignment horizontal="center"/>
    </xf>
    <xf numFmtId="0" fontId="0" fillId="4" borderId="0" xfId="0" applyFont="1" applyFill="1" applyAlignment="1">
      <alignment horizontal="right"/>
    </xf>
    <xf numFmtId="0" fontId="0" fillId="4" borderId="0" xfId="0" applyFont="1" applyFill="1" applyAlignment="1">
      <alignment horizontal="center"/>
    </xf>
    <xf numFmtId="166" fontId="0" fillId="5" borderId="0" xfId="0" applyNumberFormat="1" applyFont="1" applyFill="1" applyAlignment="1">
      <alignment horizontal="right"/>
    </xf>
    <xf numFmtId="186" fontId="0" fillId="0" borderId="1" xfId="0" applyNumberFormat="1" applyFont="1" applyBorder="1" applyAlignment="1">
      <alignment horizontal="left"/>
    </xf>
    <xf numFmtId="166" fontId="0" fillId="0" borderId="1" xfId="0" applyNumberFormat="1" applyFont="1" applyBorder="1" applyAlignment="1">
      <alignment horizontal="right"/>
    </xf>
    <xf numFmtId="186" fontId="0" fillId="0" borderId="0" xfId="0" applyNumberFormat="1" applyFont="1" applyAlignment="1">
      <alignment horizontal="left"/>
    </xf>
    <xf numFmtId="166" fontId="0" fillId="0" borderId="0" xfId="0" applyNumberFormat="1" applyFont="1" applyAlignment="1">
      <alignment horizontal="right"/>
    </xf>
    <xf numFmtId="174" fontId="12" fillId="0" borderId="1" xfId="0" applyNumberFormat="1" applyFont="1" applyBorder="1" applyAlignment="1">
      <alignment horizontal="right" vertical="center"/>
    </xf>
    <xf numFmtId="174" fontId="5" fillId="0" borderId="1" xfId="0" applyNumberFormat="1" applyFont="1" applyBorder="1" applyAlignment="1">
      <alignment horizontal="right" vertical="center"/>
    </xf>
    <xf numFmtId="0" fontId="0" fillId="0" borderId="0" xfId="0" applyFont="1" applyFill="1" applyAlignment="1">
      <alignment horizontal="left"/>
    </xf>
    <xf numFmtId="0" fontId="0" fillId="0" borderId="0" xfId="0" applyFont="1" applyFill="1"/>
    <xf numFmtId="166" fontId="1" fillId="0" borderId="0" xfId="1" applyNumberFormat="1" applyFont="1" applyFill="1" applyBorder="1"/>
    <xf numFmtId="166" fontId="19" fillId="0" borderId="0" xfId="1" applyNumberFormat="1" applyFont="1" applyBorder="1"/>
    <xf numFmtId="185" fontId="11" fillId="0" borderId="0" xfId="0" applyNumberFormat="1" applyFont="1" applyAlignment="1">
      <alignment horizontal="right"/>
    </xf>
    <xf numFmtId="0" fontId="54" fillId="0" borderId="1" xfId="0" applyFont="1" applyBorder="1" applyAlignment="1">
      <alignment horizontal="left" vertical="center"/>
    </xf>
    <xf numFmtId="0" fontId="45" fillId="0" borderId="0" xfId="0" applyFont="1" applyBorder="1" applyAlignment="1">
      <alignment vertical="center"/>
    </xf>
    <xf numFmtId="2" fontId="5" fillId="0" borderId="0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187" fontId="11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/>
    <xf numFmtId="0" fontId="0" fillId="0" borderId="0" xfId="0" applyFont="1" applyFill="1" applyAlignment="1"/>
    <xf numFmtId="0" fontId="5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center"/>
    </xf>
    <xf numFmtId="177" fontId="11" fillId="5" borderId="0" xfId="0" applyNumberFormat="1" applyFont="1" applyFill="1" applyBorder="1" applyAlignment="1" applyProtection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55" fillId="0" borderId="0" xfId="0" applyFont="1" applyBorder="1" applyAlignment="1">
      <alignment horizontal="left" vertical="center"/>
    </xf>
    <xf numFmtId="0" fontId="52" fillId="0" borderId="0" xfId="0" applyFont="1" applyFill="1" applyBorder="1" applyAlignment="1">
      <alignment vertical="center"/>
    </xf>
    <xf numFmtId="0" fontId="0" fillId="0" borderId="0" xfId="0" applyFont="1" applyBorder="1" applyAlignment="1">
      <alignment horizontal="left" vertical="center" indent="1"/>
    </xf>
    <xf numFmtId="0" fontId="0" fillId="0" borderId="1" xfId="0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0" fillId="0" borderId="5" xfId="0" applyFont="1" applyBorder="1" applyAlignment="1">
      <alignment horizontal="left" vertical="center"/>
    </xf>
    <xf numFmtId="166" fontId="7" fillId="0" borderId="0" xfId="1" applyNumberFormat="1" applyFont="1" applyBorder="1" applyAlignment="1">
      <alignment horizontal="left" vertical="center"/>
    </xf>
    <xf numFmtId="179" fontId="0" fillId="0" borderId="0" xfId="0" applyNumberFormat="1" applyFont="1" applyFill="1" applyBorder="1"/>
    <xf numFmtId="0" fontId="11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0" fillId="4" borderId="0" xfId="0" applyFont="1" applyFill="1" applyAlignment="1">
      <alignment vertical="center"/>
    </xf>
    <xf numFmtId="179" fontId="9" fillId="0" borderId="0" xfId="0" applyNumberFormat="1" applyFont="1" applyBorder="1" applyAlignment="1">
      <alignment horizontal="center" vertical="center"/>
    </xf>
    <xf numFmtId="191" fontId="5" fillId="0" borderId="0" xfId="0" applyNumberFormat="1" applyFont="1" applyAlignment="1">
      <alignment horizontal="center" vertical="center"/>
    </xf>
    <xf numFmtId="197" fontId="5" fillId="0" borderId="0" xfId="0" applyNumberFormat="1" applyFont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left" vertical="center" indent="1"/>
    </xf>
    <xf numFmtId="0" fontId="48" fillId="0" borderId="0" xfId="0" applyFont="1" applyBorder="1" applyAlignment="1">
      <alignment vertical="center"/>
    </xf>
    <xf numFmtId="174" fontId="7" fillId="0" borderId="0" xfId="0" applyNumberFormat="1" applyFont="1" applyFill="1" applyBorder="1" applyAlignment="1">
      <alignment horizontal="center" vertical="center"/>
    </xf>
    <xf numFmtId="0" fontId="54" fillId="0" borderId="0" xfId="0" applyFont="1" applyBorder="1" applyAlignment="1">
      <alignment horizontal="left" vertical="center"/>
    </xf>
    <xf numFmtId="0" fontId="58" fillId="0" borderId="1" xfId="0" applyFont="1" applyFill="1" applyBorder="1" applyAlignment="1">
      <alignment vertical="center"/>
    </xf>
    <xf numFmtId="0" fontId="53" fillId="14" borderId="0" xfId="0" applyFont="1" applyFill="1" applyAlignment="1">
      <alignment vertical="center"/>
    </xf>
    <xf numFmtId="0" fontId="51" fillId="14" borderId="0" xfId="0" applyFont="1" applyFill="1" applyAlignment="1">
      <alignment vertical="center"/>
    </xf>
    <xf numFmtId="0" fontId="51" fillId="0" borderId="0" xfId="0" applyFont="1" applyFill="1"/>
    <xf numFmtId="0" fontId="0" fillId="0" borderId="6" xfId="0" applyFont="1" applyBorder="1" applyAlignment="1">
      <alignment vertical="center"/>
    </xf>
    <xf numFmtId="0" fontId="51" fillId="14" borderId="0" xfId="0" applyFont="1" applyFill="1" applyBorder="1" applyAlignment="1">
      <alignment vertical="center"/>
    </xf>
    <xf numFmtId="0" fontId="5" fillId="0" borderId="6" xfId="0" applyFont="1" applyBorder="1" applyAlignment="1">
      <alignment horizontal="left" vertical="center"/>
    </xf>
    <xf numFmtId="0" fontId="0" fillId="0" borderId="6" xfId="0" applyFont="1" applyBorder="1"/>
    <xf numFmtId="0" fontId="3" fillId="0" borderId="0" xfId="0" applyFont="1" applyBorder="1" applyAlignment="1">
      <alignment horizontal="left" vertical="center"/>
    </xf>
    <xf numFmtId="0" fontId="13" fillId="0" borderId="0" xfId="0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179" fontId="3" fillId="0" borderId="0" xfId="0" applyNumberFormat="1" applyFont="1" applyBorder="1"/>
    <xf numFmtId="0" fontId="3" fillId="0" borderId="0" xfId="0" applyFont="1" applyBorder="1" applyAlignment="1">
      <alignment horizontal="centerContinuous" vertical="center"/>
    </xf>
    <xf numFmtId="0" fontId="11" fillId="0" borderId="0" xfId="1" applyNumberFormat="1" applyFont="1" applyBorder="1" applyAlignment="1">
      <alignment horizontal="left" vertical="center" indent="1"/>
    </xf>
    <xf numFmtId="0" fontId="11" fillId="0" borderId="0" xfId="1" applyNumberFormat="1" applyFont="1" applyFill="1" applyBorder="1" applyAlignment="1">
      <alignment horizontal="left" vertical="center" indent="1"/>
    </xf>
    <xf numFmtId="0" fontId="0" fillId="0" borderId="0" xfId="0" applyNumberFormat="1" applyFont="1" applyBorder="1" applyAlignment="1">
      <alignment horizontal="left" vertical="center" indent="1"/>
    </xf>
    <xf numFmtId="0" fontId="50" fillId="3" borderId="0" xfId="7" applyFont="1" applyFill="1" applyAlignment="1">
      <alignment vertical="top"/>
    </xf>
    <xf numFmtId="0" fontId="59" fillId="3" borderId="0" xfId="7" applyFont="1" applyFill="1" applyAlignment="1">
      <alignment vertical="center"/>
    </xf>
    <xf numFmtId="0" fontId="4" fillId="0" borderId="0" xfId="0" applyFont="1" applyBorder="1" applyAlignment="1">
      <alignment vertical="top"/>
    </xf>
    <xf numFmtId="0" fontId="50" fillId="3" borderId="1" xfId="7" applyFont="1" applyFill="1" applyBorder="1" applyAlignment="1">
      <alignment vertical="top"/>
    </xf>
    <xf numFmtId="0" fontId="41" fillId="3" borderId="1" xfId="7" applyFont="1" applyFill="1" applyBorder="1" applyAlignment="1">
      <alignment horizontal="left" vertical="top"/>
    </xf>
    <xf numFmtId="0" fontId="4" fillId="0" borderId="1" xfId="0" applyFont="1" applyBorder="1" applyAlignment="1">
      <alignment vertical="top"/>
    </xf>
    <xf numFmtId="0" fontId="42" fillId="3" borderId="1" xfId="7" applyFont="1" applyFill="1" applyBorder="1" applyAlignment="1">
      <alignment vertical="top"/>
    </xf>
    <xf numFmtId="0" fontId="59" fillId="3" borderId="1" xfId="7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4" fillId="0" borderId="6" xfId="0" applyFont="1" applyBorder="1" applyAlignment="1">
      <alignment vertical="center"/>
    </xf>
    <xf numFmtId="0" fontId="41" fillId="3" borderId="6" xfId="7" applyFont="1" applyFill="1" applyBorder="1" applyAlignment="1">
      <alignment horizontal="left"/>
    </xf>
    <xf numFmtId="0" fontId="4" fillId="0" borderId="6" xfId="0" applyFont="1" applyBorder="1"/>
    <xf numFmtId="0" fontId="57" fillId="0" borderId="0" xfId="0" applyFont="1"/>
    <xf numFmtId="0" fontId="0" fillId="0" borderId="6" xfId="0" applyFont="1" applyBorder="1" applyAlignment="1">
      <alignment horizontal="center"/>
    </xf>
    <xf numFmtId="0" fontId="3" fillId="0" borderId="6" xfId="0" applyFont="1" applyBorder="1"/>
    <xf numFmtId="166" fontId="9" fillId="0" borderId="6" xfId="1" applyNumberFormat="1" applyFont="1" applyBorder="1"/>
    <xf numFmtId="166" fontId="3" fillId="0" borderId="1" xfId="1" applyNumberFormat="1" applyFont="1" applyBorder="1"/>
    <xf numFmtId="0" fontId="22" fillId="0" borderId="6" xfId="0" applyFont="1" applyBorder="1"/>
    <xf numFmtId="0" fontId="0" fillId="0" borderId="6" xfId="0" applyBorder="1"/>
    <xf numFmtId="170" fontId="19" fillId="0" borderId="0" xfId="0" applyNumberFormat="1" applyFont="1" applyBorder="1" applyAlignment="1">
      <alignment horizontal="right"/>
    </xf>
    <xf numFmtId="0" fontId="5" fillId="0" borderId="0" xfId="0" applyFont="1" applyAlignment="1">
      <alignment horizontal="center"/>
    </xf>
    <xf numFmtId="0" fontId="0" fillId="0" borderId="0" xfId="0" applyFont="1" applyFill="1" applyBorder="1" applyAlignment="1">
      <alignment horizontal="left" vertical="center" indent="1"/>
    </xf>
    <xf numFmtId="0" fontId="13" fillId="0" borderId="0" xfId="0" applyFont="1" applyFill="1" applyAlignment="1">
      <alignment horizontal="centerContinuous"/>
    </xf>
    <xf numFmtId="0" fontId="13" fillId="0" borderId="0" xfId="0" applyFont="1" applyAlignment="1">
      <alignment horizontal="centerContinuous"/>
    </xf>
    <xf numFmtId="0" fontId="13" fillId="0" borderId="0" xfId="0" applyFont="1" applyBorder="1" applyAlignment="1">
      <alignment horizontal="centerContinuous"/>
    </xf>
    <xf numFmtId="0" fontId="56" fillId="0" borderId="0" xfId="0" applyFont="1" applyAlignment="1">
      <alignment horizontal="centerContinuous"/>
    </xf>
    <xf numFmtId="0" fontId="45" fillId="0" borderId="0" xfId="0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0" fontId="48" fillId="0" borderId="0" xfId="0" applyFont="1" applyBorder="1" applyAlignment="1">
      <alignment horizontal="right" vertical="center"/>
    </xf>
    <xf numFmtId="0" fontId="48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48" fillId="0" borderId="0" xfId="0" applyFont="1" applyAlignment="1">
      <alignment vertical="center"/>
    </xf>
    <xf numFmtId="169" fontId="9" fillId="0" borderId="0" xfId="1" applyNumberFormat="1" applyFont="1" applyFill="1" applyBorder="1" applyAlignment="1">
      <alignment horizontal="right" vertical="center"/>
    </xf>
    <xf numFmtId="0" fontId="11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vertical="center"/>
    </xf>
    <xf numFmtId="0" fontId="52" fillId="0" borderId="0" xfId="0" applyFont="1"/>
    <xf numFmtId="0" fontId="9" fillId="0" borderId="0" xfId="0" applyFont="1" applyFill="1" applyAlignment="1">
      <alignment horizontal="left" indent="1"/>
    </xf>
    <xf numFmtId="0" fontId="0" fillId="0" borderId="0" xfId="0" applyFill="1" applyBorder="1"/>
    <xf numFmtId="0" fontId="0" fillId="0" borderId="0" xfId="0" applyAlignment="1">
      <alignment horizontal="left"/>
    </xf>
    <xf numFmtId="0" fontId="0" fillId="0" borderId="0" xfId="0" applyFont="1" applyBorder="1" applyAlignment="1"/>
    <xf numFmtId="201" fontId="0" fillId="0" borderId="0" xfId="0" applyNumberFormat="1" applyFont="1" applyBorder="1" applyAlignment="1">
      <alignment vertical="center"/>
    </xf>
    <xf numFmtId="201" fontId="9" fillId="0" borderId="0" xfId="0" applyNumberFormat="1" applyFont="1" applyBorder="1" applyAlignment="1">
      <alignment vertical="center"/>
    </xf>
    <xf numFmtId="201" fontId="3" fillId="0" borderId="1" xfId="0" applyNumberFormat="1" applyFont="1" applyBorder="1" applyAlignment="1">
      <alignment vertical="center"/>
    </xf>
    <xf numFmtId="201" fontId="0" fillId="0" borderId="0" xfId="0" applyNumberFormat="1" applyFont="1" applyFill="1" applyBorder="1" applyAlignment="1">
      <alignment vertical="center"/>
    </xf>
    <xf numFmtId="201" fontId="3" fillId="0" borderId="1" xfId="1" applyNumberFormat="1" applyFont="1" applyBorder="1" applyAlignment="1">
      <alignment vertical="center"/>
    </xf>
    <xf numFmtId="201" fontId="3" fillId="0" borderId="0" xfId="0" applyNumberFormat="1" applyFont="1" applyFill="1" applyBorder="1" applyAlignment="1">
      <alignment vertical="center"/>
    </xf>
    <xf numFmtId="201" fontId="0" fillId="0" borderId="0" xfId="0" applyNumberFormat="1"/>
    <xf numFmtId="201" fontId="0" fillId="0" borderId="1" xfId="0" applyNumberFormat="1" applyFont="1" applyBorder="1"/>
    <xf numFmtId="201" fontId="0" fillId="4" borderId="0" xfId="0" applyNumberFormat="1" applyFont="1" applyFill="1" applyBorder="1" applyAlignment="1">
      <alignment vertical="center"/>
    </xf>
    <xf numFmtId="201" fontId="0" fillId="5" borderId="0" xfId="0" applyNumberFormat="1" applyFont="1" applyFill="1" applyBorder="1" applyAlignment="1">
      <alignment vertical="center"/>
    </xf>
    <xf numFmtId="201" fontId="0" fillId="5" borderId="1" xfId="0" applyNumberFormat="1" applyFont="1" applyFill="1" applyBorder="1" applyAlignment="1">
      <alignment vertical="center"/>
    </xf>
    <xf numFmtId="201" fontId="0" fillId="0" borderId="0" xfId="0" applyNumberFormat="1" applyFont="1" applyAlignment="1">
      <alignment vertical="center"/>
    </xf>
    <xf numFmtId="201" fontId="0" fillId="0" borderId="1" xfId="0" applyNumberFormat="1" applyFont="1" applyBorder="1" applyAlignment="1">
      <alignment vertical="center"/>
    </xf>
    <xf numFmtId="201" fontId="0" fillId="0" borderId="0" xfId="0" applyNumberFormat="1" applyFont="1"/>
    <xf numFmtId="201" fontId="0" fillId="0" borderId="6" xfId="0" applyNumberFormat="1" applyFont="1" applyBorder="1" applyAlignment="1">
      <alignment vertical="center"/>
    </xf>
    <xf numFmtId="201" fontId="0" fillId="4" borderId="0" xfId="1" applyNumberFormat="1" applyFont="1" applyFill="1" applyBorder="1" applyAlignment="1">
      <alignment vertical="center"/>
    </xf>
    <xf numFmtId="201" fontId="0" fillId="0" borderId="0" xfId="0" applyNumberFormat="1" applyFont="1" applyFill="1"/>
    <xf numFmtId="201" fontId="0" fillId="2" borderId="1" xfId="1" applyNumberFormat="1" applyFont="1" applyFill="1" applyBorder="1" applyAlignment="1" applyProtection="1">
      <alignment vertical="center"/>
    </xf>
    <xf numFmtId="201" fontId="5" fillId="0" borderId="0" xfId="0" applyNumberFormat="1" applyFont="1" applyBorder="1" applyAlignment="1">
      <alignment vertical="center"/>
    </xf>
    <xf numFmtId="201" fontId="5" fillId="0" borderId="0" xfId="0" applyNumberFormat="1" applyFont="1" applyBorder="1" applyAlignment="1">
      <alignment horizontal="right" vertical="center"/>
    </xf>
    <xf numFmtId="201" fontId="0" fillId="0" borderId="0" xfId="0" applyNumberFormat="1" applyFont="1" applyFill="1" applyBorder="1"/>
    <xf numFmtId="201" fontId="0" fillId="0" borderId="1" xfId="0" applyNumberFormat="1" applyFont="1" applyFill="1" applyBorder="1"/>
    <xf numFmtId="201" fontId="0" fillId="0" borderId="0" xfId="0" applyNumberFormat="1" applyFont="1" applyBorder="1"/>
    <xf numFmtId="201" fontId="11" fillId="0" borderId="0" xfId="0" applyNumberFormat="1" applyFont="1" applyBorder="1" applyAlignment="1">
      <alignment vertical="center"/>
    </xf>
    <xf numFmtId="201" fontId="0" fillId="0" borderId="6" xfId="0" applyNumberFormat="1" applyFont="1" applyBorder="1"/>
    <xf numFmtId="201" fontId="11" fillId="0" borderId="6" xfId="0" applyNumberFormat="1" applyFont="1" applyBorder="1" applyAlignment="1">
      <alignment vertical="center"/>
    </xf>
    <xf numFmtId="201" fontId="0" fillId="0" borderId="0" xfId="0" applyNumberFormat="1" applyFont="1" applyFill="1" applyBorder="1" applyAlignment="1">
      <alignment horizontal="right" vertical="center"/>
    </xf>
    <xf numFmtId="201" fontId="0" fillId="0" borderId="0" xfId="0" applyNumberFormat="1" applyFont="1" applyBorder="1" applyAlignment="1">
      <alignment horizontal="right" vertical="center"/>
    </xf>
    <xf numFmtId="201" fontId="0" fillId="0" borderId="0" xfId="0" applyNumberFormat="1" applyFont="1" applyAlignment="1">
      <alignment horizontal="right" vertical="center"/>
    </xf>
    <xf numFmtId="201" fontId="3" fillId="0" borderId="0" xfId="0" applyNumberFormat="1" applyFont="1" applyBorder="1" applyAlignment="1">
      <alignment vertical="center"/>
    </xf>
    <xf numFmtId="201" fontId="3" fillId="0" borderId="0" xfId="0" applyNumberFormat="1" applyFont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2" xfId="0" applyBorder="1"/>
    <xf numFmtId="202" fontId="63" fillId="0" borderId="0" xfId="0" applyNumberFormat="1" applyFont="1" applyBorder="1" applyAlignment="1">
      <alignment horizontal="center" vertical="center"/>
    </xf>
    <xf numFmtId="202" fontId="11" fillId="0" borderId="0" xfId="0" applyNumberFormat="1" applyFont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11" fillId="0" borderId="0" xfId="0" applyFont="1"/>
    <xf numFmtId="203" fontId="9" fillId="0" borderId="0" xfId="0" applyNumberFormat="1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right"/>
    </xf>
    <xf numFmtId="0" fontId="64" fillId="0" borderId="0" xfId="0" applyFont="1" applyAlignment="1">
      <alignment horizontal="center" vertical="center"/>
    </xf>
    <xf numFmtId="0" fontId="17" fillId="0" borderId="0" xfId="0" applyFont="1" applyBorder="1"/>
    <xf numFmtId="0" fontId="0" fillId="15" borderId="0" xfId="0" applyFont="1" applyFill="1" applyBorder="1" applyAlignment="1">
      <alignment vertical="center"/>
    </xf>
    <xf numFmtId="0" fontId="0" fillId="15" borderId="0" xfId="0" applyFont="1" applyFill="1" applyAlignment="1">
      <alignment vertical="center"/>
    </xf>
    <xf numFmtId="0" fontId="0" fillId="15" borderId="10" xfId="0" applyFont="1" applyFill="1" applyBorder="1" applyAlignment="1">
      <alignment vertical="center"/>
    </xf>
    <xf numFmtId="0" fontId="11" fillId="15" borderId="0" xfId="0" applyFont="1" applyFill="1" applyBorder="1" applyAlignment="1">
      <alignment vertical="center"/>
    </xf>
    <xf numFmtId="0" fontId="62" fillId="3" borderId="0" xfId="7" applyFont="1" applyFill="1" applyAlignment="1">
      <alignment horizontal="left" vertical="center"/>
    </xf>
    <xf numFmtId="0" fontId="42" fillId="3" borderId="0" xfId="7" applyFont="1" applyFill="1" applyAlignment="1">
      <alignment horizontal="left" vertical="center"/>
    </xf>
    <xf numFmtId="0" fontId="11" fillId="0" borderId="1" xfId="0" applyFont="1" applyFill="1" applyBorder="1" applyAlignment="1">
      <alignment horizontal="left" indent="1"/>
    </xf>
    <xf numFmtId="0" fontId="0" fillId="0" borderId="1" xfId="0" applyFill="1" applyBorder="1"/>
    <xf numFmtId="0" fontId="11" fillId="0" borderId="0" xfId="0" applyFont="1" applyFill="1" applyBorder="1" applyAlignment="1">
      <alignment horizontal="left" indent="1"/>
    </xf>
    <xf numFmtId="0" fontId="11" fillId="0" borderId="0" xfId="0" applyFont="1" applyFill="1" applyBorder="1"/>
    <xf numFmtId="0" fontId="18" fillId="0" borderId="1" xfId="0" applyFont="1" applyBorder="1" applyAlignment="1">
      <alignment horizontal="left" vertical="center"/>
    </xf>
    <xf numFmtId="201" fontId="0" fillId="0" borderId="5" xfId="0" applyNumberFormat="1" applyFont="1" applyFill="1" applyBorder="1" applyAlignment="1">
      <alignment horizontal="right" vertical="center"/>
    </xf>
    <xf numFmtId="0" fontId="0" fillId="0" borderId="5" xfId="0" applyFont="1" applyFill="1" applyBorder="1" applyAlignment="1">
      <alignment vertical="center"/>
    </xf>
    <xf numFmtId="0" fontId="18" fillId="0" borderId="2" xfId="0" applyFont="1" applyBorder="1" applyAlignment="1">
      <alignment horizontal="left" vertical="center"/>
    </xf>
    <xf numFmtId="201" fontId="0" fillId="0" borderId="2" xfId="0" applyNumberFormat="1" applyFont="1" applyFill="1" applyBorder="1" applyAlignment="1">
      <alignment horizontal="right" vertical="center"/>
    </xf>
    <xf numFmtId="0" fontId="18" fillId="0" borderId="0" xfId="0" applyFont="1" applyBorder="1" applyAlignment="1">
      <alignment horizontal="left" vertical="center" indent="1"/>
    </xf>
    <xf numFmtId="0" fontId="67" fillId="0" borderId="0" xfId="0" applyFont="1" applyBorder="1" applyAlignment="1">
      <alignment horizontal="left" vertical="center"/>
    </xf>
    <xf numFmtId="0" fontId="68" fillId="0" borderId="0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 indent="1"/>
    </xf>
    <xf numFmtId="201" fontId="0" fillId="0" borderId="1" xfId="0" applyNumberFormat="1" applyBorder="1"/>
    <xf numFmtId="0" fontId="11" fillId="0" borderId="1" xfId="0" applyFont="1" applyBorder="1" applyAlignment="1">
      <alignment horizontal="left" vertical="center" indent="1"/>
    </xf>
    <xf numFmtId="0" fontId="69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5" fillId="0" borderId="0" xfId="0" applyFont="1"/>
    <xf numFmtId="0" fontId="52" fillId="3" borderId="0" xfId="7" applyFont="1" applyFill="1" applyAlignment="1">
      <alignment horizontal="left"/>
    </xf>
    <xf numFmtId="0" fontId="11" fillId="3" borderId="0" xfId="7" applyFont="1" applyFill="1" applyBorder="1" applyAlignment="1">
      <alignment horizontal="left"/>
    </xf>
    <xf numFmtId="0" fontId="52" fillId="3" borderId="0" xfId="7" applyFont="1" applyFill="1" applyBorder="1" applyAlignment="1">
      <alignment horizontal="left"/>
    </xf>
    <xf numFmtId="0" fontId="11" fillId="3" borderId="0" xfId="7" applyFont="1" applyFill="1" applyAlignment="1">
      <alignment horizontal="left"/>
    </xf>
    <xf numFmtId="0" fontId="72" fillId="3" borderId="0" xfId="7" applyFont="1" applyFill="1" applyAlignment="1">
      <alignment horizontal="left"/>
    </xf>
    <xf numFmtId="0" fontId="72" fillId="3" borderId="0" xfId="7" applyFont="1" applyFill="1" applyAlignment="1">
      <alignment horizontal="left" vertical="center" indent="1"/>
    </xf>
    <xf numFmtId="0" fontId="72" fillId="3" borderId="0" xfId="7" applyFont="1" applyFill="1" applyAlignment="1"/>
    <xf numFmtId="0" fontId="72" fillId="3" borderId="0" xfId="7" applyFont="1" applyFill="1"/>
    <xf numFmtId="0" fontId="10" fillId="0" borderId="1" xfId="0" applyFont="1" applyBorder="1"/>
    <xf numFmtId="170" fontId="0" fillId="0" borderId="1" xfId="0" applyNumberFormat="1" applyBorder="1"/>
    <xf numFmtId="170" fontId="0" fillId="0" borderId="0" xfId="0" applyNumberFormat="1" applyBorder="1"/>
    <xf numFmtId="0" fontId="3" fillId="0" borderId="0" xfId="0" applyFont="1" applyFill="1"/>
    <xf numFmtId="0" fontId="5" fillId="0" borderId="0" xfId="0" applyFont="1" applyBorder="1"/>
    <xf numFmtId="170" fontId="7" fillId="0" borderId="0" xfId="0" applyNumberFormat="1" applyFont="1"/>
    <xf numFmtId="0" fontId="57" fillId="3" borderId="0" xfId="7" applyFont="1" applyFill="1" applyAlignment="1">
      <alignment vertical="center"/>
    </xf>
    <xf numFmtId="0" fontId="3" fillId="0" borderId="0" xfId="0" applyFont="1" applyBorder="1"/>
    <xf numFmtId="0" fontId="0" fillId="0" borderId="0" xfId="0" applyAlignment="1">
      <alignment horizontal="center"/>
    </xf>
    <xf numFmtId="0" fontId="11" fillId="16" borderId="0" xfId="0" applyFont="1" applyFill="1" applyBorder="1" applyAlignment="1">
      <alignment horizontal="left" vertical="center"/>
    </xf>
    <xf numFmtId="0" fontId="0" fillId="16" borderId="0" xfId="0" applyFont="1" applyFill="1" applyBorder="1"/>
    <xf numFmtId="201" fontId="0" fillId="16" borderId="0" xfId="0" applyNumberFormat="1" applyFont="1" applyFill="1" applyBorder="1"/>
    <xf numFmtId="0" fontId="0" fillId="16" borderId="0" xfId="0" applyFont="1" applyFill="1" applyBorder="1" applyAlignment="1">
      <alignment horizontal="left" vertical="center"/>
    </xf>
    <xf numFmtId="10" fontId="5" fillId="2" borderId="0" xfId="0" applyNumberFormat="1" applyFont="1" applyFill="1" applyBorder="1" applyAlignment="1">
      <alignment vertical="center"/>
    </xf>
    <xf numFmtId="0" fontId="3" fillId="0" borderId="5" xfId="0" applyFont="1" applyBorder="1" applyAlignment="1">
      <alignment horizontal="left" vertical="center"/>
    </xf>
    <xf numFmtId="0" fontId="3" fillId="0" borderId="5" xfId="0" applyFont="1" applyFill="1" applyBorder="1" applyAlignment="1">
      <alignment vertical="center"/>
    </xf>
    <xf numFmtId="169" fontId="3" fillId="0" borderId="5" xfId="0" applyNumberFormat="1" applyFont="1" applyFill="1" applyBorder="1" applyAlignment="1">
      <alignment vertical="center"/>
    </xf>
    <xf numFmtId="0" fontId="10" fillId="8" borderId="3" xfId="0" applyFont="1" applyFill="1" applyBorder="1" applyAlignment="1">
      <alignment horizontal="left" vertical="center" indent="1"/>
    </xf>
    <xf numFmtId="0" fontId="10" fillId="8" borderId="3" xfId="0" applyFont="1" applyFill="1" applyBorder="1" applyAlignment="1">
      <alignment horizontal="left" vertical="center"/>
    </xf>
    <xf numFmtId="0" fontId="10" fillId="8" borderId="11" xfId="0" applyFont="1" applyFill="1" applyBorder="1" applyAlignment="1">
      <alignment horizontal="left" vertical="center"/>
    </xf>
    <xf numFmtId="0" fontId="10" fillId="8" borderId="12" xfId="0" applyFont="1" applyFill="1" applyBorder="1" applyAlignment="1">
      <alignment horizontal="left" vertical="center" indent="1"/>
    </xf>
    <xf numFmtId="0" fontId="10" fillId="15" borderId="13" xfId="0" applyFont="1" applyFill="1" applyBorder="1" applyAlignment="1">
      <alignment vertical="center"/>
    </xf>
    <xf numFmtId="0" fontId="3" fillId="15" borderId="15" xfId="0" applyFont="1" applyFill="1" applyBorder="1" applyAlignment="1">
      <alignment vertical="center"/>
    </xf>
    <xf numFmtId="178" fontId="10" fillId="15" borderId="16" xfId="0" applyNumberFormat="1" applyFont="1" applyFill="1" applyBorder="1" applyAlignment="1">
      <alignment horizontal="right" vertical="center"/>
    </xf>
    <xf numFmtId="177" fontId="10" fillId="15" borderId="14" xfId="0" applyNumberFormat="1" applyFont="1" applyFill="1" applyBorder="1" applyAlignment="1">
      <alignment vertical="center"/>
    </xf>
    <xf numFmtId="201" fontId="3" fillId="0" borderId="6" xfId="0" applyNumberFormat="1" applyFont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0" fontId="0" fillId="0" borderId="6" xfId="0" applyFont="1" applyFill="1" applyBorder="1" applyAlignment="1">
      <alignment vertical="center"/>
    </xf>
    <xf numFmtId="201" fontId="0" fillId="4" borderId="0" xfId="0" applyNumberFormat="1" applyFont="1" applyFill="1" applyAlignment="1">
      <alignment vertical="center"/>
    </xf>
    <xf numFmtId="0" fontId="0" fillId="4" borderId="0" xfId="0" applyFont="1" applyFill="1" applyBorder="1" applyAlignment="1">
      <alignment horizontal="left" vertical="center"/>
    </xf>
    <xf numFmtId="179" fontId="0" fillId="4" borderId="0" xfId="0" applyNumberFormat="1" applyFont="1" applyFill="1" applyAlignment="1">
      <alignment vertical="center"/>
    </xf>
    <xf numFmtId="206" fontId="0" fillId="0" borderId="0" xfId="1" applyNumberFormat="1" applyFont="1" applyFill="1" applyBorder="1" applyAlignment="1" applyProtection="1">
      <alignment horizontal="right" vertical="center"/>
    </xf>
    <xf numFmtId="206" fontId="0" fillId="0" borderId="0" xfId="1" applyNumberFormat="1" applyFont="1" applyBorder="1" applyAlignment="1">
      <alignment horizontal="right" vertical="center"/>
    </xf>
    <xf numFmtId="206" fontId="3" fillId="0" borderId="1" xfId="1" applyNumberFormat="1" applyFont="1" applyBorder="1" applyAlignment="1">
      <alignment horizontal="right" vertical="center"/>
    </xf>
    <xf numFmtId="206" fontId="0" fillId="0" borderId="0" xfId="1" applyNumberFormat="1" applyFont="1" applyFill="1" applyBorder="1" applyAlignment="1">
      <alignment horizontal="right" vertical="center"/>
    </xf>
    <xf numFmtId="206" fontId="11" fillId="0" borderId="0" xfId="0" applyNumberFormat="1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0" fillId="0" borderId="17" xfId="0" applyFont="1" applyBorder="1" applyAlignment="1">
      <alignment horizontal="left" vertical="center"/>
    </xf>
    <xf numFmtId="0" fontId="0" fillId="4" borderId="17" xfId="0" applyFont="1" applyFill="1" applyBorder="1" applyAlignment="1">
      <alignment vertical="center"/>
    </xf>
    <xf numFmtId="207" fontId="0" fillId="0" borderId="1" xfId="0" applyNumberFormat="1" applyFont="1" applyBorder="1"/>
    <xf numFmtId="207" fontId="0" fillId="0" borderId="0" xfId="0" applyNumberFormat="1" applyFont="1" applyAlignment="1">
      <alignment vertical="center"/>
    </xf>
    <xf numFmtId="207" fontId="0" fillId="0" borderId="0" xfId="0" applyNumberFormat="1" applyFont="1" applyBorder="1"/>
    <xf numFmtId="207" fontId="0" fillId="0" borderId="1" xfId="0" applyNumberFormat="1" applyFont="1" applyBorder="1" applyAlignment="1">
      <alignment horizontal="center"/>
    </xf>
    <xf numFmtId="207" fontId="0" fillId="0" borderId="1" xfId="0" applyNumberFormat="1" applyFont="1" applyBorder="1" applyAlignment="1">
      <alignment horizontal="right"/>
    </xf>
    <xf numFmtId="207" fontId="11" fillId="0" borderId="0" xfId="0" applyNumberFormat="1" applyFont="1"/>
    <xf numFmtId="207" fontId="11" fillId="0" borderId="1" xfId="0" applyNumberFormat="1" applyFont="1" applyBorder="1"/>
    <xf numFmtId="207" fontId="0" fillId="0" borderId="0" xfId="0" applyNumberFormat="1" applyFont="1" applyAlignment="1">
      <alignment horizontal="center"/>
    </xf>
    <xf numFmtId="207" fontId="0" fillId="0" borderId="0" xfId="0" applyNumberFormat="1" applyFont="1" applyAlignment="1">
      <alignment horizontal="right"/>
    </xf>
    <xf numFmtId="207" fontId="0" fillId="0" borderId="0" xfId="0" applyNumberFormat="1" applyFont="1"/>
    <xf numFmtId="208" fontId="11" fillId="15" borderId="0" xfId="0" applyNumberFormat="1" applyFont="1" applyFill="1" applyBorder="1" applyAlignment="1">
      <alignment vertical="center"/>
    </xf>
    <xf numFmtId="208" fontId="0" fillId="15" borderId="0" xfId="0" applyNumberFormat="1" applyFont="1" applyFill="1" applyBorder="1" applyAlignment="1">
      <alignment vertical="center"/>
    </xf>
    <xf numFmtId="208" fontId="0" fillId="15" borderId="10" xfId="0" applyNumberFormat="1" applyFont="1" applyFill="1" applyBorder="1" applyAlignment="1">
      <alignment vertical="center"/>
    </xf>
    <xf numFmtId="208" fontId="11" fillId="15" borderId="10" xfId="0" applyNumberFormat="1" applyFont="1" applyFill="1" applyBorder="1" applyAlignment="1">
      <alignment vertical="center"/>
    </xf>
    <xf numFmtId="208" fontId="0" fillId="15" borderId="0" xfId="0" applyNumberFormat="1" applyFont="1" applyFill="1" applyAlignment="1">
      <alignment vertical="center"/>
    </xf>
    <xf numFmtId="208" fontId="0" fillId="0" borderId="0" xfId="0" applyNumberFormat="1" applyFont="1" applyAlignment="1">
      <alignment vertical="center"/>
    </xf>
    <xf numFmtId="208" fontId="0" fillId="0" borderId="1" xfId="0" applyNumberFormat="1" applyFont="1" applyBorder="1" applyAlignment="1">
      <alignment vertical="center"/>
    </xf>
    <xf numFmtId="208" fontId="0" fillId="0" borderId="0" xfId="0" applyNumberFormat="1" applyFont="1" applyBorder="1" applyAlignment="1">
      <alignment vertical="center"/>
    </xf>
    <xf numFmtId="208" fontId="10" fillId="0" borderId="0" xfId="0" applyNumberFormat="1" applyFont="1" applyFill="1" applyBorder="1" applyAlignment="1">
      <alignment vertical="center"/>
    </xf>
    <xf numFmtId="208" fontId="10" fillId="0" borderId="1" xfId="0" applyNumberFormat="1" applyFont="1" applyFill="1" applyBorder="1" applyAlignment="1">
      <alignment vertical="center"/>
    </xf>
    <xf numFmtId="208" fontId="11" fillId="4" borderId="0" xfId="0" applyNumberFormat="1" applyFont="1" applyFill="1" applyBorder="1" applyAlignment="1">
      <alignment vertical="center"/>
    </xf>
    <xf numFmtId="208" fontId="0" fillId="4" borderId="0" xfId="0" applyNumberFormat="1" applyFont="1" applyFill="1" applyBorder="1" applyAlignment="1">
      <alignment vertical="center"/>
    </xf>
    <xf numFmtId="208" fontId="0" fillId="4" borderId="0" xfId="0" applyNumberFormat="1" applyFont="1" applyFill="1" applyAlignment="1">
      <alignment vertical="center"/>
    </xf>
    <xf numFmtId="201" fontId="3" fillId="0" borderId="1" xfId="0" applyNumberFormat="1" applyFont="1" applyFill="1" applyBorder="1" applyAlignment="1">
      <alignment vertical="center"/>
    </xf>
    <xf numFmtId="201" fontId="0" fillId="0" borderId="17" xfId="0" applyNumberFormat="1" applyFont="1" applyFill="1" applyBorder="1" applyAlignment="1">
      <alignment vertical="center"/>
    </xf>
    <xf numFmtId="209" fontId="9" fillId="0" borderId="0" xfId="0" applyNumberFormat="1" applyFont="1" applyAlignment="1">
      <alignment vertical="center"/>
    </xf>
    <xf numFmtId="166" fontId="0" fillId="0" borderId="0" xfId="1" applyNumberFormat="1" applyFont="1"/>
    <xf numFmtId="0" fontId="20" fillId="0" borderId="0" xfId="0" applyFont="1" applyFill="1" applyBorder="1" applyAlignment="1">
      <alignment horizontal="center"/>
    </xf>
    <xf numFmtId="0" fontId="20" fillId="0" borderId="0" xfId="0" applyFont="1" applyBorder="1" applyAlignment="1">
      <alignment horizontal="centerContinuous"/>
    </xf>
    <xf numFmtId="0" fontId="11" fillId="0" borderId="2" xfId="0" applyFont="1" applyBorder="1" applyAlignment="1">
      <alignment horizontal="centerContinuous"/>
    </xf>
    <xf numFmtId="174" fontId="7" fillId="0" borderId="0" xfId="0" applyNumberFormat="1" applyFont="1" applyBorder="1" applyAlignment="1">
      <alignment horizontal="right" vertical="center"/>
    </xf>
    <xf numFmtId="0" fontId="9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" fillId="0" borderId="1" xfId="0" applyFont="1" applyBorder="1" applyAlignment="1">
      <alignment horizontal="left"/>
    </xf>
    <xf numFmtId="208" fontId="3" fillId="0" borderId="1" xfId="0" applyNumberFormat="1" applyFont="1" applyBorder="1"/>
    <xf numFmtId="208" fontId="3" fillId="0" borderId="0" xfId="0" applyNumberFormat="1" applyFont="1" applyBorder="1"/>
    <xf numFmtId="0" fontId="0" fillId="0" borderId="5" xfId="0" applyFont="1" applyBorder="1"/>
    <xf numFmtId="0" fontId="19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9" fillId="0" borderId="0" xfId="0" applyFont="1" applyAlignment="1">
      <alignment vertical="center"/>
    </xf>
    <xf numFmtId="207" fontId="9" fillId="0" borderId="0" xfId="1" applyNumberFormat="1" applyFont="1" applyFill="1" applyBorder="1" applyAlignment="1" applyProtection="1">
      <alignment horizontal="right" vertical="center"/>
    </xf>
    <xf numFmtId="207" fontId="64" fillId="0" borderId="0" xfId="1" applyNumberFormat="1" applyFont="1" applyFill="1" applyBorder="1" applyAlignment="1" applyProtection="1">
      <alignment horizontal="right" vertical="center"/>
    </xf>
    <xf numFmtId="0" fontId="0" fillId="0" borderId="0" xfId="0" applyBorder="1" applyAlignment="1">
      <alignment horizontal="center"/>
    </xf>
    <xf numFmtId="0" fontId="3" fillId="0" borderId="2" xfId="0" applyFont="1" applyBorder="1" applyAlignment="1">
      <alignment horizontal="right"/>
    </xf>
    <xf numFmtId="0" fontId="3" fillId="0" borderId="2" xfId="0" applyFont="1" applyBorder="1"/>
    <xf numFmtId="0" fontId="3" fillId="0" borderId="2" xfId="0" applyFont="1" applyBorder="1" applyAlignment="1">
      <alignment horizontal="center"/>
    </xf>
    <xf numFmtId="211" fontId="10" fillId="0" borderId="0" xfId="0" applyNumberFormat="1" applyFont="1" applyBorder="1"/>
    <xf numFmtId="0" fontId="10" fillId="0" borderId="0" xfId="0" applyFont="1"/>
    <xf numFmtId="0" fontId="10" fillId="0" borderId="0" xfId="0" applyFont="1" applyAlignment="1"/>
    <xf numFmtId="0" fontId="9" fillId="0" borderId="0" xfId="0" applyFont="1" applyAlignment="1"/>
    <xf numFmtId="0" fontId="3" fillId="0" borderId="1" xfId="0" applyFont="1" applyBorder="1" applyAlignment="1"/>
    <xf numFmtId="0" fontId="0" fillId="0" borderId="0" xfId="0" applyAlignment="1"/>
    <xf numFmtId="0" fontId="3" fillId="0" borderId="0" xfId="0" applyFont="1" applyBorder="1" applyAlignment="1"/>
    <xf numFmtId="0" fontId="11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6" xfId="0" applyBorder="1" applyAlignment="1">
      <alignment horizontal="right"/>
    </xf>
    <xf numFmtId="0" fontId="10" fillId="8" borderId="3" xfId="0" applyFont="1" applyFill="1" applyBorder="1" applyAlignment="1">
      <alignment horizontal="right" vertical="center" indent="1"/>
    </xf>
    <xf numFmtId="211" fontId="10" fillId="0" borderId="0" xfId="0" applyNumberFormat="1" applyFont="1" applyBorder="1" applyAlignment="1">
      <alignment horizontal="right"/>
    </xf>
    <xf numFmtId="0" fontId="0" fillId="0" borderId="1" xfId="0" applyBorder="1" applyAlignment="1">
      <alignment horizontal="right"/>
    </xf>
    <xf numFmtId="215" fontId="9" fillId="0" borderId="0" xfId="0" applyNumberFormat="1" applyFont="1" applyFill="1" applyAlignment="1">
      <alignment horizontal="center"/>
    </xf>
    <xf numFmtId="215" fontId="0" fillId="0" borderId="0" xfId="0" applyNumberFormat="1" applyAlignment="1">
      <alignment horizontal="center"/>
    </xf>
    <xf numFmtId="0" fontId="3" fillId="0" borderId="0" xfId="0" applyFont="1" applyFill="1" applyBorder="1"/>
    <xf numFmtId="0" fontId="0" fillId="0" borderId="6" xfId="0" applyFont="1" applyBorder="1" applyAlignment="1">
      <alignment horizontal="left"/>
    </xf>
    <xf numFmtId="212" fontId="9" fillId="0" borderId="0" xfId="0" applyNumberFormat="1" applyFont="1" applyAlignment="1">
      <alignment horizontal="center"/>
    </xf>
    <xf numFmtId="0" fontId="0" fillId="0" borderId="0" xfId="0" applyFont="1" applyAlignment="1">
      <alignment horizontal="right"/>
    </xf>
    <xf numFmtId="0" fontId="0" fillId="0" borderId="6" xfId="0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0" fontId="5" fillId="0" borderId="0" xfId="0" applyFont="1" applyAlignment="1">
      <alignment horizontal="left" indent="1"/>
    </xf>
    <xf numFmtId="208" fontId="64" fillId="0" borderId="0" xfId="1" applyNumberFormat="1" applyFont="1" applyFill="1" applyBorder="1" applyAlignment="1" applyProtection="1">
      <alignment horizontal="right" vertical="center"/>
    </xf>
    <xf numFmtId="208" fontId="9" fillId="0" borderId="0" xfId="1" applyNumberFormat="1" applyFont="1" applyFill="1" applyBorder="1" applyAlignment="1" applyProtection="1">
      <alignment horizontal="right" vertical="center"/>
    </xf>
    <xf numFmtId="215" fontId="0" fillId="0" borderId="0" xfId="0" applyNumberFormat="1" applyFont="1" applyAlignment="1">
      <alignment horizontal="center"/>
    </xf>
    <xf numFmtId="211" fontId="11" fillId="0" borderId="0" xfId="0" applyNumberFormat="1" applyFont="1" applyBorder="1"/>
    <xf numFmtId="211" fontId="11" fillId="0" borderId="0" xfId="0" applyNumberFormat="1" applyFont="1" applyBorder="1" applyAlignment="1">
      <alignment horizontal="right"/>
    </xf>
    <xf numFmtId="0" fontId="0" fillId="0" borderId="0" xfId="0" applyFont="1" applyBorder="1" applyAlignment="1">
      <alignment horizontal="left" indent="1"/>
    </xf>
    <xf numFmtId="215" fontId="11" fillId="0" borderId="0" xfId="0" applyNumberFormat="1" applyFont="1" applyFill="1" applyAlignment="1">
      <alignment horizontal="center"/>
    </xf>
    <xf numFmtId="166" fontId="9" fillId="0" borderId="0" xfId="1" applyNumberFormat="1" applyFont="1" applyAlignment="1">
      <alignment horizontal="center"/>
    </xf>
    <xf numFmtId="217" fontId="5" fillId="0" borderId="0" xfId="0" applyNumberFormat="1" applyFont="1" applyFill="1" applyAlignment="1"/>
    <xf numFmtId="217" fontId="12" fillId="0" borderId="0" xfId="0" applyNumberFormat="1" applyFont="1" applyFill="1" applyAlignment="1"/>
    <xf numFmtId="200" fontId="9" fillId="0" borderId="0" xfId="0" applyNumberFormat="1" applyFont="1" applyBorder="1" applyAlignment="1">
      <alignment horizontal="right"/>
    </xf>
    <xf numFmtId="207" fontId="0" fillId="0" borderId="0" xfId="0" applyNumberFormat="1"/>
    <xf numFmtId="208" fontId="10" fillId="0" borderId="0" xfId="0" applyNumberFormat="1" applyFont="1" applyBorder="1"/>
    <xf numFmtId="0" fontId="9" fillId="0" borderId="0" xfId="0" applyFont="1" applyBorder="1" applyAlignment="1">
      <alignment horizontal="left" indent="1"/>
    </xf>
    <xf numFmtId="183" fontId="9" fillId="0" borderId="0" xfId="0" applyNumberFormat="1" applyFont="1" applyBorder="1"/>
    <xf numFmtId="215" fontId="0" fillId="0" borderId="0" xfId="0" applyNumberFormat="1" applyFont="1" applyBorder="1" applyAlignment="1">
      <alignment horizontal="center"/>
    </xf>
    <xf numFmtId="201" fontId="3" fillId="0" borderId="0" xfId="0" applyNumberFormat="1" applyFont="1" applyBorder="1"/>
    <xf numFmtId="0" fontId="0" fillId="0" borderId="0" xfId="0" applyAlignment="1">
      <alignment horizontal="left" indent="1"/>
    </xf>
    <xf numFmtId="0" fontId="48" fillId="0" borderId="0" xfId="6" applyFont="1" applyAlignment="1">
      <alignment horizontal="left" indent="1"/>
    </xf>
    <xf numFmtId="208" fontId="3" fillId="0" borderId="0" xfId="0" applyNumberFormat="1" applyFont="1" applyFill="1"/>
    <xf numFmtId="0" fontId="0" fillId="0" borderId="5" xfId="0" applyBorder="1"/>
    <xf numFmtId="0" fontId="0" fillId="17" borderId="5" xfId="0" applyFill="1" applyBorder="1"/>
    <xf numFmtId="171" fontId="3" fillId="17" borderId="0" xfId="0" applyNumberFormat="1" applyFont="1" applyFill="1" applyBorder="1" applyAlignment="1">
      <alignment vertical="center"/>
    </xf>
    <xf numFmtId="0" fontId="5" fillId="0" borderId="0" xfId="0" applyNumberFormat="1" applyFont="1" applyBorder="1" applyAlignment="1">
      <alignment horizontal="left" vertical="center"/>
    </xf>
    <xf numFmtId="171" fontId="5" fillId="0" borderId="0" xfId="0" applyNumberFormat="1" applyFont="1" applyBorder="1" applyAlignment="1">
      <alignment vertical="center"/>
    </xf>
    <xf numFmtId="171" fontId="0" fillId="0" borderId="1" xfId="0" applyNumberFormat="1" applyFont="1" applyFill="1" applyBorder="1" applyAlignment="1">
      <alignment vertical="center"/>
    </xf>
    <xf numFmtId="208" fontId="0" fillId="0" borderId="0" xfId="0" applyNumberFormat="1" applyFont="1" applyBorder="1"/>
    <xf numFmtId="0" fontId="3" fillId="0" borderId="0" xfId="0" applyFont="1" applyBorder="1" applyAlignment="1">
      <alignment horizontal="centerContinuous"/>
    </xf>
    <xf numFmtId="0" fontId="3" fillId="0" borderId="1" xfId="0" applyFont="1" applyBorder="1" applyAlignment="1">
      <alignment horizontal="right"/>
    </xf>
    <xf numFmtId="0" fontId="3" fillId="0" borderId="0" xfId="0" applyFont="1" applyAlignment="1"/>
    <xf numFmtId="215" fontId="0" fillId="0" borderId="0" xfId="0" applyNumberFormat="1" applyFill="1" applyAlignment="1">
      <alignment horizontal="center"/>
    </xf>
    <xf numFmtId="1" fontId="9" fillId="0" borderId="0" xfId="0" applyNumberFormat="1" applyFont="1"/>
    <xf numFmtId="0" fontId="0" fillId="0" borderId="0" xfId="0" applyFont="1" applyAlignment="1">
      <alignment horizontal="left" indent="1"/>
    </xf>
    <xf numFmtId="207" fontId="11" fillId="0" borderId="0" xfId="1" applyNumberFormat="1" applyFont="1" applyFill="1" applyBorder="1" applyAlignment="1" applyProtection="1">
      <alignment horizontal="right" vertical="center"/>
    </xf>
    <xf numFmtId="208" fontId="9" fillId="0" borderId="0" xfId="34"/>
    <xf numFmtId="0" fontId="0" fillId="0" borderId="0" xfId="0"/>
    <xf numFmtId="0" fontId="2" fillId="14" borderId="0" xfId="0" applyFont="1" applyFill="1" applyBorder="1" applyAlignment="1">
      <alignment vertical="center"/>
    </xf>
    <xf numFmtId="0" fontId="0" fillId="0" borderId="0" xfId="0" applyFont="1" applyFill="1" applyBorder="1" applyAlignment="1"/>
    <xf numFmtId="207" fontId="9" fillId="0" borderId="0" xfId="34" applyNumberFormat="1"/>
    <xf numFmtId="0" fontId="11" fillId="0" borderId="0" xfId="0" applyFont="1" applyAlignment="1"/>
    <xf numFmtId="208" fontId="11" fillId="0" borderId="0" xfId="51"/>
    <xf numFmtId="0" fontId="9" fillId="0" borderId="0" xfId="0" applyFont="1" applyBorder="1" applyAlignment="1">
      <alignment horizontal="center"/>
    </xf>
    <xf numFmtId="215" fontId="0" fillId="0" borderId="21" xfId="0" applyNumberFormat="1" applyFont="1" applyBorder="1" applyAlignment="1">
      <alignment horizontal="center"/>
    </xf>
    <xf numFmtId="0" fontId="0" fillId="0" borderId="21" xfId="0" applyFont="1" applyBorder="1"/>
    <xf numFmtId="211" fontId="11" fillId="0" borderId="21" xfId="0" applyNumberFormat="1" applyFont="1" applyBorder="1"/>
    <xf numFmtId="0" fontId="0" fillId="0" borderId="21" xfId="0" applyBorder="1"/>
    <xf numFmtId="0" fontId="64" fillId="0" borderId="0" xfId="0" applyFont="1" applyBorder="1" applyAlignment="1">
      <alignment horizontal="center"/>
    </xf>
    <xf numFmtId="215" fontId="10" fillId="0" borderId="0" xfId="0" applyNumberFormat="1" applyFont="1" applyFill="1" applyBorder="1" applyAlignment="1">
      <alignment horizontal="center"/>
    </xf>
    <xf numFmtId="0" fontId="0" fillId="0" borderId="0" xfId="0" applyFont="1" applyAlignment="1"/>
    <xf numFmtId="210" fontId="9" fillId="0" borderId="0" xfId="0" applyNumberFormat="1" applyFont="1" applyAlignment="1">
      <alignment vertical="center"/>
    </xf>
    <xf numFmtId="202" fontId="9" fillId="0" borderId="0" xfId="0" applyNumberFormat="1" applyFont="1" applyAlignment="1">
      <alignment horizontal="center" vertical="center"/>
    </xf>
    <xf numFmtId="0" fontId="3" fillId="0" borderId="0" xfId="0" applyFont="1" applyFill="1" applyBorder="1" applyAlignment="1"/>
    <xf numFmtId="0" fontId="0" fillId="0" borderId="0" xfId="0" applyFill="1" applyAlignment="1">
      <alignment horizontal="left" indent="1"/>
    </xf>
    <xf numFmtId="207" fontId="9" fillId="0" borderId="2" xfId="34" applyNumberFormat="1" applyBorder="1"/>
    <xf numFmtId="0" fontId="3" fillId="0" borderId="0" xfId="0" applyFont="1" applyFill="1" applyAlignment="1">
      <alignment horizontal="left"/>
    </xf>
    <xf numFmtId="0" fontId="0" fillId="0" borderId="1" xfId="0" applyFill="1" applyBorder="1" applyAlignment="1">
      <alignment horizontal="left" indent="1"/>
    </xf>
    <xf numFmtId="0" fontId="0" fillId="0" borderId="0" xfId="0" applyFill="1" applyBorder="1" applyAlignment="1">
      <alignment horizontal="left" indent="1"/>
    </xf>
    <xf numFmtId="207" fontId="11" fillId="0" borderId="0" xfId="51" applyNumberFormat="1"/>
    <xf numFmtId="207" fontId="3" fillId="0" borderId="1" xfId="0" applyNumberFormat="1" applyFont="1" applyBorder="1"/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indent="1"/>
    </xf>
    <xf numFmtId="222" fontId="9" fillId="0" borderId="0" xfId="34" applyNumberFormat="1"/>
    <xf numFmtId="0" fontId="15" fillId="0" borderId="0" xfId="0" applyFont="1"/>
    <xf numFmtId="183" fontId="7" fillId="0" borderId="0" xfId="0" applyNumberFormat="1" applyFont="1" applyFill="1" applyBorder="1" applyAlignment="1" applyProtection="1"/>
    <xf numFmtId="0" fontId="5" fillId="0" borderId="0" xfId="6" applyFont="1" applyAlignment="1">
      <alignment horizontal="left" indent="1"/>
    </xf>
    <xf numFmtId="169" fontId="0" fillId="0" borderId="0" xfId="1" applyNumberFormat="1" applyFont="1"/>
    <xf numFmtId="210" fontId="11" fillId="0" borderId="0" xfId="0" applyNumberFormat="1" applyFont="1" applyAlignment="1">
      <alignment vertical="center"/>
    </xf>
    <xf numFmtId="207" fontId="11" fillId="0" borderId="0" xfId="0" applyNumberFormat="1" applyFont="1" applyBorder="1"/>
    <xf numFmtId="207" fontId="9" fillId="0" borderId="0" xfId="34" applyNumberFormat="1" applyFont="1"/>
    <xf numFmtId="207" fontId="9" fillId="0" borderId="0" xfId="34" applyNumberFormat="1" applyBorder="1"/>
    <xf numFmtId="8" fontId="0" fillId="0" borderId="0" xfId="0" applyNumberFormat="1" applyFont="1"/>
    <xf numFmtId="210" fontId="11" fillId="0" borderId="0" xfId="0" applyNumberFormat="1" applyFont="1" applyBorder="1" applyAlignment="1">
      <alignment vertical="center"/>
    </xf>
    <xf numFmtId="210" fontId="0" fillId="0" borderId="0" xfId="0" applyNumberFormat="1" applyFont="1"/>
    <xf numFmtId="207" fontId="64" fillId="0" borderId="1" xfId="34" applyNumberFormat="1" applyFont="1" applyBorder="1"/>
    <xf numFmtId="207" fontId="10" fillId="0" borderId="0" xfId="51" applyNumberFormat="1" applyFont="1" applyBorder="1"/>
    <xf numFmtId="210" fontId="10" fillId="0" borderId="0" xfId="0" applyNumberFormat="1" applyFont="1" applyBorder="1" applyAlignment="1">
      <alignment vertical="center"/>
    </xf>
    <xf numFmtId="207" fontId="3" fillId="0" borderId="0" xfId="0" applyNumberFormat="1" applyFont="1" applyBorder="1"/>
    <xf numFmtId="0" fontId="5" fillId="0" borderId="0" xfId="0" applyFont="1" applyFill="1" applyBorder="1" applyAlignment="1">
      <alignment horizontal="left" indent="1"/>
    </xf>
    <xf numFmtId="220" fontId="7" fillId="0" borderId="0" xfId="0" applyNumberFormat="1" applyFont="1" applyFill="1" applyBorder="1" applyAlignment="1">
      <alignment horizontal="right" vertical="center"/>
    </xf>
    <xf numFmtId="217" fontId="7" fillId="0" borderId="0" xfId="0" applyNumberFormat="1" applyFont="1"/>
    <xf numFmtId="0" fontId="11" fillId="0" borderId="0" xfId="0" applyFont="1" applyAlignment="1">
      <alignment horizontal="left" indent="2"/>
    </xf>
    <xf numFmtId="215" fontId="0" fillId="0" borderId="0" xfId="0" applyNumberFormat="1" applyFont="1" applyFill="1" applyAlignment="1">
      <alignment horizontal="center"/>
    </xf>
    <xf numFmtId="0" fontId="15" fillId="0" borderId="0" xfId="0" applyFont="1" applyBorder="1"/>
    <xf numFmtId="0" fontId="20" fillId="0" borderId="0" xfId="0" applyFont="1"/>
    <xf numFmtId="0" fontId="5" fillId="0" borderId="0" xfId="0" applyFont="1" applyFill="1"/>
    <xf numFmtId="215" fontId="5" fillId="0" borderId="0" xfId="0" applyNumberFormat="1" applyFont="1" applyFill="1" applyAlignment="1">
      <alignment horizontal="center"/>
    </xf>
    <xf numFmtId="215" fontId="5" fillId="0" borderId="0" xfId="0" applyNumberFormat="1" applyFont="1" applyAlignment="1">
      <alignment horizontal="center"/>
    </xf>
    <xf numFmtId="207" fontId="12" fillId="0" borderId="0" xfId="1" applyNumberFormat="1" applyFont="1" applyFill="1" applyBorder="1" applyAlignment="1" applyProtection="1">
      <alignment horizontal="right" vertical="center"/>
    </xf>
    <xf numFmtId="0" fontId="0" fillId="0" borderId="5" xfId="0" applyFont="1" applyBorder="1" applyAlignment="1">
      <alignment horizontal="left" indent="1"/>
    </xf>
    <xf numFmtId="0" fontId="64" fillId="0" borderId="0" xfId="0" applyFont="1" applyAlignment="1">
      <alignment horizontal="center"/>
    </xf>
    <xf numFmtId="215" fontId="3" fillId="0" borderId="0" xfId="0" applyNumberFormat="1" applyFont="1" applyAlignment="1">
      <alignment horizontal="center"/>
    </xf>
    <xf numFmtId="210" fontId="3" fillId="0" borderId="0" xfId="0" applyNumberFormat="1" applyFont="1" applyBorder="1"/>
    <xf numFmtId="210" fontId="0" fillId="0" borderId="5" xfId="0" applyNumberFormat="1" applyFont="1" applyBorder="1"/>
    <xf numFmtId="0" fontId="0" fillId="0" borderId="0" xfId="0" applyAlignment="1">
      <alignment horizontal="left" indent="2"/>
    </xf>
    <xf numFmtId="0" fontId="9" fillId="0" borderId="0" xfId="0" applyFont="1" applyAlignment="1">
      <alignment horizontal="left" indent="2"/>
    </xf>
    <xf numFmtId="208" fontId="11" fillId="0" borderId="0" xfId="1" applyNumberFormat="1" applyFont="1" applyFill="1" applyBorder="1" applyAlignment="1" applyProtection="1">
      <alignment horizontal="right" vertical="center"/>
    </xf>
    <xf numFmtId="0" fontId="10" fillId="0" borderId="0" xfId="0" applyFont="1" applyFill="1" applyBorder="1"/>
    <xf numFmtId="0" fontId="43" fillId="0" borderId="0" xfId="0" applyFont="1" applyFill="1" applyBorder="1" applyAlignment="1">
      <alignment horizontal="center"/>
    </xf>
    <xf numFmtId="223" fontId="0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0" fillId="0" borderId="22" xfId="0" applyBorder="1"/>
    <xf numFmtId="0" fontId="3" fillId="0" borderId="22" xfId="0" applyFont="1" applyBorder="1"/>
    <xf numFmtId="0" fontId="0" fillId="0" borderId="0" xfId="0" applyBorder="1" applyAlignment="1">
      <alignment horizontal="left" indent="1"/>
    </xf>
    <xf numFmtId="224" fontId="9" fillId="0" borderId="0" xfId="34" applyNumberFormat="1" applyAlignment="1">
      <alignment horizontal="center"/>
    </xf>
    <xf numFmtId="49" fontId="0" fillId="0" borderId="0" xfId="0" applyNumberFormat="1" applyFont="1" applyBorder="1" applyAlignment="1">
      <alignment horizontal="center"/>
    </xf>
    <xf numFmtId="215" fontId="3" fillId="0" borderId="0" xfId="0" applyNumberFormat="1" applyFont="1" applyBorder="1" applyAlignment="1">
      <alignment horizontal="center"/>
    </xf>
    <xf numFmtId="217" fontId="12" fillId="0" borderId="0" xfId="0" applyNumberFormat="1" applyFont="1"/>
    <xf numFmtId="204" fontId="0" fillId="0" borderId="0" xfId="0" applyNumberFormat="1" applyFont="1"/>
    <xf numFmtId="0" fontId="0" fillId="0" borderId="0" xfId="0" applyBorder="1" applyAlignment="1">
      <alignment horizontal="left"/>
    </xf>
    <xf numFmtId="0" fontId="0" fillId="0" borderId="22" xfId="0" applyFont="1" applyBorder="1"/>
    <xf numFmtId="210" fontId="0" fillId="0" borderId="22" xfId="0" applyNumberFormat="1" applyFont="1" applyBorder="1"/>
    <xf numFmtId="207" fontId="3" fillId="0" borderId="0" xfId="0" applyNumberFormat="1" applyFont="1"/>
    <xf numFmtId="0" fontId="0" fillId="0" borderId="23" xfId="0" applyFont="1" applyBorder="1" applyAlignment="1"/>
    <xf numFmtId="0" fontId="0" fillId="0" borderId="23" xfId="0" applyFont="1" applyBorder="1"/>
    <xf numFmtId="207" fontId="11" fillId="0" borderId="22" xfId="1" applyNumberFormat="1" applyFont="1" applyFill="1" applyBorder="1" applyAlignment="1" applyProtection="1">
      <alignment horizontal="right" vertical="center"/>
    </xf>
    <xf numFmtId="207" fontId="10" fillId="0" borderId="22" xfId="1" applyNumberFormat="1" applyFont="1" applyFill="1" applyBorder="1" applyAlignment="1" applyProtection="1">
      <alignment horizontal="right" vertical="center"/>
    </xf>
    <xf numFmtId="0" fontId="52" fillId="0" borderId="0" xfId="0" applyFont="1" applyBorder="1" applyAlignment="1"/>
    <xf numFmtId="0" fontId="55" fillId="0" borderId="0" xfId="0" applyFont="1" applyAlignment="1">
      <alignment horizontal="left"/>
    </xf>
    <xf numFmtId="0" fontId="52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0" fontId="9" fillId="0" borderId="0" xfId="0" applyFont="1" applyAlignment="1">
      <alignment horizontal="left" indent="3"/>
    </xf>
    <xf numFmtId="226" fontId="19" fillId="0" borderId="0" xfId="0" applyNumberFormat="1" applyFont="1" applyFill="1" applyAlignment="1">
      <alignment horizontal="right"/>
    </xf>
    <xf numFmtId="207" fontId="11" fillId="0" borderId="0" xfId="1" applyNumberFormat="1" applyFont="1" applyFill="1" applyBorder="1" applyAlignment="1" applyProtection="1">
      <alignment horizontal="left" vertical="center"/>
    </xf>
    <xf numFmtId="207" fontId="11" fillId="0" borderId="22" xfId="51" applyNumberFormat="1" applyBorder="1"/>
    <xf numFmtId="0" fontId="3" fillId="0" borderId="0" xfId="0" applyFont="1" applyFill="1" applyBorder="1" applyAlignment="1">
      <alignment horizontal="left"/>
    </xf>
    <xf numFmtId="217" fontId="7" fillId="0" borderId="0" xfId="0" applyNumberFormat="1" applyFont="1" applyFill="1" applyAlignment="1"/>
    <xf numFmtId="211" fontId="11" fillId="0" borderId="23" xfId="0" applyNumberFormat="1" applyFont="1" applyBorder="1"/>
    <xf numFmtId="170" fontId="0" fillId="0" borderId="0" xfId="0" applyNumberFormat="1"/>
    <xf numFmtId="0" fontId="0" fillId="0" borderId="23" xfId="0" applyFill="1" applyBorder="1" applyAlignment="1">
      <alignment horizontal="left" indent="1"/>
    </xf>
    <xf numFmtId="210" fontId="11" fillId="0" borderId="23" xfId="0" applyNumberFormat="1" applyFont="1" applyBorder="1" applyAlignment="1">
      <alignment vertical="center"/>
    </xf>
    <xf numFmtId="221" fontId="9" fillId="0" borderId="0" xfId="0" applyNumberFormat="1" applyFont="1" applyBorder="1" applyAlignment="1">
      <alignment horizontal="center"/>
    </xf>
    <xf numFmtId="227" fontId="11" fillId="0" borderId="0" xfId="0" applyNumberFormat="1" applyFont="1" applyBorder="1"/>
    <xf numFmtId="211" fontId="10" fillId="0" borderId="22" xfId="0" applyNumberFormat="1" applyFont="1" applyBorder="1"/>
    <xf numFmtId="0" fontId="3" fillId="0" borderId="1" xfId="0" applyFont="1" applyBorder="1" applyAlignment="1">
      <alignment horizontal="left" indent="1"/>
    </xf>
    <xf numFmtId="207" fontId="11" fillId="0" borderId="0" xfId="51" applyNumberFormat="1" applyFont="1"/>
    <xf numFmtId="220" fontId="12" fillId="0" borderId="0" xfId="0" applyNumberFormat="1" applyFont="1" applyFill="1" applyBorder="1" applyAlignment="1">
      <alignment horizontal="right" vertical="center"/>
    </xf>
    <xf numFmtId="220" fontId="7" fillId="0" borderId="0" xfId="0" applyNumberFormat="1" applyFont="1" applyBorder="1"/>
    <xf numFmtId="210" fontId="11" fillId="0" borderId="0" xfId="0" applyNumberFormat="1" applyFont="1" applyFill="1" applyBorder="1" applyAlignment="1">
      <alignment horizontal="right" vertical="center"/>
    </xf>
    <xf numFmtId="0" fontId="0" fillId="15" borderId="0" xfId="0" applyFill="1"/>
    <xf numFmtId="209" fontId="0" fillId="0" borderId="0" xfId="0" applyNumberFormat="1" applyFont="1"/>
    <xf numFmtId="211" fontId="0" fillId="0" borderId="0" xfId="0" applyNumberFormat="1" applyFont="1"/>
    <xf numFmtId="211" fontId="11" fillId="15" borderId="0" xfId="0" applyNumberFormat="1" applyFont="1" applyFill="1" applyBorder="1"/>
    <xf numFmtId="0" fontId="0" fillId="15" borderId="0" xfId="0" applyFont="1" applyFill="1"/>
    <xf numFmtId="217" fontId="0" fillId="0" borderId="0" xfId="0" applyNumberFormat="1" applyFont="1"/>
    <xf numFmtId="207" fontId="9" fillId="15" borderId="0" xfId="1" applyNumberFormat="1" applyFont="1" applyFill="1" applyBorder="1" applyAlignment="1" applyProtection="1">
      <alignment horizontal="right" vertical="center"/>
    </xf>
    <xf numFmtId="210" fontId="11" fillId="0" borderId="0" xfId="0" applyNumberFormat="1" applyFont="1" applyFill="1" applyAlignment="1">
      <alignment vertical="center"/>
    </xf>
    <xf numFmtId="215" fontId="3" fillId="0" borderId="0" xfId="0" applyNumberFormat="1" applyFont="1" applyFill="1" applyAlignment="1">
      <alignment horizontal="center"/>
    </xf>
    <xf numFmtId="0" fontId="13" fillId="0" borderId="0" xfId="0" applyFont="1" applyBorder="1" applyAlignment="1"/>
    <xf numFmtId="0" fontId="11" fillId="0" borderId="22" xfId="0" applyFont="1" applyBorder="1" applyAlignment="1">
      <alignment horizontal="left" indent="2"/>
    </xf>
    <xf numFmtId="210" fontId="11" fillId="0" borderId="22" xfId="0" applyNumberFormat="1" applyFont="1" applyBorder="1" applyAlignment="1">
      <alignment vertical="center"/>
    </xf>
    <xf numFmtId="210" fontId="0" fillId="0" borderId="0" xfId="0" applyNumberFormat="1" applyFont="1" applyBorder="1"/>
    <xf numFmtId="0" fontId="17" fillId="0" borderId="0" xfId="0" applyFont="1" applyBorder="1" applyAlignment="1"/>
    <xf numFmtId="0" fontId="10" fillId="0" borderId="22" xfId="0" applyFont="1" applyBorder="1"/>
    <xf numFmtId="224" fontId="11" fillId="0" borderId="0" xfId="34" applyNumberFormat="1" applyFont="1" applyAlignment="1">
      <alignment horizontal="center"/>
    </xf>
    <xf numFmtId="208" fontId="11" fillId="20" borderId="0" xfId="55" applyFill="1"/>
    <xf numFmtId="210" fontId="11" fillId="20" borderId="0" xfId="0" applyNumberFormat="1" applyFont="1" applyFill="1" applyAlignment="1">
      <alignment vertical="center"/>
    </xf>
    <xf numFmtId="0" fontId="0" fillId="0" borderId="0" xfId="0" applyBorder="1" applyAlignment="1"/>
    <xf numFmtId="0" fontId="3" fillId="0" borderId="22" xfId="0" applyFont="1" applyBorder="1" applyAlignment="1"/>
    <xf numFmtId="208" fontId="10" fillId="0" borderId="22" xfId="0" applyNumberFormat="1" applyFont="1" applyBorder="1"/>
    <xf numFmtId="0" fontId="10" fillId="0" borderId="22" xfId="0" applyFont="1" applyBorder="1" applyAlignment="1">
      <alignment vertical="center"/>
    </xf>
    <xf numFmtId="211" fontId="20" fillId="0" borderId="0" xfId="0" applyNumberFormat="1" applyFont="1" applyBorder="1"/>
    <xf numFmtId="228" fontId="12" fillId="0" borderId="0" xfId="0" applyNumberFormat="1" applyFont="1"/>
    <xf numFmtId="228" fontId="20" fillId="0" borderId="0" xfId="0" applyNumberFormat="1" applyFont="1" applyBorder="1"/>
    <xf numFmtId="208" fontId="9" fillId="0" borderId="22" xfId="1" applyNumberFormat="1" applyFont="1" applyFill="1" applyBorder="1" applyAlignment="1" applyProtection="1">
      <alignment horizontal="right" vertical="center"/>
    </xf>
    <xf numFmtId="207" fontId="11" fillId="15" borderId="0" xfId="1" applyNumberFormat="1" applyFont="1" applyFill="1" applyBorder="1" applyAlignment="1" applyProtection="1">
      <alignment horizontal="right" vertical="center"/>
    </xf>
    <xf numFmtId="0" fontId="13" fillId="0" borderId="0" xfId="0" applyFont="1" applyAlignment="1">
      <alignment horizontal="left" indent="1"/>
    </xf>
    <xf numFmtId="0" fontId="0" fillId="0" borderId="1" xfId="0" applyFont="1" applyBorder="1" applyAlignment="1">
      <alignment horizontal="left" indent="2"/>
    </xf>
    <xf numFmtId="0" fontId="0" fillId="0" borderId="22" xfId="0" applyFont="1" applyBorder="1" applyAlignment="1">
      <alignment horizontal="left" indent="1"/>
    </xf>
    <xf numFmtId="0" fontId="3" fillId="15" borderId="0" xfId="0" applyFont="1" applyFill="1"/>
    <xf numFmtId="208" fontId="19" fillId="0" borderId="0" xfId="50"/>
    <xf numFmtId="207" fontId="19" fillId="0" borderId="0" xfId="50" applyNumberFormat="1"/>
    <xf numFmtId="207" fontId="9" fillId="0" borderId="0" xfId="51" applyNumberFormat="1" applyFont="1"/>
    <xf numFmtId="207" fontId="9" fillId="0" borderId="0" xfId="0" applyNumberFormat="1" applyFont="1"/>
    <xf numFmtId="0" fontId="77" fillId="0" borderId="0" xfId="57"/>
    <xf numFmtId="0" fontId="10" fillId="0" borderId="22" xfId="0" applyFont="1" applyBorder="1" applyAlignment="1">
      <alignment horizontal="left"/>
    </xf>
    <xf numFmtId="207" fontId="10" fillId="0" borderId="22" xfId="51" applyNumberFormat="1" applyFont="1" applyBorder="1"/>
    <xf numFmtId="0" fontId="13" fillId="0" borderId="1" xfId="0" applyFont="1" applyBorder="1" applyAlignment="1">
      <alignment horizontal="center" wrapText="1"/>
    </xf>
    <xf numFmtId="0" fontId="0" fillId="0" borderId="0" xfId="0" applyAlignment="1">
      <alignment horizontal="right" wrapText="1"/>
    </xf>
    <xf numFmtId="0" fontId="13" fillId="0" borderId="0" xfId="0" applyFont="1" applyAlignment="1">
      <alignment horizontal="center" wrapText="1"/>
    </xf>
    <xf numFmtId="37" fontId="9" fillId="0" borderId="0" xfId="0" applyNumberFormat="1" applyFont="1" applyAlignment="1">
      <alignment horizontal="right"/>
    </xf>
    <xf numFmtId="10" fontId="9" fillId="0" borderId="0" xfId="40" applyNumberFormat="1" applyFont="1" applyAlignment="1"/>
    <xf numFmtId="179" fontId="0" fillId="0" borderId="0" xfId="0" applyNumberFormat="1"/>
    <xf numFmtId="0" fontId="15" fillId="0" borderId="1" xfId="0" applyFont="1" applyBorder="1"/>
    <xf numFmtId="207" fontId="65" fillId="0" borderId="0" xfId="1" applyNumberFormat="1" applyFont="1" applyFill="1" applyBorder="1" applyAlignment="1" applyProtection="1">
      <alignment horizontal="right" vertical="center"/>
    </xf>
    <xf numFmtId="183" fontId="12" fillId="0" borderId="0" xfId="0" applyNumberFormat="1" applyFont="1" applyBorder="1"/>
    <xf numFmtId="0" fontId="12" fillId="0" borderId="0" xfId="0" applyFont="1" applyAlignment="1">
      <alignment horizontal="left" indent="1"/>
    </xf>
    <xf numFmtId="211" fontId="11" fillId="20" borderId="0" xfId="0" applyNumberFormat="1" applyFont="1" applyFill="1" applyBorder="1"/>
    <xf numFmtId="207" fontId="10" fillId="0" borderId="0" xfId="0" applyNumberFormat="1" applyFont="1" applyBorder="1"/>
    <xf numFmtId="0" fontId="2" fillId="14" borderId="0" xfId="0" applyFont="1" applyFill="1" applyAlignment="1">
      <alignment vertical="center"/>
    </xf>
    <xf numFmtId="217" fontId="0" fillId="0" borderId="0" xfId="0" applyNumberFormat="1"/>
    <xf numFmtId="0" fontId="9" fillId="0" borderId="0" xfId="0" applyFont="1" applyBorder="1" applyAlignment="1">
      <alignment horizontal="center" vertical="center"/>
    </xf>
    <xf numFmtId="195" fontId="0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Alignment="1">
      <alignment horizontal="center"/>
    </xf>
    <xf numFmtId="201" fontId="0" fillId="0" borderId="17" xfId="0" applyNumberFormat="1" applyFont="1" applyBorder="1"/>
    <xf numFmtId="0" fontId="0" fillId="0" borderId="17" xfId="0" applyFont="1" applyBorder="1" applyAlignment="1">
      <alignment horizontal="left" vertical="center" indent="1"/>
    </xf>
    <xf numFmtId="201" fontId="0" fillId="0" borderId="17" xfId="0" applyNumberFormat="1" applyFont="1" applyFill="1" applyBorder="1"/>
    <xf numFmtId="0" fontId="0" fillId="0" borderId="17" xfId="0" applyFont="1" applyFill="1" applyBorder="1" applyAlignment="1">
      <alignment vertical="center"/>
    </xf>
    <xf numFmtId="201" fontId="0" fillId="4" borderId="17" xfId="0" applyNumberFormat="1" applyFont="1" applyFill="1" applyBorder="1" applyAlignment="1">
      <alignment vertical="center"/>
    </xf>
    <xf numFmtId="201" fontId="0" fillId="4" borderId="17" xfId="0" applyNumberFormat="1" applyFont="1" applyFill="1" applyBorder="1"/>
    <xf numFmtId="201" fontId="0" fillId="0" borderId="17" xfId="0" applyNumberFormat="1" applyFont="1" applyBorder="1" applyAlignment="1">
      <alignment vertical="center"/>
    </xf>
    <xf numFmtId="201" fontId="0" fillId="0" borderId="18" xfId="0" applyNumberFormat="1" applyFont="1" applyFill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0" fillId="0" borderId="24" xfId="0" applyFont="1" applyBorder="1" applyAlignment="1">
      <alignment vertical="center"/>
    </xf>
    <xf numFmtId="201" fontId="3" fillId="0" borderId="24" xfId="1" applyNumberFormat="1" applyFont="1" applyBorder="1" applyAlignment="1">
      <alignment vertical="center"/>
    </xf>
    <xf numFmtId="201" fontId="0" fillId="0" borderId="0" xfId="1" applyNumberFormat="1" applyFont="1" applyFill="1" applyBorder="1" applyAlignment="1">
      <alignment vertical="center"/>
    </xf>
    <xf numFmtId="0" fontId="0" fillId="0" borderId="18" xfId="0" applyFont="1" applyBorder="1" applyAlignment="1">
      <alignment vertical="center"/>
    </xf>
    <xf numFmtId="0" fontId="0" fillId="0" borderId="18" xfId="0" applyFont="1" applyBorder="1" applyAlignment="1">
      <alignment horizontal="left" vertical="center"/>
    </xf>
    <xf numFmtId="201" fontId="0" fillId="0" borderId="18" xfId="0" applyNumberFormat="1" applyFont="1" applyBorder="1" applyAlignment="1">
      <alignment vertical="center"/>
    </xf>
    <xf numFmtId="201" fontId="0" fillId="4" borderId="18" xfId="0" applyNumberFormat="1" applyFont="1" applyFill="1" applyBorder="1" applyAlignment="1">
      <alignment vertical="center"/>
    </xf>
    <xf numFmtId="0" fontId="0" fillId="0" borderId="18" xfId="0" quotePrefix="1" applyFont="1" applyFill="1" applyBorder="1" applyAlignment="1">
      <alignment horizontal="left" vertical="center"/>
    </xf>
    <xf numFmtId="0" fontId="0" fillId="0" borderId="18" xfId="0" applyFont="1" applyFill="1" applyBorder="1" applyAlignment="1">
      <alignment vertical="center"/>
    </xf>
    <xf numFmtId="0" fontId="0" fillId="0" borderId="17" xfId="0" applyBorder="1"/>
    <xf numFmtId="10" fontId="0" fillId="0" borderId="17" xfId="0" applyNumberFormat="1" applyFont="1" applyBorder="1" applyAlignment="1">
      <alignment vertical="center"/>
    </xf>
    <xf numFmtId="0" fontId="3" fillId="0" borderId="17" xfId="0" applyFont="1" applyFill="1" applyBorder="1" applyAlignment="1">
      <alignment vertical="center"/>
    </xf>
    <xf numFmtId="230" fontId="0" fillId="0" borderId="0" xfId="0" applyNumberFormat="1" applyFont="1" applyFill="1" applyAlignment="1">
      <alignment horizontal="right"/>
    </xf>
    <xf numFmtId="230" fontId="0" fillId="0" borderId="0" xfId="0" applyNumberFormat="1" applyFont="1" applyFill="1" applyBorder="1" applyAlignment="1">
      <alignment horizontal="right"/>
    </xf>
    <xf numFmtId="201" fontId="3" fillId="0" borderId="1" xfId="0" applyNumberFormat="1" applyFont="1" applyFill="1" applyBorder="1" applyAlignment="1">
      <alignment horizontal="right" vertical="center"/>
    </xf>
    <xf numFmtId="201" fontId="3" fillId="0" borderId="0" xfId="0" applyNumberFormat="1" applyFont="1" applyFill="1" applyBorder="1" applyAlignment="1">
      <alignment horizontal="right" vertical="center"/>
    </xf>
    <xf numFmtId="0" fontId="18" fillId="0" borderId="2" xfId="0" applyFont="1" applyBorder="1" applyAlignment="1">
      <alignment horizontal="left" vertical="center" indent="1"/>
    </xf>
    <xf numFmtId="201" fontId="3" fillId="0" borderId="0" xfId="0" applyNumberFormat="1" applyFont="1" applyBorder="1" applyAlignment="1">
      <alignment horizontal="right" vertical="center"/>
    </xf>
    <xf numFmtId="201" fontId="0" fillId="0" borderId="0" xfId="0" applyNumberFormat="1" applyFont="1" applyFill="1" applyAlignment="1">
      <alignment vertical="center"/>
    </xf>
    <xf numFmtId="0" fontId="0" fillId="0" borderId="17" xfId="0" applyFont="1" applyFill="1" applyBorder="1" applyAlignment="1"/>
    <xf numFmtId="201" fontId="0" fillId="0" borderId="17" xfId="0" applyNumberFormat="1" applyFont="1" applyBorder="1" applyAlignment="1"/>
    <xf numFmtId="0" fontId="11" fillId="0" borderId="17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left" vertical="center"/>
    </xf>
    <xf numFmtId="0" fontId="0" fillId="15" borderId="17" xfId="0" applyFont="1" applyFill="1" applyBorder="1" applyAlignment="1">
      <alignment vertical="center"/>
    </xf>
    <xf numFmtId="0" fontId="3" fillId="15" borderId="22" xfId="0" applyFont="1" applyFill="1" applyBorder="1" applyAlignment="1">
      <alignment vertical="center"/>
    </xf>
    <xf numFmtId="208" fontId="10" fillId="15" borderId="22" xfId="0" applyNumberFormat="1" applyFont="1" applyFill="1" applyBorder="1" applyAlignment="1">
      <alignment vertical="center"/>
    </xf>
    <xf numFmtId="0" fontId="0" fillId="15" borderId="17" xfId="0" applyFont="1" applyFill="1" applyBorder="1" applyAlignment="1">
      <alignment horizontal="left" vertical="center" indent="1"/>
    </xf>
    <xf numFmtId="0" fontId="0" fillId="15" borderId="0" xfId="0" applyFont="1" applyFill="1" applyBorder="1" applyAlignment="1">
      <alignment horizontal="left" vertical="center" indent="1"/>
    </xf>
    <xf numFmtId="0" fontId="0" fillId="15" borderId="0" xfId="0" applyFont="1" applyFill="1" applyAlignment="1">
      <alignment horizontal="left" vertical="center" indent="1"/>
    </xf>
    <xf numFmtId="177" fontId="7" fillId="15" borderId="14" xfId="0" applyNumberFormat="1" applyFont="1" applyFill="1" applyBorder="1" applyAlignment="1">
      <alignment horizontal="right" vertical="center"/>
    </xf>
    <xf numFmtId="178" fontId="7" fillId="15" borderId="16" xfId="0" applyNumberFormat="1" applyFont="1" applyFill="1" applyBorder="1" applyAlignment="1">
      <alignment horizontal="right" vertical="center"/>
    </xf>
    <xf numFmtId="0" fontId="3" fillId="4" borderId="22" xfId="0" applyFont="1" applyFill="1" applyBorder="1" applyAlignment="1">
      <alignment vertical="center"/>
    </xf>
    <xf numFmtId="179" fontId="10" fillId="4" borderId="22" xfId="0" applyNumberFormat="1" applyFont="1" applyFill="1" applyBorder="1" applyAlignment="1">
      <alignment vertical="center"/>
    </xf>
    <xf numFmtId="208" fontId="10" fillId="4" borderId="22" xfId="0" applyNumberFormat="1" applyFont="1" applyFill="1" applyBorder="1" applyAlignment="1">
      <alignment vertical="center"/>
    </xf>
    <xf numFmtId="0" fontId="10" fillId="0" borderId="1" xfId="1" applyNumberFormat="1" applyFont="1" applyBorder="1" applyAlignment="1">
      <alignment horizontal="left" vertical="center"/>
    </xf>
    <xf numFmtId="171" fontId="3" fillId="0" borderId="1" xfId="0" applyNumberFormat="1" applyFont="1" applyFill="1" applyBorder="1" applyAlignment="1">
      <alignment vertical="center"/>
    </xf>
    <xf numFmtId="223" fontId="3" fillId="0" borderId="0" xfId="0" applyNumberFormat="1" applyFont="1" applyBorder="1" applyAlignment="1">
      <alignment horizontal="center" vertical="center"/>
    </xf>
    <xf numFmtId="226" fontId="3" fillId="0" borderId="0" xfId="0" applyNumberFormat="1" applyFont="1" applyBorder="1" applyAlignment="1">
      <alignment horizontal="center" vertical="center"/>
    </xf>
    <xf numFmtId="223" fontId="0" fillId="0" borderId="0" xfId="0" applyNumberFormat="1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12" fillId="0" borderId="17" xfId="0" applyFont="1" applyFill="1" applyBorder="1" applyAlignment="1">
      <alignment horizontal="center" vertical="center"/>
    </xf>
    <xf numFmtId="0" fontId="0" fillId="0" borderId="17" xfId="0" applyFont="1" applyBorder="1"/>
    <xf numFmtId="173" fontId="0" fillId="0" borderId="17" xfId="0" applyNumberFormat="1" applyFont="1" applyBorder="1" applyAlignment="1">
      <alignment horizontal="center" vertical="center"/>
    </xf>
    <xf numFmtId="201" fontId="0" fillId="0" borderId="25" xfId="0" applyNumberFormat="1" applyFont="1" applyFill="1" applyBorder="1" applyAlignment="1">
      <alignment vertical="center"/>
    </xf>
    <xf numFmtId="201" fontId="0" fillId="0" borderId="25" xfId="0" applyNumberFormat="1" applyFont="1" applyBorder="1" applyAlignment="1">
      <alignment vertical="center"/>
    </xf>
    <xf numFmtId="201" fontId="9" fillId="0" borderId="0" xfId="0" applyNumberFormat="1" applyFont="1" applyFill="1" applyBorder="1" applyAlignment="1">
      <alignment vertical="center"/>
    </xf>
    <xf numFmtId="168" fontId="0" fillId="0" borderId="0" xfId="0" applyNumberFormat="1" applyFont="1" applyFill="1" applyBorder="1" applyAlignment="1">
      <alignment horizontal="right" vertical="center"/>
    </xf>
    <xf numFmtId="0" fontId="66" fillId="0" borderId="0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0" fillId="0" borderId="2" xfId="0" applyFont="1" applyFill="1" applyBorder="1" applyAlignment="1">
      <alignment vertical="center"/>
    </xf>
    <xf numFmtId="182" fontId="9" fillId="0" borderId="17" xfId="0" applyNumberFormat="1" applyFont="1" applyFill="1" applyBorder="1" applyAlignment="1">
      <alignment horizontal="center" vertical="center"/>
    </xf>
    <xf numFmtId="174" fontId="11" fillId="0" borderId="0" xfId="0" applyNumberFormat="1" applyFont="1" applyBorder="1" applyAlignment="1">
      <alignment horizontal="left" vertical="center" indent="1"/>
    </xf>
    <xf numFmtId="174" fontId="11" fillId="0" borderId="17" xfId="0" applyNumberFormat="1" applyFont="1" applyBorder="1" applyAlignment="1">
      <alignment horizontal="left" vertical="center" indent="1"/>
    </xf>
    <xf numFmtId="187" fontId="11" fillId="0" borderId="17" xfId="0" applyNumberFormat="1" applyFont="1" applyFill="1" applyBorder="1" applyAlignment="1">
      <alignment horizontal="center" vertical="center"/>
    </xf>
    <xf numFmtId="223" fontId="10" fillId="0" borderId="0" xfId="0" applyNumberFormat="1" applyFont="1" applyFill="1" applyBorder="1" applyAlignment="1">
      <alignment horizontal="center" vertical="center"/>
    </xf>
    <xf numFmtId="174" fontId="7" fillId="0" borderId="0" xfId="0" applyNumberFormat="1" applyFont="1" applyBorder="1" applyAlignment="1">
      <alignment horizontal="centerContinuous" vertical="center"/>
    </xf>
    <xf numFmtId="0" fontId="78" fillId="0" borderId="0" xfId="0" applyFont="1" applyBorder="1" applyAlignment="1">
      <alignment horizontal="centerContinuous" vertical="center"/>
    </xf>
    <xf numFmtId="0" fontId="7" fillId="0" borderId="0" xfId="0" applyFont="1" applyFill="1" applyBorder="1" applyAlignment="1">
      <alignment horizontal="center" vertical="center"/>
    </xf>
    <xf numFmtId="2" fontId="5" fillId="0" borderId="17" xfId="0" applyNumberFormat="1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Continuous" vertical="center"/>
    </xf>
    <xf numFmtId="174" fontId="5" fillId="0" borderId="0" xfId="0" applyNumberFormat="1" applyFont="1" applyBorder="1" applyAlignment="1">
      <alignment horizontal="right" vertical="center"/>
    </xf>
    <xf numFmtId="174" fontId="5" fillId="0" borderId="0" xfId="0" applyNumberFormat="1" applyFont="1" applyAlignment="1">
      <alignment horizontal="right" vertical="center"/>
    </xf>
    <xf numFmtId="172" fontId="10" fillId="0" borderId="0" xfId="0" applyNumberFormat="1" applyFont="1" applyFill="1" applyBorder="1" applyAlignment="1">
      <alignment horizontal="right" vertical="center"/>
    </xf>
    <xf numFmtId="0" fontId="0" fillId="0" borderId="26" xfId="0" applyFont="1" applyBorder="1" applyAlignment="1">
      <alignment vertical="center"/>
    </xf>
    <xf numFmtId="223" fontId="3" fillId="0" borderId="26" xfId="0" applyNumberFormat="1" applyFont="1" applyBorder="1" applyAlignment="1">
      <alignment horizontal="center"/>
    </xf>
    <xf numFmtId="172" fontId="10" fillId="0" borderId="26" xfId="0" applyNumberFormat="1" applyFont="1" applyFill="1" applyBorder="1" applyAlignment="1">
      <alignment horizontal="right" vertical="center"/>
    </xf>
    <xf numFmtId="14" fontId="79" fillId="0" borderId="0" xfId="0" applyNumberFormat="1" applyFont="1" applyBorder="1" applyAlignment="1">
      <alignment horizontal="centerContinuous" vertical="center"/>
    </xf>
    <xf numFmtId="223" fontId="3" fillId="0" borderId="26" xfId="0" applyNumberFormat="1" applyFont="1" applyBorder="1" applyAlignment="1">
      <alignment horizontal="center" vertical="center"/>
    </xf>
    <xf numFmtId="0" fontId="3" fillId="0" borderId="26" xfId="0" applyFont="1" applyBorder="1" applyAlignment="1">
      <alignment vertical="center"/>
    </xf>
    <xf numFmtId="0" fontId="0" fillId="0" borderId="26" xfId="0" applyBorder="1"/>
    <xf numFmtId="0" fontId="0" fillId="0" borderId="26" xfId="0" applyFont="1" applyBorder="1"/>
    <xf numFmtId="0" fontId="5" fillId="0" borderId="0" xfId="0" applyFont="1" applyAlignment="1">
      <alignment horizontal="center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 applyAlignment="1">
      <alignment horizontal="right"/>
    </xf>
    <xf numFmtId="0" fontId="10" fillId="8" borderId="27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14" fontId="10" fillId="0" borderId="0" xfId="0" applyNumberFormat="1" applyFont="1" applyFill="1" applyBorder="1" applyAlignment="1">
      <alignment horizontal="center" vertical="center"/>
    </xf>
    <xf numFmtId="223" fontId="10" fillId="0" borderId="0" xfId="0" applyNumberFormat="1" applyFont="1" applyFill="1" applyAlignment="1">
      <alignment horizontal="center" vertical="center"/>
    </xf>
    <xf numFmtId="223" fontId="3" fillId="0" borderId="0" xfId="0" applyNumberFormat="1" applyFont="1" applyAlignment="1">
      <alignment vertical="center"/>
    </xf>
    <xf numFmtId="0" fontId="79" fillId="0" borderId="0" xfId="0" applyFont="1" applyBorder="1" applyAlignment="1">
      <alignment horizontal="centerContinuous"/>
    </xf>
    <xf numFmtId="204" fontId="63" fillId="0" borderId="0" xfId="0" applyNumberFormat="1" applyFont="1" applyFill="1" applyBorder="1" applyAlignment="1">
      <alignment vertical="center"/>
    </xf>
    <xf numFmtId="200" fontId="3" fillId="0" borderId="1" xfId="1" applyNumberFormat="1" applyFont="1" applyFill="1" applyBorder="1" applyAlignment="1">
      <alignment horizontal="right" vertical="center"/>
    </xf>
    <xf numFmtId="169" fontId="0" fillId="0" borderId="0" xfId="0" applyNumberFormat="1" applyFont="1" applyFill="1" applyBorder="1" applyAlignment="1">
      <alignment vertical="center"/>
    </xf>
    <xf numFmtId="169" fontId="3" fillId="0" borderId="1" xfId="1" applyNumberFormat="1" applyFont="1" applyFill="1" applyBorder="1" applyAlignment="1">
      <alignment horizontal="right" vertical="center"/>
    </xf>
    <xf numFmtId="169" fontId="3" fillId="0" borderId="0" xfId="1" applyNumberFormat="1" applyFont="1" applyFill="1" applyBorder="1" applyAlignment="1">
      <alignment horizontal="right" vertical="center"/>
    </xf>
    <xf numFmtId="208" fontId="19" fillId="0" borderId="0" xfId="50" applyProtection="1"/>
    <xf numFmtId="169" fontId="9" fillId="0" borderId="0" xfId="1" applyNumberFormat="1" applyFont="1" applyFill="1" applyBorder="1" applyAlignment="1" applyProtection="1">
      <alignment horizontal="right" vertical="center"/>
    </xf>
    <xf numFmtId="14" fontId="10" fillId="0" borderId="26" xfId="0" applyNumberFormat="1" applyFont="1" applyFill="1" applyBorder="1" applyAlignment="1">
      <alignment horizontal="right" vertical="center"/>
    </xf>
    <xf numFmtId="0" fontId="10" fillId="0" borderId="26" xfId="0" applyFont="1" applyFill="1" applyBorder="1" applyAlignment="1">
      <alignment horizontal="right" vertical="center"/>
    </xf>
    <xf numFmtId="0" fontId="0" fillId="0" borderId="0" xfId="0" applyFont="1" applyFill="1" applyAlignment="1">
      <alignment horizontal="left" indent="1"/>
    </xf>
    <xf numFmtId="207" fontId="11" fillId="0" borderId="22" xfId="0" applyNumberFormat="1" applyFont="1" applyFill="1" applyBorder="1"/>
    <xf numFmtId="207" fontId="0" fillId="0" borderId="0" xfId="0" applyNumberFormat="1" applyFont="1" applyFill="1"/>
    <xf numFmtId="0" fontId="80" fillId="0" borderId="0" xfId="0" applyFont="1" applyFill="1" applyBorder="1" applyAlignment="1">
      <alignment horizontal="center"/>
    </xf>
    <xf numFmtId="209" fontId="11" fillId="0" borderId="0" xfId="0" applyNumberFormat="1" applyFont="1" applyFill="1" applyAlignment="1">
      <alignment vertical="center"/>
    </xf>
    <xf numFmtId="0" fontId="1" fillId="0" borderId="0" xfId="54"/>
    <xf numFmtId="0" fontId="3" fillId="0" borderId="0" xfId="44" applyFont="1" applyAlignment="1">
      <alignment horizontal="center"/>
    </xf>
    <xf numFmtId="0" fontId="3" fillId="0" borderId="0" xfId="54" applyFont="1" applyAlignment="1">
      <alignment horizontal="center"/>
    </xf>
    <xf numFmtId="1" fontId="9" fillId="0" borderId="0" xfId="52" applyNumberFormat="1" applyFont="1" applyFill="1" applyAlignment="1">
      <alignment horizontal="center"/>
    </xf>
    <xf numFmtId="185" fontId="9" fillId="0" borderId="0" xfId="44" applyNumberFormat="1" applyFont="1" applyAlignment="1">
      <alignment horizontal="center"/>
    </xf>
    <xf numFmtId="0" fontId="65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10" fillId="0" borderId="26" xfId="0" applyFont="1" applyFill="1" applyBorder="1" applyAlignment="1">
      <alignment horizontal="center"/>
    </xf>
    <xf numFmtId="14" fontId="10" fillId="0" borderId="26" xfId="0" applyNumberFormat="1" applyFont="1" applyFill="1" applyBorder="1" applyAlignment="1">
      <alignment horizontal="center"/>
    </xf>
    <xf numFmtId="172" fontId="10" fillId="0" borderId="26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right" vertical="center"/>
    </xf>
    <xf numFmtId="0" fontId="3" fillId="0" borderId="0" xfId="0" applyFont="1" applyBorder="1" applyAlignment="1">
      <alignment horizontal="left"/>
    </xf>
    <xf numFmtId="183" fontId="11" fillId="0" borderId="0" xfId="0" applyNumberFormat="1" applyFont="1" applyBorder="1"/>
    <xf numFmtId="217" fontId="1" fillId="0" borderId="0" xfId="0" applyNumberFormat="1" applyFont="1" applyFill="1" applyBorder="1" applyAlignment="1"/>
    <xf numFmtId="219" fontId="0" fillId="0" borderId="0" xfId="0" applyNumberFormat="1" applyFont="1" applyBorder="1"/>
    <xf numFmtId="207" fontId="10" fillId="0" borderId="0" xfId="1" applyNumberFormat="1" applyFont="1" applyFill="1" applyBorder="1" applyAlignment="1" applyProtection="1">
      <alignment horizontal="right" vertical="center"/>
    </xf>
    <xf numFmtId="0" fontId="9" fillId="0" borderId="0" xfId="0" applyFont="1" applyAlignment="1">
      <alignment horizontal="left"/>
    </xf>
    <xf numFmtId="231" fontId="0" fillId="0" borderId="0" xfId="0" applyNumberFormat="1" applyFill="1" applyAlignment="1">
      <alignment horizontal="left"/>
    </xf>
    <xf numFmtId="0" fontId="3" fillId="0" borderId="0" xfId="54" applyFont="1" applyFill="1" applyAlignment="1">
      <alignment horizontal="center"/>
    </xf>
    <xf numFmtId="0" fontId="18" fillId="0" borderId="0" xfId="0" applyFont="1"/>
    <xf numFmtId="207" fontId="11" fillId="0" borderId="0" xfId="51" applyNumberFormat="1" applyAlignment="1">
      <alignment horizontal="center"/>
    </xf>
    <xf numFmtId="207" fontId="11" fillId="0" borderId="0" xfId="51" applyNumberFormat="1" applyAlignment="1">
      <alignment horizontal="right"/>
    </xf>
    <xf numFmtId="207" fontId="0" fillId="0" borderId="0" xfId="0" applyNumberFormat="1" applyAlignment="1">
      <alignment horizontal="right"/>
    </xf>
    <xf numFmtId="0" fontId="3" fillId="0" borderId="2" xfId="54" applyFont="1" applyBorder="1" applyAlignment="1">
      <alignment horizontal="left"/>
    </xf>
    <xf numFmtId="0" fontId="0" fillId="0" borderId="2" xfId="0" applyBorder="1" applyAlignment="1">
      <alignment horizontal="left"/>
    </xf>
    <xf numFmtId="0" fontId="3" fillId="0" borderId="0" xfId="54" applyFont="1" applyAlignment="1">
      <alignment horizontal="centerContinuous"/>
    </xf>
    <xf numFmtId="0" fontId="0" fillId="0" borderId="0" xfId="0" applyAlignment="1">
      <alignment horizontal="centerContinuous"/>
    </xf>
    <xf numFmtId="1" fontId="0" fillId="0" borderId="0" xfId="0" applyNumberFormat="1" applyFill="1" applyAlignment="1">
      <alignment horizontal="center"/>
    </xf>
    <xf numFmtId="207" fontId="3" fillId="0" borderId="0" xfId="0" applyNumberFormat="1" applyFont="1" applyAlignment="1">
      <alignment horizontal="right"/>
    </xf>
    <xf numFmtId="0" fontId="3" fillId="0" borderId="2" xfId="0" applyFont="1" applyBorder="1" applyAlignment="1">
      <alignment horizontal="centerContinuous"/>
    </xf>
    <xf numFmtId="207" fontId="9" fillId="0" borderId="0" xfId="51" applyNumberFormat="1" applyFont="1" applyBorder="1"/>
    <xf numFmtId="0" fontId="54" fillId="0" borderId="0" xfId="0" applyFont="1" applyBorder="1" applyAlignment="1">
      <alignment horizontal="left" vertical="top"/>
    </xf>
    <xf numFmtId="0" fontId="0" fillId="0" borderId="1" xfId="0" applyBorder="1" applyAlignment="1">
      <alignment horizontal="left" indent="1"/>
    </xf>
    <xf numFmtId="0" fontId="64" fillId="0" borderId="0" xfId="0" applyFont="1"/>
    <xf numFmtId="208" fontId="19" fillId="0" borderId="0" xfId="50" applyBorder="1"/>
    <xf numFmtId="207" fontId="19" fillId="0" borderId="0" xfId="50" applyNumberFormat="1" applyBorder="1" applyAlignment="1">
      <alignment horizontal="right"/>
    </xf>
    <xf numFmtId="0" fontId="3" fillId="0" borderId="26" xfId="0" applyFont="1" applyBorder="1"/>
    <xf numFmtId="0" fontId="81" fillId="0" borderId="0" xfId="0" applyFont="1" applyBorder="1" applyAlignment="1">
      <alignment horizontal="right"/>
    </xf>
    <xf numFmtId="207" fontId="11" fillId="0" borderId="5" xfId="1" applyNumberFormat="1" applyFont="1" applyFill="1" applyBorder="1" applyAlignment="1" applyProtection="1">
      <alignment horizontal="right" vertical="center"/>
    </xf>
    <xf numFmtId="224" fontId="64" fillId="0" borderId="0" xfId="34" applyNumberFormat="1" applyFont="1" applyAlignment="1">
      <alignment horizontal="center"/>
    </xf>
    <xf numFmtId="210" fontId="3" fillId="0" borderId="0" xfId="0" applyNumberFormat="1" applyFont="1"/>
    <xf numFmtId="0" fontId="82" fillId="0" borderId="0" xfId="0" applyFont="1" applyAlignment="1">
      <alignment horizontal="left"/>
    </xf>
    <xf numFmtId="0" fontId="0" fillId="0" borderId="6" xfId="0" applyFont="1" applyBorder="1" applyAlignment="1">
      <alignment horizontal="left" vertical="center"/>
    </xf>
    <xf numFmtId="166" fontId="60" fillId="0" borderId="0" xfId="1" applyNumberFormat="1" applyFont="1" applyBorder="1" applyAlignment="1">
      <alignment horizontal="left" vertical="center" indent="1"/>
    </xf>
    <xf numFmtId="210" fontId="10" fillId="0" borderId="0" xfId="0" applyNumberFormat="1" applyFont="1" applyAlignment="1">
      <alignment vertical="center"/>
    </xf>
    <xf numFmtId="0" fontId="12" fillId="0" borderId="0" xfId="0" applyFont="1" applyAlignment="1">
      <alignment horizontal="left" indent="3"/>
    </xf>
    <xf numFmtId="0" fontId="56" fillId="0" borderId="0" xfId="0" applyFont="1" applyAlignment="1">
      <alignment horizontal="left" indent="1"/>
    </xf>
    <xf numFmtId="0" fontId="15" fillId="0" borderId="0" xfId="0" applyFont="1" applyBorder="1" applyAlignment="1">
      <alignment horizontal="left" indent="1"/>
    </xf>
    <xf numFmtId="0" fontId="56" fillId="0" borderId="0" xfId="0" applyFont="1" applyAlignment="1">
      <alignment horizontal="left" indent="2"/>
    </xf>
    <xf numFmtId="0" fontId="9" fillId="0" borderId="0" xfId="0" applyFont="1" applyAlignment="1">
      <alignment horizontal="left" indent="4"/>
    </xf>
    <xf numFmtId="0" fontId="12" fillId="0" borderId="0" xfId="0" applyFont="1" applyAlignment="1">
      <alignment horizontal="left" indent="4"/>
    </xf>
    <xf numFmtId="0" fontId="52" fillId="0" borderId="0" xfId="0" applyFont="1" applyBorder="1" applyAlignment="1">
      <alignment horizontal="left" indent="1"/>
    </xf>
    <xf numFmtId="0" fontId="11" fillId="0" borderId="22" xfId="0" applyFont="1" applyBorder="1" applyAlignment="1">
      <alignment horizontal="left" indent="3"/>
    </xf>
    <xf numFmtId="208" fontId="64" fillId="0" borderId="22" xfId="1" applyNumberFormat="1" applyFont="1" applyFill="1" applyBorder="1" applyAlignment="1" applyProtection="1">
      <alignment horizontal="right" vertical="center"/>
    </xf>
    <xf numFmtId="207" fontId="64" fillId="0" borderId="22" xfId="34" applyNumberFormat="1" applyFont="1" applyBorder="1"/>
    <xf numFmtId="0" fontId="10" fillId="0" borderId="22" xfId="0" applyFont="1" applyBorder="1" applyAlignment="1">
      <alignment horizontal="left" indent="1"/>
    </xf>
    <xf numFmtId="207" fontId="10" fillId="0" borderId="22" xfId="0" applyNumberFormat="1" applyFont="1" applyBorder="1"/>
    <xf numFmtId="208" fontId="9" fillId="0" borderId="5" xfId="1" applyNumberFormat="1" applyFont="1" applyFill="1" applyBorder="1" applyAlignment="1" applyProtection="1">
      <alignment horizontal="right" vertical="center"/>
    </xf>
    <xf numFmtId="0" fontId="3" fillId="0" borderId="5" xfId="0" applyFont="1" applyBorder="1"/>
    <xf numFmtId="211" fontId="10" fillId="0" borderId="5" xfId="0" applyNumberFormat="1" applyFont="1" applyBorder="1"/>
    <xf numFmtId="208" fontId="9" fillId="0" borderId="0" xfId="55" applyFont="1" applyFill="1"/>
    <xf numFmtId="0" fontId="9" fillId="15" borderId="0" xfId="0" applyFont="1" applyFill="1" applyAlignment="1">
      <alignment horizontal="left" indent="1"/>
    </xf>
    <xf numFmtId="224" fontId="9" fillId="15" borderId="0" xfId="34" applyNumberFormat="1" applyFill="1" applyAlignment="1">
      <alignment horizontal="center"/>
    </xf>
    <xf numFmtId="208" fontId="9" fillId="15" borderId="0" xfId="1" applyNumberFormat="1" applyFont="1" applyFill="1" applyBorder="1" applyAlignment="1" applyProtection="1">
      <alignment horizontal="right" vertical="center"/>
    </xf>
    <xf numFmtId="208" fontId="9" fillId="15" borderId="0" xfId="34" applyFill="1"/>
    <xf numFmtId="208" fontId="11" fillId="15" borderId="0" xfId="51" applyFill="1"/>
    <xf numFmtId="170" fontId="9" fillId="15" borderId="0" xfId="1" applyNumberFormat="1" applyFont="1" applyFill="1" applyBorder="1" applyAlignment="1" applyProtection="1">
      <alignment horizontal="right" vertical="center"/>
    </xf>
    <xf numFmtId="0" fontId="5" fillId="15" borderId="0" xfId="0" applyFont="1" applyFill="1" applyAlignment="1">
      <alignment horizontal="center"/>
    </xf>
    <xf numFmtId="224" fontId="11" fillId="15" borderId="0" xfId="34" applyNumberFormat="1" applyFont="1" applyFill="1" applyAlignment="1">
      <alignment horizontal="center"/>
    </xf>
    <xf numFmtId="217" fontId="7" fillId="15" borderId="0" xfId="0" applyNumberFormat="1" applyFont="1" applyFill="1"/>
    <xf numFmtId="217" fontId="12" fillId="15" borderId="0" xfId="0" applyNumberFormat="1" applyFont="1" applyFill="1"/>
    <xf numFmtId="0" fontId="3" fillId="15" borderId="0" xfId="0" applyFont="1" applyFill="1" applyBorder="1"/>
    <xf numFmtId="208" fontId="11" fillId="15" borderId="0" xfId="1" applyNumberFormat="1" applyFont="1" applyFill="1" applyBorder="1" applyAlignment="1" applyProtection="1">
      <alignment horizontal="right" vertical="center"/>
    </xf>
    <xf numFmtId="0" fontId="11" fillId="21" borderId="11" xfId="0" applyFont="1" applyFill="1" applyBorder="1" applyAlignment="1">
      <alignment horizontal="left" vertical="center"/>
    </xf>
    <xf numFmtId="0" fontId="10" fillId="21" borderId="3" xfId="0" applyFont="1" applyFill="1" applyBorder="1" applyAlignment="1">
      <alignment horizontal="left" vertical="center" indent="1"/>
    </xf>
    <xf numFmtId="0" fontId="10" fillId="21" borderId="3" xfId="0" applyFont="1" applyFill="1" applyBorder="1" applyAlignment="1">
      <alignment horizontal="right" vertical="center" indent="1"/>
    </xf>
    <xf numFmtId="207" fontId="9" fillId="0" borderId="0" xfId="1" applyNumberFormat="1" applyFont="1" applyFill="1" applyBorder="1" applyAlignment="1" applyProtection="1">
      <alignment horizontal="center" vertical="center"/>
    </xf>
    <xf numFmtId="232" fontId="9" fillId="0" borderId="0" xfId="1" applyNumberFormat="1" applyFont="1" applyFill="1" applyBorder="1" applyAlignment="1" applyProtection="1">
      <alignment horizontal="center" vertical="center"/>
    </xf>
    <xf numFmtId="233" fontId="9" fillId="0" borderId="0" xfId="1" applyNumberFormat="1" applyFont="1" applyFill="1" applyBorder="1" applyAlignment="1" applyProtection="1">
      <alignment horizontal="center" vertical="center"/>
    </xf>
    <xf numFmtId="234" fontId="9" fillId="0" borderId="0" xfId="1" applyNumberFormat="1" applyFont="1" applyFill="1" applyBorder="1" applyAlignment="1" applyProtection="1">
      <alignment horizontal="center" vertical="center"/>
    </xf>
    <xf numFmtId="216" fontId="0" fillId="0" borderId="0" xfId="0" applyNumberFormat="1" applyAlignment="1">
      <alignment horizontal="center"/>
    </xf>
    <xf numFmtId="216" fontId="0" fillId="0" borderId="0" xfId="0" applyNumberFormat="1" applyAlignment="1">
      <alignment horizontal="right"/>
    </xf>
    <xf numFmtId="0" fontId="11" fillId="0" borderId="17" xfId="0" applyFont="1" applyBorder="1" applyAlignment="1">
      <alignment horizontal="center"/>
    </xf>
    <xf numFmtId="207" fontId="11" fillId="0" borderId="0" xfId="0" applyNumberFormat="1" applyFont="1" applyAlignment="1">
      <alignment horizontal="center"/>
    </xf>
    <xf numFmtId="216" fontId="3" fillId="0" borderId="0" xfId="0" applyNumberFormat="1" applyFont="1" applyAlignment="1">
      <alignment horizontal="center"/>
    </xf>
    <xf numFmtId="207" fontId="9" fillId="0" borderId="0" xfId="0" applyNumberFormat="1" applyFont="1" applyAlignment="1">
      <alignment horizontal="center"/>
    </xf>
    <xf numFmtId="0" fontId="9" fillId="0" borderId="0" xfId="0" applyFont="1" applyAlignment="1">
      <alignment horizontal="right"/>
    </xf>
    <xf numFmtId="17" fontId="3" fillId="0" borderId="0" xfId="0" applyNumberFormat="1" applyFont="1" applyAlignment="1">
      <alignment horizontal="right"/>
    </xf>
    <xf numFmtId="0" fontId="54" fillId="0" borderId="0" xfId="0" applyFont="1" applyAlignment="1">
      <alignment horizontal="left" vertical="top"/>
    </xf>
    <xf numFmtId="0" fontId="10" fillId="8" borderId="21" xfId="0" applyFont="1" applyFill="1" applyBorder="1" applyAlignment="1">
      <alignment horizontal="left" vertical="center"/>
    </xf>
    <xf numFmtId="0" fontId="10" fillId="8" borderId="21" xfId="0" applyFont="1" applyFill="1" applyBorder="1" applyAlignment="1">
      <alignment horizontal="left" vertical="center" indent="1"/>
    </xf>
    <xf numFmtId="0" fontId="10" fillId="8" borderId="21" xfId="0" applyFont="1" applyFill="1" applyBorder="1" applyAlignment="1">
      <alignment horizontal="right" vertical="center" indent="1"/>
    </xf>
    <xf numFmtId="0" fontId="0" fillId="0" borderId="17" xfId="0" applyBorder="1" applyAlignment="1">
      <alignment horizontal="center"/>
    </xf>
    <xf numFmtId="207" fontId="11" fillId="0" borderId="0" xfId="1" applyNumberFormat="1" applyFont="1" applyFill="1" applyBorder="1" applyAlignment="1" applyProtection="1">
      <alignment horizontal="center" vertical="center"/>
    </xf>
    <xf numFmtId="0" fontId="0" fillId="0" borderId="25" xfId="0" applyBorder="1"/>
    <xf numFmtId="222" fontId="9" fillId="0" borderId="0" xfId="1" applyNumberFormat="1" applyFont="1" applyFill="1" applyBorder="1" applyAlignment="1" applyProtection="1">
      <alignment horizontal="center" vertical="center"/>
    </xf>
    <xf numFmtId="1" fontId="0" fillId="0" borderId="0" xfId="0" applyNumberFormat="1" applyAlignment="1">
      <alignment horizontal="center"/>
    </xf>
    <xf numFmtId="43" fontId="0" fillId="0" borderId="0" xfId="1" applyFont="1"/>
    <xf numFmtId="0" fontId="80" fillId="0" borderId="0" xfId="0" applyFont="1" applyAlignment="1">
      <alignment horizontal="center"/>
    </xf>
    <xf numFmtId="211" fontId="10" fillId="0" borderId="0" xfId="0" applyNumberFormat="1" applyFont="1"/>
    <xf numFmtId="218" fontId="83" fillId="0" borderId="0" xfId="0" applyNumberFormat="1" applyFont="1"/>
    <xf numFmtId="207" fontId="11" fillId="0" borderId="0" xfId="55" applyNumberFormat="1" applyFill="1" applyAlignment="1">
      <alignment horizontal="right"/>
    </xf>
    <xf numFmtId="232" fontId="11" fillId="0" borderId="0" xfId="1" applyNumberFormat="1" applyFont="1" applyFill="1" applyBorder="1" applyAlignment="1" applyProtection="1">
      <alignment horizontal="center" vertical="center"/>
    </xf>
    <xf numFmtId="224" fontId="9" fillId="0" borderId="0" xfId="34" applyNumberFormat="1" applyFill="1" applyAlignment="1">
      <alignment horizontal="center"/>
    </xf>
    <xf numFmtId="0" fontId="9" fillId="0" borderId="0" xfId="0" applyFont="1" applyFill="1" applyAlignment="1">
      <alignment horizontal="left" vertical="top"/>
    </xf>
    <xf numFmtId="218" fontId="83" fillId="0" borderId="0" xfId="0" applyNumberFormat="1" applyFont="1" applyFill="1"/>
    <xf numFmtId="207" fontId="19" fillId="0" borderId="0" xfId="50" applyNumberFormat="1" applyFill="1" applyAlignment="1" applyProtection="1">
      <alignment horizontal="right"/>
    </xf>
    <xf numFmtId="210" fontId="3" fillId="0" borderId="1" xfId="0" applyNumberFormat="1" applyFont="1" applyBorder="1"/>
    <xf numFmtId="205" fontId="12" fillId="0" borderId="0" xfId="0" applyNumberFormat="1" applyFont="1" applyFill="1" applyBorder="1" applyAlignment="1" applyProtection="1">
      <alignment horizontal="center"/>
    </xf>
    <xf numFmtId="0" fontId="9" fillId="0" borderId="0" xfId="0" applyFont="1" applyAlignment="1">
      <alignment horizontal="left" vertical="top" indent="1"/>
    </xf>
    <xf numFmtId="210" fontId="11" fillId="0" borderId="0" xfId="0" applyNumberFormat="1" applyFont="1" applyAlignment="1">
      <alignment horizontal="center" vertical="center"/>
    </xf>
    <xf numFmtId="210" fontId="9" fillId="0" borderId="1" xfId="0" applyNumberFormat="1" applyFont="1" applyBorder="1" applyAlignment="1">
      <alignment horizontal="center" vertical="center"/>
    </xf>
    <xf numFmtId="210" fontId="11" fillId="0" borderId="1" xfId="0" applyNumberFormat="1" applyFont="1" applyBorder="1" applyAlignment="1">
      <alignment horizontal="center" vertical="center"/>
    </xf>
    <xf numFmtId="210" fontId="10" fillId="0" borderId="0" xfId="0" applyNumberFormat="1" applyFont="1" applyBorder="1" applyAlignment="1">
      <alignment horizontal="center" vertical="center"/>
    </xf>
    <xf numFmtId="172" fontId="3" fillId="0" borderId="0" xfId="0" applyNumberFormat="1" applyFont="1" applyAlignment="1">
      <alignment horizontal="right"/>
    </xf>
    <xf numFmtId="207" fontId="10" fillId="0" borderId="1" xfId="1" applyNumberFormat="1" applyFont="1" applyFill="1" applyBorder="1" applyAlignment="1" applyProtection="1">
      <alignment horizontal="right" vertical="center"/>
    </xf>
    <xf numFmtId="207" fontId="11" fillId="0" borderId="22" xfId="51" applyNumberFormat="1" applyBorder="1" applyAlignment="1">
      <alignment horizontal="right"/>
    </xf>
    <xf numFmtId="207" fontId="3" fillId="0" borderId="22" xfId="0" applyNumberFormat="1" applyFont="1" applyBorder="1" applyAlignment="1">
      <alignment horizontal="right"/>
    </xf>
    <xf numFmtId="217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10" fillId="0" borderId="1" xfId="0" applyFont="1" applyBorder="1" applyAlignment="1">
      <alignment horizontal="left" vertical="top"/>
    </xf>
    <xf numFmtId="217" fontId="12" fillId="0" borderId="1" xfId="0" applyNumberFormat="1" applyFont="1" applyBorder="1" applyAlignment="1">
      <alignment horizontal="right"/>
    </xf>
    <xf numFmtId="201" fontId="15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horizontal="left" indent="1"/>
    </xf>
    <xf numFmtId="208" fontId="3" fillId="0" borderId="0" xfId="0" applyNumberFormat="1" applyFont="1"/>
    <xf numFmtId="172" fontId="0" fillId="0" borderId="0" xfId="0" applyNumberFormat="1" applyAlignment="1">
      <alignment horizontal="left"/>
    </xf>
    <xf numFmtId="164" fontId="12" fillId="0" borderId="0" xfId="0" applyNumberFormat="1" applyFont="1" applyFill="1" applyBorder="1" applyAlignment="1">
      <alignment vertical="center"/>
    </xf>
    <xf numFmtId="0" fontId="0" fillId="0" borderId="0" xfId="0" applyFill="1" applyAlignment="1">
      <alignment horizontal="center"/>
    </xf>
    <xf numFmtId="217" fontId="0" fillId="0" borderId="0" xfId="0" applyNumberFormat="1" applyFill="1"/>
    <xf numFmtId="0" fontId="5" fillId="0" borderId="26" xfId="0" applyFont="1" applyBorder="1" applyAlignment="1">
      <alignment vertical="center"/>
    </xf>
    <xf numFmtId="0" fontId="18" fillId="0" borderId="26" xfId="0" applyFont="1" applyBorder="1" applyAlignment="1">
      <alignment vertical="center"/>
    </xf>
    <xf numFmtId="174" fontId="7" fillId="0" borderId="26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top"/>
    </xf>
    <xf numFmtId="0" fontId="0" fillId="0" borderId="0" xfId="0" applyFont="1" applyBorder="1" applyAlignment="1">
      <alignment vertical="top"/>
    </xf>
    <xf numFmtId="0" fontId="45" fillId="0" borderId="0" xfId="0" applyFont="1" applyAlignment="1">
      <alignment vertical="top"/>
    </xf>
    <xf numFmtId="0" fontId="0" fillId="0" borderId="0" xfId="0" applyFont="1" applyAlignment="1">
      <alignment vertical="top"/>
    </xf>
    <xf numFmtId="0" fontId="18" fillId="0" borderId="0" xfId="0" applyFont="1" applyBorder="1" applyAlignment="1">
      <alignment vertical="top"/>
    </xf>
    <xf numFmtId="174" fontId="7" fillId="0" borderId="0" xfId="0" applyNumberFormat="1" applyFont="1" applyBorder="1" applyAlignment="1">
      <alignment horizontal="center" vertical="top"/>
    </xf>
    <xf numFmtId="0" fontId="5" fillId="0" borderId="0" xfId="0" applyFont="1" applyAlignment="1"/>
    <xf numFmtId="212" fontId="12" fillId="0" borderId="0" xfId="0" applyNumberFormat="1" applyFont="1" applyAlignment="1">
      <alignment horizontal="center"/>
    </xf>
    <xf numFmtId="183" fontId="7" fillId="0" borderId="0" xfId="0" applyNumberFormat="1" applyFont="1" applyBorder="1"/>
    <xf numFmtId="0" fontId="9" fillId="0" borderId="0" xfId="0" applyFont="1" applyFill="1" applyBorder="1" applyAlignment="1">
      <alignment horizontal="left"/>
    </xf>
    <xf numFmtId="0" fontId="9" fillId="0" borderId="0" xfId="0" applyNumberFormat="1" applyFont="1" applyFill="1" applyAlignment="1">
      <alignment horizontal="left"/>
    </xf>
    <xf numFmtId="210" fontId="9" fillId="20" borderId="0" xfId="0" applyNumberFormat="1" applyFont="1" applyFill="1" applyAlignment="1">
      <alignment vertical="center"/>
    </xf>
    <xf numFmtId="0" fontId="52" fillId="0" borderId="0" xfId="0" applyFont="1" applyAlignment="1">
      <alignment horizontal="left"/>
    </xf>
    <xf numFmtId="208" fontId="10" fillId="0" borderId="22" xfId="1" applyNumberFormat="1" applyFont="1" applyFill="1" applyBorder="1" applyAlignment="1" applyProtection="1">
      <alignment horizontal="right" vertical="center"/>
    </xf>
    <xf numFmtId="226" fontId="10" fillId="0" borderId="0" xfId="0" applyNumberFormat="1" applyFont="1"/>
    <xf numFmtId="0" fontId="15" fillId="0" borderId="0" xfId="0" applyFont="1" applyAlignment="1">
      <alignment horizontal="right"/>
    </xf>
    <xf numFmtId="0" fontId="15" fillId="0" borderId="0" xfId="0" applyFont="1" applyAlignment="1">
      <alignment horizontal="right" vertical="center"/>
    </xf>
    <xf numFmtId="0" fontId="45" fillId="0" borderId="0" xfId="0" applyFont="1" applyBorder="1"/>
    <xf numFmtId="0" fontId="9" fillId="4" borderId="0" xfId="0" applyFont="1" applyFill="1" applyAlignment="1">
      <alignment horizontal="left" vertical="top"/>
    </xf>
    <xf numFmtId="0" fontId="3" fillId="4" borderId="0" xfId="0" applyFont="1" applyFill="1"/>
    <xf numFmtId="224" fontId="9" fillId="4" borderId="0" xfId="34" applyNumberFormat="1" applyFill="1" applyAlignment="1">
      <alignment horizontal="center"/>
    </xf>
    <xf numFmtId="207" fontId="19" fillId="4" borderId="0" xfId="50" applyNumberFormat="1" applyFill="1" applyAlignment="1" applyProtection="1">
      <alignment horizontal="right"/>
    </xf>
    <xf numFmtId="207" fontId="11" fillId="4" borderId="0" xfId="55" applyNumberFormat="1" applyFill="1" applyAlignment="1">
      <alignment horizontal="right"/>
    </xf>
    <xf numFmtId="0" fontId="9" fillId="4" borderId="0" xfId="0" applyFont="1" applyFill="1" applyAlignment="1">
      <alignment horizontal="left" vertical="top" indent="1"/>
    </xf>
    <xf numFmtId="207" fontId="0" fillId="4" borderId="0" xfId="0" applyNumberFormat="1" applyFill="1"/>
    <xf numFmtId="208" fontId="9" fillId="20" borderId="0" xfId="55" applyFont="1" applyFill="1"/>
    <xf numFmtId="170" fontId="9" fillId="0" borderId="0" xfId="1" applyNumberFormat="1" applyFont="1" applyFill="1" applyBorder="1" applyAlignment="1" applyProtection="1">
      <alignment horizontal="right" vertical="center"/>
    </xf>
    <xf numFmtId="0" fontId="0" fillId="0" borderId="1" xfId="0" applyFont="1" applyFill="1" applyBorder="1"/>
    <xf numFmtId="208" fontId="9" fillId="20" borderId="0" xfId="1" applyNumberFormat="1" applyFont="1" applyFill="1" applyBorder="1" applyAlignment="1" applyProtection="1">
      <alignment horizontal="right" vertical="center"/>
    </xf>
    <xf numFmtId="0" fontId="15" fillId="0" borderId="0" xfId="0" applyFont="1" applyFill="1" applyBorder="1" applyAlignment="1">
      <alignment horizontal="center"/>
    </xf>
    <xf numFmtId="223" fontId="3" fillId="0" borderId="0" xfId="0" applyNumberFormat="1" applyFont="1" applyFill="1" applyBorder="1" applyAlignment="1">
      <alignment horizontal="center" vertical="center"/>
    </xf>
    <xf numFmtId="208" fontId="10" fillId="5" borderId="0" xfId="0" applyNumberFormat="1" applyFont="1" applyFill="1" applyBorder="1"/>
    <xf numFmtId="0" fontId="55" fillId="0" borderId="0" xfId="0" applyFont="1" applyFill="1" applyBorder="1"/>
    <xf numFmtId="210" fontId="9" fillId="0" borderId="0" xfId="0" applyNumberFormat="1" applyFont="1" applyBorder="1" applyAlignment="1">
      <alignment horizontal="center" vertical="center"/>
    </xf>
    <xf numFmtId="172" fontId="3" fillId="0" borderId="0" xfId="0" applyNumberFormat="1" applyFont="1"/>
    <xf numFmtId="172" fontId="3" fillId="0" borderId="2" xfId="0" applyNumberFormat="1" applyFont="1" applyBorder="1"/>
    <xf numFmtId="216" fontId="3" fillId="0" borderId="0" xfId="0" applyNumberFormat="1" applyFont="1" applyBorder="1" applyAlignment="1">
      <alignment horizontal="center"/>
    </xf>
    <xf numFmtId="216" fontId="0" fillId="0" borderId="0" xfId="0" applyNumberFormat="1" applyFont="1" applyBorder="1" applyAlignment="1">
      <alignment horizontal="center"/>
    </xf>
    <xf numFmtId="210" fontId="10" fillId="0" borderId="0" xfId="0" applyNumberFormat="1" applyFont="1" applyBorder="1" applyAlignment="1">
      <alignment horizontal="right" vertical="center"/>
    </xf>
    <xf numFmtId="210" fontId="9" fillId="0" borderId="0" xfId="0" applyNumberFormat="1" applyFont="1" applyBorder="1"/>
    <xf numFmtId="1" fontId="5" fillId="0" borderId="0" xfId="0" applyNumberFormat="1" applyFont="1" applyFill="1" applyAlignment="1">
      <alignment horizontal="center"/>
    </xf>
    <xf numFmtId="201" fontId="0" fillId="0" borderId="1" xfId="0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horizontal="center"/>
    </xf>
    <xf numFmtId="0" fontId="9" fillId="0" borderId="0" xfId="0" applyFont="1" applyFill="1" applyAlignment="1"/>
    <xf numFmtId="0" fontId="11" fillId="0" borderId="0" xfId="0" applyFont="1" applyFill="1" applyAlignment="1"/>
    <xf numFmtId="0" fontId="9" fillId="0" borderId="0" xfId="0" applyFont="1" applyFill="1" applyAlignment="1">
      <alignment horizontal="left"/>
    </xf>
    <xf numFmtId="210" fontId="11" fillId="0" borderId="0" xfId="0" applyNumberFormat="1" applyFont="1" applyBorder="1" applyAlignment="1">
      <alignment horizontal="center" vertical="center"/>
    </xf>
    <xf numFmtId="0" fontId="2" fillId="22" borderId="0" xfId="0" applyFont="1" applyFill="1" applyAlignment="1">
      <alignment horizontal="centerContinuous"/>
    </xf>
    <xf numFmtId="172" fontId="3" fillId="0" borderId="0" xfId="0" applyNumberFormat="1" applyFont="1" applyBorder="1"/>
    <xf numFmtId="238" fontId="9" fillId="0" borderId="0" xfId="0" applyNumberFormat="1" applyFont="1" applyFill="1" applyBorder="1"/>
    <xf numFmtId="0" fontId="7" fillId="0" borderId="0" xfId="0" applyFont="1" applyFill="1" applyBorder="1"/>
    <xf numFmtId="0" fontId="45" fillId="0" borderId="0" xfId="0" applyFont="1"/>
    <xf numFmtId="0" fontId="45" fillId="0" borderId="0" xfId="0" applyFont="1" applyFill="1" applyBorder="1" applyAlignment="1">
      <alignment vertical="center"/>
    </xf>
    <xf numFmtId="0" fontId="48" fillId="0" borderId="0" xfId="0" applyFont="1" applyFill="1" applyBorder="1" applyAlignment="1">
      <alignment vertical="center"/>
    </xf>
    <xf numFmtId="0" fontId="90" fillId="0" borderId="0" xfId="0" applyFont="1" applyBorder="1" applyAlignment="1">
      <alignment vertical="center"/>
    </xf>
    <xf numFmtId="222" fontId="0" fillId="0" borderId="0" xfId="0" applyNumberFormat="1" applyFont="1" applyBorder="1"/>
    <xf numFmtId="222" fontId="3" fillId="0" borderId="1" xfId="0" applyNumberFormat="1" applyFont="1" applyBorder="1"/>
    <xf numFmtId="0" fontId="0" fillId="0" borderId="0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3" fillId="4" borderId="0" xfId="0" applyFont="1" applyFill="1" applyBorder="1"/>
    <xf numFmtId="217" fontId="7" fillId="4" borderId="0" xfId="0" applyNumberFormat="1" applyFont="1" applyFill="1"/>
    <xf numFmtId="0" fontId="17" fillId="0" borderId="0" xfId="0" applyFont="1"/>
    <xf numFmtId="217" fontId="12" fillId="4" borderId="0" xfId="0" applyNumberFormat="1" applyFont="1" applyFill="1"/>
    <xf numFmtId="222" fontId="11" fillId="0" borderId="0" xfId="55" applyNumberFormat="1" applyFill="1"/>
    <xf numFmtId="222" fontId="3" fillId="0" borderId="0" xfId="0" applyNumberFormat="1" applyFont="1" applyBorder="1"/>
    <xf numFmtId="222" fontId="0" fillId="4" borderId="0" xfId="0" applyNumberFormat="1" applyFont="1" applyFill="1" applyBorder="1"/>
    <xf numFmtId="222" fontId="11" fillId="4" borderId="0" xfId="55" applyNumberFormat="1" applyFill="1"/>
    <xf numFmtId="0" fontId="0" fillId="0" borderId="0" xfId="0" applyFill="1" applyAlignment="1">
      <alignment horizontal="left"/>
    </xf>
    <xf numFmtId="0" fontId="0" fillId="4" borderId="0" xfId="0" applyFill="1" applyBorder="1" applyAlignment="1">
      <alignment horizontal="left" indent="1"/>
    </xf>
    <xf numFmtId="177" fontId="5" fillId="0" borderId="1" xfId="0" applyNumberFormat="1" applyFont="1" applyFill="1" applyBorder="1" applyAlignment="1">
      <alignment horizontal="center"/>
    </xf>
    <xf numFmtId="177" fontId="5" fillId="4" borderId="1" xfId="0" applyNumberFormat="1" applyFont="1" applyFill="1" applyBorder="1" applyAlignment="1">
      <alignment horizontal="center"/>
    </xf>
    <xf numFmtId="0" fontId="0" fillId="4" borderId="0" xfId="0" applyFont="1" applyFill="1" applyBorder="1" applyAlignment="1"/>
    <xf numFmtId="239" fontId="91" fillId="4" borderId="0" xfId="0" applyNumberFormat="1" applyFont="1" applyFill="1" applyAlignment="1">
      <alignment horizontal="right"/>
    </xf>
    <xf numFmtId="222" fontId="0" fillId="0" borderId="0" xfId="0" applyNumberFormat="1" applyFont="1"/>
    <xf numFmtId="222" fontId="11" fillId="5" borderId="0" xfId="55" applyNumberFormat="1" applyFill="1"/>
    <xf numFmtId="222" fontId="9" fillId="5" borderId="0" xfId="0" applyNumberFormat="1" applyFont="1" applyFill="1" applyBorder="1"/>
    <xf numFmtId="222" fontId="9" fillId="4" borderId="0" xfId="0" applyNumberFormat="1" applyFont="1" applyFill="1"/>
    <xf numFmtId="211" fontId="10" fillId="0" borderId="1" xfId="0" applyNumberFormat="1" applyFont="1" applyBorder="1"/>
    <xf numFmtId="0" fontId="10" fillId="0" borderId="1" xfId="0" applyFont="1" applyBorder="1" applyAlignment="1">
      <alignment horizontal="left" indent="1"/>
    </xf>
    <xf numFmtId="0" fontId="77" fillId="0" borderId="0" xfId="57" applyFont="1"/>
    <xf numFmtId="216" fontId="0" fillId="0" borderId="0" xfId="0" applyNumberFormat="1" applyFont="1" applyAlignment="1">
      <alignment horizontal="right"/>
    </xf>
    <xf numFmtId="0" fontId="11" fillId="0" borderId="0" xfId="0" applyFont="1" applyBorder="1" applyAlignment="1">
      <alignment horizontal="left" vertical="top"/>
    </xf>
    <xf numFmtId="210" fontId="0" fillId="0" borderId="0" xfId="0" applyNumberFormat="1" applyFont="1" applyFill="1" applyBorder="1"/>
    <xf numFmtId="210" fontId="0" fillId="0" borderId="0" xfId="0" applyNumberFormat="1" applyFont="1" applyBorder="1" applyAlignment="1">
      <alignment horizontal="center"/>
    </xf>
    <xf numFmtId="237" fontId="0" fillId="4" borderId="0" xfId="0" applyNumberFormat="1" applyFont="1" applyFill="1" applyAlignment="1">
      <alignment horizontal="center"/>
    </xf>
    <xf numFmtId="216" fontId="0" fillId="0" borderId="0" xfId="0" applyNumberFormat="1" applyFont="1" applyAlignment="1">
      <alignment horizontal="left"/>
    </xf>
    <xf numFmtId="0" fontId="3" fillId="0" borderId="1" xfId="0" applyFont="1" applyFill="1" applyBorder="1" applyAlignment="1"/>
    <xf numFmtId="209" fontId="10" fillId="0" borderId="1" xfId="0" applyNumberFormat="1" applyFont="1" applyBorder="1" applyAlignment="1">
      <alignment vertical="center"/>
    </xf>
    <xf numFmtId="0" fontId="13" fillId="0" borderId="0" xfId="0" applyFont="1" applyAlignment="1">
      <alignment horizontal="left"/>
    </xf>
    <xf numFmtId="0" fontId="5" fillId="0" borderId="0" xfId="0" applyFont="1" applyAlignment="1">
      <alignment horizontal="left" indent="2"/>
    </xf>
    <xf numFmtId="0" fontId="0" fillId="0" borderId="5" xfId="0" applyFont="1" applyFill="1" applyBorder="1"/>
    <xf numFmtId="166" fontId="0" fillId="0" borderId="0" xfId="1" applyNumberFormat="1" applyFont="1" applyFill="1"/>
    <xf numFmtId="0" fontId="3" fillId="0" borderId="0" xfId="0" applyFont="1" applyBorder="1" applyAlignment="1">
      <alignment horizontal="left" indent="1"/>
    </xf>
    <xf numFmtId="0" fontId="12" fillId="0" borderId="0" xfId="0" applyFont="1" applyAlignment="1">
      <alignment horizontal="left" indent="2"/>
    </xf>
    <xf numFmtId="217" fontId="12" fillId="0" borderId="0" xfId="0" applyNumberFormat="1" applyFont="1" applyFill="1"/>
    <xf numFmtId="0" fontId="55" fillId="0" borderId="0" xfId="0" applyFont="1" applyAlignment="1"/>
    <xf numFmtId="0" fontId="55" fillId="0" borderId="0" xfId="0" applyFont="1" applyBorder="1" applyAlignment="1"/>
    <xf numFmtId="217" fontId="12" fillId="0" borderId="0" xfId="0" applyNumberFormat="1" applyFont="1" applyAlignment="1">
      <alignment horizontal="right"/>
    </xf>
    <xf numFmtId="0" fontId="12" fillId="0" borderId="0" xfId="0" applyFont="1" applyAlignment="1"/>
    <xf numFmtId="225" fontId="12" fillId="15" borderId="0" xfId="0" applyNumberFormat="1" applyFont="1" applyFill="1" applyAlignment="1">
      <alignment horizontal="center"/>
    </xf>
    <xf numFmtId="225" fontId="7" fillId="15" borderId="0" xfId="0" applyNumberFormat="1" applyFont="1" applyFill="1" applyAlignment="1">
      <alignment horizontal="center"/>
    </xf>
    <xf numFmtId="225" fontId="12" fillId="0" borderId="0" xfId="0" applyNumberFormat="1" applyFont="1" applyFill="1" applyAlignment="1">
      <alignment horizontal="center"/>
    </xf>
    <xf numFmtId="225" fontId="7" fillId="0" borderId="0" xfId="0" applyNumberFormat="1" applyFont="1" applyFill="1" applyAlignment="1">
      <alignment horizontal="center"/>
    </xf>
    <xf numFmtId="0" fontId="9" fillId="15" borderId="0" xfId="0" applyFont="1" applyFill="1" applyAlignment="1">
      <alignment horizontal="left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240" fontId="9" fillId="0" borderId="0" xfId="0" applyNumberFormat="1" applyFont="1" applyBorder="1"/>
    <xf numFmtId="0" fontId="9" fillId="0" borderId="1" xfId="0" applyFont="1" applyBorder="1" applyAlignment="1">
      <alignment horizontal="left"/>
    </xf>
    <xf numFmtId="0" fontId="0" fillId="0" borderId="17" xfId="0" applyFont="1" applyBorder="1" applyAlignment="1">
      <alignment horizontal="left" vertical="center" indent="2"/>
    </xf>
    <xf numFmtId="0" fontId="0" fillId="0" borderId="0" xfId="0" applyFont="1" applyBorder="1" applyAlignment="1">
      <alignment horizontal="left" vertical="center" indent="2"/>
    </xf>
    <xf numFmtId="0" fontId="0" fillId="0" borderId="1" xfId="0" applyFont="1" applyBorder="1" applyAlignment="1">
      <alignment horizontal="left" vertical="center" indent="1"/>
    </xf>
    <xf numFmtId="201" fontId="3" fillId="0" borderId="0" xfId="0" applyNumberFormat="1" applyFont="1"/>
    <xf numFmtId="0" fontId="0" fillId="0" borderId="17" xfId="0" applyFont="1" applyFill="1" applyBorder="1" applyAlignment="1">
      <alignment horizontal="left" vertical="center" indent="2"/>
    </xf>
    <xf numFmtId="0" fontId="0" fillId="0" borderId="1" xfId="0" applyFont="1" applyFill="1" applyBorder="1" applyAlignment="1">
      <alignment horizontal="left" vertical="center" indent="1"/>
    </xf>
    <xf numFmtId="49" fontId="46" fillId="0" borderId="29" xfId="0" applyNumberFormat="1" applyFont="1" applyBorder="1" applyAlignment="1">
      <alignment horizontal="centerContinuous" vertical="top"/>
    </xf>
    <xf numFmtId="49" fontId="46" fillId="0" borderId="1" xfId="0" applyNumberFormat="1" applyFont="1" applyBorder="1" applyAlignment="1">
      <alignment horizontal="centerContinuous" vertical="top"/>
    </xf>
    <xf numFmtId="174" fontId="7" fillId="0" borderId="1" xfId="0" applyNumberFormat="1" applyFont="1" applyBorder="1" applyAlignment="1">
      <alignment horizontal="centerContinuous" vertical="top"/>
    </xf>
    <xf numFmtId="0" fontId="88" fillId="0" borderId="28" xfId="0" applyFont="1" applyBorder="1" applyAlignment="1">
      <alignment horizontal="center" vertical="center"/>
    </xf>
    <xf numFmtId="0" fontId="88" fillId="0" borderId="0" xfId="0" applyFont="1" applyBorder="1" applyAlignment="1">
      <alignment horizontal="center" vertical="center"/>
    </xf>
    <xf numFmtId="0" fontId="87" fillId="0" borderId="0" xfId="0" applyFont="1" applyBorder="1" applyAlignment="1">
      <alignment vertical="center"/>
    </xf>
    <xf numFmtId="0" fontId="87" fillId="0" borderId="31" xfId="0" applyFont="1" applyBorder="1" applyAlignment="1">
      <alignment vertical="center"/>
    </xf>
    <xf numFmtId="0" fontId="9" fillId="0" borderId="28" xfId="0" applyFont="1" applyBorder="1" applyAlignment="1">
      <alignment horizontal="center" vertical="center"/>
    </xf>
    <xf numFmtId="187" fontId="89" fillId="0" borderId="0" xfId="0" applyNumberFormat="1" applyFont="1" applyBorder="1" applyAlignment="1">
      <alignment horizontal="right" vertical="center"/>
    </xf>
    <xf numFmtId="187" fontId="89" fillId="0" borderId="0" xfId="0" applyNumberFormat="1" applyFont="1" applyBorder="1" applyAlignment="1" applyProtection="1">
      <alignment horizontal="right" vertical="center"/>
    </xf>
    <xf numFmtId="187" fontId="89" fillId="0" borderId="31" xfId="0" applyNumberFormat="1" applyFont="1" applyBorder="1" applyAlignment="1">
      <alignment horizontal="right" vertical="center"/>
    </xf>
    <xf numFmtId="235" fontId="11" fillId="4" borderId="0" xfId="0" applyNumberFormat="1" applyFont="1" applyFill="1" applyBorder="1" applyAlignment="1">
      <alignment horizontal="right" vertical="center"/>
    </xf>
    <xf numFmtId="187" fontId="89" fillId="0" borderId="33" xfId="0" applyNumberFormat="1" applyFont="1" applyBorder="1" applyAlignment="1">
      <alignment horizontal="right" vertical="center"/>
    </xf>
    <xf numFmtId="187" fontId="89" fillId="0" borderId="0" xfId="0" applyNumberFormat="1" applyFont="1" applyFill="1" applyBorder="1" applyAlignment="1">
      <alignment horizontal="right" vertical="center"/>
    </xf>
    <xf numFmtId="187" fontId="89" fillId="0" borderId="31" xfId="0" applyNumberFormat="1" applyFont="1" applyFill="1" applyBorder="1" applyAlignment="1">
      <alignment horizontal="right" vertical="center"/>
    </xf>
    <xf numFmtId="217" fontId="20" fillId="0" borderId="9" xfId="0" applyNumberFormat="1" applyFont="1" applyBorder="1" applyAlignment="1">
      <alignment horizontal="right"/>
    </xf>
    <xf numFmtId="217" fontId="20" fillId="0" borderId="8" xfId="0" applyNumberFormat="1" applyFont="1" applyBorder="1" applyAlignment="1">
      <alignment horizontal="right"/>
    </xf>
    <xf numFmtId="0" fontId="45" fillId="0" borderId="0" xfId="0" applyFont="1" applyAlignment="1">
      <alignment horizontal="left" vertical="top" indent="1"/>
    </xf>
    <xf numFmtId="187" fontId="89" fillId="0" borderId="28" xfId="0" applyNumberFormat="1" applyFont="1" applyBorder="1" applyAlignment="1">
      <alignment horizontal="right" vertical="center"/>
    </xf>
    <xf numFmtId="235" fontId="11" fillId="4" borderId="28" xfId="0" applyNumberFormat="1" applyFont="1" applyFill="1" applyBorder="1" applyAlignment="1">
      <alignment horizontal="right" vertical="center"/>
    </xf>
    <xf numFmtId="0" fontId="0" fillId="0" borderId="0" xfId="0" applyFont="1" applyBorder="1" applyAlignment="1">
      <alignment horizontal="right" vertical="top"/>
    </xf>
    <xf numFmtId="212" fontId="82" fillId="0" borderId="0" xfId="0" applyNumberFormat="1" applyFont="1" applyAlignment="1">
      <alignment horizontal="center"/>
    </xf>
    <xf numFmtId="208" fontId="9" fillId="0" borderId="0" xfId="0" applyNumberFormat="1" applyFont="1" applyAlignment="1">
      <alignment horizontal="right"/>
    </xf>
    <xf numFmtId="201" fontId="3" fillId="0" borderId="1" xfId="0" applyNumberFormat="1" applyFont="1" applyBorder="1"/>
    <xf numFmtId="212" fontId="10" fillId="0" borderId="0" xfId="0" applyNumberFormat="1" applyFont="1" applyAlignment="1">
      <alignment horizontal="left"/>
    </xf>
    <xf numFmtId="172" fontId="0" fillId="0" borderId="1" xfId="0" applyNumberFormat="1" applyBorder="1" applyAlignment="1">
      <alignment horizontal="left"/>
    </xf>
    <xf numFmtId="0" fontId="11" fillId="0" borderId="0" xfId="0" applyFont="1" applyBorder="1" applyAlignment="1">
      <alignment vertical="top"/>
    </xf>
    <xf numFmtId="236" fontId="20" fillId="0" borderId="32" xfId="0" applyNumberFormat="1" applyFont="1" applyBorder="1" applyAlignment="1">
      <alignment horizontal="center" vertical="center"/>
    </xf>
    <xf numFmtId="236" fontId="20" fillId="0" borderId="2" xfId="0" applyNumberFormat="1" applyFont="1" applyBorder="1" applyAlignment="1">
      <alignment horizontal="center" vertical="center"/>
    </xf>
    <xf numFmtId="236" fontId="20" fillId="0" borderId="33" xfId="0" applyNumberFormat="1" applyFont="1" applyBorder="1" applyAlignment="1">
      <alignment horizontal="center" vertical="center"/>
    </xf>
    <xf numFmtId="0" fontId="74" fillId="0" borderId="4" xfId="0" applyFont="1" applyBorder="1" applyAlignment="1">
      <alignment horizontal="center" vertical="center"/>
    </xf>
    <xf numFmtId="174" fontId="20" fillId="0" borderId="30" xfId="0" applyNumberFormat="1" applyFont="1" applyBorder="1" applyAlignment="1">
      <alignment horizontal="centerContinuous" vertical="top"/>
    </xf>
    <xf numFmtId="241" fontId="20" fillId="0" borderId="2" xfId="0" applyNumberFormat="1" applyFont="1" applyBorder="1" applyAlignment="1">
      <alignment horizontal="center" vertical="center"/>
    </xf>
    <xf numFmtId="0" fontId="0" fillId="0" borderId="0" xfId="0" applyFont="1" applyFill="1" applyBorder="1" applyAlignment="1">
      <alignment vertical="top"/>
    </xf>
    <xf numFmtId="0" fontId="0" fillId="0" borderId="1" xfId="0" applyFont="1" applyBorder="1" applyAlignment="1">
      <alignment horizontal="centerContinuous" vertical="center"/>
    </xf>
    <xf numFmtId="174" fontId="7" fillId="0" borderId="1" xfId="0" applyNumberFormat="1" applyFont="1" applyBorder="1" applyAlignment="1">
      <alignment horizontal="centerContinuous" vertical="center"/>
    </xf>
    <xf numFmtId="174" fontId="7" fillId="0" borderId="30" xfId="0" applyNumberFormat="1" applyFont="1" applyBorder="1" applyAlignment="1">
      <alignment horizontal="centerContinuous" vertical="center"/>
    </xf>
    <xf numFmtId="241" fontId="20" fillId="0" borderId="33" xfId="0" applyNumberFormat="1" applyFont="1" applyBorder="1" applyAlignment="1">
      <alignment horizontal="center" vertical="center"/>
    </xf>
    <xf numFmtId="174" fontId="7" fillId="0" borderId="31" xfId="0" applyNumberFormat="1" applyFont="1" applyBorder="1" applyAlignment="1">
      <alignment horizontal="center" vertical="center"/>
    </xf>
    <xf numFmtId="187" fontId="89" fillId="0" borderId="2" xfId="0" applyNumberFormat="1" applyFont="1" applyBorder="1" applyAlignment="1">
      <alignment horizontal="right" vertical="center"/>
    </xf>
    <xf numFmtId="0" fontId="88" fillId="0" borderId="36" xfId="0" applyFont="1" applyBorder="1" applyAlignment="1">
      <alignment horizontal="center" vertical="center"/>
    </xf>
    <xf numFmtId="0" fontId="9" fillId="0" borderId="36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208" fontId="3" fillId="0" borderId="1" xfId="0" applyNumberFormat="1" applyFont="1" applyBorder="1" applyAlignment="1">
      <alignment horizontal="right"/>
    </xf>
    <xf numFmtId="208" fontId="3" fillId="0" borderId="0" xfId="0" applyNumberFormat="1" applyFont="1" applyAlignment="1">
      <alignment horizontal="right"/>
    </xf>
    <xf numFmtId="17" fontId="12" fillId="0" borderId="0" xfId="0" applyNumberFormat="1" applyFont="1" applyFill="1" applyBorder="1" applyAlignment="1">
      <alignment horizontal="center" vertical="center"/>
    </xf>
    <xf numFmtId="223" fontId="3" fillId="0" borderId="2" xfId="0" applyNumberFormat="1" applyFont="1" applyFill="1" applyBorder="1" applyAlignment="1">
      <alignment horizontal="center" vertical="center"/>
    </xf>
    <xf numFmtId="172" fontId="10" fillId="0" borderId="2" xfId="0" applyNumberFormat="1" applyFont="1" applyFill="1" applyBorder="1" applyAlignment="1">
      <alignment horizontal="right" vertical="center"/>
    </xf>
    <xf numFmtId="208" fontId="9" fillId="0" borderId="1" xfId="1" applyNumberFormat="1" applyFont="1" applyFill="1" applyBorder="1" applyAlignment="1" applyProtection="1">
      <alignment vertical="center"/>
    </xf>
    <xf numFmtId="0" fontId="5" fillId="0" borderId="0" xfId="0" applyFont="1" applyBorder="1" applyAlignment="1"/>
    <xf numFmtId="212" fontId="12" fillId="0" borderId="0" xfId="0" applyNumberFormat="1" applyFont="1" applyBorder="1" applyAlignment="1">
      <alignment horizontal="right"/>
    </xf>
    <xf numFmtId="223" fontId="47" fillId="0" borderId="0" xfId="0" applyNumberFormat="1" applyFont="1" applyFill="1" applyBorder="1" applyAlignment="1">
      <alignment horizontal="centerContinuous" vertical="center"/>
    </xf>
    <xf numFmtId="0" fontId="5" fillId="0" borderId="0" xfId="0" applyFont="1" applyFill="1" applyAlignment="1"/>
    <xf numFmtId="208" fontId="0" fillId="0" borderId="0" xfId="0" applyNumberFormat="1" applyFont="1" applyBorder="1" applyAlignment="1">
      <alignment horizontal="right"/>
    </xf>
    <xf numFmtId="208" fontId="9" fillId="0" borderId="25" xfId="1" applyNumberFormat="1" applyFont="1" applyFill="1" applyBorder="1" applyAlignment="1" applyProtection="1">
      <alignment horizontal="right" vertical="center"/>
    </xf>
    <xf numFmtId="212" fontId="12" fillId="0" borderId="0" xfId="0" applyNumberFormat="1" applyFont="1" applyFill="1" applyAlignment="1"/>
    <xf numFmtId="195" fontId="0" fillId="0" borderId="0" xfId="0" applyNumberFormat="1" applyFont="1" applyBorder="1" applyAlignment="1">
      <alignment horizontal="right" vertical="center"/>
    </xf>
    <xf numFmtId="2" fontId="5" fillId="0" borderId="0" xfId="0" applyNumberFormat="1" applyFont="1" applyAlignment="1">
      <alignment horizontal="right"/>
    </xf>
    <xf numFmtId="0" fontId="3" fillId="0" borderId="0" xfId="0" applyFont="1" applyAlignment="1">
      <alignment vertical="top"/>
    </xf>
    <xf numFmtId="0" fontId="3" fillId="0" borderId="1" xfId="0" applyFont="1" applyFill="1" applyBorder="1" applyAlignment="1">
      <alignment horizontal="centerContinuous" vertical="top"/>
    </xf>
    <xf numFmtId="0" fontId="15" fillId="0" borderId="0" xfId="0" applyFont="1" applyFill="1" applyBorder="1" applyAlignment="1">
      <alignment horizontal="centerContinuous" vertical="top"/>
    </xf>
    <xf numFmtId="0" fontId="3" fillId="0" borderId="0" xfId="0" applyFont="1" applyFill="1" applyBorder="1" applyAlignment="1">
      <alignment horizontal="centerContinuous" vertical="top"/>
    </xf>
    <xf numFmtId="170" fontId="3" fillId="0" borderId="0" xfId="0" applyNumberFormat="1" applyFont="1" applyBorder="1"/>
    <xf numFmtId="223" fontId="3" fillId="0" borderId="2" xfId="0" applyNumberFormat="1" applyFont="1" applyBorder="1" applyAlignment="1">
      <alignment horizontal="center" vertical="center"/>
    </xf>
    <xf numFmtId="201" fontId="19" fillId="0" borderId="0" xfId="0" applyNumberFormat="1" applyFont="1" applyBorder="1" applyAlignment="1">
      <alignment vertical="center"/>
    </xf>
    <xf numFmtId="242" fontId="19" fillId="0" borderId="0" xfId="0" applyNumberFormat="1" applyFont="1" applyFill="1" applyBorder="1" applyAlignment="1" applyProtection="1">
      <alignment vertical="center"/>
    </xf>
    <xf numFmtId="223" fontId="0" fillId="0" borderId="0" xfId="0" applyNumberFormat="1" applyFont="1" applyBorder="1" applyAlignment="1">
      <alignment horizontal="right" vertical="center"/>
    </xf>
    <xf numFmtId="0" fontId="12" fillId="0" borderId="17" xfId="0" applyFont="1" applyBorder="1" applyAlignment="1">
      <alignment horizontal="right" vertical="center"/>
    </xf>
    <xf numFmtId="2" fontId="5" fillId="0" borderId="17" xfId="0" applyNumberFormat="1" applyFont="1" applyFill="1" applyBorder="1" applyAlignment="1">
      <alignment horizontal="right" vertical="center"/>
    </xf>
    <xf numFmtId="179" fontId="0" fillId="0" borderId="1" xfId="0" applyNumberFormat="1" applyFont="1" applyBorder="1" applyAlignment="1"/>
    <xf numFmtId="177" fontId="10" fillId="0" borderId="0" xfId="0" applyNumberFormat="1" applyFont="1" applyFill="1" applyBorder="1" applyAlignment="1">
      <alignment vertical="center"/>
    </xf>
    <xf numFmtId="243" fontId="11" fillId="0" borderId="0" xfId="0" applyNumberFormat="1" applyFont="1" applyFill="1" applyBorder="1" applyAlignment="1">
      <alignment vertical="center"/>
    </xf>
    <xf numFmtId="196" fontId="9" fillId="0" borderId="0" xfId="0" applyNumberFormat="1" applyFont="1" applyFill="1" applyBorder="1" applyAlignment="1">
      <alignment horizontal="center" vertical="center"/>
    </xf>
    <xf numFmtId="244" fontId="3" fillId="0" borderId="0" xfId="0" applyNumberFormat="1" applyFont="1" applyFill="1" applyAlignment="1"/>
    <xf numFmtId="0" fontId="0" fillId="0" borderId="0" xfId="0" applyFont="1" applyFill="1" applyBorder="1" applyAlignment="1">
      <alignment horizontal="left" vertical="center" indent="2"/>
    </xf>
    <xf numFmtId="0" fontId="64" fillId="0" borderId="0" xfId="0" applyFont="1" applyAlignment="1">
      <alignment horizontal="left"/>
    </xf>
    <xf numFmtId="0" fontId="56" fillId="0" borderId="0" xfId="0" applyFont="1" applyAlignment="1">
      <alignment horizontal="left"/>
    </xf>
    <xf numFmtId="210" fontId="11" fillId="0" borderId="0" xfId="0" applyNumberFormat="1" applyFont="1" applyBorder="1" applyAlignment="1">
      <alignment horizontal="left" vertical="center"/>
    </xf>
    <xf numFmtId="210" fontId="7" fillId="0" borderId="0" xfId="0" applyNumberFormat="1" applyFont="1" applyBorder="1" applyAlignment="1">
      <alignment horizontal="center" vertical="center"/>
    </xf>
    <xf numFmtId="210" fontId="7" fillId="0" borderId="0" xfId="0" applyNumberFormat="1" applyFont="1" applyBorder="1" applyAlignment="1">
      <alignment horizontal="left" vertical="center" indent="1"/>
    </xf>
    <xf numFmtId="210" fontId="92" fillId="0" borderId="0" xfId="0" applyNumberFormat="1" applyFont="1" applyBorder="1" applyAlignment="1">
      <alignment horizontal="right" vertical="center"/>
    </xf>
    <xf numFmtId="210" fontId="93" fillId="0" borderId="0" xfId="0" applyNumberFormat="1" applyFont="1" applyBorder="1" applyAlignment="1">
      <alignment horizontal="center" vertical="center"/>
    </xf>
    <xf numFmtId="210" fontId="11" fillId="0" borderId="0" xfId="0" applyNumberFormat="1" applyFont="1" applyBorder="1" applyAlignment="1">
      <alignment horizontal="left" vertical="center" indent="1"/>
    </xf>
    <xf numFmtId="210" fontId="7" fillId="0" borderId="0" xfId="0" applyNumberFormat="1" applyFont="1" applyBorder="1" applyAlignment="1">
      <alignment horizontal="left" vertical="center"/>
    </xf>
    <xf numFmtId="210" fontId="10" fillId="0" borderId="1" xfId="0" applyNumberFormat="1" applyFont="1" applyFill="1" applyBorder="1" applyAlignment="1">
      <alignment horizontal="left" vertical="center"/>
    </xf>
    <xf numFmtId="210" fontId="3" fillId="0" borderId="1" xfId="0" applyNumberFormat="1" applyFont="1" applyBorder="1" applyAlignment="1">
      <alignment horizontal="center"/>
    </xf>
    <xf numFmtId="238" fontId="9" fillId="0" borderId="0" xfId="0" applyNumberFormat="1" applyFont="1" applyFill="1" applyBorder="1" applyAlignment="1">
      <alignment horizontal="center"/>
    </xf>
    <xf numFmtId="0" fontId="3" fillId="0" borderId="2" xfId="0" applyFont="1" applyBorder="1" applyAlignment="1">
      <alignment horizontal="left"/>
    </xf>
    <xf numFmtId="210" fontId="0" fillId="0" borderId="0" xfId="0" applyNumberFormat="1" applyFont="1" applyAlignment="1">
      <alignment horizontal="center"/>
    </xf>
    <xf numFmtId="0" fontId="92" fillId="0" borderId="0" xfId="0" applyFont="1"/>
    <xf numFmtId="217" fontId="93" fillId="0" borderId="0" xfId="0" applyNumberFormat="1" applyFont="1" applyFill="1" applyAlignment="1">
      <alignment horizontal="center"/>
    </xf>
    <xf numFmtId="0" fontId="93" fillId="0" borderId="0" xfId="0" applyNumberFormat="1" applyFont="1" applyFill="1" applyAlignment="1">
      <alignment horizontal="center"/>
    </xf>
    <xf numFmtId="238" fontId="11" fillId="0" borderId="0" xfId="0" applyNumberFormat="1" applyFont="1" applyFill="1" applyBorder="1"/>
    <xf numFmtId="210" fontId="64" fillId="0" borderId="0" xfId="0" applyNumberFormat="1" applyFont="1" applyBorder="1" applyAlignment="1">
      <alignment horizontal="center" vertical="center"/>
    </xf>
    <xf numFmtId="0" fontId="13" fillId="0" borderId="0" xfId="0" applyFont="1"/>
    <xf numFmtId="210" fontId="56" fillId="0" borderId="0" xfId="0" applyNumberFormat="1" applyFont="1" applyBorder="1" applyAlignment="1">
      <alignment horizontal="left" vertical="center"/>
    </xf>
    <xf numFmtId="210" fontId="10" fillId="0" borderId="1" xfId="0" applyNumberFormat="1" applyFont="1" applyFill="1" applyBorder="1" applyAlignment="1">
      <alignment horizontal="left" vertical="center" indent="1"/>
    </xf>
    <xf numFmtId="237" fontId="0" fillId="4" borderId="0" xfId="0" applyNumberFormat="1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217" fontId="12" fillId="0" borderId="1" xfId="0" applyNumberFormat="1" applyFont="1" applyBorder="1" applyAlignment="1"/>
    <xf numFmtId="217" fontId="93" fillId="0" borderId="1" xfId="0" applyNumberFormat="1" applyFont="1" applyFill="1" applyBorder="1" applyAlignment="1"/>
    <xf numFmtId="195" fontId="9" fillId="0" borderId="0" xfId="0" applyNumberFormat="1" applyFont="1" applyBorder="1" applyAlignment="1">
      <alignment horizontal="right" vertical="center"/>
    </xf>
    <xf numFmtId="219" fontId="0" fillId="0" borderId="0" xfId="0" applyNumberFormat="1" applyFont="1" applyFill="1" applyBorder="1"/>
    <xf numFmtId="245" fontId="1" fillId="0" borderId="0" xfId="0" applyNumberFormat="1" applyFont="1" applyFill="1" applyBorder="1" applyAlignment="1"/>
    <xf numFmtId="0" fontId="5" fillId="0" borderId="0" xfId="0" applyFont="1" applyFill="1" applyBorder="1"/>
    <xf numFmtId="208" fontId="0" fillId="0" borderId="0" xfId="0" applyNumberFormat="1" applyFont="1"/>
    <xf numFmtId="0" fontId="9" fillId="0" borderId="0" xfId="0" applyFont="1" applyFill="1"/>
    <xf numFmtId="213" fontId="9" fillId="0" borderId="0" xfId="0" applyNumberFormat="1" applyFont="1" applyFill="1" applyAlignment="1">
      <alignment horizontal="left"/>
    </xf>
    <xf numFmtId="214" fontId="9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center"/>
    </xf>
    <xf numFmtId="0" fontId="11" fillId="0" borderId="0" xfId="0" applyFont="1" applyFill="1"/>
    <xf numFmtId="212" fontId="11" fillId="0" borderId="0" xfId="0" applyNumberFormat="1" applyFont="1" applyFill="1" applyAlignment="1">
      <alignment horizontal="center"/>
    </xf>
    <xf numFmtId="235" fontId="11" fillId="4" borderId="2" xfId="0" applyNumberFormat="1" applyFont="1" applyFill="1" applyBorder="1" applyAlignment="1">
      <alignment horizontal="right" vertical="center"/>
    </xf>
    <xf numFmtId="236" fontId="11" fillId="0" borderId="0" xfId="0" applyNumberFormat="1" applyFont="1" applyAlignment="1">
      <alignment horizontal="left" vertical="center" indent="3"/>
    </xf>
    <xf numFmtId="208" fontId="11" fillId="0" borderId="0" xfId="0" applyNumberFormat="1" applyFont="1" applyBorder="1" applyAlignment="1">
      <alignment horizontal="right"/>
    </xf>
    <xf numFmtId="206" fontId="9" fillId="5" borderId="0" xfId="0" applyNumberFormat="1" applyFont="1" applyFill="1" applyBorder="1" applyAlignment="1">
      <alignment vertical="center"/>
    </xf>
    <xf numFmtId="206" fontId="9" fillId="0" borderId="0" xfId="0" applyNumberFormat="1" applyFont="1" applyFill="1" applyBorder="1" applyAlignment="1">
      <alignment vertical="center"/>
    </xf>
    <xf numFmtId="206" fontId="9" fillId="7" borderId="0" xfId="0" applyNumberFormat="1" applyFont="1" applyFill="1" applyBorder="1" applyAlignment="1">
      <alignment vertical="center"/>
    </xf>
    <xf numFmtId="206" fontId="11" fillId="7" borderId="0" xfId="0" applyNumberFormat="1" applyFont="1" applyFill="1" applyBorder="1" applyAlignment="1">
      <alignment vertical="center"/>
    </xf>
    <xf numFmtId="206" fontId="11" fillId="7" borderId="1" xfId="0" applyNumberFormat="1" applyFont="1" applyFill="1" applyBorder="1" applyAlignment="1">
      <alignment vertical="center"/>
    </xf>
    <xf numFmtId="246" fontId="96" fillId="0" borderId="0" xfId="0" applyNumberFormat="1" applyFont="1" applyFill="1" applyBorder="1" applyAlignment="1" applyProtection="1">
      <alignment horizontal="right" vertical="center"/>
    </xf>
    <xf numFmtId="0" fontId="3" fillId="0" borderId="34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57" fillId="0" borderId="0" xfId="0" applyFont="1" applyFill="1"/>
    <xf numFmtId="0" fontId="0" fillId="0" borderId="6" xfId="0" applyFont="1" applyFill="1" applyBorder="1"/>
    <xf numFmtId="201" fontId="9" fillId="0" borderId="0" xfId="0" applyNumberFormat="1" applyFont="1" applyFill="1" applyAlignment="1">
      <alignment horizontal="center"/>
    </xf>
    <xf numFmtId="0" fontId="61" fillId="0" borderId="0" xfId="0" applyFont="1" applyFill="1" applyAlignment="1">
      <alignment horizontal="center"/>
    </xf>
    <xf numFmtId="0" fontId="61" fillId="0" borderId="0" xfId="0" applyFont="1" applyFill="1" applyAlignment="1">
      <alignment horizontal="left"/>
    </xf>
    <xf numFmtId="1" fontId="9" fillId="0" borderId="0" xfId="0" applyNumberFormat="1" applyFont="1" applyFill="1" applyAlignment="1">
      <alignment horizontal="center"/>
    </xf>
    <xf numFmtId="229" fontId="9" fillId="0" borderId="0" xfId="0" applyNumberFormat="1" applyFont="1" applyFill="1" applyAlignment="1">
      <alignment horizontal="center"/>
    </xf>
    <xf numFmtId="212" fontId="9" fillId="0" borderId="0" xfId="0" applyNumberFormat="1" applyFont="1" applyFill="1" applyAlignment="1">
      <alignment horizontal="center"/>
    </xf>
    <xf numFmtId="1" fontId="0" fillId="0" borderId="0" xfId="0" applyNumberFormat="1" applyFill="1"/>
    <xf numFmtId="0" fontId="9" fillId="0" borderId="0" xfId="0" applyFont="1" applyFill="1" applyAlignment="1">
      <alignment horizontal="center"/>
    </xf>
    <xf numFmtId="0" fontId="0" fillId="0" borderId="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10" fillId="0" borderId="0" xfId="0" applyFont="1" applyFill="1"/>
    <xf numFmtId="0" fontId="0" fillId="0" borderId="0" xfId="0" applyFill="1" applyAlignment="1"/>
    <xf numFmtId="0" fontId="92" fillId="0" borderId="0" xfId="0" quotePrefix="1" applyFont="1" applyFill="1" applyAlignment="1">
      <alignment horizontal="left"/>
    </xf>
    <xf numFmtId="0" fontId="92" fillId="0" borderId="0" xfId="0" applyFont="1" applyFill="1"/>
    <xf numFmtId="0" fontId="92" fillId="0" borderId="0" xfId="0" applyFont="1" applyFill="1" applyAlignment="1">
      <alignment horizontal="center"/>
    </xf>
    <xf numFmtId="170" fontId="92" fillId="0" borderId="0" xfId="0" applyNumberFormat="1" applyFont="1" applyFill="1" applyAlignment="1">
      <alignment horizontal="left"/>
    </xf>
    <xf numFmtId="2" fontId="92" fillId="0" borderId="0" xfId="0" applyNumberFormat="1" applyFont="1" applyFill="1" applyAlignment="1">
      <alignment horizontal="left"/>
    </xf>
    <xf numFmtId="0" fontId="92" fillId="0" borderId="0" xfId="0" applyFont="1" applyFill="1" applyAlignment="1">
      <alignment horizontal="left"/>
    </xf>
    <xf numFmtId="174" fontId="93" fillId="0" borderId="0" xfId="0" applyNumberFormat="1" applyFont="1" applyBorder="1" applyAlignment="1">
      <alignment vertical="center"/>
    </xf>
    <xf numFmtId="174" fontId="7" fillId="0" borderId="0" xfId="0" applyNumberFormat="1" applyFont="1" applyBorder="1" applyAlignment="1">
      <alignment vertical="center"/>
    </xf>
    <xf numFmtId="0" fontId="80" fillId="0" borderId="0" xfId="0" applyFont="1" applyBorder="1" applyAlignment="1">
      <alignment horizontal="centerContinuous" vertical="center"/>
    </xf>
    <xf numFmtId="174" fontId="97" fillId="0" borderId="0" xfId="0" applyNumberFormat="1" applyFont="1" applyBorder="1" applyAlignment="1">
      <alignment horizontal="centerContinuous" vertical="center"/>
    </xf>
    <xf numFmtId="0" fontId="80" fillId="0" borderId="0" xfId="0" applyFont="1" applyAlignment="1">
      <alignment horizontal="center" vertical="center"/>
    </xf>
    <xf numFmtId="247" fontId="7" fillId="0" borderId="0" xfId="0" applyNumberFormat="1" applyFont="1" applyBorder="1" applyAlignment="1">
      <alignment horizontal="center" vertical="center"/>
    </xf>
    <xf numFmtId="0" fontId="22" fillId="0" borderId="0" xfId="0" applyFont="1" applyFill="1"/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0" fontId="92" fillId="0" borderId="1" xfId="0" quotePrefix="1" applyFont="1" applyFill="1" applyBorder="1" applyAlignment="1">
      <alignment horizontal="left"/>
    </xf>
    <xf numFmtId="0" fontId="92" fillId="0" borderId="1" xfId="0" applyFont="1" applyFill="1" applyBorder="1"/>
    <xf numFmtId="0" fontId="92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72" fillId="0" borderId="0" xfId="0" applyFont="1" applyAlignment="1">
      <alignment horizontal="left" vertical="top" indent="1"/>
    </xf>
    <xf numFmtId="206" fontId="9" fillId="7" borderId="1" xfId="0" applyNumberFormat="1" applyFont="1" applyFill="1" applyBorder="1" applyAlignment="1">
      <alignment vertical="center"/>
    </xf>
    <xf numFmtId="169" fontId="9" fillId="0" borderId="1" xfId="1" applyNumberFormat="1" applyFont="1" applyFill="1" applyBorder="1" applyAlignment="1">
      <alignment horizontal="center" vertical="center"/>
    </xf>
    <xf numFmtId="206" fontId="11" fillId="0" borderId="1" xfId="0" applyNumberFormat="1" applyFont="1" applyFill="1" applyBorder="1" applyAlignment="1">
      <alignment vertical="center"/>
    </xf>
    <xf numFmtId="206" fontId="10" fillId="0" borderId="1" xfId="0" applyNumberFormat="1" applyFont="1" applyFill="1" applyBorder="1" applyAlignment="1">
      <alignment vertical="center"/>
    </xf>
    <xf numFmtId="236" fontId="11" fillId="0" borderId="1" xfId="0" applyNumberFormat="1" applyFont="1" applyBorder="1" applyAlignment="1">
      <alignment horizontal="left" vertical="center" indent="1"/>
    </xf>
    <xf numFmtId="236" fontId="7" fillId="0" borderId="0" xfId="0" applyNumberFormat="1" applyFont="1" applyBorder="1" applyAlignment="1">
      <alignment horizontal="center" vertical="center"/>
    </xf>
    <xf numFmtId="236" fontId="7" fillId="0" borderId="1" xfId="0" applyNumberFormat="1" applyFont="1" applyBorder="1" applyAlignment="1">
      <alignment horizontal="center" vertical="center"/>
    </xf>
    <xf numFmtId="0" fontId="98" fillId="0" borderId="0" xfId="0" applyFont="1" applyBorder="1" applyAlignment="1">
      <alignment horizontal="center"/>
    </xf>
    <xf numFmtId="0" fontId="3" fillId="0" borderId="2" xfId="0" applyFont="1" applyBorder="1" applyAlignment="1">
      <alignment vertical="center"/>
    </xf>
    <xf numFmtId="0" fontId="3" fillId="0" borderId="0" xfId="0" applyFont="1" applyAlignment="1">
      <alignment horizontal="centerContinuous" vertical="top"/>
    </xf>
    <xf numFmtId="0" fontId="0" fillId="0" borderId="0" xfId="0" applyFont="1" applyAlignment="1">
      <alignment horizontal="centerContinuous" vertical="top"/>
    </xf>
    <xf numFmtId="0" fontId="0" fillId="0" borderId="0" xfId="0" applyFont="1" applyBorder="1" applyAlignment="1">
      <alignment horizontal="centerContinuous" vertical="top"/>
    </xf>
    <xf numFmtId="0" fontId="15" fillId="0" borderId="0" xfId="0" applyFont="1" applyAlignment="1">
      <alignment horizontal="centerContinuous" vertical="top"/>
    </xf>
    <xf numFmtId="0" fontId="3" fillId="0" borderId="1" xfId="0" applyFont="1" applyBorder="1" applyAlignment="1">
      <alignment horizontal="centerContinuous" vertical="top"/>
    </xf>
    <xf numFmtId="0" fontId="0" fillId="0" borderId="1" xfId="0" applyFont="1" applyBorder="1" applyAlignment="1">
      <alignment horizontal="centerContinuous" vertical="top"/>
    </xf>
    <xf numFmtId="0" fontId="18" fillId="0" borderId="0" xfId="0" applyFont="1" applyBorder="1" applyAlignment="1">
      <alignment horizontal="centerContinuous" vertical="top"/>
    </xf>
    <xf numFmtId="174" fontId="7" fillId="0" borderId="0" xfId="0" applyNumberFormat="1" applyFont="1" applyBorder="1" applyAlignment="1">
      <alignment horizontal="centerContinuous" vertical="top"/>
    </xf>
    <xf numFmtId="0" fontId="11" fillId="0" borderId="0" xfId="0" applyFont="1" applyBorder="1" applyAlignment="1">
      <alignment horizontal="centerContinuous" vertical="top"/>
    </xf>
    <xf numFmtId="217" fontId="20" fillId="0" borderId="2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164" fontId="7" fillId="0" borderId="0" xfId="0" applyNumberFormat="1" applyFont="1" applyFill="1" applyBorder="1" applyAlignment="1">
      <alignment vertical="center"/>
    </xf>
    <xf numFmtId="208" fontId="11" fillId="0" borderId="0" xfId="1" applyNumberFormat="1" applyFont="1" applyFill="1" applyBorder="1" applyAlignment="1" applyProtection="1">
      <alignment horizontal="center" vertical="center"/>
    </xf>
    <xf numFmtId="0" fontId="3" fillId="0" borderId="1" xfId="0" applyFont="1" applyBorder="1" applyAlignment="1">
      <alignment horizontal="left" vertical="center" indent="1"/>
    </xf>
    <xf numFmtId="208" fontId="9" fillId="4" borderId="0" xfId="0" applyNumberFormat="1" applyFont="1" applyFill="1"/>
    <xf numFmtId="208" fontId="0" fillId="4" borderId="0" xfId="0" applyNumberFormat="1" applyFont="1" applyFill="1"/>
    <xf numFmtId="207" fontId="9" fillId="0" borderId="0" xfId="0" applyNumberFormat="1" applyFont="1" applyFill="1" applyBorder="1" applyAlignment="1">
      <alignment horizontal="right" vertical="center"/>
    </xf>
    <xf numFmtId="0" fontId="81" fillId="0" borderId="0" xfId="0" applyFont="1" applyAlignment="1">
      <alignment horizontal="left"/>
    </xf>
    <xf numFmtId="212" fontId="99" fillId="0" borderId="0" xfId="0" applyNumberFormat="1" applyFont="1" applyAlignment="1">
      <alignment horizontal="center"/>
    </xf>
    <xf numFmtId="0" fontId="100" fillId="0" borderId="0" xfId="0" applyFont="1" applyBorder="1" applyAlignment="1">
      <alignment horizontal="center" vertical="center"/>
    </xf>
    <xf numFmtId="17" fontId="92" fillId="0" borderId="0" xfId="0" applyNumberFormat="1" applyFont="1" applyFill="1" applyAlignment="1">
      <alignment horizontal="center"/>
    </xf>
    <xf numFmtId="1" fontId="0" fillId="0" borderId="0" xfId="1" applyNumberFormat="1" applyFont="1" applyAlignment="1">
      <alignment horizontal="center"/>
    </xf>
    <xf numFmtId="1" fontId="0" fillId="0" borderId="6" xfId="1" applyNumberFormat="1" applyFont="1" applyBorder="1" applyAlignment="1">
      <alignment horizontal="center"/>
    </xf>
    <xf numFmtId="1" fontId="3" fillId="0" borderId="2" xfId="1" applyNumberFormat="1" applyFont="1" applyBorder="1" applyAlignment="1">
      <alignment horizontal="center"/>
    </xf>
    <xf numFmtId="250" fontId="0" fillId="0" borderId="0" xfId="0" applyNumberFormat="1" applyFont="1" applyAlignment="1">
      <alignment horizontal="center"/>
    </xf>
    <xf numFmtId="208" fontId="0" fillId="0" borderId="0" xfId="0" applyNumberFormat="1"/>
    <xf numFmtId="208" fontId="11" fillId="4" borderId="0" xfId="1" applyNumberFormat="1" applyFont="1" applyFill="1" applyBorder="1" applyAlignment="1" applyProtection="1">
      <alignment horizontal="center" vertical="center"/>
    </xf>
    <xf numFmtId="208" fontId="11" fillId="0" borderId="1" xfId="1" applyNumberFormat="1" applyFont="1" applyFill="1" applyBorder="1" applyAlignment="1" applyProtection="1">
      <alignment horizontal="center" vertical="center"/>
    </xf>
    <xf numFmtId="208" fontId="10" fillId="0" borderId="0" xfId="1" applyNumberFormat="1" applyFont="1" applyFill="1" applyBorder="1" applyAlignment="1" applyProtection="1">
      <alignment horizontal="center" vertical="center"/>
    </xf>
    <xf numFmtId="230" fontId="12" fillId="0" borderId="0" xfId="0" applyNumberFormat="1" applyFont="1" applyFill="1" applyAlignment="1"/>
    <xf numFmtId="207" fontId="101" fillId="5" borderId="0" xfId="56" applyNumberFormat="1" applyFont="1" applyFill="1" applyAlignment="1">
      <alignment horizontal="center"/>
    </xf>
    <xf numFmtId="0" fontId="45" fillId="0" borderId="0" xfId="0" applyFont="1" applyFill="1" applyBorder="1" applyAlignment="1">
      <alignment horizontal="center" vertical="center"/>
    </xf>
    <xf numFmtId="0" fontId="45" fillId="0" borderId="0" xfId="0" applyFont="1" applyFill="1" applyAlignment="1">
      <alignment vertical="center"/>
    </xf>
    <xf numFmtId="0" fontId="48" fillId="0" borderId="0" xfId="0" applyFont="1" applyFill="1" applyAlignment="1">
      <alignment vertical="center"/>
    </xf>
    <xf numFmtId="0" fontId="7" fillId="4" borderId="0" xfId="0" applyFont="1" applyFill="1" applyBorder="1" applyAlignment="1">
      <alignment horizontal="left" vertical="center" indent="1"/>
    </xf>
    <xf numFmtId="0" fontId="5" fillId="4" borderId="0" xfId="0" applyFont="1" applyFill="1" applyAlignment="1">
      <alignment vertical="center"/>
    </xf>
    <xf numFmtId="201" fontId="5" fillId="4" borderId="0" xfId="0" applyNumberFormat="1" applyFont="1" applyFill="1" applyAlignment="1">
      <alignment vertical="center"/>
    </xf>
    <xf numFmtId="0" fontId="5" fillId="0" borderId="0" xfId="0" applyFont="1" applyBorder="1" applyAlignment="1">
      <alignment horizontal="left" vertical="center" indent="1"/>
    </xf>
    <xf numFmtId="0" fontId="0" fillId="0" borderId="6" xfId="0" applyFont="1" applyBorder="1" applyAlignment="1">
      <alignment horizontal="left" indent="1"/>
    </xf>
    <xf numFmtId="0" fontId="77" fillId="0" borderId="0" xfId="57" applyAlignment="1">
      <alignment horizontal="left" indent="1"/>
    </xf>
    <xf numFmtId="208" fontId="19" fillId="0" borderId="0" xfId="0" applyNumberFormat="1" applyFont="1" applyBorder="1" applyAlignment="1">
      <alignment vertical="center"/>
    </xf>
    <xf numFmtId="0" fontId="99" fillId="0" borderId="0" xfId="0" applyFont="1" applyBorder="1" applyAlignment="1">
      <alignment horizontal="left" vertical="center"/>
    </xf>
    <xf numFmtId="0" fontId="18" fillId="0" borderId="1" xfId="0" applyFont="1" applyBorder="1" applyAlignment="1">
      <alignment vertical="center"/>
    </xf>
    <xf numFmtId="0" fontId="11" fillId="21" borderId="40" xfId="0" applyFont="1" applyFill="1" applyBorder="1" applyAlignment="1">
      <alignment horizontal="left" vertical="center"/>
    </xf>
    <xf numFmtId="0" fontId="10" fillId="21" borderId="27" xfId="0" applyFont="1" applyFill="1" applyBorder="1" applyAlignment="1">
      <alignment horizontal="left" vertical="center" indent="1"/>
    </xf>
    <xf numFmtId="0" fontId="5" fillId="0" borderId="2" xfId="0" applyFont="1" applyBorder="1" applyAlignment="1">
      <alignment horizontal="left"/>
    </xf>
    <xf numFmtId="236" fontId="7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212" fontId="7" fillId="0" borderId="2" xfId="0" applyNumberFormat="1" applyFont="1" applyBorder="1" applyAlignment="1">
      <alignment horizontal="center"/>
    </xf>
    <xf numFmtId="201" fontId="3" fillId="0" borderId="1" xfId="0" applyNumberFormat="1" applyFont="1" applyBorder="1" applyAlignment="1">
      <alignment horizontal="center" vertical="center"/>
    </xf>
    <xf numFmtId="170" fontId="3" fillId="4" borderId="0" xfId="0" applyNumberFormat="1" applyFont="1" applyFill="1" applyBorder="1" applyAlignment="1">
      <alignment horizontal="center"/>
    </xf>
    <xf numFmtId="170" fontId="3" fillId="0" borderId="0" xfId="0" applyNumberFormat="1" applyFont="1" applyBorder="1" applyAlignment="1">
      <alignment horizontal="center"/>
    </xf>
    <xf numFmtId="0" fontId="0" fillId="4" borderId="0" xfId="0" applyFont="1" applyFill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251" fontId="3" fillId="0" borderId="1" xfId="0" applyNumberFormat="1" applyFont="1" applyFill="1" applyBorder="1" applyAlignment="1">
      <alignment horizontal="right" vertical="center"/>
    </xf>
    <xf numFmtId="208" fontId="19" fillId="0" borderId="0" xfId="1" applyNumberFormat="1" applyFont="1" applyFill="1" applyBorder="1" applyAlignment="1" applyProtection="1">
      <alignment horizontal="center" vertical="center"/>
    </xf>
    <xf numFmtId="236" fontId="20" fillId="0" borderId="0" xfId="0" applyNumberFormat="1" applyFont="1" applyBorder="1" applyAlignment="1">
      <alignment horizontal="left" vertical="center"/>
    </xf>
    <xf numFmtId="172" fontId="92" fillId="0" borderId="0" xfId="0" applyNumberFormat="1" applyFont="1" applyBorder="1" applyAlignment="1">
      <alignment horizontal="left"/>
    </xf>
    <xf numFmtId="172" fontId="92" fillId="0" borderId="0" xfId="0" applyNumberFormat="1" applyFont="1" applyBorder="1" applyAlignment="1">
      <alignment horizontal="left" indent="1"/>
    </xf>
    <xf numFmtId="252" fontId="20" fillId="0" borderId="2" xfId="0" applyNumberFormat="1" applyFont="1" applyBorder="1" applyAlignment="1">
      <alignment horizontal="centerContinuous" vertical="center"/>
    </xf>
    <xf numFmtId="0" fontId="0" fillId="0" borderId="2" xfId="0" applyFont="1" applyBorder="1" applyAlignment="1">
      <alignment horizontal="centerContinuous" vertical="center"/>
    </xf>
    <xf numFmtId="252" fontId="65" fillId="0" borderId="2" xfId="0" applyNumberFormat="1" applyFont="1" applyBorder="1" applyAlignment="1">
      <alignment horizontal="centerContinuous" vertical="center"/>
    </xf>
    <xf numFmtId="201" fontId="3" fillId="0" borderId="26" xfId="0" applyNumberFormat="1" applyFont="1" applyBorder="1" applyAlignment="1">
      <alignment vertical="center"/>
    </xf>
    <xf numFmtId="0" fontId="3" fillId="0" borderId="26" xfId="0" applyFont="1" applyBorder="1" applyAlignment="1">
      <alignment horizontal="left" vertical="center"/>
    </xf>
    <xf numFmtId="0" fontId="0" fillId="0" borderId="26" xfId="0" applyFont="1" applyBorder="1" applyAlignment="1">
      <alignment horizontal="left" vertical="center"/>
    </xf>
    <xf numFmtId="0" fontId="0" fillId="0" borderId="36" xfId="0" applyFont="1" applyBorder="1" applyAlignment="1">
      <alignment vertical="center"/>
    </xf>
    <xf numFmtId="0" fontId="0" fillId="0" borderId="36" xfId="0" applyBorder="1"/>
    <xf numFmtId="217" fontId="20" fillId="0" borderId="7" xfId="0" applyNumberFormat="1" applyFont="1" applyBorder="1" applyAlignment="1">
      <alignment horizontal="right"/>
    </xf>
    <xf numFmtId="0" fontId="15" fillId="0" borderId="0" xfId="0" applyFont="1" applyAlignment="1">
      <alignment horizontal="left" indent="1"/>
    </xf>
    <xf numFmtId="217" fontId="65" fillId="0" borderId="0" xfId="0" applyNumberFormat="1" applyFont="1" applyFill="1" applyAlignment="1"/>
    <xf numFmtId="217" fontId="15" fillId="0" borderId="0" xfId="0" applyNumberFormat="1" applyFont="1" applyFill="1" applyAlignment="1"/>
    <xf numFmtId="183" fontId="20" fillId="0" borderId="0" xfId="0" applyNumberFormat="1" applyFont="1" applyFill="1" applyBorder="1" applyAlignment="1" applyProtection="1"/>
    <xf numFmtId="0" fontId="12" fillId="0" borderId="1" xfId="0" applyFont="1" applyBorder="1" applyAlignment="1">
      <alignment horizontal="left" indent="1"/>
    </xf>
    <xf numFmtId="0" fontId="12" fillId="0" borderId="0" xfId="0" applyFont="1" applyFill="1" applyAlignment="1">
      <alignment horizontal="left" indent="1"/>
    </xf>
    <xf numFmtId="0" fontId="12" fillId="0" borderId="1" xfId="0" applyFont="1" applyFill="1" applyBorder="1" applyAlignment="1">
      <alignment horizontal="left" indent="1"/>
    </xf>
    <xf numFmtId="200" fontId="3" fillId="0" borderId="0" xfId="1" applyNumberFormat="1" applyFont="1" applyFill="1" applyBorder="1" applyAlignment="1">
      <alignment horizontal="right" vertical="center"/>
    </xf>
    <xf numFmtId="206" fontId="3" fillId="0" borderId="0" xfId="1" applyNumberFormat="1" applyFont="1" applyBorder="1" applyAlignment="1">
      <alignment horizontal="right" vertical="center"/>
    </xf>
    <xf numFmtId="0" fontId="3" fillId="0" borderId="0" xfId="0" applyNumberFormat="1" applyFont="1" applyBorder="1" applyAlignment="1">
      <alignment vertical="center"/>
    </xf>
    <xf numFmtId="208" fontId="43" fillId="0" borderId="0" xfId="50" applyFont="1" applyProtection="1"/>
    <xf numFmtId="206" fontId="3" fillId="2" borderId="0" xfId="1" applyNumberFormat="1" applyFont="1" applyFill="1" applyBorder="1" applyAlignment="1" applyProtection="1">
      <alignment horizontal="right" vertical="center"/>
    </xf>
    <xf numFmtId="206" fontId="3" fillId="0" borderId="0" xfId="1" applyNumberFormat="1" applyFont="1" applyFill="1" applyBorder="1" applyAlignment="1" applyProtection="1">
      <alignment horizontal="right" vertical="center"/>
    </xf>
    <xf numFmtId="0" fontId="3" fillId="0" borderId="2" xfId="0" applyFont="1" applyFill="1" applyBorder="1" applyAlignment="1">
      <alignment vertical="center"/>
    </xf>
    <xf numFmtId="0" fontId="0" fillId="0" borderId="2" xfId="0" applyFont="1" applyFill="1" applyBorder="1" applyAlignment="1">
      <alignment vertical="center"/>
    </xf>
    <xf numFmtId="201" fontId="3" fillId="0" borderId="0" xfId="0" applyNumberFormat="1" applyFont="1" applyBorder="1" applyAlignment="1">
      <alignment horizontal="center" vertical="center"/>
    </xf>
    <xf numFmtId="0" fontId="79" fillId="0" borderId="0" xfId="0" applyFont="1" applyBorder="1" applyAlignment="1">
      <alignment horizontal="centerContinuous" vertical="center"/>
    </xf>
    <xf numFmtId="0" fontId="102" fillId="0" borderId="0" xfId="0" applyFont="1" applyBorder="1" applyAlignment="1">
      <alignment horizontal="centerContinuous" vertical="center"/>
    </xf>
    <xf numFmtId="0" fontId="49" fillId="0" borderId="0" xfId="0" applyFont="1" applyBorder="1" applyAlignment="1">
      <alignment horizontal="centerContinuous" vertical="center"/>
    </xf>
    <xf numFmtId="201" fontId="3" fillId="0" borderId="0" xfId="0" applyNumberFormat="1" applyFont="1" applyBorder="1" applyAlignment="1">
      <alignment horizontal="centerContinuous" vertical="center"/>
    </xf>
    <xf numFmtId="208" fontId="0" fillId="5" borderId="1" xfId="0" applyNumberFormat="1" applyFont="1" applyFill="1" applyBorder="1" applyAlignment="1">
      <alignment horizontal="right"/>
    </xf>
    <xf numFmtId="208" fontId="0" fillId="0" borderId="1" xfId="0" applyNumberFormat="1" applyFont="1" applyFill="1" applyBorder="1" applyAlignment="1">
      <alignment horizontal="right"/>
    </xf>
    <xf numFmtId="253" fontId="5" fillId="0" borderId="0" xfId="0" applyNumberFormat="1" applyFont="1"/>
    <xf numFmtId="183" fontId="0" fillId="0" borderId="0" xfId="0" applyNumberFormat="1"/>
    <xf numFmtId="183" fontId="0" fillId="0" borderId="0" xfId="0" applyNumberFormat="1" applyBorder="1"/>
    <xf numFmtId="0" fontId="11" fillId="0" borderId="0" xfId="0" applyFont="1" applyFill="1" applyBorder="1" applyAlignment="1">
      <alignment horizontal="left" indent="3"/>
    </xf>
    <xf numFmtId="254" fontId="8" fillId="0" borderId="0" xfId="0" applyNumberFormat="1" applyFont="1" applyFill="1" applyBorder="1" applyAlignment="1">
      <alignment horizontal="center" vertical="center"/>
    </xf>
    <xf numFmtId="175" fontId="19" fillId="0" borderId="0" xfId="0" applyNumberFormat="1" applyFont="1"/>
    <xf numFmtId="203" fontId="19" fillId="0" borderId="0" xfId="0" applyNumberFormat="1" applyFont="1" applyAlignment="1">
      <alignment horizontal="right" vertical="center"/>
    </xf>
    <xf numFmtId="0" fontId="12" fillId="0" borderId="0" xfId="0" applyFont="1" applyBorder="1"/>
    <xf numFmtId="0" fontId="19" fillId="0" borderId="0" xfId="0" applyFont="1"/>
    <xf numFmtId="207" fontId="11" fillId="0" borderId="0" xfId="0" applyNumberFormat="1" applyFont="1" applyBorder="1" applyAlignment="1">
      <alignment vertical="center"/>
    </xf>
    <xf numFmtId="207" fontId="11" fillId="0" borderId="1" xfId="0" applyNumberFormat="1" applyFont="1" applyBorder="1" applyAlignment="1">
      <alignment vertical="center"/>
    </xf>
    <xf numFmtId="256" fontId="19" fillId="0" borderId="0" xfId="0" applyNumberFormat="1" applyFont="1" applyFill="1" applyBorder="1" applyAlignment="1" applyProtection="1">
      <alignment horizontal="center" vertical="center"/>
    </xf>
    <xf numFmtId="256" fontId="19" fillId="0" borderId="0" xfId="0" applyNumberFormat="1" applyFont="1" applyFill="1" applyBorder="1" applyAlignment="1" applyProtection="1">
      <alignment horizontal="right" vertical="center"/>
    </xf>
    <xf numFmtId="256" fontId="11" fillId="0" borderId="0" xfId="0" applyNumberFormat="1" applyFont="1" applyFill="1" applyBorder="1" applyAlignment="1" applyProtection="1">
      <alignment horizontal="center" vertical="center"/>
    </xf>
    <xf numFmtId="256" fontId="11" fillId="0" borderId="0" xfId="0" applyNumberFormat="1" applyFont="1" applyFill="1" applyBorder="1" applyAlignment="1" applyProtection="1">
      <alignment horizontal="right" vertical="center"/>
    </xf>
    <xf numFmtId="217" fontId="12" fillId="0" borderId="0" xfId="0" applyNumberFormat="1" applyFont="1" applyBorder="1" applyAlignment="1">
      <alignment horizontal="right"/>
    </xf>
    <xf numFmtId="207" fontId="64" fillId="0" borderId="0" xfId="34" applyNumberFormat="1" applyFont="1" applyBorder="1"/>
    <xf numFmtId="0" fontId="13" fillId="0" borderId="0" xfId="0" applyFont="1" applyBorder="1" applyAlignment="1">
      <alignment horizontal="left" indent="1"/>
    </xf>
    <xf numFmtId="207" fontId="9" fillId="0" borderId="0" xfId="34" applyNumberFormat="1" applyFont="1" applyBorder="1"/>
    <xf numFmtId="207" fontId="11" fillId="0" borderId="0" xfId="34" applyNumberFormat="1" applyFont="1" applyBorder="1"/>
    <xf numFmtId="0" fontId="7" fillId="0" borderId="0" xfId="0" applyFont="1" applyAlignment="1">
      <alignment horizontal="left" indent="2"/>
    </xf>
    <xf numFmtId="0" fontId="13" fillId="0" borderId="0" xfId="0" applyFont="1" applyBorder="1" applyAlignment="1">
      <alignment horizontal="left" indent="2"/>
    </xf>
    <xf numFmtId="207" fontId="64" fillId="4" borderId="0" xfId="34" applyNumberFormat="1" applyFont="1" applyFill="1" applyBorder="1"/>
    <xf numFmtId="207" fontId="10" fillId="0" borderId="0" xfId="34" applyNumberFormat="1" applyFont="1" applyBorder="1"/>
    <xf numFmtId="208" fontId="64" fillId="0" borderId="2" xfId="1" applyNumberFormat="1" applyFont="1" applyFill="1" applyBorder="1" applyAlignment="1" applyProtection="1">
      <alignment horizontal="right" vertical="center"/>
    </xf>
    <xf numFmtId="0" fontId="3" fillId="0" borderId="0" xfId="0" applyFont="1" applyAlignment="1">
      <alignment horizontal="left" indent="1"/>
    </xf>
    <xf numFmtId="207" fontId="11" fillId="0" borderId="1" xfId="1" applyNumberFormat="1" applyFont="1" applyFill="1" applyBorder="1" applyAlignment="1" applyProtection="1">
      <alignment horizontal="right" vertical="center"/>
    </xf>
    <xf numFmtId="257" fontId="7" fillId="0" borderId="0" xfId="0" applyNumberFormat="1" applyFont="1"/>
    <xf numFmtId="257" fontId="12" fillId="0" borderId="0" xfId="0" applyNumberFormat="1" applyFont="1"/>
    <xf numFmtId="0" fontId="5" fillId="0" borderId="0" xfId="0" applyFont="1" applyBorder="1" applyAlignment="1">
      <alignment horizontal="left" indent="1"/>
    </xf>
    <xf numFmtId="0" fontId="15" fillId="0" borderId="0" xfId="0" applyFont="1" applyAlignment="1">
      <alignment horizontal="center"/>
    </xf>
    <xf numFmtId="0" fontId="11" fillId="0" borderId="0" xfId="0" applyFont="1" applyAlignment="1">
      <alignment horizontal="left" indent="4"/>
    </xf>
    <xf numFmtId="258" fontId="7" fillId="0" borderId="0" xfId="0" applyNumberFormat="1" applyFont="1" applyBorder="1"/>
    <xf numFmtId="258" fontId="12" fillId="0" borderId="0" xfId="0" applyNumberFormat="1" applyFont="1" applyBorder="1"/>
    <xf numFmtId="245" fontId="7" fillId="0" borderId="0" xfId="0" applyNumberFormat="1" applyFont="1" applyBorder="1"/>
    <xf numFmtId="207" fontId="12" fillId="4" borderId="0" xfId="1" applyNumberFormat="1" applyFont="1" applyFill="1" applyBorder="1" applyAlignment="1" applyProtection="1">
      <alignment horizontal="right" vertical="center"/>
    </xf>
    <xf numFmtId="257" fontId="12" fillId="0" borderId="0" xfId="0" applyNumberFormat="1" applyFont="1" applyFill="1"/>
    <xf numFmtId="258" fontId="12" fillId="0" borderId="0" xfId="0" applyNumberFormat="1" applyFont="1" applyFill="1" applyBorder="1"/>
    <xf numFmtId="0" fontId="17" fillId="0" borderId="0" xfId="0" applyFont="1" applyBorder="1" applyAlignment="1">
      <alignment horizontal="left" indent="2"/>
    </xf>
    <xf numFmtId="2" fontId="12" fillId="0" borderId="0" xfId="0" applyNumberFormat="1" applyFont="1" applyAlignment="1">
      <alignment horizontal="center"/>
    </xf>
    <xf numFmtId="0" fontId="11" fillId="0" borderId="2" xfId="0" applyFont="1" applyBorder="1" applyAlignment="1">
      <alignment horizontal="left" indent="3"/>
    </xf>
    <xf numFmtId="207" fontId="64" fillId="0" borderId="2" xfId="34" applyNumberFormat="1" applyFont="1" applyBorder="1"/>
    <xf numFmtId="211" fontId="10" fillId="0" borderId="2" xfId="0" applyNumberFormat="1" applyFont="1" applyBorder="1"/>
    <xf numFmtId="211" fontId="11" fillId="0" borderId="0" xfId="0" applyNumberFormat="1" applyFont="1" applyFill="1" applyBorder="1"/>
    <xf numFmtId="257" fontId="12" fillId="20" borderId="0" xfId="0" applyNumberFormat="1" applyFont="1" applyFill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left" indent="1"/>
    </xf>
    <xf numFmtId="258" fontId="7" fillId="0" borderId="0" xfId="0" applyNumberFormat="1" applyFont="1" applyBorder="1" applyAlignment="1">
      <alignment horizontal="right"/>
    </xf>
    <xf numFmtId="259" fontId="7" fillId="0" borderId="0" xfId="0" applyNumberFormat="1" applyFont="1" applyBorder="1" applyAlignment="1">
      <alignment horizontal="right"/>
    </xf>
    <xf numFmtId="259" fontId="60" fillId="0" borderId="0" xfId="0" applyNumberFormat="1" applyFont="1" applyBorder="1" applyAlignment="1">
      <alignment horizontal="right"/>
    </xf>
    <xf numFmtId="258" fontId="12" fillId="0" borderId="0" xfId="0" applyNumberFormat="1" applyFont="1" applyBorder="1" applyAlignment="1">
      <alignment horizontal="right"/>
    </xf>
    <xf numFmtId="258" fontId="12" fillId="0" borderId="0" xfId="0" applyNumberFormat="1" applyFont="1" applyFill="1" applyBorder="1" applyAlignment="1">
      <alignment horizontal="right"/>
    </xf>
    <xf numFmtId="0" fontId="45" fillId="0" borderId="0" xfId="0" applyFont="1" applyAlignment="1">
      <alignment horizontal="right"/>
    </xf>
    <xf numFmtId="259" fontId="60" fillId="0" borderId="1" xfId="0" applyNumberFormat="1" applyFont="1" applyBorder="1" applyAlignment="1">
      <alignment horizontal="right"/>
    </xf>
    <xf numFmtId="0" fontId="9" fillId="0" borderId="1" xfId="0" applyFont="1" applyBorder="1" applyAlignment="1">
      <alignment horizontal="left" indent="3"/>
    </xf>
    <xf numFmtId="207" fontId="7" fillId="0" borderId="0" xfId="51" applyNumberFormat="1" applyFont="1"/>
    <xf numFmtId="0" fontId="0" fillId="0" borderId="0" xfId="0" applyFont="1" applyBorder="1" applyAlignment="1">
      <alignment horizontal="left"/>
    </xf>
    <xf numFmtId="0" fontId="45" fillId="0" borderId="0" xfId="0" applyFont="1" applyBorder="1" applyAlignment="1">
      <alignment horizontal="left"/>
    </xf>
    <xf numFmtId="207" fontId="10" fillId="0" borderId="0" xfId="51" applyNumberFormat="1" applyFont="1"/>
    <xf numFmtId="207" fontId="20" fillId="0" borderId="0" xfId="51" applyNumberFormat="1" applyFont="1"/>
    <xf numFmtId="0" fontId="11" fillId="0" borderId="0" xfId="0" applyFont="1" applyFill="1" applyBorder="1" applyAlignment="1">
      <alignment horizontal="left" indent="2"/>
    </xf>
    <xf numFmtId="0" fontId="13" fillId="0" borderId="0" xfId="0" applyFont="1" applyFill="1" applyBorder="1" applyAlignment="1"/>
    <xf numFmtId="0" fontId="1" fillId="0" borderId="0" xfId="44"/>
    <xf numFmtId="0" fontId="47" fillId="0" borderId="0" xfId="44" applyFont="1" applyAlignment="1">
      <alignment horizontal="centerContinuous"/>
    </xf>
    <xf numFmtId="0" fontId="49" fillId="0" borderId="0" xfId="44" applyFont="1" applyAlignment="1">
      <alignment horizontal="centerContinuous"/>
    </xf>
    <xf numFmtId="0" fontId="3" fillId="0" borderId="0" xfId="44" applyFont="1"/>
    <xf numFmtId="0" fontId="52" fillId="0" borderId="0" xfId="44" applyFont="1"/>
    <xf numFmtId="183" fontId="10" fillId="0" borderId="0" xfId="44" applyNumberFormat="1" applyFont="1"/>
    <xf numFmtId="205" fontId="9" fillId="0" borderId="0" xfId="44" applyNumberFormat="1" applyFont="1"/>
    <xf numFmtId="43" fontId="3" fillId="0" borderId="0" xfId="44" applyNumberFormat="1" applyFont="1"/>
    <xf numFmtId="222" fontId="10" fillId="0" borderId="0" xfId="61" applyNumberFormat="1" applyFont="1" applyFill="1" applyBorder="1"/>
    <xf numFmtId="183" fontId="11" fillId="0" borderId="0" xfId="44" applyNumberFormat="1" applyFont="1"/>
    <xf numFmtId="43" fontId="1" fillId="0" borderId="0" xfId="44" applyNumberFormat="1"/>
    <xf numFmtId="222" fontId="11" fillId="0" borderId="0" xfId="61" applyNumberFormat="1" applyFont="1" applyFill="1" applyBorder="1"/>
    <xf numFmtId="0" fontId="0" fillId="0" borderId="0" xfId="44" applyFont="1"/>
    <xf numFmtId="260" fontId="11" fillId="17" borderId="0" xfId="61" applyNumberFormat="1" applyFont="1" applyFill="1" applyBorder="1"/>
    <xf numFmtId="205" fontId="11" fillId="0" borderId="0" xfId="44" applyNumberFormat="1" applyFont="1"/>
    <xf numFmtId="205" fontId="11" fillId="0" borderId="0" xfId="40" applyNumberFormat="1" applyFont="1"/>
    <xf numFmtId="260" fontId="11" fillId="0" borderId="0" xfId="61" applyNumberFormat="1" applyFont="1" applyFill="1" applyBorder="1"/>
    <xf numFmtId="205" fontId="1" fillId="0" borderId="0" xfId="44" applyNumberFormat="1"/>
    <xf numFmtId="260" fontId="1" fillId="0" borderId="0" xfId="44" applyNumberFormat="1"/>
    <xf numFmtId="0" fontId="12" fillId="0" borderId="0" xfId="0" applyFont="1" applyFill="1" applyBorder="1" applyAlignment="1">
      <alignment horizontal="left" indent="1"/>
    </xf>
    <xf numFmtId="0" fontId="5" fillId="0" borderId="2" xfId="0" applyFont="1" applyFill="1" applyBorder="1"/>
    <xf numFmtId="245" fontId="5" fillId="0" borderId="0" xfId="0" applyNumberFormat="1" applyFont="1" applyFill="1" applyBorder="1" applyAlignment="1"/>
    <xf numFmtId="222" fontId="11" fillId="0" borderId="0" xfId="51" applyNumberFormat="1" applyFont="1"/>
    <xf numFmtId="261" fontId="11" fillId="0" borderId="0" xfId="51" applyNumberFormat="1" applyFont="1"/>
    <xf numFmtId="222" fontId="19" fillId="0" borderId="0" xfId="51" applyNumberFormat="1" applyFont="1"/>
    <xf numFmtId="223" fontId="5" fillId="0" borderId="0" xfId="0" applyNumberFormat="1" applyFont="1" applyFill="1" applyBorder="1" applyAlignment="1">
      <alignment horizontal="center" vertical="center"/>
    </xf>
    <xf numFmtId="0" fontId="0" fillId="0" borderId="26" xfId="0" applyFont="1" applyBorder="1" applyAlignment="1">
      <alignment horizontal="left"/>
    </xf>
    <xf numFmtId="0" fontId="0" fillId="0" borderId="26" xfId="0" applyFont="1" applyBorder="1" applyAlignment="1">
      <alignment horizontal="center"/>
    </xf>
    <xf numFmtId="0" fontId="57" fillId="0" borderId="0" xfId="0" applyFont="1" applyBorder="1"/>
    <xf numFmtId="0" fontId="3" fillId="0" borderId="29" xfId="44" applyFont="1" applyBorder="1" applyAlignment="1">
      <alignment horizontal="centerContinuous"/>
    </xf>
    <xf numFmtId="222" fontId="11" fillId="0" borderId="1" xfId="61" applyNumberFormat="1" applyFont="1" applyFill="1" applyBorder="1" applyAlignment="1">
      <alignment horizontal="centerContinuous"/>
    </xf>
    <xf numFmtId="222" fontId="11" fillId="0" borderId="30" xfId="61" applyNumberFormat="1" applyFont="1" applyFill="1" applyBorder="1" applyAlignment="1">
      <alignment horizontal="centerContinuous"/>
    </xf>
    <xf numFmtId="222" fontId="7" fillId="0" borderId="32" xfId="61" applyNumberFormat="1" applyFont="1" applyFill="1" applyBorder="1"/>
    <xf numFmtId="222" fontId="7" fillId="0" borderId="2" xfId="61" applyNumberFormat="1" applyFont="1" applyFill="1" applyBorder="1"/>
    <xf numFmtId="222" fontId="7" fillId="0" borderId="33" xfId="61" applyNumberFormat="1" applyFont="1" applyFill="1" applyBorder="1"/>
    <xf numFmtId="222" fontId="20" fillId="0" borderId="32" xfId="61" applyNumberFormat="1" applyFont="1" applyFill="1" applyBorder="1"/>
    <xf numFmtId="222" fontId="20" fillId="0" borderId="2" xfId="61" applyNumberFormat="1" applyFont="1" applyFill="1" applyBorder="1"/>
    <xf numFmtId="222" fontId="20" fillId="0" borderId="33" xfId="61" applyNumberFormat="1" applyFont="1" applyFill="1" applyBorder="1"/>
    <xf numFmtId="0" fontId="0" fillId="0" borderId="0" xfId="44" applyFont="1" applyBorder="1" applyAlignment="1">
      <alignment horizontal="left"/>
    </xf>
    <xf numFmtId="0" fontId="1" fillId="0" borderId="0" xfId="44" applyBorder="1"/>
    <xf numFmtId="43" fontId="1" fillId="0" borderId="0" xfId="44" applyNumberFormat="1" applyBorder="1"/>
    <xf numFmtId="183" fontId="11" fillId="0" borderId="0" xfId="44" applyNumberFormat="1" applyFont="1" applyBorder="1"/>
    <xf numFmtId="0" fontId="5" fillId="0" borderId="0" xfId="44" applyFont="1" applyAlignment="1"/>
    <xf numFmtId="205" fontId="3" fillId="0" borderId="0" xfId="44" applyNumberFormat="1" applyFont="1" applyFill="1"/>
    <xf numFmtId="0" fontId="7" fillId="0" borderId="0" xfId="0" applyFont="1" applyBorder="1" applyAlignment="1">
      <alignment horizontal="left" indent="2"/>
    </xf>
    <xf numFmtId="207" fontId="7" fillId="0" borderId="0" xfId="1" applyNumberFormat="1" applyFont="1" applyFill="1" applyBorder="1" applyAlignment="1" applyProtection="1">
      <alignment horizontal="right" vertical="center"/>
    </xf>
    <xf numFmtId="207" fontId="12" fillId="0" borderId="0" xfId="50" applyNumberFormat="1" applyFont="1" applyFill="1" applyAlignment="1" applyProtection="1">
      <alignment horizontal="center"/>
    </xf>
    <xf numFmtId="207" fontId="11" fillId="0" borderId="22" xfId="51" applyNumberFormat="1" applyFont="1" applyBorder="1" applyAlignment="1">
      <alignment horizontal="right"/>
    </xf>
    <xf numFmtId="1" fontId="11" fillId="20" borderId="0" xfId="0" applyNumberFormat="1" applyFont="1" applyFill="1"/>
    <xf numFmtId="210" fontId="7" fillId="0" borderId="0" xfId="0" applyNumberFormat="1" applyFont="1" applyBorder="1" applyAlignment="1">
      <alignment vertical="center"/>
    </xf>
    <xf numFmtId="0" fontId="17" fillId="0" borderId="0" xfId="0" applyFont="1" applyAlignment="1">
      <alignment horizontal="right"/>
    </xf>
    <xf numFmtId="0" fontId="9" fillId="0" borderId="25" xfId="0" applyFont="1" applyBorder="1" applyAlignment="1">
      <alignment horizontal="left" indent="1"/>
    </xf>
    <xf numFmtId="249" fontId="10" fillId="0" borderId="0" xfId="0" applyNumberFormat="1" applyFont="1" applyFill="1" applyBorder="1" applyAlignment="1">
      <alignment horizontal="right" vertical="center"/>
    </xf>
    <xf numFmtId="249" fontId="5" fillId="0" borderId="1" xfId="0" applyNumberFormat="1" applyFont="1" applyBorder="1" applyAlignment="1">
      <alignment vertical="center"/>
    </xf>
    <xf numFmtId="265" fontId="7" fillId="0" borderId="1" xfId="0" applyNumberFormat="1" applyFont="1" applyBorder="1" applyAlignment="1">
      <alignment vertical="center"/>
    </xf>
    <xf numFmtId="265" fontId="7" fillId="0" borderId="0" xfId="0" applyNumberFormat="1" applyFont="1" applyBorder="1" applyAlignment="1">
      <alignment vertical="center"/>
    </xf>
    <xf numFmtId="207" fontId="0" fillId="0" borderId="0" xfId="0" applyNumberFormat="1" applyFont="1" applyAlignment="1">
      <alignment horizontal="left" vertical="center"/>
    </xf>
    <xf numFmtId="0" fontId="0" fillId="0" borderId="31" xfId="0" applyFont="1" applyBorder="1" applyAlignment="1">
      <alignment vertical="center"/>
    </xf>
    <xf numFmtId="217" fontId="12" fillId="0" borderId="0" xfId="0" applyNumberFormat="1" applyFont="1" applyAlignment="1">
      <alignment horizontal="center"/>
    </xf>
    <xf numFmtId="206" fontId="12" fillId="0" borderId="0" xfId="1" applyNumberFormat="1" applyFont="1" applyFill="1" applyBorder="1" applyAlignment="1" applyProtection="1">
      <alignment horizontal="center" vertical="center"/>
    </xf>
    <xf numFmtId="266" fontId="12" fillId="0" borderId="0" xfId="0" applyNumberFormat="1" applyFont="1" applyBorder="1" applyAlignment="1" applyProtection="1">
      <alignment horizontal="center" vertical="center"/>
    </xf>
    <xf numFmtId="0" fontId="105" fillId="14" borderId="1" xfId="0" applyFont="1" applyFill="1" applyBorder="1" applyAlignment="1">
      <alignment horizontal="centerContinuous" vertical="center"/>
    </xf>
    <xf numFmtId="0" fontId="105" fillId="14" borderId="30" xfId="0" applyFont="1" applyFill="1" applyBorder="1" applyAlignment="1">
      <alignment horizontal="centerContinuous" vertical="center"/>
    </xf>
    <xf numFmtId="0" fontId="0" fillId="0" borderId="28" xfId="0" applyFont="1" applyBorder="1" applyAlignment="1">
      <alignment vertical="center"/>
    </xf>
    <xf numFmtId="174" fontId="12" fillId="0" borderId="0" xfId="0" applyNumberFormat="1" applyFont="1" applyBorder="1" applyAlignment="1">
      <alignment vertical="center"/>
    </xf>
    <xf numFmtId="174" fontId="5" fillId="0" borderId="0" xfId="0" applyNumberFormat="1" applyFont="1" applyBorder="1" applyAlignment="1">
      <alignment vertical="center"/>
    </xf>
    <xf numFmtId="174" fontId="5" fillId="0" borderId="31" xfId="0" applyNumberFormat="1" applyFont="1" applyBorder="1" applyAlignment="1">
      <alignment vertical="center"/>
    </xf>
    <xf numFmtId="265" fontId="7" fillId="0" borderId="30" xfId="0" applyNumberFormat="1" applyFont="1" applyBorder="1" applyAlignment="1">
      <alignment vertical="center"/>
    </xf>
    <xf numFmtId="265" fontId="7" fillId="0" borderId="31" xfId="0" applyNumberFormat="1" applyFont="1" applyBorder="1" applyAlignment="1">
      <alignment vertical="center"/>
    </xf>
    <xf numFmtId="265" fontId="7" fillId="0" borderId="2" xfId="0" applyNumberFormat="1" applyFont="1" applyBorder="1" applyAlignment="1">
      <alignment vertical="center"/>
    </xf>
    <xf numFmtId="265" fontId="7" fillId="0" borderId="33" xfId="0" applyNumberFormat="1" applyFont="1" applyBorder="1" applyAlignment="1">
      <alignment vertical="center"/>
    </xf>
    <xf numFmtId="249" fontId="5" fillId="0" borderId="30" xfId="0" applyNumberFormat="1" applyFont="1" applyBorder="1" applyAlignment="1">
      <alignment vertical="center"/>
    </xf>
    <xf numFmtId="249" fontId="5" fillId="0" borderId="0" xfId="0" applyNumberFormat="1" applyFont="1" applyBorder="1" applyAlignment="1">
      <alignment vertical="center"/>
    </xf>
    <xf numFmtId="249" fontId="5" fillId="0" borderId="31" xfId="0" applyNumberFormat="1" applyFont="1" applyBorder="1" applyAlignment="1">
      <alignment vertical="center"/>
    </xf>
    <xf numFmtId="249" fontId="5" fillId="0" borderId="2" xfId="0" applyNumberFormat="1" applyFont="1" applyBorder="1" applyAlignment="1">
      <alignment vertical="center"/>
    </xf>
    <xf numFmtId="249" fontId="5" fillId="0" borderId="33" xfId="0" applyNumberFormat="1" applyFont="1" applyBorder="1" applyAlignment="1">
      <alignment vertical="center"/>
    </xf>
    <xf numFmtId="0" fontId="44" fillId="0" borderId="0" xfId="0" applyFont="1"/>
    <xf numFmtId="0" fontId="58" fillId="0" borderId="0" xfId="0" applyFont="1" applyFill="1" applyBorder="1"/>
    <xf numFmtId="0" fontId="43" fillId="0" borderId="0" xfId="54" applyFont="1" applyAlignment="1">
      <alignment horizontal="center"/>
    </xf>
    <xf numFmtId="267" fontId="0" fillId="0" borderId="0" xfId="0" applyNumberFormat="1" applyFill="1" applyAlignment="1">
      <alignment horizontal="left"/>
    </xf>
    <xf numFmtId="267" fontId="0" fillId="0" borderId="2" xfId="0" applyNumberFormat="1" applyFill="1" applyBorder="1" applyAlignment="1">
      <alignment horizontal="left"/>
    </xf>
    <xf numFmtId="1" fontId="0" fillId="0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207" fontId="11" fillId="0" borderId="2" xfId="51" applyNumberFormat="1" applyBorder="1" applyAlignment="1">
      <alignment horizontal="right"/>
    </xf>
    <xf numFmtId="268" fontId="0" fillId="0" borderId="0" xfId="0" applyNumberFormat="1" applyFill="1" applyBorder="1" applyAlignment="1">
      <alignment horizontal="center"/>
    </xf>
    <xf numFmtId="0" fontId="3" fillId="0" borderId="0" xfId="54" applyFont="1" applyBorder="1" applyAlignment="1">
      <alignment horizontal="left"/>
    </xf>
    <xf numFmtId="1" fontId="9" fillId="0" borderId="0" xfId="52" applyNumberFormat="1" applyFont="1" applyFill="1" applyBorder="1" applyAlignment="1">
      <alignment horizontal="center"/>
    </xf>
    <xf numFmtId="185" fontId="9" fillId="0" borderId="0" xfId="44" applyNumberFormat="1" applyFont="1" applyBorder="1" applyAlignment="1">
      <alignment horizontal="center"/>
    </xf>
    <xf numFmtId="0" fontId="1" fillId="0" borderId="0" xfId="54" applyBorder="1"/>
    <xf numFmtId="0" fontId="3" fillId="0" borderId="1" xfId="44" applyFont="1" applyBorder="1" applyAlignment="1">
      <alignment horizontal="center"/>
    </xf>
    <xf numFmtId="0" fontId="3" fillId="0" borderId="1" xfId="54" applyFont="1" applyFill="1" applyBorder="1" applyAlignment="1">
      <alignment horizontal="center"/>
    </xf>
    <xf numFmtId="0" fontId="3" fillId="0" borderId="1" xfId="54" applyFont="1" applyBorder="1" applyAlignment="1">
      <alignment horizontal="center"/>
    </xf>
    <xf numFmtId="0" fontId="3" fillId="0" borderId="1" xfId="54" applyFont="1" applyBorder="1" applyAlignment="1">
      <alignment horizontal="centerContinuous"/>
    </xf>
    <xf numFmtId="0" fontId="0" fillId="0" borderId="1" xfId="0" applyBorder="1" applyAlignment="1">
      <alignment horizontal="centerContinuous"/>
    </xf>
    <xf numFmtId="0" fontId="1" fillId="0" borderId="0" xfId="54" applyBorder="1" applyAlignment="1">
      <alignment horizontal="left" indent="1"/>
    </xf>
    <xf numFmtId="0" fontId="1" fillId="0" borderId="0" xfId="54" applyAlignment="1">
      <alignment horizontal="left" indent="1"/>
    </xf>
    <xf numFmtId="222" fontId="9" fillId="0" borderId="0" xfId="51" applyNumberFormat="1" applyFont="1" applyBorder="1"/>
    <xf numFmtId="0" fontId="0" fillId="0" borderId="0" xfId="0" applyBorder="1" applyAlignment="1">
      <alignment horizontal="right"/>
    </xf>
    <xf numFmtId="0" fontId="18" fillId="0" borderId="0" xfId="0" applyFont="1" applyBorder="1"/>
    <xf numFmtId="1" fontId="106" fillId="0" borderId="0" xfId="52" applyNumberFormat="1" applyFont="1" applyFill="1" applyAlignment="1"/>
    <xf numFmtId="269" fontId="0" fillId="5" borderId="0" xfId="0" applyNumberFormat="1" applyFill="1" applyAlignment="1">
      <alignment horizontal="left"/>
    </xf>
    <xf numFmtId="269" fontId="0" fillId="0" borderId="0" xfId="0" applyNumberFormat="1" applyFill="1" applyAlignment="1">
      <alignment horizontal="left"/>
    </xf>
    <xf numFmtId="208" fontId="11" fillId="0" borderId="1" xfId="0" applyNumberFormat="1" applyFont="1" applyBorder="1" applyAlignment="1">
      <alignment horizontal="center"/>
    </xf>
    <xf numFmtId="208" fontId="11" fillId="0" borderId="0" xfId="0" applyNumberFormat="1" applyFont="1" applyBorder="1" applyAlignment="1">
      <alignment horizontal="center"/>
    </xf>
    <xf numFmtId="174" fontId="12" fillId="6" borderId="41" xfId="0" applyNumberFormat="1" applyFont="1" applyFill="1" applyBorder="1" applyAlignment="1">
      <alignment horizontal="center"/>
    </xf>
    <xf numFmtId="0" fontId="64" fillId="6" borderId="41" xfId="0" applyFont="1" applyFill="1" applyBorder="1" applyAlignment="1">
      <alignment horizontal="center" vertical="center" wrapText="1"/>
    </xf>
    <xf numFmtId="224" fontId="9" fillId="6" borderId="41" xfId="0" applyNumberFormat="1" applyFont="1" applyFill="1" applyBorder="1" applyAlignment="1">
      <alignment horizontal="center" vertical="center"/>
    </xf>
    <xf numFmtId="224" fontId="9" fillId="6" borderId="43" xfId="0" applyNumberFormat="1" applyFont="1" applyFill="1" applyBorder="1" applyAlignment="1">
      <alignment horizontal="center" vertical="center"/>
    </xf>
    <xf numFmtId="0" fontId="73" fillId="6" borderId="41" xfId="7" applyFont="1" applyFill="1" applyBorder="1" applyAlignment="1">
      <alignment horizontal="center" vertical="center"/>
    </xf>
    <xf numFmtId="207" fontId="9" fillId="0" borderId="0" xfId="51" applyNumberFormat="1" applyFont="1" applyBorder="1" applyAlignment="1">
      <alignment horizontal="center"/>
    </xf>
    <xf numFmtId="202" fontId="11" fillId="0" borderId="0" xfId="51" applyNumberFormat="1" applyAlignment="1">
      <alignment horizontal="center"/>
    </xf>
    <xf numFmtId="169" fontId="0" fillId="0" borderId="2" xfId="0" applyNumberFormat="1" applyFont="1" applyFill="1" applyBorder="1" applyAlignment="1">
      <alignment vertical="center"/>
    </xf>
    <xf numFmtId="206" fontId="0" fillId="0" borderId="2" xfId="1" applyNumberFormat="1" applyFont="1" applyBorder="1" applyAlignment="1">
      <alignment horizontal="right" vertical="center"/>
    </xf>
    <xf numFmtId="0" fontId="3" fillId="0" borderId="44" xfId="0" applyFont="1" applyBorder="1" applyAlignment="1">
      <alignment vertical="center"/>
    </xf>
    <xf numFmtId="0" fontId="0" fillId="0" borderId="44" xfId="0" applyFont="1" applyBorder="1" applyAlignment="1">
      <alignment vertical="center"/>
    </xf>
    <xf numFmtId="169" fontId="3" fillId="0" borderId="44" xfId="1" applyNumberFormat="1" applyFont="1" applyFill="1" applyBorder="1" applyAlignment="1">
      <alignment horizontal="right" vertical="center"/>
    </xf>
    <xf numFmtId="206" fontId="3" fillId="0" borderId="44" xfId="1" applyNumberFormat="1" applyFont="1" applyBorder="1" applyAlignment="1">
      <alignment horizontal="right" vertical="center"/>
    </xf>
    <xf numFmtId="0" fontId="0" fillId="0" borderId="0" xfId="0" applyBorder="1" applyAlignment="1">
      <alignment horizontal="centerContinuous"/>
    </xf>
    <xf numFmtId="201" fontId="0" fillId="0" borderId="2" xfId="0" applyNumberFormat="1" applyFont="1" applyBorder="1" applyAlignment="1">
      <alignment vertical="center"/>
    </xf>
    <xf numFmtId="201" fontId="0" fillId="0" borderId="2" xfId="0" applyNumberFormat="1" applyFont="1" applyFill="1" applyBorder="1" applyAlignment="1">
      <alignment vertical="center"/>
    </xf>
    <xf numFmtId="0" fontId="15" fillId="0" borderId="0" xfId="0" applyFont="1" applyBorder="1" applyAlignment="1">
      <alignment horizontal="left" vertical="center" indent="1"/>
    </xf>
    <xf numFmtId="201" fontId="7" fillId="0" borderId="0" xfId="0" applyNumberFormat="1" applyFont="1" applyFill="1" applyBorder="1" applyAlignment="1">
      <alignment vertical="center"/>
    </xf>
    <xf numFmtId="201" fontId="15" fillId="0" borderId="0" xfId="0" applyNumberFormat="1" applyFont="1" applyFill="1" applyBorder="1" applyAlignment="1">
      <alignment vertical="center"/>
    </xf>
    <xf numFmtId="201" fontId="3" fillId="0" borderId="44" xfId="0" applyNumberFormat="1" applyFont="1" applyBorder="1" applyAlignment="1">
      <alignment vertical="center"/>
    </xf>
    <xf numFmtId="0" fontId="3" fillId="0" borderId="44" xfId="0" applyFont="1" applyFill="1" applyBorder="1" applyAlignment="1">
      <alignment vertical="center"/>
    </xf>
    <xf numFmtId="0" fontId="0" fillId="0" borderId="44" xfId="0" applyFont="1" applyFill="1" applyBorder="1" applyAlignment="1">
      <alignment vertical="center"/>
    </xf>
    <xf numFmtId="201" fontId="3" fillId="0" borderId="44" xfId="0" applyNumberFormat="1" applyFont="1" applyFill="1" applyBorder="1" applyAlignment="1">
      <alignment vertical="center"/>
    </xf>
    <xf numFmtId="0" fontId="0" fillId="0" borderId="18" xfId="0" applyFont="1" applyFill="1" applyBorder="1" applyAlignment="1">
      <alignment horizontal="left" vertical="center" indent="1"/>
    </xf>
    <xf numFmtId="0" fontId="0" fillId="0" borderId="18" xfId="0" applyFont="1" applyBorder="1" applyAlignment="1">
      <alignment horizontal="left" vertical="center" indent="2"/>
    </xf>
    <xf numFmtId="217" fontId="11" fillId="5" borderId="0" xfId="0" applyNumberFormat="1" applyFont="1" applyFill="1"/>
    <xf numFmtId="0" fontId="61" fillId="0" borderId="0" xfId="0" applyFont="1" applyBorder="1" applyAlignment="1"/>
    <xf numFmtId="176" fontId="9" fillId="0" borderId="0" xfId="8" applyNumberFormat="1" applyFont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207" fontId="9" fillId="0" borderId="31" xfId="1" applyNumberFormat="1" applyFont="1" applyFill="1" applyBorder="1" applyAlignment="1" applyProtection="1">
      <alignment horizontal="center" vertical="center"/>
    </xf>
    <xf numFmtId="207" fontId="0" fillId="0" borderId="31" xfId="0" applyNumberFormat="1" applyFont="1" applyBorder="1" applyAlignment="1">
      <alignment horizontal="center" vertical="center"/>
    </xf>
    <xf numFmtId="207" fontId="0" fillId="0" borderId="33" xfId="0" applyNumberFormat="1" applyFont="1" applyBorder="1" applyAlignment="1">
      <alignment horizontal="center" vertical="center"/>
    </xf>
    <xf numFmtId="0" fontId="0" fillId="0" borderId="0" xfId="0" applyFont="1" applyAlignment="1"/>
    <xf numFmtId="270" fontId="8" fillId="0" borderId="0" xfId="0" applyNumberFormat="1" applyFont="1" applyFill="1" applyBorder="1" applyAlignment="1">
      <alignment horizontal="center" vertical="center"/>
    </xf>
    <xf numFmtId="271" fontId="8" fillId="0" borderId="0" xfId="0" applyNumberFormat="1" applyFont="1" applyFill="1" applyBorder="1" applyAlignment="1">
      <alignment horizontal="center" vertical="center"/>
    </xf>
    <xf numFmtId="182" fontId="11" fillId="2" borderId="0" xfId="0" applyNumberFormat="1" applyFont="1" applyFill="1" applyBorder="1" applyAlignment="1">
      <alignment horizontal="center" vertical="center"/>
    </xf>
    <xf numFmtId="216" fontId="0" fillId="2" borderId="0" xfId="0" applyNumberFormat="1" applyFont="1" applyFill="1" applyBorder="1" applyAlignment="1">
      <alignment horizontal="center" vertical="center"/>
    </xf>
    <xf numFmtId="177" fontId="11" fillId="2" borderId="17" xfId="0" applyNumberFormat="1" applyFont="1" applyFill="1" applyBorder="1" applyAlignment="1">
      <alignment horizontal="center" vertical="center"/>
    </xf>
    <xf numFmtId="194" fontId="11" fillId="2" borderId="0" xfId="0" applyNumberFormat="1" applyFont="1" applyFill="1" applyBorder="1" applyAlignment="1">
      <alignment horizontal="center" vertical="center"/>
    </xf>
    <xf numFmtId="177" fontId="11" fillId="2" borderId="0" xfId="0" applyNumberFormat="1" applyFont="1" applyFill="1" applyBorder="1" applyAlignment="1">
      <alignment horizontal="center" vertical="center"/>
    </xf>
    <xf numFmtId="192" fontId="11" fillId="2" borderId="0" xfId="0" applyNumberFormat="1" applyFont="1" applyFill="1" applyBorder="1" applyAlignment="1">
      <alignment horizontal="center" vertical="center"/>
    </xf>
    <xf numFmtId="198" fontId="11" fillId="2" borderId="0" xfId="0" applyNumberFormat="1" applyFont="1" applyFill="1" applyBorder="1" applyAlignment="1">
      <alignment horizontal="center" vertical="center"/>
    </xf>
    <xf numFmtId="202" fontId="11" fillId="2" borderId="0" xfId="0" applyNumberFormat="1" applyFont="1" applyFill="1" applyBorder="1" applyAlignment="1">
      <alignment horizontal="center" vertical="center"/>
    </xf>
    <xf numFmtId="203" fontId="11" fillId="2" borderId="0" xfId="0" applyNumberFormat="1" applyFont="1" applyFill="1" applyBorder="1" applyAlignment="1">
      <alignment horizontal="center" vertical="center"/>
    </xf>
    <xf numFmtId="179" fontId="0" fillId="2" borderId="0" xfId="0" applyNumberFormat="1" applyFont="1" applyFill="1" applyBorder="1" applyAlignment="1">
      <alignment horizontal="center" vertical="center"/>
    </xf>
    <xf numFmtId="170" fontId="0" fillId="2" borderId="41" xfId="0" applyNumberFormat="1" applyFont="1" applyFill="1" applyBorder="1" applyAlignment="1">
      <alignment horizontal="left" indent="1"/>
    </xf>
    <xf numFmtId="201" fontId="19" fillId="0" borderId="37" xfId="0" applyNumberFormat="1" applyFont="1" applyFill="1" applyBorder="1" applyAlignment="1">
      <alignment vertical="center"/>
    </xf>
    <xf numFmtId="201" fontId="19" fillId="0" borderId="38" xfId="0" applyNumberFormat="1" applyFont="1" applyFill="1" applyBorder="1" applyAlignment="1">
      <alignment vertical="center"/>
    </xf>
    <xf numFmtId="201" fontId="3" fillId="0" borderId="39" xfId="0" applyNumberFormat="1" applyFont="1" applyFill="1" applyBorder="1" applyAlignment="1">
      <alignment vertical="center"/>
    </xf>
    <xf numFmtId="201" fontId="0" fillId="2" borderId="0" xfId="0" applyNumberFormat="1" applyFont="1" applyFill="1" applyBorder="1" applyAlignment="1">
      <alignment vertical="center"/>
    </xf>
    <xf numFmtId="201" fontId="0" fillId="2" borderId="1" xfId="0" applyNumberFormat="1" applyFont="1" applyFill="1" applyBorder="1" applyAlignment="1">
      <alignment vertical="center"/>
    </xf>
    <xf numFmtId="201" fontId="0" fillId="4" borderId="1" xfId="0" applyNumberFormat="1" applyFont="1" applyFill="1" applyBorder="1"/>
    <xf numFmtId="201" fontId="0" fillId="4" borderId="1" xfId="0" applyNumberFormat="1" applyFont="1" applyFill="1" applyBorder="1" applyAlignment="1">
      <alignment vertical="center"/>
    </xf>
    <xf numFmtId="164" fontId="9" fillId="2" borderId="0" xfId="0" applyNumberFormat="1" applyFont="1" applyFill="1" applyBorder="1" applyAlignment="1" applyProtection="1">
      <alignment vertical="center"/>
    </xf>
    <xf numFmtId="164" fontId="11" fillId="0" borderId="0" xfId="0" applyNumberFormat="1" applyFont="1" applyFill="1" applyBorder="1" applyAlignment="1">
      <alignment vertical="center"/>
    </xf>
    <xf numFmtId="217" fontId="7" fillId="2" borderId="0" xfId="0" applyNumberFormat="1" applyFont="1" applyFill="1" applyAlignment="1"/>
    <xf numFmtId="207" fontId="0" fillId="2" borderId="0" xfId="0" applyNumberFormat="1" applyFill="1"/>
    <xf numFmtId="209" fontId="11" fillId="2" borderId="0" xfId="0" applyNumberFormat="1" applyFont="1" applyFill="1" applyAlignment="1">
      <alignment vertical="center"/>
    </xf>
    <xf numFmtId="207" fontId="11" fillId="2" borderId="0" xfId="0" applyNumberFormat="1" applyFont="1" applyFill="1"/>
    <xf numFmtId="211" fontId="10" fillId="2" borderId="0" xfId="0" applyNumberFormat="1" applyFont="1" applyFill="1" applyBorder="1"/>
    <xf numFmtId="222" fontId="11" fillId="2" borderId="0" xfId="55" applyNumberFormat="1" applyFill="1"/>
    <xf numFmtId="210" fontId="11" fillId="2" borderId="0" xfId="0" applyNumberFormat="1" applyFont="1" applyFill="1" applyAlignment="1">
      <alignment vertical="center"/>
    </xf>
    <xf numFmtId="207" fontId="11" fillId="2" borderId="0" xfId="55" applyNumberFormat="1" applyFill="1" applyAlignment="1">
      <alignment horizontal="right"/>
    </xf>
    <xf numFmtId="0" fontId="0" fillId="4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left" indent="1"/>
    </xf>
    <xf numFmtId="0" fontId="7" fillId="0" borderId="0" xfId="0" applyFont="1" applyFill="1" applyBorder="1" applyAlignment="1">
      <alignment horizontal="left" indent="1"/>
    </xf>
    <xf numFmtId="0" fontId="7" fillId="0" borderId="1" xfId="0" applyFont="1" applyBorder="1" applyAlignment="1">
      <alignment horizontal="left" indent="1"/>
    </xf>
    <xf numFmtId="0" fontId="5" fillId="0" borderId="0" xfId="0" applyFont="1" applyFill="1" applyAlignment="1">
      <alignment horizontal="left"/>
    </xf>
    <xf numFmtId="255" fontId="7" fillId="0" borderId="0" xfId="0" applyNumberFormat="1" applyFont="1" applyFill="1" applyBorder="1" applyAlignment="1" applyProtection="1">
      <alignment vertical="center"/>
    </xf>
    <xf numFmtId="255" fontId="7" fillId="0" borderId="0" xfId="0" applyNumberFormat="1" applyFont="1" applyFill="1" applyBorder="1" applyAlignment="1" applyProtection="1">
      <alignment horizontal="right" vertical="center"/>
    </xf>
    <xf numFmtId="10" fontId="9" fillId="0" borderId="0" xfId="40" applyNumberFormat="1" applyFont="1" applyFill="1" applyAlignment="1"/>
    <xf numFmtId="0" fontId="1" fillId="0" borderId="0" xfId="44" applyAlignment="1"/>
    <xf numFmtId="207" fontId="9" fillId="4" borderId="0" xfId="1" applyNumberFormat="1" applyFont="1" applyFill="1" applyBorder="1" applyAlignment="1" applyProtection="1">
      <alignment horizontal="right" vertical="center"/>
    </xf>
    <xf numFmtId="205" fontId="11" fillId="4" borderId="0" xfId="44" applyNumberFormat="1" applyFont="1" applyFill="1"/>
    <xf numFmtId="205" fontId="11" fillId="4" borderId="0" xfId="40" applyNumberFormat="1" applyFont="1" applyFill="1"/>
    <xf numFmtId="183" fontId="11" fillId="4" borderId="0" xfId="44" applyNumberFormat="1" applyFont="1" applyFill="1"/>
    <xf numFmtId="43" fontId="1" fillId="4" borderId="0" xfId="44" applyNumberFormat="1" applyFill="1"/>
    <xf numFmtId="260" fontId="11" fillId="4" borderId="0" xfId="61" applyNumberFormat="1" applyFont="1" applyFill="1" applyBorder="1"/>
    <xf numFmtId="260" fontId="104" fillId="4" borderId="45" xfId="61" applyNumberFormat="1" applyFont="1" applyFill="1" applyBorder="1" applyAlignment="1">
      <alignment horizontal="right"/>
    </xf>
    <xf numFmtId="0" fontId="9" fillId="4" borderId="0" xfId="44" applyFont="1" applyFill="1"/>
    <xf numFmtId="0" fontId="9" fillId="0" borderId="0" xfId="44" applyFont="1"/>
    <xf numFmtId="208" fontId="3" fillId="4" borderId="1" xfId="0" applyNumberFormat="1" applyFont="1" applyFill="1" applyBorder="1" applyAlignment="1">
      <alignment horizontal="right"/>
    </xf>
    <xf numFmtId="0" fontId="0" fillId="4" borderId="1" xfId="0" applyFill="1" applyBorder="1"/>
    <xf numFmtId="210" fontId="0" fillId="20" borderId="0" xfId="0" applyNumberFormat="1" applyFont="1" applyFill="1" applyBorder="1"/>
    <xf numFmtId="1" fontId="64" fillId="0" borderId="0" xfId="0" applyNumberFormat="1" applyFont="1" applyAlignment="1">
      <alignment horizontal="right"/>
    </xf>
    <xf numFmtId="1" fontId="0" fillId="0" borderId="0" xfId="0" applyNumberFormat="1"/>
    <xf numFmtId="0" fontId="108" fillId="3" borderId="0" xfId="7" applyFont="1" applyFill="1" applyBorder="1" applyAlignment="1">
      <alignment horizontal="left" vertical="center"/>
    </xf>
    <xf numFmtId="0" fontId="52" fillId="0" borderId="0" xfId="0" applyFont="1" applyBorder="1"/>
    <xf numFmtId="0" fontId="22" fillId="0" borderId="0" xfId="0" applyFont="1" applyAlignment="1">
      <alignment horizontal="left"/>
    </xf>
    <xf numFmtId="165" fontId="109" fillId="0" borderId="0" xfId="3" quotePrefix="1" applyNumberFormat="1" applyFont="1" applyBorder="1" applyAlignment="1" applyProtection="1">
      <alignment horizontal="center" vertical="center"/>
    </xf>
    <xf numFmtId="0" fontId="110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22" fillId="0" borderId="6" xfId="0" applyFont="1" applyBorder="1" applyAlignment="1">
      <alignment vertical="center"/>
    </xf>
    <xf numFmtId="0" fontId="111" fillId="14" borderId="0" xfId="0" applyFont="1" applyFill="1" applyAlignment="1">
      <alignment vertical="center"/>
    </xf>
    <xf numFmtId="0" fontId="109" fillId="0" borderId="0" xfId="0" applyFont="1" applyBorder="1" applyAlignment="1">
      <alignment horizontal="left" vertical="center"/>
    </xf>
    <xf numFmtId="0" fontId="4" fillId="0" borderId="0" xfId="0" applyFont="1" applyBorder="1"/>
    <xf numFmtId="272" fontId="89" fillId="0" borderId="0" xfId="0" applyNumberFormat="1" applyFont="1" applyAlignment="1">
      <alignment horizontal="right" vertical="center"/>
    </xf>
    <xf numFmtId="0" fontId="0" fillId="0" borderId="46" xfId="0" applyFont="1" applyBorder="1" applyAlignment="1">
      <alignment vertical="center"/>
    </xf>
    <xf numFmtId="0" fontId="5" fillId="0" borderId="46" xfId="0" applyFont="1" applyBorder="1" applyAlignment="1">
      <alignment horizontal="right" vertical="center"/>
    </xf>
    <xf numFmtId="0" fontId="5" fillId="0" borderId="0" xfId="0" applyFont="1" applyAlignment="1">
      <alignment horizontal="left" vertical="center"/>
    </xf>
    <xf numFmtId="182" fontId="9" fillId="0" borderId="0" xfId="0" applyNumberFormat="1" applyFont="1" applyAlignment="1">
      <alignment horizontal="center" vertical="center"/>
    </xf>
    <xf numFmtId="249" fontId="112" fillId="0" borderId="0" xfId="0" applyNumberFormat="1" applyFont="1" applyBorder="1" applyAlignment="1">
      <alignment horizontal="center" vertical="center"/>
    </xf>
    <xf numFmtId="265" fontId="112" fillId="0" borderId="0" xfId="0" applyNumberFormat="1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left" vertical="center"/>
    </xf>
    <xf numFmtId="0" fontId="0" fillId="0" borderId="32" xfId="0" applyFont="1" applyBorder="1" applyAlignment="1">
      <alignment vertical="center"/>
    </xf>
    <xf numFmtId="0" fontId="0" fillId="0" borderId="28" xfId="0" applyFont="1" applyBorder="1" applyAlignment="1">
      <alignment horizontal="right" vertical="center"/>
    </xf>
    <xf numFmtId="0" fontId="0" fillId="0" borderId="28" xfId="0" applyFont="1" applyBorder="1" applyAlignment="1">
      <alignment horizontal="left" vertical="center"/>
    </xf>
    <xf numFmtId="0" fontId="52" fillId="0" borderId="28" xfId="0" applyFont="1" applyBorder="1" applyAlignment="1">
      <alignment horizontal="center" vertical="center"/>
    </xf>
    <xf numFmtId="0" fontId="45" fillId="0" borderId="28" xfId="0" applyFont="1" applyBorder="1" applyAlignment="1">
      <alignment horizontal="center" vertical="center"/>
    </xf>
    <xf numFmtId="207" fontId="0" fillId="0" borderId="0" xfId="0" applyNumberFormat="1" applyFont="1" applyBorder="1" applyAlignment="1">
      <alignment horizontal="center" vertical="center"/>
    </xf>
    <xf numFmtId="0" fontId="2" fillId="14" borderId="29" xfId="0" applyFont="1" applyFill="1" applyBorder="1" applyAlignment="1">
      <alignment horizontal="centerContinuous" vertical="center"/>
    </xf>
    <xf numFmtId="0" fontId="52" fillId="0" borderId="0" xfId="0" applyFont="1" applyBorder="1" applyAlignment="1">
      <alignment horizontal="centerContinuous" vertical="top"/>
    </xf>
    <xf numFmtId="0" fontId="5" fillId="0" borderId="0" xfId="0" applyFont="1" applyAlignment="1">
      <alignment vertical="top"/>
    </xf>
    <xf numFmtId="0" fontId="0" fillId="0" borderId="28" xfId="0" applyFont="1" applyBorder="1" applyAlignment="1">
      <alignment vertical="top"/>
    </xf>
    <xf numFmtId="0" fontId="47" fillId="0" borderId="0" xfId="0" applyFont="1" applyBorder="1" applyAlignment="1">
      <alignment horizontal="centerContinuous" vertical="top"/>
    </xf>
    <xf numFmtId="0" fontId="47" fillId="0" borderId="31" xfId="0" applyFont="1" applyBorder="1" applyAlignment="1">
      <alignment horizontal="centerContinuous" vertical="top"/>
    </xf>
    <xf numFmtId="0" fontId="13" fillId="0" borderId="0" xfId="0" applyFont="1" applyBorder="1" applyAlignment="1">
      <alignment vertical="top"/>
    </xf>
    <xf numFmtId="0" fontId="7" fillId="0" borderId="0" xfId="0" applyFont="1" applyFill="1" applyAlignment="1">
      <alignment vertical="center"/>
    </xf>
    <xf numFmtId="223" fontId="11" fillId="0" borderId="0" xfId="0" applyNumberFormat="1" applyFont="1" applyFill="1" applyBorder="1" applyAlignment="1">
      <alignment horizontal="center" vertical="center"/>
    </xf>
    <xf numFmtId="195" fontId="11" fillId="0" borderId="0" xfId="0" applyNumberFormat="1" applyFont="1" applyFill="1" applyBorder="1" applyAlignment="1">
      <alignment horizontal="center" vertical="center"/>
    </xf>
    <xf numFmtId="174" fontId="2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207" fontId="11" fillId="0" borderId="0" xfId="0" applyNumberFormat="1" applyFont="1" applyFill="1" applyBorder="1" applyAlignment="1">
      <alignment vertical="center"/>
    </xf>
    <xf numFmtId="207" fontId="10" fillId="0" borderId="0" xfId="0" applyNumberFormat="1" applyFont="1" applyFill="1" applyBorder="1" applyAlignment="1">
      <alignment vertical="center"/>
    </xf>
    <xf numFmtId="174" fontId="65" fillId="0" borderId="0" xfId="0" applyNumberFormat="1" applyFont="1" applyAlignment="1">
      <alignment horizontal="center" vertical="center"/>
    </xf>
    <xf numFmtId="174" fontId="15" fillId="0" borderId="0" xfId="0" applyNumberFormat="1" applyFont="1" applyAlignment="1">
      <alignment horizontal="center" vertical="center"/>
    </xf>
    <xf numFmtId="196" fontId="11" fillId="0" borderId="0" xfId="0" applyNumberFormat="1" applyFont="1" applyAlignment="1" applyProtection="1">
      <alignment horizontal="center" vertical="center"/>
    </xf>
    <xf numFmtId="177" fontId="11" fillId="0" borderId="0" xfId="0" applyNumberFormat="1" applyFont="1" applyAlignment="1" applyProtection="1">
      <alignment horizontal="center" vertical="center"/>
    </xf>
    <xf numFmtId="207" fontId="19" fillId="0" borderId="0" xfId="0" applyNumberFormat="1" applyFont="1" applyAlignment="1">
      <alignment vertical="center"/>
    </xf>
    <xf numFmtId="10" fontId="12" fillId="2" borderId="0" xfId="0" applyNumberFormat="1" applyFont="1" applyFill="1" applyBorder="1" applyAlignment="1" applyProtection="1">
      <alignment horizontal="center" vertical="center"/>
    </xf>
    <xf numFmtId="168" fontId="89" fillId="2" borderId="0" xfId="0" applyNumberFormat="1" applyFont="1" applyFill="1" applyBorder="1" applyAlignment="1">
      <alignment horizontal="center" vertical="center"/>
    </xf>
    <xf numFmtId="0" fontId="41" fillId="3" borderId="0" xfId="7" applyFont="1" applyFill="1" applyBorder="1" applyAlignment="1">
      <alignment horizontal="left"/>
    </xf>
    <xf numFmtId="14" fontId="10" fillId="0" borderId="0" xfId="0" applyNumberFormat="1" applyFont="1" applyFill="1" applyBorder="1" applyAlignment="1">
      <alignment horizontal="right" vertical="center"/>
    </xf>
    <xf numFmtId="223" fontId="3" fillId="0" borderId="0" xfId="0" applyNumberFormat="1" applyFont="1" applyBorder="1" applyAlignment="1">
      <alignment horizontal="center"/>
    </xf>
    <xf numFmtId="10" fontId="7" fillId="2" borderId="0" xfId="0" applyNumberFormat="1" applyFont="1" applyFill="1" applyBorder="1" applyAlignment="1" applyProtection="1">
      <alignment horizontal="right" vertical="center"/>
    </xf>
    <xf numFmtId="10" fontId="5" fillId="0" borderId="0" xfId="0" applyNumberFormat="1" applyFont="1" applyAlignment="1">
      <alignment vertical="center"/>
    </xf>
    <xf numFmtId="0" fontId="56" fillId="0" borderId="0" xfId="0" applyFont="1" applyBorder="1"/>
    <xf numFmtId="1" fontId="7" fillId="0" borderId="0" xfId="52" applyNumberFormat="1" applyFont="1" applyFill="1" applyBorder="1" applyAlignment="1">
      <alignment horizontal="left" indent="1"/>
    </xf>
    <xf numFmtId="1" fontId="7" fillId="0" borderId="0" xfId="52" applyNumberFormat="1" applyFont="1" applyFill="1" applyAlignment="1">
      <alignment horizontal="left" indent="1"/>
    </xf>
    <xf numFmtId="1" fontId="56" fillId="0" borderId="0" xfId="52" applyNumberFormat="1" applyFont="1" applyFill="1" applyAlignment="1"/>
    <xf numFmtId="0" fontId="0" fillId="0" borderId="0" xfId="54" applyFont="1" applyAlignment="1">
      <alignment horizontal="left" indent="1"/>
    </xf>
    <xf numFmtId="0" fontId="108" fillId="3" borderId="0" xfId="7" applyFont="1" applyFill="1" applyBorder="1" applyAlignment="1">
      <alignment horizontal="left" vertical="center"/>
    </xf>
    <xf numFmtId="0" fontId="3" fillId="0" borderId="34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113" fillId="0" borderId="0" xfId="0" applyFont="1" applyAlignment="1">
      <alignment horizontal="left" vertical="center"/>
    </xf>
    <xf numFmtId="0" fontId="50" fillId="3" borderId="0" xfId="7" applyFont="1" applyFill="1" applyAlignment="1">
      <alignment vertical="center"/>
    </xf>
    <xf numFmtId="0" fontId="10" fillId="8" borderId="42" xfId="0" applyFont="1" applyFill="1" applyBorder="1" applyAlignment="1">
      <alignment horizontal="left" vertical="center" indent="1"/>
    </xf>
    <xf numFmtId="206" fontId="9" fillId="0" borderId="0" xfId="1" applyNumberFormat="1" applyFont="1" applyFill="1" applyBorder="1" applyAlignment="1" applyProtection="1">
      <alignment horizontal="right" vertical="center"/>
    </xf>
    <xf numFmtId="1" fontId="9" fillId="0" borderId="0" xfId="1" applyNumberFormat="1" applyFont="1" applyBorder="1" applyAlignment="1" applyProtection="1">
      <alignment vertical="center"/>
    </xf>
    <xf numFmtId="0" fontId="3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 wrapText="1"/>
    </xf>
    <xf numFmtId="0" fontId="0" fillId="0" borderId="0" xfId="6" applyFont="1" applyAlignment="1">
      <alignment vertical="center"/>
    </xf>
    <xf numFmtId="226" fontId="9" fillId="0" borderId="0" xfId="0" applyNumberFormat="1" applyFont="1" applyBorder="1" applyAlignment="1">
      <alignment horizontal="right" vertical="center"/>
    </xf>
    <xf numFmtId="0" fontId="9" fillId="0" borderId="0" xfId="0" applyFont="1" applyAlignment="1">
      <alignment vertical="center"/>
    </xf>
    <xf numFmtId="181" fontId="0" fillId="0" borderId="0" xfId="0" applyNumberFormat="1" applyFont="1" applyBorder="1" applyAlignment="1">
      <alignment horizontal="right" vertical="center"/>
    </xf>
    <xf numFmtId="249" fontId="11" fillId="0" borderId="0" xfId="0" applyNumberFormat="1" applyFont="1" applyFill="1" applyBorder="1" applyAlignment="1" applyProtection="1">
      <alignment horizontal="right" vertical="center"/>
    </xf>
    <xf numFmtId="180" fontId="11" fillId="0" borderId="0" xfId="0" applyNumberFormat="1" applyFont="1" applyBorder="1" applyAlignment="1" applyProtection="1">
      <alignment vertical="center"/>
    </xf>
    <xf numFmtId="0" fontId="3" fillId="4" borderId="17" xfId="0" applyFont="1" applyFill="1" applyBorder="1" applyAlignment="1">
      <alignment vertical="center"/>
    </xf>
    <xf numFmtId="206" fontId="3" fillId="4" borderId="17" xfId="0" applyNumberFormat="1" applyFont="1" applyFill="1" applyBorder="1" applyAlignment="1">
      <alignment vertical="center"/>
    </xf>
    <xf numFmtId="0" fontId="11" fillId="0" borderId="0" xfId="9" applyFont="1" applyFill="1" applyAlignment="1">
      <alignment vertical="center"/>
    </xf>
    <xf numFmtId="181" fontId="11" fillId="0" borderId="0" xfId="0" applyNumberFormat="1" applyFont="1" applyFill="1" applyBorder="1" applyAlignment="1">
      <alignment horizontal="right" vertical="center"/>
    </xf>
    <xf numFmtId="0" fontId="3" fillId="0" borderId="17" xfId="0" applyFont="1" applyBorder="1" applyAlignment="1">
      <alignment vertical="center"/>
    </xf>
    <xf numFmtId="206" fontId="0" fillId="0" borderId="17" xfId="0" applyNumberFormat="1" applyFont="1" applyBorder="1" applyAlignment="1">
      <alignment vertical="center"/>
    </xf>
    <xf numFmtId="0" fontId="0" fillId="0" borderId="2" xfId="0" applyFont="1" applyBorder="1" applyAlignment="1">
      <alignment horizontal="left" vertical="center"/>
    </xf>
    <xf numFmtId="206" fontId="0" fillId="0" borderId="2" xfId="0" applyNumberFormat="1" applyFont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206" fontId="3" fillId="4" borderId="0" xfId="0" applyNumberFormat="1" applyFont="1" applyFill="1" applyBorder="1" applyAlignment="1">
      <alignment vertical="center"/>
    </xf>
    <xf numFmtId="0" fontId="0" fillId="0" borderId="0" xfId="6" applyFont="1" applyFill="1" applyAlignment="1">
      <alignment vertical="center"/>
    </xf>
    <xf numFmtId="0" fontId="114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181" fontId="0" fillId="0" borderId="0" xfId="0" applyNumberFormat="1" applyFont="1" applyFill="1" applyBorder="1" applyAlignment="1">
      <alignment horizontal="right" vertical="center"/>
    </xf>
    <xf numFmtId="206" fontId="10" fillId="8" borderId="12" xfId="0" applyNumberFormat="1" applyFont="1" applyFill="1" applyBorder="1" applyAlignment="1">
      <alignment horizontal="left" vertical="center" indent="1"/>
    </xf>
    <xf numFmtId="0" fontId="3" fillId="0" borderId="0" xfId="0" applyFont="1" applyFill="1" applyAlignment="1"/>
    <xf numFmtId="206" fontId="64" fillId="0" borderId="0" xfId="0" applyNumberFormat="1" applyFont="1" applyFill="1" applyBorder="1" applyAlignment="1">
      <alignment horizontal="right"/>
    </xf>
    <xf numFmtId="10" fontId="9" fillId="0" borderId="0" xfId="0" applyNumberFormat="1" applyFont="1" applyFill="1" applyBorder="1" applyAlignment="1" applyProtection="1">
      <alignment vertical="center"/>
    </xf>
    <xf numFmtId="0" fontId="12" fillId="6" borderId="41" xfId="0" applyFont="1" applyFill="1" applyBorder="1" applyAlignment="1">
      <alignment horizontal="center" wrapText="1"/>
    </xf>
    <xf numFmtId="0" fontId="10" fillId="13" borderId="1" xfId="0" applyFont="1" applyFill="1" applyBorder="1" applyAlignment="1">
      <alignment vertical="center"/>
    </xf>
    <xf numFmtId="262" fontId="3" fillId="13" borderId="1" xfId="0" applyNumberFormat="1" applyFont="1" applyFill="1" applyBorder="1" applyAlignment="1">
      <alignment vertical="center"/>
    </xf>
    <xf numFmtId="249" fontId="3" fillId="13" borderId="1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206" fontId="11" fillId="0" borderId="0" xfId="0" applyNumberFormat="1" applyFont="1" applyFill="1" applyAlignment="1"/>
    <xf numFmtId="0" fontId="0" fillId="0" borderId="1" xfId="0" applyFont="1" applyFill="1" applyBorder="1" applyAlignment="1"/>
    <xf numFmtId="206" fontId="3" fillId="0" borderId="1" xfId="0" applyNumberFormat="1" applyFont="1" applyFill="1" applyBorder="1" applyAlignment="1"/>
    <xf numFmtId="0" fontId="9" fillId="0" borderId="0" xfId="0" applyFont="1" applyBorder="1" applyAlignment="1">
      <alignment vertical="center"/>
    </xf>
    <xf numFmtId="263" fontId="11" fillId="0" borderId="0" xfId="0" applyNumberFormat="1" applyFont="1" applyFill="1" applyBorder="1" applyAlignment="1" applyProtection="1">
      <alignment horizontal="right" vertical="center"/>
    </xf>
    <xf numFmtId="180" fontId="9" fillId="0" borderId="0" xfId="0" applyNumberFormat="1" applyFont="1" applyBorder="1" applyAlignment="1" applyProtection="1">
      <alignment vertical="center"/>
    </xf>
    <xf numFmtId="0" fontId="10" fillId="21" borderId="11" xfId="0" applyFont="1" applyFill="1" applyBorder="1" applyAlignment="1">
      <alignment horizontal="left" vertical="center"/>
    </xf>
    <xf numFmtId="0" fontId="7" fillId="21" borderId="3" xfId="0" applyFont="1" applyFill="1" applyBorder="1" applyAlignment="1">
      <alignment horizontal="right" vertical="center"/>
    </xf>
    <xf numFmtId="206" fontId="9" fillId="0" borderId="0" xfId="1" applyNumberFormat="1" applyFont="1" applyBorder="1" applyAlignment="1" applyProtection="1">
      <alignment vertical="center"/>
    </xf>
    <xf numFmtId="174" fontId="12" fillId="6" borderId="41" xfId="0" applyNumberFormat="1" applyFont="1" applyFill="1" applyBorder="1" applyAlignment="1">
      <alignment horizontal="center" vertical="center"/>
    </xf>
    <xf numFmtId="181" fontId="11" fillId="0" borderId="0" xfId="0" applyNumberFormat="1" applyFont="1" applyBorder="1" applyAlignment="1">
      <alignment horizontal="right" vertical="center"/>
    </xf>
    <xf numFmtId="10" fontId="9" fillId="0" borderId="0" xfId="0" applyNumberFormat="1" applyFont="1" applyBorder="1" applyAlignment="1" applyProtection="1">
      <alignment horizontal="right" vertical="center"/>
    </xf>
    <xf numFmtId="206" fontId="0" fillId="0" borderId="0" xfId="0" applyNumberFormat="1" applyFont="1" applyFill="1" applyBorder="1" applyAlignment="1">
      <alignment vertical="center"/>
    </xf>
    <xf numFmtId="168" fontId="92" fillId="0" borderId="0" xfId="0" applyNumberFormat="1" applyFont="1" applyBorder="1" applyAlignment="1" applyProtection="1">
      <alignment vertical="center"/>
    </xf>
    <xf numFmtId="170" fontId="0" fillId="0" borderId="0" xfId="0" applyNumberFormat="1" applyFont="1" applyAlignment="1">
      <alignment horizontal="right" vertical="center"/>
    </xf>
    <xf numFmtId="170" fontId="9" fillId="0" borderId="0" xfId="0" applyNumberFormat="1" applyFont="1" applyFill="1" applyBorder="1" applyAlignment="1">
      <alignment horizontal="right" vertical="center"/>
    </xf>
    <xf numFmtId="164" fontId="92" fillId="0" borderId="0" xfId="0" applyNumberFormat="1" applyFont="1" applyFill="1" applyBorder="1" applyAlignment="1" applyProtection="1">
      <alignment vertical="center"/>
    </xf>
    <xf numFmtId="168" fontId="11" fillId="0" borderId="0" xfId="0" applyNumberFormat="1" applyFont="1" applyFill="1" applyAlignment="1">
      <alignment vertical="center"/>
    </xf>
    <xf numFmtId="206" fontId="0" fillId="0" borderId="0" xfId="0" applyNumberFormat="1" applyFont="1" applyAlignment="1">
      <alignment vertical="center"/>
    </xf>
    <xf numFmtId="169" fontId="0" fillId="0" borderId="0" xfId="0" applyNumberFormat="1" applyFont="1" applyFill="1" applyAlignment="1">
      <alignment horizontal="right" vertical="center"/>
    </xf>
    <xf numFmtId="0" fontId="115" fillId="23" borderId="0" xfId="0" applyFont="1" applyFill="1" applyAlignment="1">
      <alignment vertical="center"/>
    </xf>
    <xf numFmtId="170" fontId="0" fillId="0" borderId="0" xfId="0" applyNumberFormat="1" applyFont="1" applyAlignment="1">
      <alignment vertical="center"/>
    </xf>
    <xf numFmtId="164" fontId="9" fillId="0" borderId="0" xfId="0" applyNumberFormat="1" applyFont="1" applyFill="1" applyBorder="1" applyAlignment="1" applyProtection="1">
      <alignment vertical="center"/>
    </xf>
    <xf numFmtId="0" fontId="0" fillId="13" borderId="1" xfId="0" applyFont="1" applyFill="1" applyBorder="1" applyAlignment="1">
      <alignment vertical="center"/>
    </xf>
    <xf numFmtId="164" fontId="9" fillId="0" borderId="0" xfId="0" applyNumberFormat="1" applyFont="1" applyFill="1" applyAlignment="1" applyProtection="1">
      <alignment vertical="center"/>
    </xf>
    <xf numFmtId="167" fontId="9" fillId="0" borderId="0" xfId="0" applyNumberFormat="1" applyFont="1" applyFill="1" applyAlignment="1" applyProtection="1">
      <alignment vertical="center"/>
    </xf>
    <xf numFmtId="262" fontId="3" fillId="0" borderId="1" xfId="0" applyNumberFormat="1" applyFont="1" applyBorder="1" applyAlignment="1">
      <alignment horizontal="right" vertical="center"/>
    </xf>
    <xf numFmtId="249" fontId="10" fillId="0" borderId="1" xfId="0" applyNumberFormat="1" applyFont="1" applyFill="1" applyBorder="1" applyAlignment="1" applyProtection="1">
      <alignment horizontal="right" vertical="center"/>
    </xf>
    <xf numFmtId="0" fontId="49" fillId="0" borderId="0" xfId="0" applyFont="1" applyAlignment="1">
      <alignment horizontal="left"/>
    </xf>
    <xf numFmtId="0" fontId="0" fillId="0" borderId="0" xfId="0" applyFont="1" applyFill="1" applyAlignment="1">
      <alignment horizontal="right" vertical="center"/>
    </xf>
    <xf numFmtId="199" fontId="0" fillId="0" borderId="0" xfId="46" applyNumberFormat="1" applyFont="1" applyFill="1" applyAlignment="1">
      <alignment horizontal="left" vertical="center"/>
    </xf>
    <xf numFmtId="0" fontId="0" fillId="0" borderId="0" xfId="46" applyFont="1" applyFill="1" applyAlignment="1">
      <alignment horizontal="left" vertical="center"/>
    </xf>
    <xf numFmtId="204" fontId="9" fillId="0" borderId="0" xfId="0" applyNumberFormat="1" applyFont="1" applyFill="1"/>
    <xf numFmtId="236" fontId="12" fillId="0" borderId="1" xfId="0" applyNumberFormat="1" applyFont="1" applyBorder="1" applyAlignment="1">
      <alignment horizontal="center" vertical="center"/>
    </xf>
    <xf numFmtId="1" fontId="9" fillId="0" borderId="1" xfId="1" applyNumberFormat="1" applyFont="1" applyBorder="1" applyAlignment="1">
      <alignment horizontal="center" vertical="center"/>
    </xf>
    <xf numFmtId="264" fontId="9" fillId="0" borderId="1" xfId="1" applyNumberFormat="1" applyFont="1" applyFill="1" applyBorder="1" applyAlignment="1">
      <alignment vertical="center"/>
    </xf>
    <xf numFmtId="264" fontId="11" fillId="0" borderId="1" xfId="1" applyNumberFormat="1" applyFont="1" applyFill="1" applyBorder="1" applyAlignment="1">
      <alignment vertical="center"/>
    </xf>
    <xf numFmtId="248" fontId="12" fillId="0" borderId="1" xfId="0" applyNumberFormat="1" applyFont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right" vertical="center"/>
    </xf>
    <xf numFmtId="236" fontId="12" fillId="0" borderId="0" xfId="0" applyNumberFormat="1" applyFont="1" applyAlignment="1">
      <alignment horizontal="center" vertical="center"/>
    </xf>
    <xf numFmtId="1" fontId="9" fillId="0" borderId="0" xfId="1" applyNumberFormat="1" applyFont="1" applyBorder="1" applyAlignment="1">
      <alignment horizontal="center" vertical="center"/>
    </xf>
    <xf numFmtId="264" fontId="9" fillId="0" borderId="0" xfId="1" applyNumberFormat="1" applyFont="1" applyFill="1" applyBorder="1" applyAlignment="1">
      <alignment vertical="center"/>
    </xf>
    <xf numFmtId="264" fontId="11" fillId="0" borderId="0" xfId="1" applyNumberFormat="1" applyFont="1" applyFill="1" applyBorder="1" applyAlignment="1">
      <alignment vertical="center"/>
    </xf>
    <xf numFmtId="248" fontId="12" fillId="0" borderId="0" xfId="0" applyNumberFormat="1" applyFont="1" applyBorder="1" applyAlignment="1">
      <alignment horizontal="center" vertical="center"/>
    </xf>
    <xf numFmtId="177" fontId="11" fillId="0" borderId="0" xfId="0" applyNumberFormat="1" applyFont="1" applyFill="1" applyBorder="1" applyAlignment="1">
      <alignment horizontal="right" vertical="center"/>
    </xf>
    <xf numFmtId="204" fontId="0" fillId="0" borderId="0" xfId="0" applyNumberFormat="1" applyFont="1" applyFill="1" applyAlignment="1">
      <alignment vertical="center"/>
    </xf>
    <xf numFmtId="199" fontId="0" fillId="0" borderId="0" xfId="46" applyNumberFormat="1" applyFont="1" applyFill="1" applyBorder="1" applyAlignment="1">
      <alignment horizontal="left" vertical="center"/>
    </xf>
    <xf numFmtId="0" fontId="0" fillId="0" borderId="0" xfId="46" applyFont="1" applyFill="1" applyBorder="1" applyAlignment="1">
      <alignment horizontal="left" vertical="center"/>
    </xf>
    <xf numFmtId="199" fontId="0" fillId="0" borderId="9" xfId="46" applyNumberFormat="1" applyFont="1" applyFill="1" applyBorder="1" applyAlignment="1">
      <alignment horizontal="left" vertical="center"/>
    </xf>
    <xf numFmtId="0" fontId="0" fillId="0" borderId="9" xfId="46" applyFont="1" applyFill="1" applyBorder="1" applyAlignment="1">
      <alignment horizontal="left" vertical="center"/>
    </xf>
    <xf numFmtId="0" fontId="0" fillId="0" borderId="9" xfId="0" applyFont="1" applyFill="1" applyBorder="1" applyAlignment="1">
      <alignment vertical="center"/>
    </xf>
    <xf numFmtId="204" fontId="0" fillId="0" borderId="9" xfId="0" applyNumberFormat="1" applyFont="1" applyFill="1" applyBorder="1" applyAlignment="1">
      <alignment vertical="center"/>
    </xf>
    <xf numFmtId="204" fontId="3" fillId="4" borderId="0" xfId="0" applyNumberFormat="1" applyFont="1" applyFill="1" applyBorder="1" applyAlignment="1">
      <alignment vertical="center"/>
    </xf>
    <xf numFmtId="200" fontId="3" fillId="0" borderId="1" xfId="0" applyNumberFormat="1" applyFont="1" applyBorder="1" applyAlignment="1">
      <alignment vertical="center"/>
    </xf>
    <xf numFmtId="264" fontId="10" fillId="0" borderId="1" xfId="1" applyNumberFormat="1" applyFont="1" applyFill="1" applyBorder="1" applyAlignment="1">
      <alignment vertical="center"/>
    </xf>
    <xf numFmtId="249" fontId="10" fillId="0" borderId="1" xfId="0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64" fillId="0" borderId="0" xfId="0" applyFont="1" applyFill="1" applyBorder="1" applyAlignment="1">
      <alignment vertical="center"/>
    </xf>
    <xf numFmtId="0" fontId="64" fillId="0" borderId="2" xfId="0" applyFont="1" applyBorder="1" applyAlignment="1">
      <alignment vertical="center"/>
    </xf>
    <xf numFmtId="187" fontId="11" fillId="0" borderId="2" xfId="0" applyNumberFormat="1" applyFont="1" applyBorder="1" applyAlignment="1">
      <alignment horizontal="center" vertical="center"/>
    </xf>
    <xf numFmtId="0" fontId="0" fillId="0" borderId="2" xfId="0" applyFont="1" applyBorder="1"/>
    <xf numFmtId="0" fontId="57" fillId="0" borderId="0" xfId="0" applyFont="1" applyAlignment="1">
      <alignment horizontal="left"/>
    </xf>
  </cellXfs>
  <cellStyles count="62">
    <cellStyle name="A¨­￠￢￠O [0]_C¡IAo_AoAUAy¡ÆeC¡I " xfId="10" xr:uid="{B7C37C1F-91D4-4FA3-B31B-239260152F9E}"/>
    <cellStyle name="A¨­￠￢￠O_AoAUAy¡ÆeC¡I " xfId="11" xr:uid="{9F9A5AC3-7F58-4C06-964C-5ED588053391}"/>
    <cellStyle name="ÅëÈ­ [0]_INQUIRY ¿µ¾÷ÃßÁø " xfId="12" xr:uid="{13E94DD5-0049-44DB-BCDE-D73D93984289}"/>
    <cellStyle name="AeE­ [0]_INQUIRY ¿μ¾÷AßAø " xfId="13" xr:uid="{A4D83CF9-4BA4-4255-807C-345F4BF1D88D}"/>
    <cellStyle name="ÅëÈ­_INQUIRY ¿µ¾÷ÃßÁø " xfId="14" xr:uid="{F1C72339-038C-48E0-B9E2-80F94E411D90}"/>
    <cellStyle name="AeE­_INQUIRY ¿μ¾÷AßAø " xfId="15" xr:uid="{1F55A73B-0158-41FA-A7A2-39D58ABD71C0}"/>
    <cellStyle name="Amount_EQU_RIGH.XLS_Equity market_Preferred Securities " xfId="16" xr:uid="{921019A8-A726-4116-ACD3-F28E7708E1BD}"/>
    <cellStyle name="C￥AØ_¿μ¾÷CoE² " xfId="17" xr:uid="{E10A2355-9F70-4E6C-A29F-2344EBE1018E}"/>
    <cellStyle name="Ç¥ÁØ_»ç¾÷ºÎº° ÃÑ°è " xfId="18" xr:uid="{DA394706-D3DF-4825-8A1E-586539907486}"/>
    <cellStyle name="C￥AØ_≫c¾÷ºIº° AN°e " xfId="19" xr:uid="{2282F06A-776C-4BFB-B18F-05A52C551B44}"/>
    <cellStyle name="Ç¥ÁØ_0N-HANDLING " xfId="20" xr:uid="{4C554E77-58D9-4535-9812-18FA5D863A03}"/>
    <cellStyle name="C￥AØ_¾ÆA§AU¾÷" xfId="21" xr:uid="{994D8CA4-D3ED-49A6-ADC2-C433659C7ED1}"/>
    <cellStyle name="Ç¥ÁØ_5-1±¤°í " xfId="22" xr:uid="{00EEC164-4682-492F-A47D-7BC1BB5A52AF}"/>
    <cellStyle name="C￥AØ_Ay°eC￥(2¿u) " xfId="23" xr:uid="{34A67327-A370-4211-BAC2-DDD03C9F49C8}"/>
    <cellStyle name="Ç¥ÁØ_Áý°èÇ¥(2¿ù) " xfId="24" xr:uid="{8C575811-704E-4344-9D5A-9E69B076FCF3}"/>
    <cellStyle name="C￥AØ_CoAo¹yAI °A¾×¿ⓒ½A " xfId="25" xr:uid="{56D551FC-26CC-4ECC-ADAE-EECD1DC9AFB7}"/>
    <cellStyle name="Ç¥ÁØ_Sheet1_¿µ¾÷ÇöÈ² " xfId="26" xr:uid="{13FA565A-E192-4D98-9F5B-F630A5F8763C}"/>
    <cellStyle name="ChartingText" xfId="36" xr:uid="{FD321491-97E3-4CAC-9BAE-CC4DEDCF4C80}"/>
    <cellStyle name="CHPTop" xfId="37" xr:uid="{8AF086FD-9A28-48FC-9184-EA99C3EF1666}"/>
    <cellStyle name="ColumnHeaderNormal" xfId="32" xr:uid="{37691C60-386C-457D-B549-DDB3EE8A04D3}"/>
    <cellStyle name="Comma" xfId="1" builtinId="3"/>
    <cellStyle name="Comma 2" xfId="5" xr:uid="{8048205E-E75F-4D1C-8661-990150054075}"/>
    <cellStyle name="Comma 2 2" xfId="39" xr:uid="{C24AED9F-A52E-42F0-B193-2934D9017DC9}"/>
    <cellStyle name="Comma 3" xfId="3" xr:uid="{3A69426E-CC4E-4AFC-876E-13709A9E4F33}"/>
    <cellStyle name="Comma 4" xfId="52" xr:uid="{6D54915B-299A-4CDC-B80A-415874423FD5}"/>
    <cellStyle name="Currency" xfId="8" builtinId="4"/>
    <cellStyle name="Currency 3" xfId="53" xr:uid="{67FFD1DA-6339-4F19-9F90-8BA2A0FA6049}"/>
    <cellStyle name="Hyperlink" xfId="57" builtinId="8"/>
    <cellStyle name="Hyperlink 2" xfId="43" xr:uid="{FC99A01B-A437-4FFD-9D77-0B711AA2FEF8}"/>
    <cellStyle name="Hyperlink 2 2" xfId="45" xr:uid="{FA365197-FEA8-43D3-BF83-BBA98ED695B9}"/>
    <cellStyle name="Hyperlink 3" xfId="60" xr:uid="{F8680D02-5684-49F7-BFDB-DA499AF30829}"/>
    <cellStyle name="Input" xfId="48" builtinId="20" hidden="1"/>
    <cellStyle name="Input" xfId="47" builtinId="20" hidden="1" customBuiltin="1"/>
    <cellStyle name="Input" xfId="34" xr:uid="{2D5437F5-D6B4-4E38-B2C8-8F5E1840D3D2}"/>
    <cellStyle name="Invisible" xfId="35" xr:uid="{ABAEA46C-4895-4494-83DA-0924C43D5A32}"/>
    <cellStyle name="Link" xfId="50" xr:uid="{4742E9E5-1DFC-42EF-B012-5CC7766A720D}"/>
    <cellStyle name="NewColumnHeaderNormal" xfId="30" xr:uid="{A3859057-8335-4375-A848-A81AC559196C}"/>
    <cellStyle name="NewSectionHeaderNormal" xfId="29" xr:uid="{BD667D89-0673-4841-97FC-B2E60A17EF54}"/>
    <cellStyle name="NewTitleNormal" xfId="28" xr:uid="{9C66D216-3933-46BA-BAE1-95C9856C4A75}"/>
    <cellStyle name="Normal" xfId="0" builtinId="0" customBuiltin="1"/>
    <cellStyle name="Normal 2" xfId="6" xr:uid="{11C6C898-9D36-4E4C-9DD9-BA0FE55610D6}"/>
    <cellStyle name="Normal 2 2" xfId="7" xr:uid="{5504B0EB-466D-43A6-9A40-F67D0CC3A647}"/>
    <cellStyle name="Normal 2 2 2" xfId="44" xr:uid="{F726C160-205F-4170-A513-D37308E297B3}"/>
    <cellStyle name="Normal 2 3" xfId="38" xr:uid="{03D9CBC4-F097-4262-A553-6C864884D775}"/>
    <cellStyle name="Normal 2 4" xfId="59" xr:uid="{3515D63E-3359-4DE3-AE7A-5E79E2133FCC}"/>
    <cellStyle name="Normal 3" xfId="9" xr:uid="{E21AB02D-15AE-4806-915A-5BDB4B7069A4}"/>
    <cellStyle name="Normal 3 2" xfId="42" xr:uid="{D8C99DDB-09FE-4625-8737-EAA3E09F5034}"/>
    <cellStyle name="Normal 4" xfId="58" xr:uid="{C8AECEC8-2FB6-4FC5-8783-D33072702F3B}"/>
    <cellStyle name="Normal 5" xfId="46" xr:uid="{79492B6B-C2D8-43A7-B4FC-F55B9E03EBD4}"/>
    <cellStyle name="Normal 6" xfId="54" xr:uid="{5E1E07F2-D4F8-4FE4-8A37-B3B892BD0FE7}"/>
    <cellStyle name="Output" xfId="49" builtinId="21" hidden="1"/>
    <cellStyle name="Output" xfId="27" builtinId="21" hidden="1" customBuiltin="1"/>
    <cellStyle name="Output" xfId="51" xr:uid="{D0A1DCFB-A0DE-4184-AF84-D3D142B4F642}"/>
    <cellStyle name="Output 2" xfId="61" xr:uid="{02004CD8-B79C-4E64-A368-D394609E66EF}"/>
    <cellStyle name="Percent" xfId="2" builtinId="5" hidden="1"/>
    <cellStyle name="Percent 2" xfId="4" xr:uid="{DFA41293-341A-4C5C-811C-727092C8B56D}"/>
    <cellStyle name="Percent 2 2" xfId="40" xr:uid="{99524659-9FA4-4B2C-81F1-FC9B2DBC8FB4}"/>
    <cellStyle name="Percent 3" xfId="41" xr:uid="{9437A3D2-0D2A-484C-B1A9-0210D6D5CCBE}"/>
    <cellStyle name="SectionHeaderNormal" xfId="31" xr:uid="{3F337027-6D2C-4109-9D23-CDBCEFADBFB4}"/>
    <cellStyle name="SubScript" xfId="33" xr:uid="{00D570D4-B69D-4531-8D9C-E7767756AA93}"/>
    <cellStyle name="Unique Input" xfId="56" xr:uid="{72C8EE4C-5E60-4F6C-A6EB-9C80BF927536}"/>
    <cellStyle name="Unique Output" xfId="55" xr:uid="{E4E8D3F5-C624-465B-9C83-DCFAD2A3E55D}"/>
  </cellStyles>
  <dxfs count="65">
    <dxf>
      <fill>
        <patternFill>
          <bgColor rgb="FFE0FFCD"/>
        </patternFill>
      </fill>
    </dxf>
    <dxf>
      <fill>
        <patternFill>
          <bgColor rgb="FFE0FFCD"/>
        </patternFill>
      </fill>
    </dxf>
    <dxf>
      <numFmt numFmtId="273" formatCode="&quot;Ending&quot;"/>
    </dxf>
    <dxf>
      <numFmt numFmtId="273" formatCode="&quot;Ending&quot;"/>
    </dxf>
    <dxf>
      <numFmt numFmtId="273" formatCode="&quot;Ending&quot;"/>
    </dxf>
    <dxf>
      <font>
        <color rgb="FF9E0000"/>
      </font>
      <fill>
        <patternFill>
          <bgColor rgb="FFFFD7CD"/>
        </patternFill>
      </fill>
    </dxf>
    <dxf>
      <font>
        <color rgb="FF9E0000"/>
      </font>
      <fill>
        <patternFill>
          <bgColor rgb="FFFFD7CD"/>
        </patternFill>
      </fill>
    </dxf>
    <dxf>
      <numFmt numFmtId="273" formatCode="&quot;Ending&quot;"/>
    </dxf>
    <dxf>
      <font>
        <color rgb="FFC00000"/>
      </font>
      <fill>
        <patternFill>
          <bgColor rgb="FFFFE1E1"/>
        </patternFill>
      </fill>
    </dxf>
    <dxf>
      <font>
        <color rgb="FF8E0000"/>
      </font>
      <fill>
        <patternFill>
          <bgColor rgb="FFFFDDDD"/>
        </patternFill>
      </fill>
    </dxf>
    <dxf>
      <fill>
        <patternFill>
          <bgColor rgb="FFE0FDCD"/>
        </patternFill>
      </fill>
    </dxf>
    <dxf>
      <fill>
        <patternFill>
          <bgColor rgb="FFE0FDCD"/>
        </patternFill>
      </fill>
    </dxf>
    <dxf>
      <font>
        <color rgb="FF860000"/>
      </font>
      <fill>
        <patternFill>
          <bgColor rgb="FFFFD9D9"/>
        </patternFill>
      </fill>
    </dxf>
    <dxf>
      <font>
        <color rgb="FF008000"/>
      </font>
      <fill>
        <patternFill patternType="none">
          <bgColor auto="1"/>
        </patternFill>
      </fill>
    </dxf>
    <dxf>
      <fill>
        <patternFill>
          <bgColor rgb="FFE0FDCD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8E0000"/>
      </font>
      <fill>
        <patternFill>
          <bgColor rgb="FFFFDDDD"/>
        </patternFill>
      </fill>
    </dxf>
    <dxf>
      <font>
        <color rgb="FF8E0000"/>
      </font>
      <fill>
        <patternFill>
          <bgColor rgb="FFFFDDDD"/>
        </patternFill>
      </fill>
    </dxf>
    <dxf>
      <numFmt numFmtId="273" formatCode="&quot;Ending&quot;"/>
    </dxf>
    <dxf>
      <font>
        <b val="0"/>
        <i/>
      </font>
    </dxf>
    <dxf>
      <font>
        <b val="0"/>
        <i/>
      </font>
    </dxf>
    <dxf>
      <font>
        <b val="0"/>
        <i/>
      </font>
    </dxf>
    <dxf>
      <numFmt numFmtId="273" formatCode="&quot;Ending&quot;"/>
    </dxf>
    <dxf>
      <numFmt numFmtId="273" formatCode="&quot;Ending&quot;"/>
    </dxf>
    <dxf>
      <numFmt numFmtId="273" formatCode="&quot;Ending&quot;"/>
    </dxf>
    <dxf>
      <fill>
        <patternFill>
          <bgColor rgb="FFE0FDCD"/>
        </patternFill>
      </fill>
    </dxf>
    <dxf>
      <fill>
        <patternFill>
          <bgColor rgb="FFFFDDDD"/>
        </patternFill>
      </fill>
    </dxf>
    <dxf>
      <font>
        <strike val="0"/>
        <color rgb="FFC00000"/>
      </font>
      <fill>
        <patternFill>
          <bgColor rgb="FFFFCDCD"/>
        </patternFill>
      </fill>
    </dxf>
    <dxf>
      <fill>
        <patternFill>
          <bgColor rgb="FFE0FDCD"/>
        </patternFill>
      </fill>
    </dxf>
    <dxf>
      <fill>
        <patternFill>
          <bgColor rgb="FFFFDDDD"/>
        </patternFill>
      </fill>
    </dxf>
    <dxf>
      <fill>
        <patternFill>
          <bgColor rgb="FFE0FDCD"/>
        </patternFill>
      </fill>
    </dxf>
    <dxf>
      <fill>
        <patternFill>
          <bgColor rgb="FFFFDDDD"/>
        </patternFill>
      </fill>
    </dxf>
    <dxf>
      <font>
        <color rgb="FF8E0000"/>
      </font>
      <fill>
        <patternFill>
          <bgColor rgb="FFFFDDDD"/>
        </patternFill>
      </fill>
    </dxf>
    <dxf>
      <numFmt numFmtId="273" formatCode="&quot;Ending&quot;"/>
    </dxf>
    <dxf>
      <numFmt numFmtId="273" formatCode="&quot;Ending&quot;"/>
    </dxf>
    <dxf>
      <numFmt numFmtId="273" formatCode="&quot;Ending&quot;"/>
    </dxf>
    <dxf>
      <numFmt numFmtId="273" formatCode="&quot;Ending&quot;"/>
    </dxf>
    <dxf>
      <numFmt numFmtId="273" formatCode="&quot;Ending&quot;"/>
    </dxf>
    <dxf>
      <numFmt numFmtId="273" formatCode="&quot;Ending&quot;"/>
    </dxf>
    <dxf>
      <numFmt numFmtId="273" formatCode="&quot;Ending&quot;"/>
    </dxf>
    <dxf>
      <numFmt numFmtId="273" formatCode="&quot;Ending&quot;"/>
    </dxf>
    <dxf>
      <numFmt numFmtId="273" formatCode="&quot;Ending&quot;"/>
    </dxf>
    <dxf>
      <numFmt numFmtId="273" formatCode="&quot;Ending&quot;"/>
    </dxf>
    <dxf>
      <numFmt numFmtId="273" formatCode="&quot;Ending&quot;"/>
    </dxf>
    <dxf>
      <numFmt numFmtId="273" formatCode="&quot;Ending&quot;"/>
    </dxf>
    <dxf>
      <font>
        <color rgb="FFC00000"/>
      </font>
      <fill>
        <patternFill>
          <bgColor rgb="FFFFD5D5"/>
        </patternFill>
      </fill>
    </dxf>
    <dxf>
      <fill>
        <patternFill>
          <bgColor rgb="FFE0FDCD"/>
        </patternFill>
      </fill>
    </dxf>
    <dxf>
      <fill>
        <patternFill>
          <bgColor rgb="FFFFDDDD"/>
        </patternFill>
      </fill>
    </dxf>
    <dxf>
      <fill>
        <patternFill>
          <bgColor rgb="FFE0FDCD"/>
        </patternFill>
      </fill>
    </dxf>
    <dxf>
      <fill>
        <patternFill>
          <bgColor rgb="FFFFDDDD"/>
        </patternFill>
      </fill>
    </dxf>
    <dxf>
      <fill>
        <patternFill>
          <bgColor rgb="FFE0FDCD"/>
        </patternFill>
      </fill>
    </dxf>
    <dxf>
      <fill>
        <patternFill>
          <bgColor rgb="FFFFDDDD"/>
        </patternFill>
      </fill>
    </dxf>
    <dxf>
      <font>
        <b/>
        <i val="0"/>
        <color rgb="FF8E0000"/>
      </font>
      <fill>
        <patternFill>
          <bgColor rgb="FFFFDDDD"/>
        </patternFill>
      </fill>
      <border>
        <left style="thin">
          <color rgb="FFBB0101"/>
        </left>
        <right style="thin">
          <color rgb="FFBB0101"/>
        </right>
        <top style="thin">
          <color rgb="FFBB0101"/>
        </top>
        <bottom style="thin">
          <color rgb="FFBB0101"/>
        </bottom>
      </border>
    </dxf>
    <dxf>
      <font>
        <color rgb="FF8E0000"/>
      </font>
      <fill>
        <patternFill>
          <bgColor rgb="FFFFDDDD"/>
        </patternFill>
      </fill>
    </dxf>
    <dxf>
      <font>
        <color rgb="FF8E0000"/>
      </font>
      <fill>
        <patternFill>
          <bgColor rgb="FFFFDDDD"/>
        </patternFill>
      </fill>
    </dxf>
    <dxf>
      <font>
        <color rgb="FF8E0000"/>
      </font>
      <fill>
        <patternFill>
          <bgColor rgb="FFFFDDDD"/>
        </patternFill>
      </fill>
    </dxf>
    <dxf>
      <font>
        <color rgb="FF8E0000"/>
      </font>
      <fill>
        <patternFill>
          <bgColor rgb="FFFFDDDD"/>
        </patternFill>
      </fill>
    </dxf>
    <dxf>
      <font>
        <color rgb="FFC00000"/>
      </font>
      <fill>
        <patternFill>
          <bgColor rgb="FFFEDEE2"/>
        </patternFill>
      </fill>
    </dxf>
    <dxf>
      <font>
        <color rgb="FF8E0000"/>
      </font>
      <fill>
        <patternFill>
          <bgColor rgb="FFFFDDDD"/>
        </patternFill>
      </fill>
    </dxf>
    <dxf>
      <fill>
        <patternFill>
          <bgColor rgb="FFD7FDCD"/>
        </patternFill>
      </fill>
    </dxf>
    <dxf>
      <font>
        <color rgb="FF8E0000"/>
      </font>
      <fill>
        <patternFill>
          <bgColor rgb="FFFFDDDD"/>
        </patternFill>
      </fill>
    </dxf>
    <dxf>
      <font>
        <color rgb="FF8E0000"/>
      </font>
      <fill>
        <patternFill>
          <bgColor rgb="FFFFDDDD"/>
        </patternFill>
      </fill>
    </dxf>
  </dxfs>
  <tableStyles count="0" defaultTableStyle="TableStyleMedium2" defaultPivotStyle="PivotStyleLight16"/>
  <colors>
    <mruColors>
      <color rgb="FFFFFFC1"/>
      <color rgb="FF0000E1"/>
      <color rgb="FFFFFFD9"/>
      <color rgb="FFFFFFCC"/>
      <color rgb="FF008000"/>
      <color rgb="FF000070"/>
      <color rgb="FF9E0000"/>
      <color rgb="FFFFD7CD"/>
      <color rgb="FFE5FFCD"/>
      <color rgb="FF0409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104776</xdr:colOff>
      <xdr:row>5</xdr:row>
      <xdr:rowOff>131234</xdr:rowOff>
    </xdr:from>
    <xdr:to>
      <xdr:col>12</xdr:col>
      <xdr:colOff>488156</xdr:colOff>
      <xdr:row>31</xdr:row>
      <xdr:rowOff>67370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24E794-1EFD-B9E3-6C22-2408D6900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9745" r="4956"/>
        <a:stretch/>
      </xdr:blipFill>
      <xdr:spPr>
        <a:xfrm>
          <a:off x="819151" y="750359"/>
          <a:ext cx="6455568" cy="4579574"/>
        </a:xfrm>
        <a:prstGeom prst="rect">
          <a:avLst/>
        </a:prstGeom>
      </xdr:spPr>
    </xdr:pic>
    <xdr:clientData/>
  </xdr:twoCellAnchor>
  <xdr:twoCellAnchor editAs="oneCell">
    <xdr:from>
      <xdr:col>14</xdr:col>
      <xdr:colOff>112183</xdr:colOff>
      <xdr:row>33</xdr:row>
      <xdr:rowOff>71437</xdr:rowOff>
    </xdr:from>
    <xdr:to>
      <xdr:col>26</xdr:col>
      <xdr:colOff>32648</xdr:colOff>
      <xdr:row>88</xdr:row>
      <xdr:rowOff>47173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E58379-D16E-E585-B343-9E7CF7906C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45"/>
        <a:stretch/>
      </xdr:blipFill>
      <xdr:spPr>
        <a:xfrm>
          <a:off x="8113183" y="5691187"/>
          <a:ext cx="7207090" cy="9798392"/>
        </a:xfrm>
        <a:prstGeom prst="rect">
          <a:avLst/>
        </a:prstGeom>
      </xdr:spPr>
    </xdr:pic>
    <xdr:clientData/>
  </xdr:twoCellAnchor>
  <xdr:twoCellAnchor editAs="oneCell">
    <xdr:from>
      <xdr:col>1</xdr:col>
      <xdr:colOff>562239</xdr:colOff>
      <xdr:row>33</xdr:row>
      <xdr:rowOff>95250</xdr:rowOff>
    </xdr:from>
    <xdr:to>
      <xdr:col>13</xdr:col>
      <xdr:colOff>476568</xdr:colOff>
      <xdr:row>88</xdr:row>
      <xdr:rowOff>47416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BE791F-1A5E-0572-DEC9-794D0C88A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9395" y="5715000"/>
          <a:ext cx="7200954" cy="9774822"/>
        </a:xfrm>
        <a:prstGeom prst="rect">
          <a:avLst/>
        </a:prstGeom>
      </xdr:spPr>
    </xdr:pic>
    <xdr:clientData/>
  </xdr:twoCellAnchor>
  <xdr:twoCellAnchor editAs="oneCell">
    <xdr:from>
      <xdr:col>5</xdr:col>
      <xdr:colOff>146845</xdr:colOff>
      <xdr:row>110</xdr:row>
      <xdr:rowOff>154253</xdr:rowOff>
    </xdr:from>
    <xdr:to>
      <xdr:col>22</xdr:col>
      <xdr:colOff>482517</xdr:colOff>
      <xdr:row>135</xdr:row>
      <xdr:rowOff>71526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06BE31-6687-41F2-54C2-C4F8D4027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82876" y="19525722"/>
          <a:ext cx="10658391" cy="4382117"/>
        </a:xfrm>
        <a:prstGeom prst="rect">
          <a:avLst/>
        </a:prstGeom>
      </xdr:spPr>
    </xdr:pic>
    <xdr:clientData/>
  </xdr:twoCellAnchor>
  <xdr:twoCellAnchor editAs="oneCell">
    <xdr:from>
      <xdr:col>10</xdr:col>
      <xdr:colOff>274374</xdr:colOff>
      <xdr:row>94</xdr:row>
      <xdr:rowOff>66675</xdr:rowOff>
    </xdr:from>
    <xdr:to>
      <xdr:col>17</xdr:col>
      <xdr:colOff>99268</xdr:colOff>
      <xdr:row>110</xdr:row>
      <xdr:rowOff>45907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4C9A100-16C1-38B2-BA9F-0D1CBC5C3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46499" y="16580644"/>
          <a:ext cx="4075425" cy="28367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Deals%20II/Shamong%20Manufacturing%20Co/Accounting/Purchase%20Price%20Allocation/SMC%20Purchase%20Price%20Allocation%20v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Financial%20Modeling/LBO%20Modeling/LBO%20Model%20Templates/LBO%20Model%20Template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Asset Class Definitions"/>
      <sheetName val="PPA Summary"/>
      <sheetName val="Consulting Agreement"/>
      <sheetName val="PPA - Real Estate (A)"/>
      <sheetName val="PPA - Assets (A)"/>
      <sheetName val="PPA - Real Estate (B)"/>
      <sheetName val="PPA - Assets (B)"/>
      <sheetName val="Assets (A)_(B) Comparison"/>
      <sheetName val="Tax Asset Detail"/>
      <sheetName val="Misc. Fixed Asset Detail"/>
      <sheetName val="NJ Tax Asset Detail"/>
      <sheetName val="FMV Appraisal"/>
      <sheetName val="Depr. Adjust. - Assets"/>
      <sheetName val="Depr. Adjust. - Leasehold Imprv"/>
      <sheetName val="Equipment List"/>
    </sheetNames>
    <sheetDataSet>
      <sheetData sheetId="0">
        <row r="2">
          <cell r="C2" t="str">
            <v>SHAMONG MANUFACTURING COMPANY, INC.</v>
          </cell>
        </row>
      </sheetData>
      <sheetData sheetId="1"/>
      <sheetData sheetId="2">
        <row r="8">
          <cell r="D8">
            <v>44469</v>
          </cell>
        </row>
        <row r="9">
          <cell r="K9">
            <v>1500000</v>
          </cell>
        </row>
        <row r="10">
          <cell r="K10">
            <v>750000</v>
          </cell>
          <cell r="Q10">
            <v>850000</v>
          </cell>
        </row>
        <row r="14">
          <cell r="D14">
            <v>0.37</v>
          </cell>
        </row>
        <row r="15">
          <cell r="D15">
            <v>0.25</v>
          </cell>
        </row>
        <row r="16">
          <cell r="D16">
            <v>0.23799999999999999</v>
          </cell>
        </row>
        <row r="17">
          <cell r="D17">
            <v>8.9700000000000002E-2</v>
          </cell>
        </row>
        <row r="19">
          <cell r="D19">
            <v>39</v>
          </cell>
        </row>
        <row r="21">
          <cell r="Q21">
            <v>224072.57499999998</v>
          </cell>
        </row>
        <row r="22">
          <cell r="D22">
            <v>0.85</v>
          </cell>
          <cell r="Q22">
            <v>204771.75138466159</v>
          </cell>
        </row>
        <row r="23">
          <cell r="D23">
            <v>0.15000000000000002</v>
          </cell>
        </row>
      </sheetData>
      <sheetData sheetId="3"/>
      <sheetData sheetId="4">
        <row r="21">
          <cell r="L21">
            <v>637500</v>
          </cell>
        </row>
        <row r="26">
          <cell r="L26">
            <v>112500.00000000003</v>
          </cell>
        </row>
      </sheetData>
      <sheetData sheetId="5">
        <row r="45">
          <cell r="I45">
            <v>1053391</v>
          </cell>
        </row>
      </sheetData>
      <sheetData sheetId="6">
        <row r="21">
          <cell r="L21">
            <v>722500</v>
          </cell>
        </row>
        <row r="26">
          <cell r="L26">
            <v>127500.00000000003</v>
          </cell>
        </row>
      </sheetData>
      <sheetData sheetId="7">
        <row r="61">
          <cell r="K61">
            <v>945500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BO Model"/>
      <sheetName val="Operating Assumptions"/>
      <sheetName val="Financials (Orig.)"/>
      <sheetName val="DCF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 " id="{FE5D06FF-923E-40F1-B15B-62E27269B5CA}" userId=" " providerId="None"/>
  <person displayName="Ben Bryer" id="{1DE74ED2-5A8B-492E-951F-02049A22E9F3}" userId="Ben Bryer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5" personId="{1DE74ED2-5A8B-492E-951F-02049A22E9F3}" id="{9CB6B07A-F6ED-4EBA-91CC-EBFA32707E92}">
    <text>Net of discounts.</text>
  </threadedComment>
  <threadedComment ref="H7" personId="{1DE74ED2-5A8B-492E-951F-02049A22E9F3}" id="{69845F6E-A9E5-4707-B92C-B372B11252CD}">
    <text>CMMC-related capex</text>
  </threadedComment>
  <threadedComment ref="D9" personId="{1DE74ED2-5A8B-492E-951F-02049A22E9F3}" id="{C1557A32-BC18-4179-9B9C-896E13FE31E6}">
    <text>Enterprise User License x4
CRM Site License x1</text>
  </threadedComment>
  <threadedComment ref="D11" personId="{1DE74ED2-5A8B-492E-951F-02049A22E9F3}" id="{0EF16015-6B3E-4E38-916A-4F94B65A4E83}">
    <text>"Timesaver"
Timing: next 2-3 years (Don 6/4/2021)
Replace every 15-18 years.</text>
  </threadedComment>
  <threadedComment ref="H14" personId="{1DE74ED2-5A8B-492E-951F-02049A22E9F3}" id="{AFF251F1-2BB1-4629-9F6A-CC9A07273FD3}">
    <text>Trumpf TruPrint 1000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I74" personId="{1DE74ED2-5A8B-492E-951F-02049A22E9F3}" id="{BB0659FA-6AE9-4E22-B245-3F80B43EED4B}">
    <text>IT infrastructure will migrate from on-premise server to the cloud on this date.
Pre-existing managed services contract will no longer be applicable.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36" personId="{1DE74ED2-5A8B-492E-951F-02049A22E9F3}" id="{9301350D-FF16-4EE0-90CD-72D4110ADACC}">
    <text>Monthly subscription fees begin 2 months after implementation.</text>
  </threadedComment>
  <threadedComment ref="B40" personId="{1DE74ED2-5A8B-492E-951F-02049A22E9F3}" id="{C24725B2-5F1A-491C-A2BA-CF934F9DD4A5}">
    <text>Free for the first 12 months.</text>
  </threadedComment>
  <threadedComment ref="D44" personId="{1DE74ED2-5A8B-492E-951F-02049A22E9F3}" id="{31B1A7F1-5396-4985-AD2E-60C4EEBE0147}">
    <text>One-time integration cost.</text>
  </threadedComment>
  <threadedComment ref="B56" personId="{1DE74ED2-5A8B-492E-951F-02049A22E9F3}" id="{0C458118-5759-4C6E-AD1F-1026DDCBD493}">
    <text>Based on calendar year.</text>
  </threadedComment>
  <threadedComment ref="B57" personId="{1DE74ED2-5A8B-492E-951F-02049A22E9F3}" id="{000A1EC9-4394-4E26-8D4A-F2DEE2CB9050}">
    <text>First 6 mos. of support at no charge.</text>
  </threadedComment>
  <threadedComment ref="C65" personId="{1DE74ED2-5A8B-492E-951F-02049A22E9F3}" id="{EEFEB987-48F4-4A66-BEC6-F63A6DBC18BD}">
    <text>2 users, includes expected $500 increase.</text>
  </threadedComment>
  <threadedComment ref="D65" personId="{1DE74ED2-5A8B-492E-951F-02049A22E9F3}" id="{4B7C0FE8-1219-447F-AB2E-75D528F2DBA8}">
    <text xml:space="preserve">First year included in original purchase. 
</text>
  </threadedComment>
  <threadedComment ref="B72" personId="{1DE74ED2-5A8B-492E-951F-02049A22E9F3}" id="{4EF4DAD0-3676-4C60-B24F-8ECED4E36EAD}">
    <text>Based on calendar year.</text>
  </threadedComment>
  <threadedComment ref="C72" personId="{1DE74ED2-5A8B-492E-951F-02049A22E9F3}" id="{9E3A54AF-2C2D-427E-ABFD-8911DACAC865}">
    <text>Per year</text>
  </threadedComment>
  <threadedComment ref="B83" personId="{1DE74ED2-5A8B-492E-951F-02049A22E9F3}" id="{B1C055F8-6F3C-4C57-BC31-ECD536CC4BFE}">
    <text>Based on calendar year.</text>
  </threadedComment>
  <threadedComment ref="C83" personId="{1DE74ED2-5A8B-492E-951F-02049A22E9F3}" id="{2D9C2FCA-EE6D-4613-9F38-715D62A07BD2}">
    <text>Per year</text>
  </threadedComment>
  <threadedComment ref="D91" personId="{1DE74ED2-5A8B-492E-951F-02049A22E9F3}" id="{CBC195A5-719F-44C4-AF0C-99FFEE5BA211}">
    <text xml:space="preserve">$180/mo. is the full list price. 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N19" personId="{FE5D06FF-923E-40F1-B15B-62E27269B5CA}" id="{D5D8BDF2-BC9E-4F30-8AA9-860D7332231B}">
    <text>Additional Medicare payroll tax is only required if wages exceed this figure</text>
  </threadedComment>
  <threadedComment ref="N23" personId="{1DE74ED2-5A8B-492E-951F-02049A22E9F3}" id="{F63DA374-078C-4AFC-843B-B330EC298A78}">
    <text>Wage Base</text>
  </threadedComment>
  <threadedComment ref="N24" personId="{1DE74ED2-5A8B-492E-951F-02049A22E9F3}" id="{D31D4406-0AFC-4F73-BAA2-4D09D557E234}">
    <text>Wage Base</text>
  </threadedComment>
  <threadedComment ref="N25" personId="{1DE74ED2-5A8B-492E-951F-02049A22E9F3}" id="{3EEF282C-C082-4131-9A46-FC0796DD7DE6}">
    <text>Wage Base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D12" personId="{FE5D06FF-923E-40F1-B15B-62E27269B5CA}" id="{1FD2C651-F21B-4625-A194-C4FB20395974}">
    <text>Rule of thumb: 
Basket ≤ 0.75-1.00% of purchase price</text>
  </threadedComment>
  <threadedComment ref="D13" personId="{FE5D06FF-923E-40F1-B15B-62E27269B5CA}" id="{91E39FD8-A3E1-4B29-ABE8-272097BBE203}">
    <text>Rule of thumb: 
Cap on Non-Fundamental R&amp;Ws ≥ 15% of purchase price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5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bls.gov/news.release/ebs2.toc.htm" TargetMode="External"/><Relationship Id="rId1" Type="http://schemas.openxmlformats.org/officeDocument/2006/relationships/hyperlink" Target="https://www.bls.gov/news.release/ebs2.toc.htm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all3dp.com/1/3d-metal-3d-printer-metal-3d-printing/" TargetMode="External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1A4DF-7336-4973-8206-7FF77FA88902}">
  <sheetPr codeName="Sheet2">
    <pageSetUpPr autoPageBreaks="0" fitToPage="1"/>
  </sheetPr>
  <dimension ref="B1:W64"/>
  <sheetViews>
    <sheetView showGridLines="0" tabSelected="1" zoomScale="80" zoomScaleNormal="80" workbookViewId="0">
      <selection activeCell="AA14" sqref="AA14"/>
    </sheetView>
  </sheetViews>
  <sheetFormatPr defaultColWidth="8.81640625" defaultRowHeight="15.5"/>
  <cols>
    <col min="1" max="1" width="2.90625" style="43" customWidth="1"/>
    <col min="2" max="2" width="11.90625" style="43" customWidth="1"/>
    <col min="3" max="18" width="10.36328125" style="43" customWidth="1"/>
    <col min="19" max="20" width="8.81640625" style="43"/>
    <col min="21" max="21" width="8.54296875" style="43" customWidth="1"/>
    <col min="22" max="16384" width="8.81640625" style="43"/>
  </cols>
  <sheetData>
    <row r="1" spans="2:23" ht="7.5" customHeight="1"/>
    <row r="2" spans="2:23" ht="21">
      <c r="B2" s="1598" t="s">
        <v>821</v>
      </c>
    </row>
    <row r="3" spans="2:23" ht="16" customHeight="1">
      <c r="B3" s="1599" t="s">
        <v>897</v>
      </c>
      <c r="C3" s="42"/>
    </row>
    <row r="4" spans="2:23" ht="4" customHeight="1" thickBot="1">
      <c r="B4" s="46"/>
      <c r="C4" s="42"/>
    </row>
    <row r="5" spans="2:23" ht="4" customHeight="1">
      <c r="B5" s="267"/>
      <c r="C5" s="268"/>
      <c r="D5" s="267"/>
      <c r="E5" s="267"/>
      <c r="F5" s="267"/>
      <c r="G5" s="267"/>
      <c r="H5" s="267"/>
      <c r="I5" s="267"/>
      <c r="J5" s="267"/>
      <c r="K5" s="267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</row>
    <row r="6" spans="2:23">
      <c r="B6" s="1542"/>
      <c r="C6" s="1583"/>
      <c r="D6" s="1542"/>
      <c r="E6" s="1542"/>
      <c r="F6" s="1542"/>
      <c r="G6" s="1542"/>
      <c r="H6" s="1542"/>
      <c r="I6" s="1542"/>
      <c r="J6" s="1542"/>
      <c r="K6" s="1542"/>
      <c r="L6" s="1546"/>
      <c r="M6" s="1546"/>
      <c r="N6" s="1546"/>
      <c r="O6" s="1546"/>
      <c r="P6" s="1546"/>
      <c r="Q6" s="1546"/>
      <c r="R6" s="1546"/>
      <c r="S6" s="1546"/>
      <c r="T6" s="1546"/>
      <c r="U6" s="1546"/>
      <c r="V6" s="1546"/>
      <c r="W6" s="1546"/>
    </row>
    <row r="7" spans="2:23" s="41" customFormat="1" ht="14.15" customHeight="1">
      <c r="B7" s="378" t="s">
        <v>137</v>
      </c>
      <c r="C7" s="12"/>
      <c r="D7" s="12"/>
    </row>
    <row r="8" spans="2:23" s="41" customFormat="1" ht="5.15" customHeight="1">
      <c r="B8" s="259"/>
      <c r="C8" s="12"/>
      <c r="D8" s="12"/>
    </row>
    <row r="9" spans="2:23" s="41" customFormat="1" ht="3" customHeight="1">
      <c r="B9" s="265"/>
      <c r="C9" s="266"/>
      <c r="D9" s="266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</row>
    <row r="10" spans="2:23">
      <c r="B10" s="3" t="s">
        <v>892</v>
      </c>
      <c r="C10" s="3"/>
      <c r="D10" s="3"/>
      <c r="E10" s="57"/>
      <c r="F10" s="57"/>
      <c r="G10" s="57"/>
      <c r="H10" s="57"/>
      <c r="I10" s="57"/>
      <c r="J10" s="57"/>
      <c r="K10" s="57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2:23" ht="18.649999999999999" customHeight="1">
      <c r="B11" s="3" t="s">
        <v>893</v>
      </c>
      <c r="C11" s="3"/>
      <c r="D11" s="3"/>
      <c r="E11" s="57"/>
      <c r="F11" s="57"/>
      <c r="G11" s="57"/>
      <c r="H11" s="57"/>
      <c r="I11" s="57"/>
      <c r="J11" s="57"/>
      <c r="K11" s="57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2:23">
      <c r="B12" s="57"/>
      <c r="C12" s="364"/>
      <c r="D12" s="57"/>
      <c r="E12" s="57"/>
      <c r="F12" s="57"/>
      <c r="G12" s="57"/>
      <c r="H12" s="57"/>
      <c r="I12" s="57"/>
      <c r="J12" s="57"/>
      <c r="K12" s="57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2:23">
      <c r="B13" s="57"/>
      <c r="C13" s="364"/>
      <c r="D13" s="57"/>
      <c r="E13" s="57"/>
      <c r="F13" s="57"/>
      <c r="G13" s="57"/>
      <c r="H13" s="57"/>
      <c r="I13" s="57"/>
      <c r="J13" s="57"/>
      <c r="K13" s="57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2:23" s="39" customFormat="1" ht="18" customHeight="1">
      <c r="B14" s="378" t="s">
        <v>876</v>
      </c>
      <c r="C14" s="40"/>
    </row>
    <row r="15" spans="2:23" s="39" customFormat="1" ht="4.5" customHeight="1">
      <c r="B15" s="258"/>
      <c r="C15" s="40"/>
    </row>
    <row r="16" spans="2:23" s="260" customFormat="1" ht="4.5" customHeight="1">
      <c r="B16" s="261"/>
      <c r="C16" s="262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  <c r="P16" s="263"/>
      <c r="Q16" s="263"/>
      <c r="R16" s="263"/>
      <c r="S16" s="263"/>
      <c r="T16" s="263"/>
      <c r="U16" s="263"/>
      <c r="V16" s="263"/>
      <c r="W16" s="263"/>
    </row>
    <row r="17" spans="2:23" s="260" customFormat="1">
      <c r="B17" s="1593" t="s">
        <v>877</v>
      </c>
      <c r="C17" s="1593"/>
      <c r="D17" s="1593"/>
      <c r="E17" s="1537" t="s">
        <v>880</v>
      </c>
      <c r="G17" s="1537"/>
      <c r="H17" s="1537"/>
      <c r="I17" s="1537"/>
      <c r="J17" s="1537"/>
      <c r="K17" s="1537"/>
      <c r="L17" s="1537"/>
      <c r="M17" s="1537"/>
      <c r="N17" s="1537"/>
      <c r="O17" s="1537"/>
      <c r="P17" s="1537"/>
      <c r="Q17" s="1537"/>
      <c r="R17" s="1537"/>
      <c r="S17" s="1537"/>
      <c r="T17" s="1537"/>
      <c r="U17" s="1537"/>
      <c r="V17" s="1537"/>
      <c r="W17" s="1537"/>
    </row>
    <row r="18" spans="2:23" ht="3.5" customHeight="1">
      <c r="B18" s="57"/>
      <c r="C18" s="364"/>
      <c r="D18" s="57"/>
      <c r="E18" s="57"/>
      <c r="F18" s="57"/>
      <c r="G18" s="57"/>
      <c r="H18" s="57"/>
      <c r="I18" s="57"/>
      <c r="J18" s="57"/>
      <c r="K18" s="57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2:23">
      <c r="B19" s="81" t="s">
        <v>293</v>
      </c>
      <c r="C19" s="364"/>
      <c r="D19" s="57"/>
      <c r="E19" s="57" t="s">
        <v>885</v>
      </c>
      <c r="F19" s="57"/>
      <c r="G19" s="57"/>
      <c r="H19" s="57"/>
      <c r="I19" s="57"/>
      <c r="J19" s="57"/>
      <c r="K19" s="57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2:23">
      <c r="B20" s="81" t="s">
        <v>383</v>
      </c>
      <c r="C20" s="364"/>
      <c r="D20" s="57"/>
      <c r="E20" s="57" t="s">
        <v>881</v>
      </c>
      <c r="F20" s="57"/>
      <c r="G20" s="57"/>
      <c r="H20" s="57"/>
      <c r="I20" s="57"/>
      <c r="J20" s="57"/>
      <c r="K20" s="57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2:23">
      <c r="B21" s="81" t="s">
        <v>139</v>
      </c>
      <c r="C21" s="364"/>
      <c r="D21" s="57"/>
      <c r="E21" s="57" t="s">
        <v>886</v>
      </c>
      <c r="F21" s="57"/>
      <c r="G21" s="57"/>
      <c r="H21" s="57"/>
      <c r="I21" s="57"/>
      <c r="J21" s="57"/>
      <c r="K21" s="57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2:23">
      <c r="B22" s="81" t="s">
        <v>90</v>
      </c>
      <c r="C22" s="364"/>
      <c r="D22" s="57"/>
      <c r="E22" s="57" t="s">
        <v>887</v>
      </c>
      <c r="F22" s="57"/>
      <c r="G22" s="57"/>
      <c r="H22" s="57"/>
      <c r="I22" s="57"/>
      <c r="J22" s="57"/>
      <c r="K22" s="57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2:23">
      <c r="B23" s="81" t="s">
        <v>624</v>
      </c>
      <c r="C23" s="364"/>
      <c r="D23" s="57"/>
      <c r="E23" s="57" t="s">
        <v>882</v>
      </c>
      <c r="F23" s="57"/>
      <c r="G23" s="57"/>
      <c r="H23" s="57"/>
      <c r="I23" s="57"/>
      <c r="J23" s="57"/>
      <c r="K23" s="57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2:23">
      <c r="B24" s="81" t="s">
        <v>769</v>
      </c>
      <c r="C24" s="364"/>
      <c r="D24" s="57"/>
      <c r="E24" s="57" t="s">
        <v>896</v>
      </c>
      <c r="F24" s="57"/>
      <c r="G24" s="57"/>
      <c r="H24" s="57"/>
      <c r="I24" s="57"/>
      <c r="J24" s="57"/>
      <c r="K24" s="57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2:23">
      <c r="B25" s="81" t="s">
        <v>631</v>
      </c>
      <c r="C25" s="364"/>
      <c r="D25" s="57"/>
      <c r="E25" s="57" t="s">
        <v>894</v>
      </c>
      <c r="F25" s="57"/>
      <c r="G25" s="57"/>
      <c r="H25" s="57"/>
      <c r="I25" s="57"/>
      <c r="J25" s="57"/>
      <c r="K25" s="57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2:23">
      <c r="B26" s="81" t="s">
        <v>335</v>
      </c>
      <c r="C26" s="364"/>
      <c r="D26" s="57"/>
      <c r="E26" s="57" t="s">
        <v>890</v>
      </c>
      <c r="F26" s="57"/>
      <c r="G26" s="57"/>
      <c r="H26" s="57"/>
      <c r="I26" s="57"/>
      <c r="J26" s="57"/>
      <c r="K26" s="57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2:23">
      <c r="B27" s="81" t="s">
        <v>551</v>
      </c>
      <c r="C27" s="364"/>
      <c r="D27" s="57"/>
      <c r="E27" s="57" t="s">
        <v>889</v>
      </c>
      <c r="F27" s="57"/>
      <c r="G27" s="57"/>
      <c r="H27" s="57"/>
      <c r="I27" s="57"/>
      <c r="J27" s="57"/>
      <c r="K27" s="57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2:23">
      <c r="B28" s="81" t="s">
        <v>495</v>
      </c>
      <c r="C28" s="364"/>
      <c r="D28" s="57"/>
      <c r="E28" s="57" t="s">
        <v>895</v>
      </c>
      <c r="F28" s="57"/>
      <c r="G28" s="57"/>
      <c r="H28" s="57"/>
      <c r="I28" s="57"/>
      <c r="J28" s="57"/>
      <c r="K28" s="57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2:23">
      <c r="B29" s="81" t="s">
        <v>878</v>
      </c>
      <c r="C29" s="364"/>
      <c r="D29" s="57"/>
      <c r="E29" s="57" t="s">
        <v>888</v>
      </c>
      <c r="F29" s="57"/>
      <c r="G29" s="57"/>
      <c r="H29" s="57"/>
      <c r="I29" s="57"/>
      <c r="J29" s="57"/>
      <c r="K29" s="57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2:23">
      <c r="B30" s="81" t="s">
        <v>879</v>
      </c>
      <c r="C30" s="364"/>
      <c r="D30" s="57"/>
      <c r="E30" s="57" t="s">
        <v>891</v>
      </c>
      <c r="F30" s="57"/>
      <c r="G30" s="57"/>
      <c r="H30" s="57"/>
      <c r="I30" s="57"/>
      <c r="J30" s="57"/>
      <c r="K30" s="57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2:23">
      <c r="B31" s="57"/>
      <c r="C31" s="364"/>
      <c r="D31" s="57"/>
      <c r="E31" s="57"/>
      <c r="F31" s="57"/>
      <c r="G31" s="57"/>
      <c r="H31" s="57"/>
      <c r="I31" s="57"/>
      <c r="J31" s="57"/>
      <c r="K31" s="57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2:23">
      <c r="B32" s="57"/>
      <c r="C32" s="364"/>
      <c r="D32" s="57"/>
      <c r="E32" s="57"/>
      <c r="F32" s="57"/>
      <c r="G32" s="57"/>
      <c r="H32" s="57"/>
      <c r="I32" s="57"/>
      <c r="J32" s="57"/>
      <c r="K32" s="57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2:23" s="39" customFormat="1" ht="18" customHeight="1">
      <c r="B33" s="378" t="s">
        <v>52</v>
      </c>
      <c r="C33" s="40"/>
    </row>
    <row r="34" spans="2:23" s="39" customFormat="1" ht="4.5" customHeight="1">
      <c r="B34" s="258"/>
      <c r="C34" s="40"/>
    </row>
    <row r="35" spans="2:23" s="260" customFormat="1" ht="4.5" customHeight="1">
      <c r="B35" s="261"/>
      <c r="C35" s="262"/>
      <c r="D35" s="263"/>
      <c r="E35" s="263"/>
      <c r="F35" s="263"/>
      <c r="G35" s="263"/>
      <c r="H35" s="263"/>
      <c r="I35" s="263"/>
      <c r="J35" s="263"/>
      <c r="K35" s="263"/>
      <c r="L35" s="263"/>
      <c r="M35" s="263"/>
      <c r="N35" s="263"/>
      <c r="O35" s="263"/>
      <c r="P35" s="263"/>
      <c r="Q35" s="263"/>
      <c r="R35" s="263"/>
      <c r="S35" s="263"/>
      <c r="T35" s="263"/>
      <c r="U35" s="263"/>
      <c r="V35" s="263"/>
      <c r="W35" s="263"/>
    </row>
    <row r="36" spans="2:23">
      <c r="B36" s="365" t="s">
        <v>310</v>
      </c>
      <c r="C36" s="366"/>
      <c r="D36" s="58"/>
      <c r="E36" s="58"/>
      <c r="F36" s="58"/>
      <c r="G36" s="58"/>
      <c r="H36" s="58"/>
      <c r="I36" s="58"/>
      <c r="J36" s="58"/>
      <c r="K36" s="58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3"/>
    </row>
    <row r="37" spans="2:23">
      <c r="B37" s="367" t="s">
        <v>311</v>
      </c>
      <c r="C37" s="364"/>
      <c r="D37" s="57"/>
      <c r="E37" s="57"/>
      <c r="F37" s="57"/>
      <c r="G37" s="57"/>
      <c r="H37" s="57"/>
      <c r="I37" s="57"/>
      <c r="J37" s="57"/>
      <c r="K37" s="57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</row>
    <row r="38" spans="2:23">
      <c r="B38" s="368" t="s">
        <v>312</v>
      </c>
      <c r="C38" s="364"/>
      <c r="D38" s="57"/>
      <c r="E38" s="57"/>
      <c r="F38" s="57"/>
      <c r="G38" s="57"/>
      <c r="H38" s="57"/>
      <c r="I38" s="57"/>
      <c r="J38" s="57"/>
      <c r="K38" s="57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2:23" ht="6" customHeight="1">
      <c r="B39" s="368"/>
      <c r="C39" s="364"/>
      <c r="D39" s="57"/>
      <c r="E39" s="57"/>
      <c r="F39" s="57"/>
      <c r="G39" s="57"/>
      <c r="H39" s="57"/>
      <c r="I39" s="57"/>
      <c r="J39" s="57"/>
      <c r="K39" s="57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2:23">
      <c r="B40" s="1454" t="s">
        <v>135</v>
      </c>
      <c r="C40" s="369" t="s">
        <v>308</v>
      </c>
      <c r="D40" s="3"/>
      <c r="E40" s="57"/>
      <c r="F40" s="57"/>
      <c r="G40" s="57"/>
      <c r="H40" s="57"/>
      <c r="I40" s="57"/>
      <c r="J40" s="57"/>
      <c r="K40" s="57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2:23" ht="6" customHeight="1">
      <c r="B41" s="216"/>
      <c r="C41" s="364"/>
      <c r="D41" s="3"/>
      <c r="E41" s="57"/>
      <c r="F41" s="57"/>
      <c r="G41" s="57"/>
      <c r="H41" s="57"/>
      <c r="I41" s="57"/>
      <c r="J41" s="57"/>
      <c r="K41" s="57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2:23">
      <c r="B42" s="1495"/>
      <c r="C42" s="369" t="s">
        <v>307</v>
      </c>
      <c r="D42" s="3"/>
      <c r="E42" s="57"/>
      <c r="F42" s="57"/>
      <c r="G42" s="57"/>
      <c r="H42" s="57"/>
      <c r="I42" s="57"/>
      <c r="J42" s="57"/>
      <c r="K42" s="57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2:23">
      <c r="B43" s="57"/>
      <c r="C43" s="364"/>
      <c r="D43" s="57"/>
      <c r="E43" s="57"/>
      <c r="F43" s="57"/>
      <c r="G43" s="57"/>
      <c r="H43" s="57"/>
      <c r="I43" s="57"/>
      <c r="J43" s="57"/>
      <c r="K43" s="57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2:23">
      <c r="B44" s="57"/>
      <c r="C44" s="364"/>
      <c r="D44" s="57"/>
      <c r="E44" s="57"/>
      <c r="F44" s="57"/>
      <c r="G44" s="57"/>
      <c r="H44" s="57"/>
      <c r="I44" s="57"/>
      <c r="J44" s="57"/>
      <c r="K44" s="57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2:23" s="41" customFormat="1">
      <c r="B45" s="343"/>
      <c r="D45" s="344"/>
      <c r="E45" s="44"/>
    </row>
    <row r="46" spans="2:23" s="39" customFormat="1" ht="16.5" customHeight="1">
      <c r="B46" s="378" t="s">
        <v>279</v>
      </c>
      <c r="C46" s="45"/>
    </row>
    <row r="47" spans="2:23" s="39" customFormat="1" ht="4" customHeight="1">
      <c r="B47" s="258"/>
      <c r="C47" s="45"/>
    </row>
    <row r="48" spans="2:23" s="39" customFormat="1" ht="7" customHeight="1">
      <c r="B48" s="261"/>
      <c r="C48" s="264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263"/>
      <c r="Q48" s="263"/>
      <c r="R48" s="263"/>
      <c r="S48" s="263"/>
      <c r="T48" s="263"/>
      <c r="U48" s="263"/>
      <c r="V48" s="263"/>
      <c r="W48" s="263"/>
    </row>
    <row r="49" spans="2:23" ht="12.65" customHeight="1">
      <c r="B49" s="368" t="s">
        <v>280</v>
      </c>
      <c r="C49" s="370"/>
      <c r="D49" s="371"/>
      <c r="E49" s="3"/>
      <c r="F49" s="3"/>
      <c r="G49" s="3"/>
    </row>
    <row r="50" spans="2:23">
      <c r="B50" s="368" t="s">
        <v>283</v>
      </c>
      <c r="C50" s="217"/>
      <c r="D50" s="371"/>
      <c r="E50" s="3"/>
      <c r="F50" s="3"/>
      <c r="G50" s="3"/>
    </row>
    <row r="51" spans="2:23">
      <c r="B51" s="368" t="s">
        <v>306</v>
      </c>
      <c r="C51" s="217"/>
      <c r="D51" s="371"/>
      <c r="E51" s="3"/>
      <c r="F51" s="3"/>
      <c r="G51" s="3"/>
    </row>
    <row r="52" spans="2:23">
      <c r="B52" s="368" t="s">
        <v>912</v>
      </c>
      <c r="C52" s="217"/>
      <c r="D52" s="371"/>
      <c r="E52" s="3"/>
      <c r="F52" s="3"/>
      <c r="G52" s="3"/>
    </row>
    <row r="53" spans="2:23">
      <c r="B53" s="368"/>
      <c r="C53" s="217"/>
      <c r="D53" s="371"/>
      <c r="E53" s="3"/>
      <c r="F53" s="3"/>
      <c r="G53" s="3"/>
    </row>
    <row r="54" spans="2:23">
      <c r="B54" s="368"/>
      <c r="C54" s="1482"/>
      <c r="D54" s="371"/>
      <c r="E54" s="3"/>
      <c r="F54" s="3"/>
      <c r="G54" s="3"/>
    </row>
    <row r="55" spans="2:23">
      <c r="B55" s="368"/>
      <c r="C55" s="1482"/>
      <c r="D55" s="371"/>
      <c r="E55" s="3"/>
      <c r="F55" s="3"/>
      <c r="G55" s="3"/>
    </row>
    <row r="56" spans="2:23" s="39" customFormat="1" ht="16.5" customHeight="1">
      <c r="B56" s="378" t="s">
        <v>136</v>
      </c>
      <c r="C56" s="45"/>
    </row>
    <row r="57" spans="2:23" s="39" customFormat="1" ht="4" customHeight="1">
      <c r="B57" s="258"/>
      <c r="C57" s="45"/>
    </row>
    <row r="58" spans="2:23" s="39" customFormat="1" ht="6" customHeight="1">
      <c r="B58" s="261"/>
      <c r="C58" s="264"/>
      <c r="D58" s="263"/>
      <c r="E58" s="263"/>
      <c r="F58" s="263"/>
      <c r="G58" s="263"/>
      <c r="H58" s="263"/>
      <c r="I58" s="263"/>
      <c r="J58" s="263"/>
      <c r="K58" s="263"/>
      <c r="L58" s="263"/>
      <c r="M58" s="263"/>
      <c r="N58" s="263"/>
      <c r="O58" s="263"/>
      <c r="P58" s="263"/>
      <c r="Q58" s="263"/>
      <c r="R58" s="263"/>
      <c r="S58" s="263"/>
      <c r="T58" s="263"/>
      <c r="U58" s="263"/>
      <c r="V58" s="263"/>
      <c r="W58" s="263"/>
    </row>
    <row r="59" spans="2:23" ht="12.65" customHeight="1">
      <c r="B59" s="368" t="s">
        <v>53</v>
      </c>
      <c r="C59" s="370"/>
      <c r="D59" s="371"/>
    </row>
    <row r="60" spans="2:23">
      <c r="B60" s="174" t="s">
        <v>54</v>
      </c>
      <c r="C60" s="217"/>
      <c r="D60" s="371"/>
    </row>
    <row r="61" spans="2:23">
      <c r="B61" s="368"/>
      <c r="C61" s="217"/>
      <c r="D61" s="371"/>
    </row>
    <row r="62" spans="2:23">
      <c r="B62" s="3"/>
      <c r="C62" s="3"/>
      <c r="D62" s="3"/>
    </row>
    <row r="63" spans="2:23">
      <c r="B63" s="3"/>
      <c r="C63" s="3"/>
      <c r="D63" s="3"/>
    </row>
    <row r="64" spans="2:23">
      <c r="B64" s="3"/>
      <c r="C64" s="3"/>
      <c r="D64" s="3"/>
    </row>
  </sheetData>
  <sheetProtection algorithmName="SHA-512" hashValue="kaxS/YaFrlGDjkSf2fOpsWrXOhHblK3kJKp59Nj+1BWcRLP1BeK94M5dCUAfsT0a6qHKgjABjefqi0oiyYPxiA==" saltValue="IROZSV2/uwYaTdC0q0Vwkg==" spinCount="100000" sheet="1" objects="1" scenarios="1"/>
  <mergeCells count="1">
    <mergeCell ref="B17:D17"/>
  </mergeCells>
  <printOptions horizontalCentered="1" verticalCentered="1"/>
  <pageMargins left="0.25" right="0.25" top="0.25" bottom="0.25" header="0.3" footer="0.3"/>
  <pageSetup paperSize="3" scale="94" fitToHeight="0"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A514A-3BAB-4654-9A1C-568C6F075607}">
  <sheetPr>
    <pageSetUpPr autoPageBreaks="0"/>
  </sheetPr>
  <dimension ref="B1:AT42"/>
  <sheetViews>
    <sheetView showGridLines="0" zoomScale="80" zoomScaleNormal="80" workbookViewId="0">
      <selection activeCell="K40" sqref="K40"/>
    </sheetView>
  </sheetViews>
  <sheetFormatPr defaultRowHeight="14.5"/>
  <cols>
    <col min="1" max="1" width="1.81640625" customWidth="1"/>
    <col min="2" max="2" width="11.54296875" customWidth="1"/>
    <col min="3" max="5" width="12.54296875" customWidth="1"/>
    <col min="6" max="6" width="12.54296875" style="517" customWidth="1"/>
    <col min="7" max="7" width="12.54296875" customWidth="1"/>
    <col min="8" max="8" width="12" style="517" customWidth="1"/>
    <col min="9" max="9" width="11.453125" customWidth="1"/>
    <col min="10" max="10" width="17.54296875" customWidth="1"/>
    <col min="11" max="11" width="15.81640625" customWidth="1"/>
    <col min="12" max="14" width="12.81640625" customWidth="1"/>
    <col min="15" max="15" width="7.81640625" customWidth="1"/>
    <col min="16" max="16" width="14.81640625" customWidth="1"/>
    <col min="17" max="17" width="15.90625" customWidth="1"/>
  </cols>
  <sheetData>
    <row r="1" spans="2:46" ht="7.5" customHeight="1"/>
    <row r="2" spans="2:46" s="3" customFormat="1" ht="17">
      <c r="B2" s="270" t="s">
        <v>551</v>
      </c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</row>
    <row r="3" spans="2:46" s="3" customFormat="1" ht="5.15" customHeight="1" thickBot="1">
      <c r="B3" s="1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</row>
    <row r="4" spans="2:46" s="3" customFormat="1" ht="6.5" customHeight="1">
      <c r="B4" s="272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</row>
    <row r="5" spans="2:46" s="3" customFormat="1">
      <c r="B5" s="928" t="s">
        <v>443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</row>
    <row r="6" spans="2:46" ht="7" customHeight="1"/>
    <row r="7" spans="2:46" ht="15" thickBot="1">
      <c r="B7" s="815" t="s">
        <v>446</v>
      </c>
      <c r="C7" s="754"/>
      <c r="D7" s="754"/>
      <c r="E7" s="754"/>
      <c r="F7" s="754"/>
      <c r="G7" s="754"/>
      <c r="T7" s="517"/>
      <c r="U7" s="517"/>
      <c r="V7" s="517"/>
      <c r="W7" s="517"/>
      <c r="X7" s="517"/>
    </row>
    <row r="8" spans="2:46" s="517" customFormat="1">
      <c r="B8" s="813" t="str">
        <f>'Operating Model'!B583</f>
        <v>Pay Periods Per Year</v>
      </c>
      <c r="C8" s="14"/>
      <c r="D8" s="14"/>
      <c r="E8" s="814">
        <f>'Operating Model'!D583</f>
        <v>52</v>
      </c>
      <c r="F8" s="814"/>
    </row>
    <row r="9" spans="2:46" s="517" customFormat="1">
      <c r="E9" s="652"/>
      <c r="F9" s="652"/>
    </row>
    <row r="10" spans="2:46" s="517" customFormat="1">
      <c r="E10" s="1396" t="s">
        <v>5</v>
      </c>
      <c r="F10" s="1396" t="s">
        <v>47</v>
      </c>
      <c r="G10" s="1396" t="s">
        <v>48</v>
      </c>
    </row>
    <row r="11" spans="2:46" s="517" customFormat="1">
      <c r="B11" s="541" t="s">
        <v>415</v>
      </c>
      <c r="E11" s="653">
        <v>2000</v>
      </c>
      <c r="F11" s="616">
        <f>E11</f>
        <v>2000</v>
      </c>
      <c r="G11" s="653">
        <v>1000</v>
      </c>
      <c r="J11" s="1" t="s">
        <v>448</v>
      </c>
      <c r="K11"/>
      <c r="L11"/>
      <c r="M11"/>
      <c r="N11"/>
      <c r="O11"/>
      <c r="P11"/>
      <c r="Q11"/>
    </row>
    <row r="12" spans="2:46" s="517" customFormat="1">
      <c r="B12" s="656" t="s">
        <v>414</v>
      </c>
      <c r="C12" s="583"/>
      <c r="D12" s="582"/>
      <c r="E12" s="657">
        <f>PRODUCT(E11,$E$8)</f>
        <v>104000</v>
      </c>
      <c r="F12" s="657">
        <f>PRODUCT(F11,$E$8)</f>
        <v>104000</v>
      </c>
      <c r="G12" s="657">
        <f>PRODUCT(G11,$E$8)</f>
        <v>52000</v>
      </c>
      <c r="J12" s="8"/>
      <c r="K12" s="8"/>
      <c r="L12" s="8"/>
      <c r="M12" s="8"/>
      <c r="N12" s="8"/>
      <c r="O12" s="8"/>
      <c r="P12" s="8"/>
      <c r="Q12" s="8"/>
    </row>
    <row r="13" spans="2:46" s="517" customFormat="1">
      <c r="B13" s="3"/>
      <c r="C13" s="3"/>
      <c r="E13" s="420"/>
      <c r="F13" s="420"/>
      <c r="L13" s="185" t="s">
        <v>459</v>
      </c>
      <c r="M13" s="185"/>
      <c r="N13" s="185"/>
      <c r="O13" s="12"/>
      <c r="P13" s="926" t="s">
        <v>551</v>
      </c>
      <c r="Q13" s="927" t="s">
        <v>48</v>
      </c>
    </row>
    <row r="14" spans="2:46" s="517" customFormat="1">
      <c r="B14" s="1" t="s">
        <v>373</v>
      </c>
      <c r="C14" s="1"/>
      <c r="D14" s="1"/>
      <c r="E14" s="593">
        <f>$P$27</f>
        <v>9311.4</v>
      </c>
      <c r="F14" s="593">
        <f>E14</f>
        <v>9311.4</v>
      </c>
      <c r="G14" s="593">
        <f>$Q$27</f>
        <v>5333.4000000000005</v>
      </c>
      <c r="L14" s="658" t="s">
        <v>405</v>
      </c>
      <c r="M14" s="658" t="s">
        <v>460</v>
      </c>
      <c r="N14" s="658" t="s">
        <v>461</v>
      </c>
      <c r="O14" s="659"/>
      <c r="P14" s="895">
        <f>$E$12</f>
        <v>104000</v>
      </c>
      <c r="Q14" s="1393">
        <f>G12</f>
        <v>52000</v>
      </c>
    </row>
    <row r="15" spans="2:46" s="517" customFormat="1">
      <c r="B15" s="481" t="s">
        <v>552</v>
      </c>
      <c r="E15" s="561">
        <f>E14/E12</f>
        <v>8.9532692307692299E-2</v>
      </c>
      <c r="F15" s="561">
        <f>F14/F12</f>
        <v>8.9532692307692299E-2</v>
      </c>
      <c r="G15" s="561">
        <f>G14/G12</f>
        <v>0.10256538461538463</v>
      </c>
      <c r="L15" s="660"/>
      <c r="M15" s="660"/>
      <c r="N15" s="660"/>
      <c r="O15" s="659"/>
      <c r="P15" s="800"/>
      <c r="Q15" s="800"/>
    </row>
    <row r="16" spans="2:46" s="517" customFormat="1">
      <c r="H16" s="465"/>
      <c r="J16" s="293" t="s">
        <v>449</v>
      </c>
      <c r="M16" s="662"/>
      <c r="P16" s="800"/>
      <c r="Q16" s="800"/>
    </row>
    <row r="17" spans="2:17" s="517" customFormat="1" ht="15" thickBot="1">
      <c r="B17" s="815" t="s">
        <v>746</v>
      </c>
      <c r="C17" s="815"/>
      <c r="D17" s="815"/>
      <c r="E17" s="815"/>
      <c r="F17" s="379"/>
      <c r="H17" s="465"/>
      <c r="J17" s="296" t="s">
        <v>450</v>
      </c>
      <c r="L17" s="662">
        <v>6.2E-2</v>
      </c>
      <c r="M17" s="30">
        <v>8853.6</v>
      </c>
      <c r="N17" s="30">
        <v>147000</v>
      </c>
      <c r="O17" s="437"/>
      <c r="P17" s="800">
        <f>MIN($M$17,(PRODUCT($L$17,P$14)))</f>
        <v>6448</v>
      </c>
      <c r="Q17" s="800">
        <f>MIN($M$17,(PRODUCT($L$17,Q$14)))</f>
        <v>3224</v>
      </c>
    </row>
    <row r="18" spans="2:17" s="517" customFormat="1">
      <c r="B18" s="218" t="s">
        <v>462</v>
      </c>
      <c r="E18" s="493">
        <f>E31</f>
        <v>20592</v>
      </c>
      <c r="F18" s="493"/>
      <c r="H18" s="465"/>
      <c r="J18" s="296" t="s">
        <v>451</v>
      </c>
      <c r="L18" s="662">
        <v>1.4500000000000001E-2</v>
      </c>
      <c r="M18" s="30"/>
      <c r="N18" s="30"/>
      <c r="O18" s="547"/>
      <c r="P18" s="800">
        <f>PRODUCT($L18,P$14)</f>
        <v>1508</v>
      </c>
      <c r="Q18" s="800">
        <f>PRODUCT($L18,Q$14)</f>
        <v>754</v>
      </c>
    </row>
    <row r="19" spans="2:17" s="517" customFormat="1">
      <c r="B19" s="218" t="s">
        <v>481</v>
      </c>
      <c r="E19" s="493">
        <f>E34</f>
        <v>7904.76</v>
      </c>
      <c r="F19" s="493"/>
      <c r="J19" s="296" t="s">
        <v>452</v>
      </c>
      <c r="L19" s="662">
        <v>8.9999999999999993E-3</v>
      </c>
      <c r="M19" s="30"/>
      <c r="N19" s="30">
        <v>200000</v>
      </c>
      <c r="P19" s="800">
        <f>IF(P$14&gt;$N$19,PRODUCT((P$14-$N$19),$L$19),0)</f>
        <v>0</v>
      </c>
      <c r="Q19" s="800">
        <f>IF(Q$14&gt;$N$19,PRODUCT((Q$14-$N$19),$L$19),0)</f>
        <v>0</v>
      </c>
    </row>
    <row r="20" spans="2:17" s="517" customFormat="1">
      <c r="B20" s="218" t="s">
        <v>467</v>
      </c>
      <c r="E20" s="517">
        <f>E36</f>
        <v>305</v>
      </c>
      <c r="J20" s="296" t="s">
        <v>453</v>
      </c>
      <c r="L20" s="662">
        <v>6.0000000000000001E-3</v>
      </c>
      <c r="M20" s="30"/>
      <c r="N20" s="30">
        <v>7000</v>
      </c>
      <c r="P20" s="800">
        <f>IF(P$14&gt;0,PRODUCT($N$20,$L$20),0)</f>
        <v>42</v>
      </c>
      <c r="Q20" s="800">
        <f>IF(Q$14&gt;0,PRODUCT($N$20,$L$20),0)</f>
        <v>42</v>
      </c>
    </row>
    <row r="21" spans="2:17" s="517" customFormat="1">
      <c r="B21" s="218" t="s">
        <v>372</v>
      </c>
      <c r="L21" s="662"/>
      <c r="M21" s="663"/>
      <c r="N21" s="663"/>
      <c r="P21" s="800"/>
      <c r="Q21" s="800"/>
    </row>
    <row r="22" spans="2:17" s="517" customFormat="1">
      <c r="J22" s="293" t="s">
        <v>454</v>
      </c>
      <c r="N22" s="661"/>
      <c r="P22" s="800"/>
      <c r="Q22" s="800"/>
    </row>
    <row r="23" spans="2:17" s="517" customFormat="1">
      <c r="H23" s="465"/>
      <c r="J23" s="296" t="s">
        <v>455</v>
      </c>
      <c r="L23" s="1521">
        <v>2.6825000000000002E-2</v>
      </c>
      <c r="N23" s="661">
        <v>39800</v>
      </c>
      <c r="P23" s="800">
        <f>PRODUCT($L$23,(MIN($N$23,P$14)))</f>
        <v>1067.635</v>
      </c>
      <c r="Q23" s="800">
        <f>PRODUCT($L$23,(MIN($N$23,Q$14)))</f>
        <v>1067.635</v>
      </c>
    </row>
    <row r="24" spans="2:17" s="517" customFormat="1">
      <c r="H24" s="465"/>
      <c r="J24" s="296" t="s">
        <v>456</v>
      </c>
      <c r="L24" s="662">
        <v>5.0000000000000001E-3</v>
      </c>
      <c r="N24" s="661">
        <v>39800</v>
      </c>
      <c r="P24" s="800">
        <f>PRODUCT($L$24,(MIN($N$24,P$15)))</f>
        <v>199</v>
      </c>
      <c r="Q24" s="800">
        <f>PRODUCT($L$24,(MIN($N$24,Q$15)))</f>
        <v>199</v>
      </c>
    </row>
    <row r="25" spans="2:17" s="517" customFormat="1" ht="15" thickBot="1">
      <c r="B25" s="815" t="s">
        <v>553</v>
      </c>
      <c r="C25" s="754"/>
      <c r="D25" s="754"/>
      <c r="E25" s="754"/>
      <c r="F25" s="14"/>
      <c r="H25" s="465"/>
      <c r="J25" s="296" t="s">
        <v>457</v>
      </c>
      <c r="L25" s="662">
        <v>1.175E-3</v>
      </c>
      <c r="N25" s="661">
        <v>39800</v>
      </c>
      <c r="P25" s="800">
        <f>PRODUCT($L$25,(MIN($N$25,P$14)))</f>
        <v>46.765000000000001</v>
      </c>
      <c r="Q25" s="800">
        <f>PRODUCT($L$25,(MIN($N$25,Q$14)))</f>
        <v>46.765000000000001</v>
      </c>
    </row>
    <row r="26" spans="2:17" s="517" customFormat="1">
      <c r="B26" s="14"/>
      <c r="C26" s="14"/>
      <c r="D26" s="816" t="s">
        <v>464</v>
      </c>
      <c r="E26" s="816" t="s">
        <v>366</v>
      </c>
      <c r="F26" s="816"/>
      <c r="H26" s="465"/>
      <c r="J26" s="296" t="s">
        <v>458</v>
      </c>
      <c r="L26" s="662">
        <v>0</v>
      </c>
      <c r="N26" s="663">
        <v>0</v>
      </c>
      <c r="P26" s="800">
        <f>PRODUCT($L$26,(MIN($N$26,P$14)))</f>
        <v>0</v>
      </c>
      <c r="Q26" s="800">
        <f>PRODUCT($L$26,(MIN($N$26,Q$14)))</f>
        <v>0</v>
      </c>
    </row>
    <row r="27" spans="2:17" s="517" customFormat="1">
      <c r="B27" s="379" t="s">
        <v>462</v>
      </c>
      <c r="C27" s="14"/>
      <c r="D27" s="14"/>
      <c r="E27" s="14"/>
      <c r="F27" s="14"/>
      <c r="H27" s="465"/>
      <c r="P27" s="896">
        <f>SUM(P17:P26)</f>
        <v>9311.4</v>
      </c>
      <c r="Q27" s="896">
        <f>SUM(Q17:Q26)</f>
        <v>5333.4000000000005</v>
      </c>
    </row>
    <row r="28" spans="2:17" s="517" customFormat="1">
      <c r="B28" s="499" t="s">
        <v>480</v>
      </c>
      <c r="D28" s="653">
        <v>1600</v>
      </c>
      <c r="E28" s="616">
        <f>PRODUCT(D28,12)</f>
        <v>19200</v>
      </c>
      <c r="F28" s="616"/>
      <c r="H28" s="465"/>
      <c r="P28" s="897">
        <f>P27/P14</f>
        <v>8.9532692307692299E-2</v>
      </c>
      <c r="Q28" s="897">
        <f>Q27/Q14</f>
        <v>0.10256538461538463</v>
      </c>
    </row>
    <row r="29" spans="2:17" s="517" customFormat="1">
      <c r="B29" s="499" t="s">
        <v>347</v>
      </c>
      <c r="D29" s="653">
        <v>100</v>
      </c>
      <c r="E29" s="616">
        <f>PRODUCT(D29,12)</f>
        <v>1200</v>
      </c>
      <c r="F29" s="616"/>
      <c r="H29" s="465"/>
      <c r="P29" s="468"/>
      <c r="Q29" s="468"/>
    </row>
    <row r="30" spans="2:17" s="517" customFormat="1">
      <c r="B30" s="499" t="s">
        <v>463</v>
      </c>
      <c r="D30" s="653">
        <v>16</v>
      </c>
      <c r="E30" s="616">
        <f>PRODUCT(D30,12)</f>
        <v>192</v>
      </c>
      <c r="F30" s="616"/>
      <c r="P30" s="468"/>
      <c r="Q30" s="468"/>
    </row>
    <row r="31" spans="2:17" s="517" customFormat="1">
      <c r="B31" s="811" t="s">
        <v>26</v>
      </c>
      <c r="C31" s="8"/>
      <c r="D31" s="8"/>
      <c r="E31" s="540">
        <f>SUM(E28:E30)</f>
        <v>20592</v>
      </c>
      <c r="F31" s="558"/>
      <c r="P31" s="468"/>
      <c r="Q31" s="468"/>
    </row>
    <row r="32" spans="2:17" s="517" customFormat="1">
      <c r="D32" s="493"/>
      <c r="P32" s="468"/>
      <c r="Q32" s="468"/>
    </row>
    <row r="33" spans="2:6" s="517" customFormat="1">
      <c r="B33" s="1" t="s">
        <v>447</v>
      </c>
      <c r="D33" s="493"/>
    </row>
    <row r="34" spans="2:6" s="517" customFormat="1">
      <c r="B34" s="499" t="s">
        <v>465</v>
      </c>
      <c r="D34" s="654">
        <v>658.73</v>
      </c>
      <c r="E34" s="556">
        <f>PRODUCT(D34,12)</f>
        <v>7904.76</v>
      </c>
      <c r="F34" s="556"/>
    </row>
    <row r="35" spans="2:6" s="517" customFormat="1">
      <c r="E35" s="1"/>
      <c r="F35" s="1"/>
    </row>
    <row r="36" spans="2:6" s="517" customFormat="1">
      <c r="B36" s="1" t="s">
        <v>467</v>
      </c>
      <c r="C36" s="499"/>
      <c r="E36" s="812">
        <v>305</v>
      </c>
      <c r="F36" s="812"/>
    </row>
    <row r="37" spans="2:6" s="517" customFormat="1"/>
    <row r="38" spans="2:6" s="517" customFormat="1"/>
    <row r="39" spans="2:6" s="517" customFormat="1"/>
    <row r="41" spans="2:6">
      <c r="B41" s="517"/>
      <c r="C41" s="517"/>
      <c r="D41" s="517"/>
      <c r="E41" s="517"/>
    </row>
    <row r="42" spans="2:6">
      <c r="B42" s="517"/>
      <c r="C42" s="517"/>
      <c r="D42" s="517"/>
      <c r="E42" s="517"/>
    </row>
  </sheetData>
  <sheetProtection algorithmName="SHA-512" hashValue="0JsW2YuqOrSjO1rZq4Ou/s8+iEnC5E8ZaCgVeqv363T5fHAJduSTbRnYdARj+91ol7S4UpkOqL3kRHzOgbXkpA==" saltValue="Bb8uoon007uaFPeGqCKJ6A==" spinCount="100000" sheet="1" objects="1" scenarios="1"/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1015E-5951-4C5A-B16A-610C80D053F9}">
  <sheetPr>
    <pageSetUpPr autoPageBreaks="0"/>
  </sheetPr>
  <dimension ref="B1:BF80"/>
  <sheetViews>
    <sheetView showGridLines="0" zoomScale="80" zoomScaleNormal="80" workbookViewId="0">
      <pane ySplit="17" topLeftCell="A18" activePane="bottomLeft" state="frozen"/>
      <selection pane="bottomLeft" activeCell="N27" sqref="N27:N28"/>
    </sheetView>
  </sheetViews>
  <sheetFormatPr defaultRowHeight="14.5"/>
  <cols>
    <col min="1" max="1" width="1.7265625" customWidth="1"/>
    <col min="2" max="2" width="11.453125" customWidth="1"/>
    <col min="3" max="3" width="14.36328125" style="296" customWidth="1"/>
    <col min="4" max="5" width="13.6328125" style="296" customWidth="1"/>
    <col min="6" max="6" width="13.6328125" customWidth="1"/>
    <col min="7" max="7" width="14.453125" style="380" customWidth="1"/>
    <col min="8" max="8" width="13" customWidth="1"/>
    <col min="9" max="9" width="13.54296875" style="517" customWidth="1"/>
    <col min="10" max="11" width="15.08984375" style="517" customWidth="1"/>
    <col min="12" max="13" width="15.08984375" customWidth="1"/>
    <col min="14" max="14" width="15.81640625" customWidth="1"/>
    <col min="15" max="15" width="15.54296875" style="517" customWidth="1"/>
    <col min="16" max="16" width="15.08984375" style="517" customWidth="1"/>
    <col min="17" max="17" width="15.08984375" customWidth="1"/>
    <col min="18" max="18" width="15.08984375" style="517" customWidth="1"/>
    <col min="19" max="19" width="15.08984375" customWidth="1"/>
    <col min="20" max="20" width="13" customWidth="1"/>
    <col min="21" max="21" width="12.26953125" customWidth="1"/>
    <col min="22" max="22" width="13.26953125" customWidth="1"/>
    <col min="23" max="23" width="11.453125" style="517" customWidth="1"/>
  </cols>
  <sheetData>
    <row r="1" spans="2:58" ht="6" customHeight="1"/>
    <row r="2" spans="2:58" s="3" customFormat="1" ht="17">
      <c r="B2" s="270" t="s">
        <v>495</v>
      </c>
      <c r="G2" s="168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</row>
    <row r="3" spans="2:58" s="3" customFormat="1" ht="5.15" customHeight="1" thickBot="1">
      <c r="B3" s="192"/>
      <c r="G3" s="168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</row>
    <row r="4" spans="2:58" s="3" customFormat="1" ht="9.65" customHeight="1">
      <c r="B4" s="476"/>
      <c r="C4" s="249"/>
      <c r="D4" s="249"/>
      <c r="E4" s="249"/>
      <c r="F4" s="249"/>
      <c r="G4" s="271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</row>
    <row r="5" spans="2:58">
      <c r="B5" s="1" t="s">
        <v>511</v>
      </c>
      <c r="D5" s="1424"/>
      <c r="E5" s="925">
        <f>closing_date</f>
        <v>44775</v>
      </c>
      <c r="I5"/>
      <c r="K5"/>
      <c r="L5" s="517"/>
      <c r="O5"/>
      <c r="P5"/>
    </row>
    <row r="6" spans="2:58" s="517" customFormat="1">
      <c r="C6" s="779"/>
      <c r="D6" s="779"/>
      <c r="G6" s="380"/>
      <c r="K6" s="6" t="s">
        <v>800</v>
      </c>
      <c r="L6" s="6" t="s">
        <v>801</v>
      </c>
      <c r="M6" s="6" t="s">
        <v>799</v>
      </c>
      <c r="N6" s="6" t="s">
        <v>797</v>
      </c>
      <c r="O6"/>
      <c r="P6"/>
      <c r="R6"/>
      <c r="S6"/>
      <c r="T6"/>
      <c r="U6" s="779"/>
      <c r="V6" s="798"/>
      <c r="W6" s="779"/>
      <c r="X6" s="779"/>
      <c r="Y6" s="779"/>
      <c r="Z6" s="779"/>
      <c r="AA6" s="779"/>
      <c r="AB6" s="779"/>
      <c r="AC6" s="779"/>
    </row>
    <row r="7" spans="2:58">
      <c r="B7" s="802" t="s">
        <v>807</v>
      </c>
      <c r="C7" s="803"/>
      <c r="D7" s="803"/>
      <c r="E7" s="330"/>
      <c r="G7" s="808" t="s">
        <v>803</v>
      </c>
      <c r="H7" s="808"/>
      <c r="K7" s="780" t="s">
        <v>483</v>
      </c>
      <c r="L7" s="797" t="s">
        <v>802</v>
      </c>
      <c r="M7" s="781" t="s">
        <v>484</v>
      </c>
      <c r="N7" s="781" t="s">
        <v>493</v>
      </c>
      <c r="O7" s="6" t="s">
        <v>249</v>
      </c>
      <c r="P7" s="6" t="s">
        <v>248</v>
      </c>
      <c r="Q7" s="804" t="s">
        <v>806</v>
      </c>
      <c r="R7" s="805"/>
      <c r="S7" s="805"/>
      <c r="T7" s="805"/>
      <c r="U7" s="779"/>
      <c r="W7" s="779"/>
      <c r="X7" s="779"/>
      <c r="Y7" s="779"/>
      <c r="Z7" s="779"/>
      <c r="AA7" s="779"/>
      <c r="AB7" s="779"/>
      <c r="AC7" s="779"/>
    </row>
    <row r="8" spans="2:58" s="517" customFormat="1" ht="5" customHeight="1">
      <c r="B8" s="1431"/>
      <c r="C8" s="590"/>
      <c r="D8" s="590"/>
      <c r="E8" s="14"/>
      <c r="G8" s="509"/>
      <c r="H8" s="509"/>
      <c r="K8" s="1435"/>
      <c r="L8" s="1436"/>
      <c r="M8" s="1437"/>
      <c r="N8" s="1437"/>
      <c r="O8" s="443"/>
      <c r="P8" s="443"/>
      <c r="Q8" s="1438"/>
      <c r="R8" s="1439"/>
      <c r="S8" s="1439"/>
      <c r="T8" s="1439"/>
      <c r="U8" s="779"/>
      <c r="W8" s="779"/>
      <c r="X8" s="779"/>
      <c r="Y8" s="779"/>
      <c r="Z8" s="779"/>
      <c r="AA8" s="779"/>
      <c r="AB8" s="779"/>
      <c r="AC8" s="779"/>
    </row>
    <row r="9" spans="2:58">
      <c r="B9" s="1588" t="s">
        <v>371</v>
      </c>
      <c r="C9" s="291"/>
      <c r="D9" s="590"/>
      <c r="E9" s="14"/>
      <c r="G9" s="6">
        <f>YEAR(E5)</f>
        <v>2022</v>
      </c>
      <c r="H9" s="6">
        <f>YEAR(P11)*(YEAR(P11)&lt;&gt;YEAR(P9))</f>
        <v>2023</v>
      </c>
      <c r="K9" s="220">
        <v>1</v>
      </c>
      <c r="L9" s="1455">
        <v>12</v>
      </c>
      <c r="M9" s="1432" t="s">
        <v>485</v>
      </c>
      <c r="N9" s="1433">
        <v>40</v>
      </c>
      <c r="O9" s="1430">
        <f>E5</f>
        <v>44775</v>
      </c>
      <c r="P9" s="1430">
        <f>WORKDAY($O9,6-WEEKDAY($O9))+(7*($L9-1))</f>
        <v>44855</v>
      </c>
      <c r="Q9" s="1440" t="s">
        <v>486</v>
      </c>
      <c r="R9" s="14"/>
      <c r="S9" s="14"/>
      <c r="T9" s="14"/>
      <c r="U9" s="779"/>
      <c r="W9" s="779"/>
      <c r="X9" s="779"/>
      <c r="Y9" s="779"/>
      <c r="Z9" s="779"/>
      <c r="AA9" s="779"/>
      <c r="AB9" s="779"/>
      <c r="AC9" s="779"/>
    </row>
    <row r="10" spans="2:58">
      <c r="B10" s="1589" t="s">
        <v>485</v>
      </c>
      <c r="C10" s="291"/>
      <c r="D10" s="590"/>
      <c r="E10" s="809">
        <v>2000</v>
      </c>
      <c r="G10" s="799">
        <f>SUMIF($E$18:$E$55,G$9,$J$18:$J$55)</f>
        <v>34000</v>
      </c>
      <c r="H10" s="1456">
        <f>SUMIF($E$18:$E$55,H$9,$J$18:$J$55)</f>
        <v>3500</v>
      </c>
      <c r="K10" s="168">
        <v>2</v>
      </c>
      <c r="L10" s="1455">
        <v>12</v>
      </c>
      <c r="M10" s="782" t="s">
        <v>492</v>
      </c>
      <c r="N10" s="783">
        <v>20</v>
      </c>
      <c r="O10" s="1430">
        <f>P9+3</f>
        <v>44858</v>
      </c>
      <c r="P10" s="1430">
        <f>WORKDAY($O10,6-WEEKDAY($O10))+(7*($L10-1))</f>
        <v>44939</v>
      </c>
      <c r="Q10" s="1592" t="s">
        <v>911</v>
      </c>
      <c r="S10" s="517"/>
      <c r="T10" s="517"/>
      <c r="U10" s="779"/>
      <c r="W10" s="779"/>
      <c r="X10" s="779"/>
      <c r="Z10" s="779"/>
      <c r="AA10" s="779"/>
      <c r="AB10" s="779"/>
      <c r="AC10" s="779"/>
    </row>
    <row r="11" spans="2:58" s="517" customFormat="1">
      <c r="B11" s="1590" t="s">
        <v>492</v>
      </c>
      <c r="C11" s="541"/>
      <c r="D11" s="296"/>
      <c r="E11" s="653">
        <v>1000</v>
      </c>
      <c r="K11" s="168">
        <v>3</v>
      </c>
      <c r="L11" s="1455">
        <v>6</v>
      </c>
      <c r="M11" s="782" t="s">
        <v>436</v>
      </c>
      <c r="N11" s="783">
        <v>5</v>
      </c>
      <c r="O11" s="1430">
        <f>P10+3</f>
        <v>44942</v>
      </c>
      <c r="P11" s="1430">
        <f>WORKDAY($O11,6-WEEKDAY($O11))+(7*($L11-1))</f>
        <v>44981</v>
      </c>
      <c r="Q11" s="1441" t="s">
        <v>798</v>
      </c>
      <c r="U11"/>
      <c r="W11" s="779"/>
      <c r="X11" s="779"/>
      <c r="Y11" s="779"/>
      <c r="Z11" s="779"/>
      <c r="AA11" s="779"/>
      <c r="AB11" s="779"/>
      <c r="AC11" s="779"/>
    </row>
    <row r="12" spans="2:58" s="14" customFormat="1" ht="4.5" customHeight="1">
      <c r="B12" s="148"/>
      <c r="C12" s="148"/>
      <c r="N12" s="1443"/>
      <c r="O12" s="1443"/>
      <c r="R12" s="1444"/>
      <c r="W12" s="1434"/>
      <c r="X12" s="1434"/>
      <c r="Y12" s="1434"/>
      <c r="Z12" s="1434"/>
      <c r="AA12" s="1434"/>
      <c r="AB12" s="1434"/>
      <c r="AC12" s="1434"/>
    </row>
    <row r="13" spans="2:58" s="517" customFormat="1">
      <c r="B13" s="1591" t="s">
        <v>494</v>
      </c>
      <c r="C13" s="291"/>
      <c r="D13" s="590"/>
      <c r="E13" s="1442">
        <v>50</v>
      </c>
      <c r="R13" s="798"/>
      <c r="W13" s="779"/>
      <c r="X13" s="779"/>
      <c r="Y13" s="779"/>
      <c r="Z13" s="779"/>
      <c r="AA13" s="779"/>
      <c r="AB13" s="779"/>
      <c r="AC13" s="779"/>
    </row>
    <row r="14" spans="2:58" s="517" customFormat="1">
      <c r="B14" s="1445"/>
      <c r="C14" s="590"/>
      <c r="D14" s="590"/>
      <c r="E14" s="1442"/>
      <c r="R14" s="798"/>
      <c r="W14" s="779"/>
      <c r="X14" s="779"/>
      <c r="Y14" s="779"/>
      <c r="Z14" s="779"/>
      <c r="AA14" s="779"/>
      <c r="AB14" s="779"/>
      <c r="AC14" s="779"/>
    </row>
    <row r="15" spans="2:58" s="517" customFormat="1">
      <c r="B15" s="14"/>
      <c r="C15" s="590"/>
      <c r="D15" s="590"/>
      <c r="E15" s="1442"/>
      <c r="R15" s="798"/>
      <c r="W15" s="779"/>
      <c r="X15" s="779"/>
      <c r="Y15" s="779"/>
      <c r="Z15" s="779"/>
      <c r="AA15" s="779"/>
      <c r="AB15" s="779"/>
      <c r="AC15" s="779"/>
    </row>
    <row r="16" spans="2:58" s="517" customFormat="1">
      <c r="F16" s="6" t="s">
        <v>800</v>
      </c>
      <c r="G16" s="6" t="s">
        <v>799</v>
      </c>
      <c r="H16"/>
      <c r="I16" s="6" t="s">
        <v>436</v>
      </c>
      <c r="J16" s="797" t="s">
        <v>26</v>
      </c>
      <c r="T16"/>
      <c r="U16"/>
      <c r="V16"/>
      <c r="W16"/>
      <c r="X16"/>
      <c r="Y16"/>
      <c r="AA16" s="779"/>
      <c r="AB16" s="779"/>
      <c r="AC16" s="779"/>
    </row>
    <row r="17" spans="2:33">
      <c r="B17" s="26" t="s">
        <v>491</v>
      </c>
      <c r="C17" s="26" t="s">
        <v>249</v>
      </c>
      <c r="D17" s="26" t="s">
        <v>248</v>
      </c>
      <c r="E17" s="6" t="s">
        <v>152</v>
      </c>
      <c r="F17" s="6" t="s">
        <v>483</v>
      </c>
      <c r="G17" s="781" t="s">
        <v>484</v>
      </c>
      <c r="H17" s="781" t="s">
        <v>371</v>
      </c>
      <c r="I17" s="797" t="s">
        <v>805</v>
      </c>
      <c r="J17" s="797" t="s">
        <v>804</v>
      </c>
    </row>
    <row r="18" spans="2:33">
      <c r="B18" s="795">
        <v>1</v>
      </c>
      <c r="C18" s="1446">
        <f>$E$5</f>
        <v>44775</v>
      </c>
      <c r="D18" s="1446">
        <f>$C18+(7-WEEKDAY($C18,16))</f>
        <v>44778</v>
      </c>
      <c r="E18" s="806">
        <f>IFERROR((YEAR($D18)),"")</f>
        <v>2022</v>
      </c>
      <c r="F18" s="380" cm="1">
        <f t="array" ref="F18">IFERROR((_xlfn.IFS($D18&lt;=$P$9,$K$9,AND($D18&gt;$P$9,$D18&lt;=$P$10),$K$10,AND($D18&gt;$P$10,$D18&lt;=$P$11),$K$11))," ")</f>
        <v>1</v>
      </c>
      <c r="G18" s="380" t="str">
        <f t="shared" ref="G18:G55" si="0">IFERROR((INDEX($M$9:$M$11,MATCH($F18,$K$9:$K$11,0),MATCH($G$17,$M$7,0)))," ")</f>
        <v>Full-Time</v>
      </c>
      <c r="H18" s="800">
        <f t="shared" ref="H18:H55" si="1">IFERROR((INDEX($E$10:$E$11,MATCH($G18,$B$10:$B$11,0),MATCH($H$17,$B$9,0))),0)</f>
        <v>2000</v>
      </c>
      <c r="I18" s="800">
        <f t="shared" ref="I18:I55" si="2">(G18=$M$11)*$E$13*$N$11</f>
        <v>0</v>
      </c>
      <c r="J18" s="800">
        <f>SUM($H18:$I18)</f>
        <v>2000</v>
      </c>
      <c r="L18" s="517"/>
      <c r="M18" s="1425"/>
      <c r="AE18" s="779"/>
      <c r="AF18" s="779"/>
      <c r="AG18" s="779"/>
    </row>
    <row r="19" spans="2:33">
      <c r="B19" s="296" cm="1">
        <f t="array" ref="B19">_xlfn.IFS($B18=SUM($L$9:$L$11)," ",$B18&lt;SUM($L$9:$L$11),$B18+1,B18=" "," ")</f>
        <v>2</v>
      </c>
      <c r="C19" s="1447">
        <f t="shared" ref="C19:C55" si="3">IF($B19&lt;=SUM($L$9:$L$11),$C18+(7-WEEKDAY($C18,3))," ")</f>
        <v>44781</v>
      </c>
      <c r="D19" s="1447">
        <f>IF($B19&lt;=SUM($L$9:$L$11),$D18+7," ")</f>
        <v>44785</v>
      </c>
      <c r="E19" s="806">
        <f t="shared" ref="E19:E41" si="4">IFERROR((YEAR($D19)),"")</f>
        <v>2022</v>
      </c>
      <c r="F19" s="380" cm="1">
        <f t="array" ref="F19">IFERROR((_xlfn.IFS($D19&lt;=$P$9,$K$9,AND($D19&gt;$P$9,$D19&lt;=$P$10),$K$10,AND($D19&gt;$P$10,$D19&lt;=$P$11),$K$11))," ")</f>
        <v>1</v>
      </c>
      <c r="G19" s="380" t="str">
        <f t="shared" si="0"/>
        <v>Full-Time</v>
      </c>
      <c r="H19" s="800">
        <f t="shared" si="1"/>
        <v>2000</v>
      </c>
      <c r="I19" s="800">
        <f t="shared" si="2"/>
        <v>0</v>
      </c>
      <c r="J19" s="800">
        <f t="shared" ref="J19:J55" si="5">SUM($H19:$I19)</f>
        <v>2000</v>
      </c>
      <c r="L19" s="517"/>
      <c r="Q19" s="380"/>
      <c r="R19" s="380"/>
      <c r="S19" s="380"/>
      <c r="T19" s="380"/>
    </row>
    <row r="20" spans="2:33">
      <c r="B20" s="296" cm="1">
        <f t="array" ref="B20">_xlfn.IFS($B19=SUM($L$9:$L$11)," ",$B19&lt;SUM($L$9:$L$11),$B19+1,B19=" "," ")</f>
        <v>3</v>
      </c>
      <c r="C20" s="1447">
        <f t="shared" si="3"/>
        <v>44788</v>
      </c>
      <c r="D20" s="1447">
        <f t="shared" ref="D20:D55" si="6">IF(B20&lt;=SUM($L$9:$L$11),D19+7," ")</f>
        <v>44792</v>
      </c>
      <c r="E20" s="806">
        <f t="shared" si="4"/>
        <v>2022</v>
      </c>
      <c r="F20" s="380" cm="1">
        <f t="array" ref="F20">IFERROR((_xlfn.IFS($D20&lt;=$P$9,$K$9,AND($D20&gt;$P$9,$D20&lt;=$P$10),$K$10,AND($D20&gt;$P$10,$D20&lt;=$P$11),$K$11))," ")</f>
        <v>1</v>
      </c>
      <c r="G20" s="380" t="str">
        <f t="shared" si="0"/>
        <v>Full-Time</v>
      </c>
      <c r="H20" s="800">
        <f t="shared" si="1"/>
        <v>2000</v>
      </c>
      <c r="I20" s="800">
        <f t="shared" si="2"/>
        <v>0</v>
      </c>
      <c r="J20" s="800">
        <f t="shared" si="5"/>
        <v>2000</v>
      </c>
      <c r="L20" s="517"/>
      <c r="Q20" s="380"/>
      <c r="R20" s="380"/>
      <c r="S20" s="380"/>
      <c r="T20" s="380"/>
    </row>
    <row r="21" spans="2:33">
      <c r="B21" s="296" cm="1">
        <f t="array" ref="B21">_xlfn.IFS($B20=SUM($L$9:$L$11)," ",$B20&lt;SUM($L$9:$L$11),$B20+1,B20=" "," ")</f>
        <v>4</v>
      </c>
      <c r="C21" s="1447">
        <f t="shared" si="3"/>
        <v>44795</v>
      </c>
      <c r="D21" s="1447">
        <f t="shared" si="6"/>
        <v>44799</v>
      </c>
      <c r="E21" s="806">
        <f t="shared" si="4"/>
        <v>2022</v>
      </c>
      <c r="F21" s="380" cm="1">
        <f t="array" ref="F21">IFERROR((_xlfn.IFS($D21&lt;=$P$9,$K$9,AND($D21&gt;$P$9,$D21&lt;=$P$10),$K$10,AND($D21&gt;$P$10,$D21&lt;=$P$11),$K$11))," ")</f>
        <v>1</v>
      </c>
      <c r="G21" s="380" t="str">
        <f t="shared" si="0"/>
        <v>Full-Time</v>
      </c>
      <c r="H21" s="800">
        <f t="shared" si="1"/>
        <v>2000</v>
      </c>
      <c r="I21" s="800">
        <f t="shared" si="2"/>
        <v>0</v>
      </c>
      <c r="J21" s="800">
        <f t="shared" si="5"/>
        <v>2000</v>
      </c>
      <c r="L21" s="517"/>
      <c r="Q21" s="380"/>
      <c r="R21" s="380"/>
      <c r="S21" s="380"/>
      <c r="T21" s="380"/>
    </row>
    <row r="22" spans="2:33">
      <c r="B22" s="296" cm="1">
        <f t="array" ref="B22">_xlfn.IFS($B21=SUM($L$9:$L$11)," ",$B21&lt;SUM($L$9:$L$11),$B21+1,B21=" "," ")</f>
        <v>5</v>
      </c>
      <c r="C22" s="1447">
        <f t="shared" si="3"/>
        <v>44802</v>
      </c>
      <c r="D22" s="1447">
        <f t="shared" si="6"/>
        <v>44806</v>
      </c>
      <c r="E22" s="806">
        <f t="shared" si="4"/>
        <v>2022</v>
      </c>
      <c r="F22" s="380" cm="1">
        <f t="array" ref="F22">IFERROR((_xlfn.IFS($D22&lt;=$P$9,$K$9,AND($D22&gt;$P$9,$D22&lt;=$P$10),$K$10,AND($D22&gt;$P$10,$D22&lt;=$P$11),$K$11))," ")</f>
        <v>1</v>
      </c>
      <c r="G22" s="380" t="str">
        <f t="shared" si="0"/>
        <v>Full-Time</v>
      </c>
      <c r="H22" s="800">
        <f t="shared" si="1"/>
        <v>2000</v>
      </c>
      <c r="I22" s="800">
        <f t="shared" si="2"/>
        <v>0</v>
      </c>
      <c r="J22" s="800">
        <f t="shared" si="5"/>
        <v>2000</v>
      </c>
      <c r="L22" s="517"/>
      <c r="S22" s="380"/>
      <c r="T22" s="380"/>
    </row>
    <row r="23" spans="2:33">
      <c r="B23" s="296" cm="1">
        <f t="array" ref="B23">_xlfn.IFS($B22=SUM($L$9:$L$11)," ",$B22&lt;SUM($L$9:$L$11),$B22+1,B22=" "," ")</f>
        <v>6</v>
      </c>
      <c r="C23" s="1447">
        <f t="shared" si="3"/>
        <v>44809</v>
      </c>
      <c r="D23" s="1447">
        <f t="shared" si="6"/>
        <v>44813</v>
      </c>
      <c r="E23" s="806">
        <f t="shared" si="4"/>
        <v>2022</v>
      </c>
      <c r="F23" s="380" cm="1">
        <f t="array" ref="F23">IFERROR((_xlfn.IFS($D23&lt;=$P$9,$K$9,AND($D23&gt;$P$9,$D23&lt;=$P$10),$K$10,AND($D23&gt;$P$10,$D23&lt;=$P$11),$K$11))," ")</f>
        <v>1</v>
      </c>
      <c r="G23" s="380" t="str">
        <f t="shared" si="0"/>
        <v>Full-Time</v>
      </c>
      <c r="H23" s="800">
        <f t="shared" si="1"/>
        <v>2000</v>
      </c>
      <c r="I23" s="800">
        <f t="shared" si="2"/>
        <v>0</v>
      </c>
      <c r="J23" s="800">
        <f t="shared" si="5"/>
        <v>2000</v>
      </c>
      <c r="L23" s="517"/>
      <c r="O23"/>
    </row>
    <row r="24" spans="2:33">
      <c r="B24" s="296" cm="1">
        <f t="array" ref="B24">_xlfn.IFS($B23=SUM($L$9:$L$11)," ",$B23&lt;SUM($L$9:$L$11),$B23+1,B23=" "," ")</f>
        <v>7</v>
      </c>
      <c r="C24" s="1447">
        <f t="shared" si="3"/>
        <v>44816</v>
      </c>
      <c r="D24" s="1447">
        <f t="shared" si="6"/>
        <v>44820</v>
      </c>
      <c r="E24" s="806">
        <f t="shared" si="4"/>
        <v>2022</v>
      </c>
      <c r="F24" s="380" cm="1">
        <f t="array" ref="F24">IFERROR((_xlfn.IFS($D24&lt;=$P$9,$K$9,AND($D24&gt;$P$9,$D24&lt;=$P$10),$K$10,AND($D24&gt;$P$10,$D24&lt;=$P$11),$K$11))," ")</f>
        <v>1</v>
      </c>
      <c r="G24" s="380" t="str">
        <f t="shared" si="0"/>
        <v>Full-Time</v>
      </c>
      <c r="H24" s="800">
        <f t="shared" si="1"/>
        <v>2000</v>
      </c>
      <c r="I24" s="800">
        <f t="shared" si="2"/>
        <v>0</v>
      </c>
      <c r="J24" s="800">
        <f t="shared" si="5"/>
        <v>2000</v>
      </c>
      <c r="L24" s="517"/>
      <c r="O24"/>
    </row>
    <row r="25" spans="2:33">
      <c r="B25" s="296" cm="1">
        <f t="array" ref="B25">_xlfn.IFS($B24=SUM($L$9:$L$11)," ",$B24&lt;SUM($L$9:$L$11),$B24+1,B24=" "," ")</f>
        <v>8</v>
      </c>
      <c r="C25" s="1447">
        <f t="shared" si="3"/>
        <v>44823</v>
      </c>
      <c r="D25" s="1447">
        <f t="shared" si="6"/>
        <v>44827</v>
      </c>
      <c r="E25" s="806">
        <f t="shared" si="4"/>
        <v>2022</v>
      </c>
      <c r="F25" s="380" cm="1">
        <f t="array" ref="F25">IFERROR((_xlfn.IFS($D25&lt;=$P$9,$K$9,AND($D25&gt;$P$9,$D25&lt;=$P$10),$K$10,AND($D25&gt;$P$10,$D25&lt;=$P$11),$K$11))," ")</f>
        <v>1</v>
      </c>
      <c r="G25" s="380" t="str">
        <f t="shared" si="0"/>
        <v>Full-Time</v>
      </c>
      <c r="H25" s="800">
        <f t="shared" si="1"/>
        <v>2000</v>
      </c>
      <c r="I25" s="800">
        <f t="shared" si="2"/>
        <v>0</v>
      </c>
      <c r="J25" s="800">
        <f t="shared" si="5"/>
        <v>2000</v>
      </c>
      <c r="L25" s="517"/>
      <c r="O25"/>
    </row>
    <row r="26" spans="2:33">
      <c r="B26" s="296" cm="1">
        <f t="array" ref="B26">_xlfn.IFS($B25=SUM($L$9:$L$11)," ",$B25&lt;SUM($L$9:$L$11),$B25+1,B25=" "," ")</f>
        <v>9</v>
      </c>
      <c r="C26" s="1447">
        <f t="shared" si="3"/>
        <v>44830</v>
      </c>
      <c r="D26" s="1447">
        <f t="shared" si="6"/>
        <v>44834</v>
      </c>
      <c r="E26" s="806">
        <f t="shared" si="4"/>
        <v>2022</v>
      </c>
      <c r="F26" s="380" cm="1">
        <f t="array" ref="F26">IFERROR((_xlfn.IFS($D26&lt;=$P$9,$K$9,AND($D26&gt;$P$9,$D26&lt;=$P$10),$K$10,AND($D26&gt;$P$10,$D26&lt;=$P$11),$K$11))," ")</f>
        <v>1</v>
      </c>
      <c r="G26" s="380" t="str">
        <f t="shared" si="0"/>
        <v>Full-Time</v>
      </c>
      <c r="H26" s="800">
        <f t="shared" si="1"/>
        <v>2000</v>
      </c>
      <c r="I26" s="800">
        <f t="shared" si="2"/>
        <v>0</v>
      </c>
      <c r="J26" s="800">
        <f t="shared" si="5"/>
        <v>2000</v>
      </c>
      <c r="L26" s="517"/>
      <c r="O26"/>
    </row>
    <row r="27" spans="2:33">
      <c r="B27" s="296" cm="1">
        <f t="array" ref="B27">_xlfn.IFS($B26=SUM($L$9:$L$11)," ",$B26&lt;SUM($L$9:$L$11),$B26+1,B26=" "," ")</f>
        <v>10</v>
      </c>
      <c r="C27" s="1447">
        <f t="shared" si="3"/>
        <v>44837</v>
      </c>
      <c r="D27" s="1447">
        <f t="shared" si="6"/>
        <v>44841</v>
      </c>
      <c r="E27" s="806">
        <f t="shared" si="4"/>
        <v>2022</v>
      </c>
      <c r="F27" s="380" cm="1">
        <f t="array" ref="F27">IFERROR((_xlfn.IFS($D27&lt;=$P$9,$K$9,AND($D27&gt;$P$9,$D27&lt;=$P$10),$K$10,AND($D27&gt;$P$10,$D27&lt;=$P$11),$K$11))," ")</f>
        <v>1</v>
      </c>
      <c r="G27" s="380" t="str">
        <f t="shared" si="0"/>
        <v>Full-Time</v>
      </c>
      <c r="H27" s="800">
        <f t="shared" si="1"/>
        <v>2000</v>
      </c>
      <c r="I27" s="800">
        <f t="shared" si="2"/>
        <v>0</v>
      </c>
      <c r="J27" s="800">
        <f t="shared" si="5"/>
        <v>2000</v>
      </c>
      <c r="L27" s="517"/>
      <c r="O27"/>
    </row>
    <row r="28" spans="2:33">
      <c r="B28" s="296" cm="1">
        <f t="array" ref="B28">_xlfn.IFS($B27=SUM($L$9:$L$11)," ",$B27&lt;SUM($L$9:$L$11),$B27+1,B27=" "," ")</f>
        <v>11</v>
      </c>
      <c r="C28" s="1447">
        <f t="shared" si="3"/>
        <v>44844</v>
      </c>
      <c r="D28" s="1447">
        <f t="shared" si="6"/>
        <v>44848</v>
      </c>
      <c r="E28" s="806">
        <f t="shared" si="4"/>
        <v>2022</v>
      </c>
      <c r="F28" s="380" cm="1">
        <f t="array" ref="F28">IFERROR((_xlfn.IFS($D28&lt;=$P$9,$K$9,AND($D28&gt;$P$9,$D28&lt;=$P$10),$K$10,AND($D28&gt;$P$10,$D28&lt;=$P$11),$K$11))," ")</f>
        <v>1</v>
      </c>
      <c r="G28" s="380" t="str">
        <f t="shared" si="0"/>
        <v>Full-Time</v>
      </c>
      <c r="H28" s="800">
        <f t="shared" si="1"/>
        <v>2000</v>
      </c>
      <c r="I28" s="800">
        <f t="shared" si="2"/>
        <v>0</v>
      </c>
      <c r="J28" s="800">
        <f t="shared" si="5"/>
        <v>2000</v>
      </c>
      <c r="L28" s="517"/>
      <c r="O28"/>
    </row>
    <row r="29" spans="2:33">
      <c r="B29" s="296" cm="1">
        <f t="array" ref="B29">_xlfn.IFS($B28=SUM($L$9:$L$11)," ",$B28&lt;SUM($L$9:$L$11),$B28+1,B28=" "," ")</f>
        <v>12</v>
      </c>
      <c r="C29" s="1447">
        <f t="shared" si="3"/>
        <v>44851</v>
      </c>
      <c r="D29" s="1447">
        <f t="shared" si="6"/>
        <v>44855</v>
      </c>
      <c r="E29" s="806">
        <f t="shared" si="4"/>
        <v>2022</v>
      </c>
      <c r="F29" s="380" cm="1">
        <f t="array" ref="F29">IFERROR((_xlfn.IFS($D29&lt;=$P$9,$K$9,AND($D29&gt;$P$9,$D29&lt;=$P$10),$K$10,AND($D29&gt;$P$10,$D29&lt;=$P$11),$K$11))," ")</f>
        <v>1</v>
      </c>
      <c r="G29" s="380" t="str">
        <f t="shared" si="0"/>
        <v>Full-Time</v>
      </c>
      <c r="H29" s="800">
        <f t="shared" si="1"/>
        <v>2000</v>
      </c>
      <c r="I29" s="800">
        <f t="shared" si="2"/>
        <v>0</v>
      </c>
      <c r="J29" s="800">
        <f t="shared" si="5"/>
        <v>2000</v>
      </c>
      <c r="L29" s="517"/>
      <c r="O29"/>
    </row>
    <row r="30" spans="2:33">
      <c r="B30" s="296" cm="1">
        <f t="array" ref="B30">_xlfn.IFS($B29=SUM($L$9:$L$11)," ",$B29&lt;SUM($L$9:$L$11),$B29+1,B29=" "," ")</f>
        <v>13</v>
      </c>
      <c r="C30" s="1447">
        <f t="shared" si="3"/>
        <v>44858</v>
      </c>
      <c r="D30" s="1447">
        <f t="shared" si="6"/>
        <v>44862</v>
      </c>
      <c r="E30" s="806">
        <f t="shared" si="4"/>
        <v>2022</v>
      </c>
      <c r="F30" s="380" cm="1">
        <f t="array" ref="F30">IFERROR((_xlfn.IFS($D30&lt;=$P$9,$K$9,AND($D30&gt;$P$9,$D30&lt;=$P$10),$K$10,AND($D30&gt;$P$10,$D30&lt;=$P$11),$K$11))," ")</f>
        <v>2</v>
      </c>
      <c r="G30" s="380" t="str">
        <f t="shared" si="0"/>
        <v>Part-Time</v>
      </c>
      <c r="H30" s="800">
        <f t="shared" si="1"/>
        <v>1000</v>
      </c>
      <c r="I30" s="800">
        <f t="shared" si="2"/>
        <v>0</v>
      </c>
      <c r="J30" s="800">
        <f t="shared" si="5"/>
        <v>1000</v>
      </c>
      <c r="L30" s="517"/>
      <c r="O30"/>
    </row>
    <row r="31" spans="2:33">
      <c r="B31" s="296" cm="1">
        <f t="array" ref="B31">_xlfn.IFS($B30=SUM($L$9:$L$11)," ",$B30&lt;SUM($L$9:$L$11),$B30+1,B30=" "," ")</f>
        <v>14</v>
      </c>
      <c r="C31" s="1447">
        <f t="shared" si="3"/>
        <v>44865</v>
      </c>
      <c r="D31" s="1447">
        <f t="shared" si="6"/>
        <v>44869</v>
      </c>
      <c r="E31" s="806">
        <f t="shared" si="4"/>
        <v>2022</v>
      </c>
      <c r="F31" s="380" cm="1">
        <f t="array" ref="F31">IFERROR((_xlfn.IFS($D31&lt;=$P$9,$K$9,AND($D31&gt;$P$9,$D31&lt;=$P$10),$K$10,AND($D31&gt;$P$10,$D31&lt;=$P$11),$K$11))," ")</f>
        <v>2</v>
      </c>
      <c r="G31" s="380" t="str">
        <f t="shared" si="0"/>
        <v>Part-Time</v>
      </c>
      <c r="H31" s="800">
        <f t="shared" si="1"/>
        <v>1000</v>
      </c>
      <c r="I31" s="800">
        <f t="shared" si="2"/>
        <v>0</v>
      </c>
      <c r="J31" s="800">
        <f t="shared" si="5"/>
        <v>1000</v>
      </c>
      <c r="L31" s="517"/>
      <c r="O31"/>
    </row>
    <row r="32" spans="2:33">
      <c r="B32" s="296" cm="1">
        <f t="array" ref="B32">_xlfn.IFS($B31=SUM($L$9:$L$11)," ",$B31&lt;SUM($L$9:$L$11),$B31+1,B31=" "," ")</f>
        <v>15</v>
      </c>
      <c r="C32" s="1447">
        <f t="shared" si="3"/>
        <v>44872</v>
      </c>
      <c r="D32" s="1447">
        <f t="shared" si="6"/>
        <v>44876</v>
      </c>
      <c r="E32" s="806">
        <f t="shared" si="4"/>
        <v>2022</v>
      </c>
      <c r="F32" s="380" cm="1">
        <f t="array" ref="F32">IFERROR((_xlfn.IFS($D32&lt;=$P$9,$K$9,AND($D32&gt;$P$9,$D32&lt;=$P$10),$K$10,AND($D32&gt;$P$10,$D32&lt;=$P$11),$K$11))," ")</f>
        <v>2</v>
      </c>
      <c r="G32" s="380" t="str">
        <f t="shared" si="0"/>
        <v>Part-Time</v>
      </c>
      <c r="H32" s="800">
        <f t="shared" si="1"/>
        <v>1000</v>
      </c>
      <c r="I32" s="800">
        <f t="shared" si="2"/>
        <v>0</v>
      </c>
      <c r="J32" s="800">
        <f t="shared" si="5"/>
        <v>1000</v>
      </c>
      <c r="L32" s="517"/>
      <c r="O32"/>
    </row>
    <row r="33" spans="2:15">
      <c r="B33" s="296" cm="1">
        <f t="array" ref="B33">_xlfn.IFS($B32=SUM($L$9:$L$11)," ",$B32&lt;SUM($L$9:$L$11),$B32+1,B32=" "," ")</f>
        <v>16</v>
      </c>
      <c r="C33" s="1447">
        <f t="shared" si="3"/>
        <v>44879</v>
      </c>
      <c r="D33" s="1447">
        <f t="shared" si="6"/>
        <v>44883</v>
      </c>
      <c r="E33" s="806">
        <f t="shared" si="4"/>
        <v>2022</v>
      </c>
      <c r="F33" s="380" cm="1">
        <f t="array" ref="F33">IFERROR((_xlfn.IFS($D33&lt;=$P$9,$K$9,AND($D33&gt;$P$9,$D33&lt;=$P$10),$K$10,AND($D33&gt;$P$10,$D33&lt;=$P$11),$K$11))," ")</f>
        <v>2</v>
      </c>
      <c r="G33" s="380" t="str">
        <f t="shared" si="0"/>
        <v>Part-Time</v>
      </c>
      <c r="H33" s="800">
        <f t="shared" si="1"/>
        <v>1000</v>
      </c>
      <c r="I33" s="800">
        <f t="shared" si="2"/>
        <v>0</v>
      </c>
      <c r="J33" s="800">
        <f t="shared" si="5"/>
        <v>1000</v>
      </c>
      <c r="L33" s="517"/>
      <c r="O33"/>
    </row>
    <row r="34" spans="2:15">
      <c r="B34" s="296" cm="1">
        <f t="array" ref="B34">_xlfn.IFS($B33=SUM($L$9:$L$11)," ",$B33&lt;SUM($L$9:$L$11),$B33+1,B33=" "," ")</f>
        <v>17</v>
      </c>
      <c r="C34" s="1447">
        <f t="shared" si="3"/>
        <v>44886</v>
      </c>
      <c r="D34" s="1447">
        <f t="shared" si="6"/>
        <v>44890</v>
      </c>
      <c r="E34" s="806">
        <f t="shared" si="4"/>
        <v>2022</v>
      </c>
      <c r="F34" s="380" cm="1">
        <f t="array" ref="F34">IFERROR((_xlfn.IFS($D34&lt;=$P$9,$K$9,AND($D34&gt;$P$9,$D34&lt;=$P$10),$K$10,AND($D34&gt;$P$10,$D34&lt;=$P$11),$K$11))," ")</f>
        <v>2</v>
      </c>
      <c r="G34" s="380" t="str">
        <f t="shared" si="0"/>
        <v>Part-Time</v>
      </c>
      <c r="H34" s="800">
        <f t="shared" si="1"/>
        <v>1000</v>
      </c>
      <c r="I34" s="800">
        <f t="shared" si="2"/>
        <v>0</v>
      </c>
      <c r="J34" s="800">
        <f t="shared" si="5"/>
        <v>1000</v>
      </c>
      <c r="L34" s="517"/>
      <c r="O34"/>
    </row>
    <row r="35" spans="2:15">
      <c r="B35" s="296" cm="1">
        <f t="array" ref="B35">_xlfn.IFS($B34=SUM($L$9:$L$11)," ",$B34&lt;SUM($L$9:$L$11),$B34+1,B34=" "," ")</f>
        <v>18</v>
      </c>
      <c r="C35" s="1447">
        <f t="shared" si="3"/>
        <v>44893</v>
      </c>
      <c r="D35" s="1447">
        <f t="shared" si="6"/>
        <v>44897</v>
      </c>
      <c r="E35" s="806">
        <f t="shared" si="4"/>
        <v>2022</v>
      </c>
      <c r="F35" s="380" cm="1">
        <f t="array" ref="F35">IFERROR((_xlfn.IFS($D35&lt;=$P$9,$K$9,AND($D35&gt;$P$9,$D35&lt;=$P$10),$K$10,AND($D35&gt;$P$10,$D35&lt;=$P$11),$K$11))," ")</f>
        <v>2</v>
      </c>
      <c r="G35" s="380" t="str">
        <f t="shared" si="0"/>
        <v>Part-Time</v>
      </c>
      <c r="H35" s="800">
        <f t="shared" si="1"/>
        <v>1000</v>
      </c>
      <c r="I35" s="800">
        <f t="shared" si="2"/>
        <v>0</v>
      </c>
      <c r="J35" s="800">
        <f t="shared" si="5"/>
        <v>1000</v>
      </c>
      <c r="L35" s="517"/>
      <c r="O35"/>
    </row>
    <row r="36" spans="2:15">
      <c r="B36" s="296" cm="1">
        <f t="array" ref="B36">_xlfn.IFS($B35=SUM($L$9:$L$11)," ",$B35&lt;SUM($L$9:$L$11),$B35+1,B35=" "," ")</f>
        <v>19</v>
      </c>
      <c r="C36" s="1447">
        <f t="shared" si="3"/>
        <v>44900</v>
      </c>
      <c r="D36" s="1447">
        <f t="shared" si="6"/>
        <v>44904</v>
      </c>
      <c r="E36" s="806">
        <f t="shared" si="4"/>
        <v>2022</v>
      </c>
      <c r="F36" s="380" cm="1">
        <f t="array" ref="F36">IFERROR((_xlfn.IFS($D36&lt;=$P$9,$K$9,AND($D36&gt;$P$9,$D36&lt;=$P$10),$K$10,AND($D36&gt;$P$10,$D36&lt;=$P$11),$K$11))," ")</f>
        <v>2</v>
      </c>
      <c r="G36" s="380" t="str">
        <f t="shared" si="0"/>
        <v>Part-Time</v>
      </c>
      <c r="H36" s="800">
        <f t="shared" si="1"/>
        <v>1000</v>
      </c>
      <c r="I36" s="800">
        <f t="shared" si="2"/>
        <v>0</v>
      </c>
      <c r="J36" s="800">
        <f t="shared" si="5"/>
        <v>1000</v>
      </c>
      <c r="L36" s="517"/>
      <c r="O36"/>
    </row>
    <row r="37" spans="2:15">
      <c r="B37" s="296" cm="1">
        <f t="array" ref="B37">_xlfn.IFS($B36=SUM($L$9:$L$11)," ",$B36&lt;SUM($L$9:$L$11),$B36+1,B36=" "," ")</f>
        <v>20</v>
      </c>
      <c r="C37" s="1447">
        <f t="shared" si="3"/>
        <v>44907</v>
      </c>
      <c r="D37" s="1447">
        <f t="shared" si="6"/>
        <v>44911</v>
      </c>
      <c r="E37" s="806">
        <f t="shared" si="4"/>
        <v>2022</v>
      </c>
      <c r="F37" s="380" cm="1">
        <f t="array" ref="F37">IFERROR((_xlfn.IFS($D37&lt;=$P$9,$K$9,AND($D37&gt;$P$9,$D37&lt;=$P$10),$K$10,AND($D37&gt;$P$10,$D37&lt;=$P$11),$K$11))," ")</f>
        <v>2</v>
      </c>
      <c r="G37" s="380" t="str">
        <f t="shared" si="0"/>
        <v>Part-Time</v>
      </c>
      <c r="H37" s="800">
        <f t="shared" si="1"/>
        <v>1000</v>
      </c>
      <c r="I37" s="800">
        <f t="shared" si="2"/>
        <v>0</v>
      </c>
      <c r="J37" s="800">
        <f t="shared" si="5"/>
        <v>1000</v>
      </c>
      <c r="L37" s="517"/>
      <c r="O37"/>
    </row>
    <row r="38" spans="2:15">
      <c r="B38" s="296" cm="1">
        <f t="array" ref="B38">_xlfn.IFS($B37=SUM($L$9:$L$11)," ",$B37&lt;SUM($L$9:$L$11),$B37+1,B37=" "," ")</f>
        <v>21</v>
      </c>
      <c r="C38" s="1447">
        <f t="shared" si="3"/>
        <v>44914</v>
      </c>
      <c r="D38" s="1447">
        <f t="shared" si="6"/>
        <v>44918</v>
      </c>
      <c r="E38" s="806">
        <f t="shared" si="4"/>
        <v>2022</v>
      </c>
      <c r="F38" s="380" cm="1">
        <f t="array" ref="F38">IFERROR((_xlfn.IFS($D38&lt;=$P$9,$K$9,AND($D38&gt;$P$9,$D38&lt;=$P$10),$K$10,AND($D38&gt;$P$10,$D38&lt;=$P$11),$K$11))," ")</f>
        <v>2</v>
      </c>
      <c r="G38" s="380" t="str">
        <f t="shared" si="0"/>
        <v>Part-Time</v>
      </c>
      <c r="H38" s="800">
        <f t="shared" si="1"/>
        <v>1000</v>
      </c>
      <c r="I38" s="800">
        <f t="shared" si="2"/>
        <v>0</v>
      </c>
      <c r="J38" s="800">
        <f t="shared" si="5"/>
        <v>1000</v>
      </c>
      <c r="L38" s="517"/>
      <c r="O38"/>
    </row>
    <row r="39" spans="2:15">
      <c r="B39" s="296" cm="1">
        <f t="array" ref="B39">_xlfn.IFS($B38=SUM($L$9:$L$11)," ",$B38&lt;SUM($L$9:$L$11),$B38+1,B38=" "," ")</f>
        <v>22</v>
      </c>
      <c r="C39" s="1447">
        <f t="shared" si="3"/>
        <v>44921</v>
      </c>
      <c r="D39" s="1447">
        <f t="shared" si="6"/>
        <v>44925</v>
      </c>
      <c r="E39" s="806">
        <f t="shared" si="4"/>
        <v>2022</v>
      </c>
      <c r="F39" s="380" cm="1">
        <f t="array" ref="F39">IFERROR((_xlfn.IFS($D39&lt;=$P$9,$K$9,AND($D39&gt;$P$9,$D39&lt;=$P$10),$K$10,AND($D39&gt;$P$10,$D39&lt;=$P$11),$K$11))," ")</f>
        <v>2</v>
      </c>
      <c r="G39" s="380" t="str">
        <f t="shared" si="0"/>
        <v>Part-Time</v>
      </c>
      <c r="H39" s="800">
        <f t="shared" si="1"/>
        <v>1000</v>
      </c>
      <c r="I39" s="800">
        <f t="shared" si="2"/>
        <v>0</v>
      </c>
      <c r="J39" s="800">
        <f t="shared" si="5"/>
        <v>1000</v>
      </c>
      <c r="L39" s="517"/>
      <c r="O39"/>
    </row>
    <row r="40" spans="2:15">
      <c r="B40" s="296" cm="1">
        <f t="array" ref="B40">_xlfn.IFS($B39=SUM($L$9:$L$11)," ",$B39&lt;SUM($L$9:$L$11),$B39+1,B39=" "," ")</f>
        <v>23</v>
      </c>
      <c r="C40" s="1447">
        <f t="shared" si="3"/>
        <v>44928</v>
      </c>
      <c r="D40" s="1447">
        <f t="shared" si="6"/>
        <v>44932</v>
      </c>
      <c r="E40" s="806">
        <f t="shared" si="4"/>
        <v>2023</v>
      </c>
      <c r="F40" s="380" cm="1">
        <f t="array" ref="F40">IFERROR((_xlfn.IFS($D40&lt;=$P$9,$K$9,AND($D40&gt;$P$9,$D40&lt;=$P$10),$K$10,AND($D40&gt;$P$10,$D40&lt;=$P$11),$K$11))," ")</f>
        <v>2</v>
      </c>
      <c r="G40" s="380" t="str">
        <f t="shared" si="0"/>
        <v>Part-Time</v>
      </c>
      <c r="H40" s="800">
        <f t="shared" si="1"/>
        <v>1000</v>
      </c>
      <c r="I40" s="800">
        <f t="shared" si="2"/>
        <v>0</v>
      </c>
      <c r="J40" s="800">
        <f t="shared" si="5"/>
        <v>1000</v>
      </c>
      <c r="L40" s="517"/>
      <c r="O40"/>
    </row>
    <row r="41" spans="2:15">
      <c r="B41" s="296" cm="1">
        <f t="array" ref="B41">_xlfn.IFS($B40=SUM($L$9:$L$11)," ",$B40&lt;SUM($L$9:$L$11),$B40+1,B40=" "," ")</f>
        <v>24</v>
      </c>
      <c r="C41" s="1447">
        <f t="shared" si="3"/>
        <v>44935</v>
      </c>
      <c r="D41" s="1447">
        <f t="shared" si="6"/>
        <v>44939</v>
      </c>
      <c r="E41" s="806">
        <f t="shared" si="4"/>
        <v>2023</v>
      </c>
      <c r="F41" s="380" cm="1">
        <f t="array" ref="F41">IFERROR((_xlfn.IFS($D41&lt;=$P$9,$K$9,AND($D41&gt;$P$9,$D41&lt;=$P$10),$K$10,AND($D41&gt;$P$10,$D41&lt;=$P$11),$K$11))," ")</f>
        <v>2</v>
      </c>
      <c r="G41" s="380" t="str">
        <f t="shared" si="0"/>
        <v>Part-Time</v>
      </c>
      <c r="H41" s="800">
        <f t="shared" si="1"/>
        <v>1000</v>
      </c>
      <c r="I41" s="800">
        <f t="shared" si="2"/>
        <v>0</v>
      </c>
      <c r="J41" s="800">
        <f t="shared" si="5"/>
        <v>1000</v>
      </c>
      <c r="L41" s="517"/>
      <c r="O41"/>
    </row>
    <row r="42" spans="2:15">
      <c r="B42" s="296" cm="1">
        <f t="array" ref="B42">_xlfn.IFS($B41=SUM($L$9:$L$11)," ",$B41&lt;SUM($L$9:$L$11),$B41+1,B41=" "," ")</f>
        <v>25</v>
      </c>
      <c r="C42" s="1447">
        <f t="shared" si="3"/>
        <v>44942</v>
      </c>
      <c r="D42" s="1425">
        <f t="shared" si="6"/>
        <v>44946</v>
      </c>
      <c r="E42" s="806">
        <f t="shared" ref="E42:E55" si="7">IFERROR((YEAR(D42)),"")</f>
        <v>2023</v>
      </c>
      <c r="F42" s="380" cm="1">
        <f t="array" ref="F42">IFERROR((_xlfn.IFS($D42&lt;=$P$9,$K$9,AND($D42&gt;$P$9,$D42&lt;=$P$10),$K$10,AND($D42&gt;$P$10,$D42&lt;=$P$11),$K$11))," ")</f>
        <v>3</v>
      </c>
      <c r="G42" s="380" t="str">
        <f t="shared" si="0"/>
        <v>Hourly</v>
      </c>
      <c r="H42" s="800">
        <f t="shared" si="1"/>
        <v>0</v>
      </c>
      <c r="I42" s="800">
        <f t="shared" si="2"/>
        <v>250</v>
      </c>
      <c r="J42" s="800">
        <f t="shared" si="5"/>
        <v>250</v>
      </c>
      <c r="L42" s="517"/>
      <c r="O42"/>
    </row>
    <row r="43" spans="2:15">
      <c r="B43" s="296" cm="1">
        <f t="array" ref="B43">_xlfn.IFS($B42=SUM($L$9:$L$11)," ",$B42&lt;SUM($L$9:$L$11),$B42+1,B42=" "," ")</f>
        <v>26</v>
      </c>
      <c r="C43" s="1425">
        <f t="shared" si="3"/>
        <v>44949</v>
      </c>
      <c r="D43" s="1425">
        <f t="shared" si="6"/>
        <v>44953</v>
      </c>
      <c r="E43" s="806">
        <f t="shared" si="7"/>
        <v>2023</v>
      </c>
      <c r="F43" s="380" cm="1">
        <f t="array" ref="F43">IFERROR((_xlfn.IFS($D43&lt;=$P$9,$K$9,AND($D43&gt;$P$9,$D43&lt;=$P$10),$K$10,AND($D43&gt;$P$10,$D43&lt;=$P$11),$K$11))," ")</f>
        <v>3</v>
      </c>
      <c r="G43" s="380" t="str">
        <f t="shared" si="0"/>
        <v>Hourly</v>
      </c>
      <c r="H43" s="800">
        <f t="shared" si="1"/>
        <v>0</v>
      </c>
      <c r="I43" s="800">
        <f t="shared" si="2"/>
        <v>250</v>
      </c>
      <c r="J43" s="800">
        <f t="shared" si="5"/>
        <v>250</v>
      </c>
      <c r="L43" s="517"/>
      <c r="O43"/>
    </row>
    <row r="44" spans="2:15">
      <c r="B44" s="296" cm="1">
        <f t="array" ref="B44">_xlfn.IFS($B43=SUM($L$9:$L$11)," ",$B43&lt;SUM($L$9:$L$11),$B43+1,B43=" "," ")</f>
        <v>27</v>
      </c>
      <c r="C44" s="1425">
        <f t="shared" si="3"/>
        <v>44956</v>
      </c>
      <c r="D44" s="1425">
        <f t="shared" si="6"/>
        <v>44960</v>
      </c>
      <c r="E44" s="806">
        <f t="shared" si="7"/>
        <v>2023</v>
      </c>
      <c r="F44" s="380" cm="1">
        <f t="array" ref="F44">IFERROR((_xlfn.IFS($D44&lt;=$P$9,$K$9,AND($D44&gt;$P$9,$D44&lt;=$P$10),$K$10,AND($D44&gt;$P$10,$D44&lt;=$P$11),$K$11))," ")</f>
        <v>3</v>
      </c>
      <c r="G44" s="380" t="str">
        <f t="shared" si="0"/>
        <v>Hourly</v>
      </c>
      <c r="H44" s="800">
        <f t="shared" si="1"/>
        <v>0</v>
      </c>
      <c r="I44" s="800">
        <f t="shared" si="2"/>
        <v>250</v>
      </c>
      <c r="J44" s="800">
        <f t="shared" si="5"/>
        <v>250</v>
      </c>
      <c r="L44" s="517"/>
      <c r="O44"/>
    </row>
    <row r="45" spans="2:15">
      <c r="B45" s="296" cm="1">
        <f t="array" ref="B45">_xlfn.IFS($B44=SUM($L$9:$L$11)," ",$B44&lt;SUM($L$9:$L$11),$B44+1,B44=" "," ")</f>
        <v>28</v>
      </c>
      <c r="C45" s="1425">
        <f t="shared" si="3"/>
        <v>44963</v>
      </c>
      <c r="D45" s="1425">
        <f t="shared" si="6"/>
        <v>44967</v>
      </c>
      <c r="E45" s="806">
        <f t="shared" si="7"/>
        <v>2023</v>
      </c>
      <c r="F45" s="380" cm="1">
        <f t="array" ref="F45">IFERROR((_xlfn.IFS($D45&lt;=$P$9,$K$9,AND($D45&gt;$P$9,$D45&lt;=$P$10),$K$10,AND($D45&gt;$P$10,$D45&lt;=$P$11),$K$11))," ")</f>
        <v>3</v>
      </c>
      <c r="G45" s="380" t="str">
        <f t="shared" si="0"/>
        <v>Hourly</v>
      </c>
      <c r="H45" s="800">
        <f t="shared" si="1"/>
        <v>0</v>
      </c>
      <c r="I45" s="800">
        <f t="shared" si="2"/>
        <v>250</v>
      </c>
      <c r="J45" s="800">
        <f t="shared" si="5"/>
        <v>250</v>
      </c>
      <c r="L45" s="517"/>
      <c r="O45"/>
    </row>
    <row r="46" spans="2:15">
      <c r="B46" s="296" cm="1">
        <f t="array" ref="B46">_xlfn.IFS($B45=SUM($L$9:$L$11)," ",$B45&lt;SUM($L$9:$L$11),$B45+1,B45=" "," ")</f>
        <v>29</v>
      </c>
      <c r="C46" s="1425">
        <f t="shared" si="3"/>
        <v>44970</v>
      </c>
      <c r="D46" s="1425">
        <f t="shared" si="6"/>
        <v>44974</v>
      </c>
      <c r="E46" s="806">
        <f t="shared" si="7"/>
        <v>2023</v>
      </c>
      <c r="F46" s="380" cm="1">
        <f t="array" ref="F46">IFERROR((_xlfn.IFS($D46&lt;=$P$9,$K$9,AND($D46&gt;$P$9,$D46&lt;=$P$10),$K$10,AND($D46&gt;$P$10,$D46&lt;=$P$11),$K$11))," ")</f>
        <v>3</v>
      </c>
      <c r="G46" s="380" t="str">
        <f t="shared" si="0"/>
        <v>Hourly</v>
      </c>
      <c r="H46" s="800">
        <f t="shared" si="1"/>
        <v>0</v>
      </c>
      <c r="I46" s="800">
        <f t="shared" si="2"/>
        <v>250</v>
      </c>
      <c r="J46" s="800">
        <f t="shared" si="5"/>
        <v>250</v>
      </c>
      <c r="L46" s="517"/>
      <c r="O46"/>
    </row>
    <row r="47" spans="2:15">
      <c r="B47" s="296" cm="1">
        <f t="array" ref="B47">_xlfn.IFS($B46=SUM($L$9:$L$11)," ",$B46&lt;SUM($L$9:$L$11),$B46+1,B46=" "," ")</f>
        <v>30</v>
      </c>
      <c r="C47" s="1425">
        <f t="shared" si="3"/>
        <v>44977</v>
      </c>
      <c r="D47" s="1425">
        <f t="shared" si="6"/>
        <v>44981</v>
      </c>
      <c r="E47" s="806">
        <f t="shared" si="7"/>
        <v>2023</v>
      </c>
      <c r="F47" s="380" cm="1">
        <f t="array" ref="F47">IFERROR((_xlfn.IFS($D47&lt;=$P$9,$K$9,AND($D47&gt;$P$9,$D47&lt;=$P$10),$K$10,AND($D47&gt;$P$10,$D47&lt;=$P$11),$K$11))," ")</f>
        <v>3</v>
      </c>
      <c r="G47" s="380" t="str">
        <f t="shared" si="0"/>
        <v>Hourly</v>
      </c>
      <c r="H47" s="800">
        <f t="shared" si="1"/>
        <v>0</v>
      </c>
      <c r="I47" s="800">
        <f t="shared" si="2"/>
        <v>250</v>
      </c>
      <c r="J47" s="800">
        <f t="shared" si="5"/>
        <v>250</v>
      </c>
      <c r="L47" s="517"/>
      <c r="O47"/>
    </row>
    <row r="48" spans="2:15">
      <c r="B48" s="296" t="str" cm="1">
        <f t="array" ref="B48">_xlfn.IFS($B47=SUM($L$9:$L$11)," ",$B47&lt;SUM($L$9:$L$11),$B47+1,B47=" "," ")</f>
        <v xml:space="preserve"> </v>
      </c>
      <c r="C48" s="1425" t="str">
        <f t="shared" si="3"/>
        <v xml:space="preserve"> </v>
      </c>
      <c r="D48" s="1425" t="str">
        <f t="shared" si="6"/>
        <v xml:space="preserve"> </v>
      </c>
      <c r="E48" s="806" t="str">
        <f t="shared" si="7"/>
        <v/>
      </c>
      <c r="F48" s="380" t="str" cm="1">
        <f t="array" ref="F48">IFERROR((_xlfn.IFS($D48&lt;=$P$9,$K$9,AND($D48&gt;$P$9,$D48&lt;=$P$10),$K$10,AND($D48&gt;$P$10,$D48&lt;=$P$11),$K$11))," ")</f>
        <v xml:space="preserve"> </v>
      </c>
      <c r="G48" s="380" t="str">
        <f t="shared" si="0"/>
        <v xml:space="preserve"> </v>
      </c>
      <c r="H48" s="800">
        <f t="shared" si="1"/>
        <v>0</v>
      </c>
      <c r="I48" s="800">
        <f t="shared" si="2"/>
        <v>0</v>
      </c>
      <c r="J48" s="800">
        <f t="shared" si="5"/>
        <v>0</v>
      </c>
      <c r="O48"/>
    </row>
    <row r="49" spans="2:10">
      <c r="B49" s="296" t="str" cm="1">
        <f t="array" ref="B49">_xlfn.IFS($B48=SUM($L$9:$L$11)," ",$B48&lt;SUM($L$9:$L$11),$B48+1,B48=" "," ")</f>
        <v xml:space="preserve"> </v>
      </c>
      <c r="C49" s="1425" t="str">
        <f t="shared" si="3"/>
        <v xml:space="preserve"> </v>
      </c>
      <c r="D49" s="1425" t="str">
        <f t="shared" si="6"/>
        <v xml:space="preserve"> </v>
      </c>
      <c r="E49" s="806" t="str">
        <f t="shared" si="7"/>
        <v/>
      </c>
      <c r="F49" s="380" t="str" cm="1">
        <f t="array" ref="F49">IFERROR((_xlfn.IFS($D49&lt;=$P$9,$K$9,AND($D49&gt;$P$9,$D49&lt;=$P$10),$K$10,AND($D49&gt;$P$10,$D49&lt;=$P$11),$K$11))," ")</f>
        <v xml:space="preserve"> </v>
      </c>
      <c r="G49" s="380" t="str">
        <f t="shared" si="0"/>
        <v xml:space="preserve"> </v>
      </c>
      <c r="H49" s="800">
        <f t="shared" si="1"/>
        <v>0</v>
      </c>
      <c r="I49" s="800">
        <f t="shared" si="2"/>
        <v>0</v>
      </c>
      <c r="J49" s="800">
        <f t="shared" si="5"/>
        <v>0</v>
      </c>
    </row>
    <row r="50" spans="2:10">
      <c r="B50" s="296" t="str" cm="1">
        <f t="array" ref="B50">_xlfn.IFS($B49=SUM($L$9:$L$11)," ",$B49&lt;SUM($L$9:$L$11),$B49+1,B49=" "," ")</f>
        <v xml:space="preserve"> </v>
      </c>
      <c r="C50" s="1425" t="str">
        <f t="shared" si="3"/>
        <v xml:space="preserve"> </v>
      </c>
      <c r="D50" s="1425" t="str">
        <f t="shared" si="6"/>
        <v xml:space="preserve"> </v>
      </c>
      <c r="E50" s="806" t="str">
        <f t="shared" si="7"/>
        <v/>
      </c>
      <c r="F50" s="380" t="str" cm="1">
        <f t="array" ref="F50">IFERROR((_xlfn.IFS($D50&lt;=$P$9,$K$9,AND($D50&gt;$P$9,$D50&lt;=$P$10),$K$10,AND($D50&gt;$P$10,$D50&lt;=$P$11),$K$11))," ")</f>
        <v xml:space="preserve"> </v>
      </c>
      <c r="G50" s="380" t="str">
        <f t="shared" si="0"/>
        <v xml:space="preserve"> </v>
      </c>
      <c r="H50" s="800">
        <f t="shared" si="1"/>
        <v>0</v>
      </c>
      <c r="I50" s="800">
        <f t="shared" si="2"/>
        <v>0</v>
      </c>
      <c r="J50" s="800">
        <f t="shared" si="5"/>
        <v>0</v>
      </c>
    </row>
    <row r="51" spans="2:10">
      <c r="B51" s="296" t="str" cm="1">
        <f t="array" ref="B51">_xlfn.IFS($B50=SUM($L$9:$L$11)," ",$B50&lt;SUM($L$9:$L$11),$B50+1,B50=" "," ")</f>
        <v xml:space="preserve"> </v>
      </c>
      <c r="C51" s="1425" t="str">
        <f t="shared" si="3"/>
        <v xml:space="preserve"> </v>
      </c>
      <c r="D51" s="1425" t="str">
        <f t="shared" si="6"/>
        <v xml:space="preserve"> </v>
      </c>
      <c r="E51" s="806" t="str">
        <f t="shared" si="7"/>
        <v/>
      </c>
      <c r="F51" s="380" t="str" cm="1">
        <f t="array" ref="F51">IFERROR((_xlfn.IFS($D51&lt;=$P$9,$K$9,AND($D51&gt;$P$9,$D51&lt;=$P$10),$K$10,AND($D51&gt;$P$10,$D51&lt;=$P$11),$K$11))," ")</f>
        <v xml:space="preserve"> </v>
      </c>
      <c r="G51" s="380" t="str">
        <f t="shared" si="0"/>
        <v xml:space="preserve"> </v>
      </c>
      <c r="H51" s="800">
        <f t="shared" si="1"/>
        <v>0</v>
      </c>
      <c r="I51" s="800">
        <f t="shared" si="2"/>
        <v>0</v>
      </c>
      <c r="J51" s="800">
        <f t="shared" si="5"/>
        <v>0</v>
      </c>
    </row>
    <row r="52" spans="2:10">
      <c r="B52" s="296" t="str" cm="1">
        <f t="array" ref="B52">_xlfn.IFS($B51=SUM($L$9:$L$11)," ",$B51&lt;SUM($L$9:$L$11),$B51+1,B51=" "," ")</f>
        <v xml:space="preserve"> </v>
      </c>
      <c r="C52" s="1425" t="str">
        <f t="shared" si="3"/>
        <v xml:space="preserve"> </v>
      </c>
      <c r="D52" s="1425" t="str">
        <f t="shared" si="6"/>
        <v xml:space="preserve"> </v>
      </c>
      <c r="E52" s="806" t="str">
        <f t="shared" si="7"/>
        <v/>
      </c>
      <c r="F52" s="380" t="str" cm="1">
        <f t="array" ref="F52">IFERROR((_xlfn.IFS($D52&lt;=$P$9,$K$9,AND($D52&gt;$P$9,$D52&lt;=$P$10),$K$10,AND($D52&gt;$P$10,$D52&lt;=$P$11),$K$11))," ")</f>
        <v xml:space="preserve"> </v>
      </c>
      <c r="G52" s="380" t="str">
        <f t="shared" si="0"/>
        <v xml:space="preserve"> </v>
      </c>
      <c r="H52" s="800">
        <f t="shared" si="1"/>
        <v>0</v>
      </c>
      <c r="I52" s="800">
        <f t="shared" si="2"/>
        <v>0</v>
      </c>
      <c r="J52" s="800">
        <f t="shared" si="5"/>
        <v>0</v>
      </c>
    </row>
    <row r="53" spans="2:10">
      <c r="B53" s="296" t="str" cm="1">
        <f t="array" ref="B53">_xlfn.IFS($B52=SUM($L$9:$L$11)," ",$B52&lt;SUM($L$9:$L$11),$B52+1,B52=" "," ")</f>
        <v xml:space="preserve"> </v>
      </c>
      <c r="C53" s="1425" t="str">
        <f t="shared" si="3"/>
        <v xml:space="preserve"> </v>
      </c>
      <c r="D53" s="1425" t="str">
        <f t="shared" si="6"/>
        <v xml:space="preserve"> </v>
      </c>
      <c r="E53" s="806" t="str">
        <f t="shared" si="7"/>
        <v/>
      </c>
      <c r="F53" s="380" t="str" cm="1">
        <f t="array" ref="F53">IFERROR((_xlfn.IFS($D53&lt;=$P$9,$K$9,AND($D53&gt;$P$9,$D53&lt;=$P$10),$K$10,AND($D53&gt;$P$10,$D53&lt;=$P$11),$K$11))," ")</f>
        <v xml:space="preserve"> </v>
      </c>
      <c r="G53" s="380" t="str">
        <f t="shared" si="0"/>
        <v xml:space="preserve"> </v>
      </c>
      <c r="H53" s="800">
        <f t="shared" si="1"/>
        <v>0</v>
      </c>
      <c r="I53" s="800">
        <f t="shared" si="2"/>
        <v>0</v>
      </c>
      <c r="J53" s="800">
        <f t="shared" si="5"/>
        <v>0</v>
      </c>
    </row>
    <row r="54" spans="2:10">
      <c r="B54" s="296" t="str" cm="1">
        <f t="array" ref="B54">_xlfn.IFS($B53=SUM($L$9:$L$11)," ",$B53&lt;SUM($L$9:$L$11),$B53+1,B53=" "," ")</f>
        <v xml:space="preserve"> </v>
      </c>
      <c r="C54" s="1425" t="str">
        <f t="shared" si="3"/>
        <v xml:space="preserve"> </v>
      </c>
      <c r="D54" s="1425" t="str">
        <f t="shared" si="6"/>
        <v xml:space="preserve"> </v>
      </c>
      <c r="E54" s="806" t="str">
        <f t="shared" si="7"/>
        <v/>
      </c>
      <c r="F54" s="380" t="str" cm="1">
        <f t="array" ref="F54">IFERROR((_xlfn.IFS($D54&lt;=$P$9,$K$9,AND($D54&gt;$P$9,$D54&lt;=$P$10),$K$10,AND($D54&gt;$P$10,$D54&lt;=$P$11),$K$11))," ")</f>
        <v xml:space="preserve"> </v>
      </c>
      <c r="G54" s="380" t="str">
        <f t="shared" si="0"/>
        <v xml:space="preserve"> </v>
      </c>
      <c r="H54" s="800">
        <f t="shared" si="1"/>
        <v>0</v>
      </c>
      <c r="I54" s="800">
        <f t="shared" si="2"/>
        <v>0</v>
      </c>
      <c r="J54" s="800">
        <f t="shared" si="5"/>
        <v>0</v>
      </c>
    </row>
    <row r="55" spans="2:10">
      <c r="B55" s="803" t="str" cm="1">
        <f t="array" ref="B55">_xlfn.IFS($B54=SUM($L$9:$L$11)," ",$B54&lt;SUM($L$9:$L$11),$B54+1,B54=" "," ")</f>
        <v xml:space="preserve"> </v>
      </c>
      <c r="C55" s="1426" t="str">
        <f t="shared" si="3"/>
        <v xml:space="preserve"> </v>
      </c>
      <c r="D55" s="1426" t="str">
        <f t="shared" si="6"/>
        <v xml:space="preserve"> </v>
      </c>
      <c r="E55" s="1427" t="str">
        <f t="shared" si="7"/>
        <v/>
      </c>
      <c r="F55" s="1428" t="str" cm="1">
        <f t="array" ref="F55">IFERROR((_xlfn.IFS($D55&lt;=$P$9,$K$9,AND($D55&gt;$P$9,$D55&lt;=$P$10),$K$10,AND($D55&gt;$P$10,$D55&lt;=$P$11),$K$11))," ")</f>
        <v xml:space="preserve"> </v>
      </c>
      <c r="G55" s="1428" t="str">
        <f t="shared" si="0"/>
        <v xml:space="preserve"> </v>
      </c>
      <c r="H55" s="1429">
        <f t="shared" si="1"/>
        <v>0</v>
      </c>
      <c r="I55" s="1429">
        <f t="shared" si="2"/>
        <v>0</v>
      </c>
      <c r="J55" s="1429">
        <f t="shared" si="5"/>
        <v>0</v>
      </c>
    </row>
    <row r="56" spans="2:10">
      <c r="B56" s="296"/>
      <c r="C56" s="796"/>
      <c r="D56" s="796"/>
      <c r="E56" s="796"/>
      <c r="F56" s="380"/>
      <c r="H56" s="801"/>
      <c r="I56" s="801"/>
      <c r="J56" s="807">
        <f>SUM($J$18:$J$54)</f>
        <v>37500</v>
      </c>
    </row>
    <row r="57" spans="2:10">
      <c r="B57" s="296"/>
      <c r="C57" s="796"/>
      <c r="D57" s="796"/>
      <c r="E57" s="796"/>
      <c r="F57" s="380"/>
      <c r="H57" s="801"/>
      <c r="I57" s="801"/>
      <c r="J57" s="801"/>
    </row>
    <row r="58" spans="2:10">
      <c r="B58" s="296"/>
      <c r="C58" s="796"/>
      <c r="D58" s="796"/>
      <c r="E58" s="796"/>
      <c r="F58" s="380"/>
    </row>
    <row r="59" spans="2:10">
      <c r="B59" s="296"/>
      <c r="C59" s="796"/>
      <c r="D59" s="796"/>
      <c r="E59" s="796"/>
      <c r="F59" s="380"/>
    </row>
    <row r="60" spans="2:10">
      <c r="B60" s="296"/>
      <c r="C60" s="796"/>
      <c r="D60" s="796"/>
      <c r="E60" s="796"/>
      <c r="F60" s="380"/>
    </row>
    <row r="61" spans="2:10">
      <c r="B61" s="296"/>
      <c r="C61" s="796"/>
      <c r="D61" s="796"/>
      <c r="E61" s="796"/>
      <c r="F61" s="380"/>
    </row>
    <row r="62" spans="2:10">
      <c r="B62" s="296"/>
      <c r="C62" s="796"/>
      <c r="D62" s="796"/>
      <c r="E62" s="796"/>
      <c r="F62" s="380"/>
    </row>
    <row r="63" spans="2:10">
      <c r="B63" s="296"/>
      <c r="C63" s="796"/>
      <c r="D63" s="796"/>
      <c r="E63" s="796"/>
      <c r="F63" s="380"/>
    </row>
    <row r="64" spans="2:10">
      <c r="B64" s="296"/>
      <c r="C64" s="796"/>
      <c r="D64" s="796"/>
      <c r="E64" s="796"/>
      <c r="F64" s="380"/>
    </row>
    <row r="65" spans="2:6">
      <c r="B65" s="296"/>
      <c r="C65" s="796"/>
      <c r="D65" s="796"/>
      <c r="E65" s="796"/>
      <c r="F65" s="380"/>
    </row>
    <row r="66" spans="2:6">
      <c r="B66" s="296"/>
      <c r="C66" s="796"/>
      <c r="D66" s="796"/>
      <c r="E66" s="796"/>
      <c r="F66" s="380"/>
    </row>
    <row r="67" spans="2:6">
      <c r="B67" s="296"/>
      <c r="C67" s="796"/>
      <c r="D67" s="796"/>
      <c r="E67" s="796"/>
      <c r="F67" s="380"/>
    </row>
    <row r="68" spans="2:6">
      <c r="B68" s="296"/>
      <c r="C68" s="796"/>
      <c r="D68" s="796"/>
      <c r="E68" s="796"/>
      <c r="F68" s="380"/>
    </row>
    <row r="69" spans="2:6">
      <c r="B69" s="296"/>
      <c r="C69" s="796"/>
      <c r="D69" s="796"/>
      <c r="E69" s="796"/>
    </row>
    <row r="70" spans="2:6">
      <c r="B70" s="296"/>
      <c r="C70" s="796"/>
      <c r="D70" s="796"/>
      <c r="E70" s="796"/>
    </row>
    <row r="71" spans="2:6">
      <c r="B71" s="296"/>
      <c r="C71" s="796"/>
      <c r="D71" s="796"/>
      <c r="E71" s="796"/>
    </row>
    <row r="72" spans="2:6">
      <c r="B72" s="296"/>
      <c r="C72" s="796"/>
      <c r="D72" s="796"/>
      <c r="E72" s="796"/>
    </row>
    <row r="73" spans="2:6">
      <c r="B73" s="296"/>
      <c r="C73" s="796"/>
      <c r="D73" s="796"/>
      <c r="E73" s="796"/>
    </row>
    <row r="74" spans="2:6">
      <c r="B74" s="296"/>
      <c r="C74" s="796"/>
      <c r="D74" s="796"/>
      <c r="E74" s="796"/>
    </row>
    <row r="75" spans="2:6">
      <c r="B75" s="296"/>
      <c r="C75" s="796"/>
      <c r="D75" s="796"/>
      <c r="E75" s="796"/>
    </row>
    <row r="76" spans="2:6">
      <c r="B76" s="296"/>
      <c r="C76" s="796"/>
      <c r="D76" s="796"/>
      <c r="E76" s="796"/>
    </row>
    <row r="77" spans="2:6">
      <c r="B77" s="296"/>
      <c r="C77" s="796"/>
      <c r="D77" s="796"/>
      <c r="E77" s="796"/>
    </row>
    <row r="78" spans="2:6">
      <c r="B78" s="296"/>
      <c r="C78" s="796"/>
      <c r="D78" s="796"/>
      <c r="E78" s="796"/>
    </row>
    <row r="79" spans="2:6">
      <c r="B79" s="296"/>
      <c r="C79" s="796"/>
      <c r="D79" s="796"/>
      <c r="E79" s="796"/>
    </row>
    <row r="80" spans="2:6">
      <c r="B80" s="296"/>
      <c r="C80" s="796"/>
      <c r="D80" s="796"/>
      <c r="E80" s="796"/>
    </row>
  </sheetData>
  <sheetProtection algorithmName="SHA-512" hashValue="TitNwtbooXRpCtAg3IGuDbITP/QGY6gWu/LXvqEIV3I4vOuaAOqpQxXlQRIGsqpLO49yfmTdzJuM09uqRFYy/Q==" saltValue="HBlngTsaWhawLvwBit42WA==" spinCount="100000" sheet="1" objects="1" scenarios="1"/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15203-6F10-4F9E-903C-C42666C1F73F}">
  <dimension ref="B1:BE4"/>
  <sheetViews>
    <sheetView showGridLines="0" zoomScale="80" zoomScaleNormal="80" workbookViewId="0">
      <selection activeCell="AC14" sqref="AC14"/>
    </sheetView>
  </sheetViews>
  <sheetFormatPr defaultRowHeight="14.5"/>
  <cols>
    <col min="1" max="1" width="1.453125" customWidth="1"/>
  </cols>
  <sheetData>
    <row r="1" spans="2:57" ht="8.5" customHeight="1"/>
    <row r="2" spans="2:57" s="3" customFormat="1" ht="17">
      <c r="B2" s="270" t="s">
        <v>775</v>
      </c>
      <c r="F2" s="168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</row>
    <row r="3" spans="2:57" s="3" customFormat="1" ht="5.15" customHeight="1" thickBot="1">
      <c r="B3" s="192"/>
      <c r="F3" s="168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</row>
    <row r="4" spans="2:57" s="3" customFormat="1" ht="4" customHeight="1">
      <c r="B4" s="476"/>
      <c r="C4" s="249"/>
      <c r="D4" s="249"/>
      <c r="E4" s="249"/>
      <c r="F4" s="271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</row>
  </sheetData>
  <sheetProtection algorithmName="SHA-512" hashValue="4irGBArVLVERKUCJG8xU5cKrcC79tdpe+pLyMOI7TCLOR3oeWn+UDJeHtOlVLiGSWTdwUIT3NkeA4YCcCR80Kw==" saltValue="5koisPIe4ikAuel3L3ZEWQ==" spinCount="100000" sheet="1" objects="1" scenarios="1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301A5-2870-4CD8-800A-CAB9CD0C3F88}">
  <sheetPr>
    <outlinePr summaryBelow="0"/>
  </sheetPr>
  <dimension ref="A1:AR48"/>
  <sheetViews>
    <sheetView showGridLines="0" zoomScale="80" zoomScaleNormal="8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S36" sqref="S36"/>
    </sheetView>
  </sheetViews>
  <sheetFormatPr defaultRowHeight="14.5" outlineLevelRow="1"/>
  <cols>
    <col min="1" max="1" width="1.81640625" customWidth="1"/>
    <col min="2" max="2" width="22.81640625" style="1346" customWidth="1"/>
    <col min="3" max="3" width="6.36328125" style="1346" customWidth="1"/>
    <col min="4" max="4" width="4.08984375" style="1346" customWidth="1"/>
    <col min="5" max="8" width="10.08984375" style="1346" customWidth="1"/>
    <col min="9" max="9" width="4.08984375" customWidth="1"/>
    <col min="10" max="12" width="10.08984375" style="1346" customWidth="1"/>
    <col min="13" max="13" width="4.08984375" customWidth="1"/>
    <col min="14" max="17" width="10.08984375" style="1346" customWidth="1"/>
    <col min="18" max="18" width="4.08984375" customWidth="1"/>
    <col min="19" max="22" width="10.08984375" style="1346" customWidth="1"/>
    <col min="23" max="23" width="4.08984375" customWidth="1"/>
    <col min="24" max="27" width="8.1796875" style="1346" customWidth="1"/>
    <col min="28" max="28" width="4.08984375" customWidth="1"/>
    <col min="29" max="32" width="8.1796875" style="1346" customWidth="1"/>
    <col min="33" max="33" width="4.08984375" customWidth="1"/>
    <col min="34" max="36" width="8.1796875" style="1346" customWidth="1"/>
    <col min="37" max="37" width="4.08984375" customWidth="1"/>
    <col min="38" max="38" width="8.6328125" style="1346" customWidth="1"/>
    <col min="39" max="40" width="8.7265625" style="1346"/>
    <col min="41" max="41" width="4.08984375" customWidth="1"/>
    <col min="42" max="44" width="8.7265625" style="1346"/>
  </cols>
  <sheetData>
    <row r="1" spans="1:44" ht="7" customHeight="1"/>
    <row r="2" spans="1:44" s="14" customFormat="1" ht="17">
      <c r="A2"/>
      <c r="B2" s="1374" t="s">
        <v>759</v>
      </c>
      <c r="C2" s="150"/>
      <c r="D2" s="150"/>
      <c r="E2" s="150"/>
      <c r="F2" s="150"/>
      <c r="G2" s="220"/>
      <c r="H2" s="150"/>
      <c r="J2" s="150"/>
      <c r="K2" s="150"/>
      <c r="L2" s="150"/>
      <c r="N2" s="150"/>
      <c r="O2" s="150"/>
      <c r="P2" s="150"/>
      <c r="Q2" s="150"/>
      <c r="S2" s="150"/>
      <c r="T2" s="150"/>
      <c r="U2" s="150"/>
      <c r="V2" s="150"/>
      <c r="X2" s="150"/>
      <c r="Y2" s="150"/>
      <c r="Z2" s="150"/>
      <c r="AA2" s="150"/>
      <c r="AC2" s="150"/>
      <c r="AD2" s="150"/>
      <c r="AE2" s="150"/>
      <c r="AF2" s="150"/>
      <c r="AH2" s="150"/>
      <c r="AI2" s="150"/>
      <c r="AJ2" s="150"/>
      <c r="AL2" s="150"/>
      <c r="AM2" s="150"/>
      <c r="AN2" s="150"/>
      <c r="AP2" s="150"/>
      <c r="AQ2" s="150"/>
      <c r="AR2" s="150"/>
    </row>
    <row r="3" spans="1:44" ht="5" customHeight="1" thickBot="1">
      <c r="B3" s="1372"/>
      <c r="C3" s="755"/>
      <c r="D3" s="755"/>
      <c r="E3" s="755"/>
      <c r="F3" s="755"/>
      <c r="G3" s="1373"/>
      <c r="H3" s="755"/>
      <c r="I3" s="754"/>
      <c r="J3" s="755"/>
      <c r="K3" s="755"/>
      <c r="L3" s="755"/>
      <c r="M3" s="754"/>
      <c r="N3" s="755"/>
      <c r="O3" s="755"/>
      <c r="P3" s="755"/>
      <c r="Q3" s="755"/>
      <c r="R3" s="754"/>
      <c r="S3" s="755"/>
      <c r="T3" s="755"/>
      <c r="U3" s="755"/>
      <c r="V3" s="755"/>
      <c r="W3" s="754"/>
      <c r="X3" s="755"/>
      <c r="Y3" s="755"/>
      <c r="Z3" s="755"/>
      <c r="AA3" s="755"/>
      <c r="AB3" s="754"/>
      <c r="AC3" s="755"/>
      <c r="AD3" s="755"/>
      <c r="AE3" s="755"/>
      <c r="AF3" s="755"/>
      <c r="AG3" s="754"/>
      <c r="AH3" s="755"/>
      <c r="AI3" s="755"/>
      <c r="AJ3" s="755"/>
      <c r="AK3" s="754"/>
      <c r="AL3" s="755"/>
      <c r="AM3" s="755"/>
      <c r="AN3" s="755"/>
      <c r="AO3" s="754"/>
      <c r="AP3" s="755"/>
      <c r="AQ3" s="755"/>
      <c r="AR3" s="755"/>
    </row>
    <row r="4" spans="1:44" s="517" customFormat="1" ht="5" customHeight="1">
      <c r="A4"/>
      <c r="B4" s="1340"/>
      <c r="C4" s="150"/>
      <c r="D4" s="150"/>
      <c r="E4" s="150"/>
      <c r="F4" s="150"/>
      <c r="G4" s="220"/>
      <c r="H4" s="150"/>
      <c r="I4" s="14"/>
      <c r="J4" s="150"/>
      <c r="K4" s="150"/>
      <c r="L4" s="150"/>
      <c r="M4" s="14"/>
      <c r="N4" s="150"/>
      <c r="O4" s="150"/>
      <c r="P4" s="150"/>
      <c r="Q4" s="150"/>
      <c r="R4" s="14"/>
      <c r="S4" s="150"/>
      <c r="T4" s="150"/>
      <c r="U4" s="150"/>
      <c r="V4" s="150"/>
      <c r="W4" s="14"/>
      <c r="X4" s="150"/>
      <c r="Y4" s="150"/>
      <c r="Z4" s="150"/>
      <c r="AA4" s="150"/>
      <c r="AB4" s="14"/>
      <c r="AC4" s="150"/>
      <c r="AD4" s="150"/>
      <c r="AE4" s="150"/>
      <c r="AF4" s="150"/>
      <c r="AG4" s="14"/>
      <c r="AH4" s="150"/>
      <c r="AI4" s="150"/>
      <c r="AJ4" s="150"/>
      <c r="AK4" s="14"/>
      <c r="AL4" s="150"/>
      <c r="AM4" s="150"/>
      <c r="AN4" s="150"/>
      <c r="AO4" s="14"/>
      <c r="AP4" s="150"/>
      <c r="AQ4" s="150"/>
      <c r="AR4" s="150"/>
    </row>
    <row r="5" spans="1:44" ht="16">
      <c r="E5" s="1347" t="s">
        <v>751</v>
      </c>
      <c r="F5" s="1348"/>
      <c r="G5" s="1348"/>
      <c r="H5" s="1348"/>
      <c r="J5" s="1347" t="s">
        <v>752</v>
      </c>
      <c r="K5" s="1347"/>
      <c r="L5" s="1347"/>
      <c r="N5" s="1347" t="s">
        <v>753</v>
      </c>
      <c r="O5" s="1347"/>
      <c r="P5" s="1347"/>
      <c r="Q5" s="1347"/>
      <c r="S5" s="1347" t="s">
        <v>705</v>
      </c>
      <c r="T5" s="1347"/>
      <c r="U5" s="1347"/>
      <c r="V5" s="1347"/>
      <c r="X5" s="1347" t="s">
        <v>754</v>
      </c>
      <c r="Y5" s="1347"/>
      <c r="Z5" s="1347"/>
      <c r="AA5" s="1347"/>
      <c r="AC5" s="1347" t="s">
        <v>755</v>
      </c>
      <c r="AD5" s="1347"/>
      <c r="AE5" s="1347"/>
      <c r="AF5" s="1347"/>
      <c r="AH5" s="1347" t="s">
        <v>756</v>
      </c>
      <c r="AI5" s="1347"/>
      <c r="AJ5" s="1347"/>
      <c r="AL5" s="1347" t="s">
        <v>757</v>
      </c>
      <c r="AM5" s="1347"/>
      <c r="AN5" s="1347"/>
      <c r="AP5" s="1347" t="s">
        <v>758</v>
      </c>
      <c r="AQ5" s="1347"/>
      <c r="AR5" s="1347"/>
    </row>
    <row r="6" spans="1:44">
      <c r="E6" s="1349">
        <v>2018</v>
      </c>
      <c r="F6" s="1349">
        <v>2019</v>
      </c>
      <c r="G6" s="1349">
        <v>2020</v>
      </c>
      <c r="H6" s="1349">
        <v>2021</v>
      </c>
      <c r="J6" s="1349">
        <v>2019</v>
      </c>
      <c r="K6" s="1349">
        <v>2020</v>
      </c>
      <c r="L6" s="1349">
        <v>2021</v>
      </c>
      <c r="N6" s="1349">
        <v>2018</v>
      </c>
      <c r="O6" s="1349">
        <v>2019</v>
      </c>
      <c r="P6" s="1349">
        <v>2020</v>
      </c>
      <c r="Q6" s="1349">
        <v>2021</v>
      </c>
      <c r="S6" s="1349">
        <v>2018</v>
      </c>
      <c r="T6" s="1349">
        <v>2019</v>
      </c>
      <c r="U6" s="1349">
        <v>2020</v>
      </c>
      <c r="V6" s="1349">
        <v>2021</v>
      </c>
      <c r="X6" s="1349">
        <v>2018</v>
      </c>
      <c r="Y6" s="1349">
        <v>2019</v>
      </c>
      <c r="Z6" s="1349">
        <v>2020</v>
      </c>
      <c r="AA6" s="1349">
        <v>2021</v>
      </c>
      <c r="AC6" s="1349">
        <v>2018</v>
      </c>
      <c r="AD6" s="1349">
        <v>2019</v>
      </c>
      <c r="AE6" s="1349">
        <v>2020</v>
      </c>
      <c r="AF6" s="1349">
        <v>2021</v>
      </c>
      <c r="AH6" s="1349">
        <v>2019</v>
      </c>
      <c r="AI6" s="1349">
        <v>2020</v>
      </c>
      <c r="AJ6" s="1349">
        <v>2021</v>
      </c>
      <c r="AL6" s="1349">
        <v>2019</v>
      </c>
      <c r="AM6" s="1349">
        <v>2020</v>
      </c>
      <c r="AN6" s="1349">
        <v>2021</v>
      </c>
      <c r="AP6" s="1349">
        <v>2019</v>
      </c>
      <c r="AQ6" s="1349">
        <v>2020</v>
      </c>
      <c r="AR6" s="1349">
        <v>2021</v>
      </c>
    </row>
    <row r="7" spans="1:44" outlineLevel="1">
      <c r="B7" s="1350" t="s">
        <v>738</v>
      </c>
      <c r="E7" s="1349"/>
      <c r="F7" s="1349"/>
      <c r="G7" s="1349"/>
      <c r="H7" s="1349"/>
      <c r="J7" s="1349"/>
      <c r="K7" s="1349"/>
      <c r="L7" s="1349"/>
      <c r="S7" s="1349"/>
      <c r="T7" s="1349"/>
      <c r="U7" s="1349"/>
      <c r="V7" s="1349"/>
    </row>
    <row r="8" spans="1:44" outlineLevel="1">
      <c r="B8" s="1388" t="s">
        <v>309</v>
      </c>
      <c r="C8" s="1349"/>
      <c r="D8" s="1349"/>
      <c r="E8" s="455">
        <v>167440</v>
      </c>
      <c r="F8" s="455">
        <v>144780.00000000003</v>
      </c>
      <c r="G8" s="455">
        <v>162819</v>
      </c>
      <c r="H8" s="455">
        <v>170736</v>
      </c>
      <c r="J8" s="1351">
        <f>IFERROR(((F8-E8)/E8),"")</f>
        <v>-0.13533205924510255</v>
      </c>
      <c r="K8" s="1351">
        <f t="shared" ref="K8:L9" si="0">IFERROR(((G8-F8)/F8),"")</f>
        <v>0.12459593866556132</v>
      </c>
      <c r="L8" s="1351">
        <f t="shared" si="0"/>
        <v>4.8624546275311847E-2</v>
      </c>
      <c r="N8" s="1352">
        <v>1</v>
      </c>
      <c r="O8" s="1352">
        <v>1</v>
      </c>
      <c r="P8" s="1352">
        <v>1</v>
      </c>
      <c r="Q8" s="1352">
        <v>1</v>
      </c>
      <c r="S8" s="794">
        <v>2989321.7400000007</v>
      </c>
      <c r="T8" s="794">
        <v>2696046.48</v>
      </c>
      <c r="U8" s="794">
        <v>2806832.3000000007</v>
      </c>
      <c r="V8" s="794">
        <v>2783081.4499999993</v>
      </c>
      <c r="X8" s="1352">
        <v>1</v>
      </c>
      <c r="Y8" s="1352">
        <v>1</v>
      </c>
      <c r="Z8" s="1352">
        <v>1</v>
      </c>
      <c r="AA8" s="1352">
        <v>1</v>
      </c>
      <c r="AC8" s="1353">
        <f>S8/E8</f>
        <v>17.853092092689923</v>
      </c>
      <c r="AD8" s="1353">
        <f>T8/F8</f>
        <v>18.621677579776208</v>
      </c>
      <c r="AE8" s="1353">
        <f>U8/G8</f>
        <v>17.238972724313506</v>
      </c>
      <c r="AF8" s="1353">
        <f>V8/H8</f>
        <v>16.300495794677158</v>
      </c>
      <c r="AH8" s="1351">
        <f>IFERROR(((AD8-AC8)/AC8),"")</f>
        <v>4.3050552985215762E-2</v>
      </c>
      <c r="AI8" s="1351">
        <f t="shared" ref="AI8:AI9" si="1">IFERROR(((AE8-AD8)/AD8),"")</f>
        <v>-7.4252432389032869E-2</v>
      </c>
      <c r="AJ8" s="1351">
        <f>IFERROR(((AF8-AE8)/AE8),"")</f>
        <v>-5.4439260659235149E-2</v>
      </c>
      <c r="AL8" s="1354">
        <f t="shared" ref="AL8:AN9" si="2">J8/AH8</f>
        <v>-3.1435614611402949</v>
      </c>
      <c r="AM8" s="1354">
        <f t="shared" si="2"/>
        <v>-1.6780048094958331</v>
      </c>
      <c r="AN8" s="1354">
        <f t="shared" si="2"/>
        <v>-0.89318895382652697</v>
      </c>
      <c r="AP8" s="1349"/>
      <c r="AQ8" s="1349"/>
      <c r="AR8" s="1349"/>
    </row>
    <row r="9" spans="1:44" outlineLevel="1">
      <c r="B9" s="1388" t="s">
        <v>759</v>
      </c>
      <c r="C9"/>
      <c r="E9" s="515">
        <f>SUM(E$12:E$31)</f>
        <v>128685</v>
      </c>
      <c r="F9" s="515">
        <f t="shared" ref="F9:H9" si="3">SUM(F$12:F$31)</f>
        <v>122558</v>
      </c>
      <c r="G9" s="515">
        <f t="shared" si="3"/>
        <v>140002</v>
      </c>
      <c r="H9" s="515">
        <f t="shared" si="3"/>
        <v>144507</v>
      </c>
      <c r="J9" s="1355">
        <f>IFERROR(((F9-E9)/E9),"")</f>
        <v>-4.7612386836072579E-2</v>
      </c>
      <c r="K9" s="1355">
        <f t="shared" si="0"/>
        <v>0.14233260986634899</v>
      </c>
      <c r="L9" s="1355">
        <f t="shared" si="0"/>
        <v>3.217811174126084E-2</v>
      </c>
      <c r="N9" s="1389">
        <f>SUM(N$12:N$31)</f>
        <v>0.76854395604395609</v>
      </c>
      <c r="O9" s="1389">
        <f>SUM(O$12:O$31)</f>
        <v>0.84651194916424899</v>
      </c>
      <c r="P9" s="1389">
        <f>SUM(P$12:P$31)</f>
        <v>0.85986279242594532</v>
      </c>
      <c r="Q9" s="1389">
        <f>SUM(Q$12:Q$31)</f>
        <v>0.84637686252459932</v>
      </c>
      <c r="S9" s="515">
        <f>SUM(S$12:S$31)</f>
        <v>2279808.56</v>
      </c>
      <c r="T9" s="515">
        <f t="shared" ref="T9:V9" si="4">SUM(T$12:T$31)</f>
        <v>2128502.15</v>
      </c>
      <c r="U9" s="515">
        <f t="shared" si="4"/>
        <v>2219649.11</v>
      </c>
      <c r="V9" s="515">
        <f t="shared" si="4"/>
        <v>2241882</v>
      </c>
      <c r="X9" s="1389">
        <f>SUM(X$12:X$31)</f>
        <v>0.76265078110996498</v>
      </c>
      <c r="Y9" s="1389">
        <f t="shared" ref="Y9:AA9" si="5">SUM(Y$12:Y$31)</f>
        <v>0.78949015374542064</v>
      </c>
      <c r="Z9" s="1389">
        <f t="shared" si="5"/>
        <v>0.7908021829448092</v>
      </c>
      <c r="AA9" s="1389">
        <f t="shared" si="5"/>
        <v>0.80553948573801182</v>
      </c>
      <c r="AC9" s="1356">
        <f>SUMPRODUCT(N$12:N$31,AC$12:AC$31)</f>
        <v>13.615674629718109</v>
      </c>
      <c r="AD9" s="1356">
        <f>SUMPRODUCT(O$12:O$31,AD$12:AD$31)</f>
        <v>14.701631095455173</v>
      </c>
      <c r="AE9" s="1356">
        <f>SUMPRODUCT(P$12:P$31,AE$12:AE$31)</f>
        <v>13.632617262113143</v>
      </c>
      <c r="AF9" s="1356">
        <f>SUMPRODUCT(Q$12:Q$31,AF$12:AF$31)</f>
        <v>13.130692999718864</v>
      </c>
      <c r="AH9" s="1355">
        <f>IFERROR(((AD9-AC9)/AC9),"")</f>
        <v>7.9757815552290959E-2</v>
      </c>
      <c r="AI9" s="1355">
        <f t="shared" si="1"/>
        <v>-7.2713961219752168E-2</v>
      </c>
      <c r="AJ9" s="1355">
        <f>IFERROR(((AF9-AE9)/AE9),"")</f>
        <v>-3.6817894373752699E-2</v>
      </c>
      <c r="AL9" s="1357">
        <f t="shared" si="2"/>
        <v>-0.59696202192068393</v>
      </c>
      <c r="AM9" s="1357">
        <f t="shared" si="2"/>
        <v>-1.9574316606985438</v>
      </c>
      <c r="AN9" s="1357">
        <f t="shared" si="2"/>
        <v>-0.87398022859776747</v>
      </c>
    </row>
    <row r="10" spans="1:44" ht="7" customHeight="1">
      <c r="B10" s="1384"/>
      <c r="C10"/>
      <c r="D10" s="1385"/>
      <c r="E10" s="515"/>
      <c r="F10" s="515"/>
      <c r="G10" s="515"/>
      <c r="H10" s="1385"/>
      <c r="J10" s="1385"/>
      <c r="K10" s="1385"/>
      <c r="L10" s="1385"/>
      <c r="N10" s="1385"/>
      <c r="O10" s="1385"/>
      <c r="P10" s="1385"/>
      <c r="Q10" s="1385"/>
      <c r="S10" s="1385"/>
      <c r="T10" s="1385"/>
      <c r="U10" s="1385"/>
      <c r="V10" s="1385"/>
      <c r="X10" s="1385"/>
      <c r="Y10" s="1385"/>
      <c r="Z10" s="1385"/>
      <c r="AA10" s="1385"/>
      <c r="AC10" s="1386"/>
      <c r="AD10" s="1386"/>
      <c r="AE10" s="1386"/>
      <c r="AF10" s="1386"/>
      <c r="AH10" s="1387"/>
      <c r="AI10" s="1387"/>
      <c r="AJ10" s="1387"/>
      <c r="AL10" s="1357"/>
      <c r="AM10" s="1357"/>
      <c r="AN10" s="1357"/>
      <c r="AP10" s="1385"/>
      <c r="AQ10" s="1385"/>
      <c r="AR10" s="1385"/>
    </row>
    <row r="11" spans="1:44" s="14" customFormat="1" ht="10" customHeight="1">
      <c r="A11"/>
      <c r="B11" s="1384"/>
      <c r="C11"/>
      <c r="D11"/>
      <c r="E11" s="515"/>
      <c r="F11" s="515"/>
      <c r="G11" s="515"/>
      <c r="H11" s="1385"/>
      <c r="I11"/>
      <c r="J11" s="1385"/>
      <c r="K11" s="1385"/>
      <c r="L11" s="1385"/>
      <c r="N11" s="1385"/>
      <c r="O11" s="1385"/>
      <c r="P11" s="1385"/>
      <c r="Q11" s="1385"/>
      <c r="S11" s="1385"/>
      <c r="T11" s="1385"/>
      <c r="U11" s="1385"/>
      <c r="V11" s="1385"/>
      <c r="X11" s="1385"/>
      <c r="Y11" s="1385"/>
      <c r="Z11" s="1385"/>
      <c r="AA11" s="1385"/>
      <c r="AC11" s="1386"/>
      <c r="AD11" s="1386"/>
      <c r="AE11" s="1386"/>
      <c r="AF11" s="1386"/>
      <c r="AH11" s="1387"/>
      <c r="AI11" s="1387"/>
      <c r="AJ11" s="1387"/>
      <c r="AL11" s="1357"/>
      <c r="AM11" s="1357"/>
      <c r="AN11" s="1357"/>
      <c r="AP11" s="1385"/>
      <c r="AQ11" s="1385"/>
      <c r="AR11" s="1385"/>
    </row>
    <row r="12" spans="1:44">
      <c r="B12" s="1530" t="s">
        <v>845</v>
      </c>
      <c r="C12"/>
      <c r="D12"/>
      <c r="E12" s="1523">
        <v>3829</v>
      </c>
      <c r="F12" s="1523">
        <v>3783</v>
      </c>
      <c r="G12" s="1523">
        <v>5285</v>
      </c>
      <c r="H12" s="1523">
        <v>5498</v>
      </c>
      <c r="J12" s="1524">
        <f>IFERROR(((F12-E12)/E12),"")</f>
        <v>-1.2013580569339252E-2</v>
      </c>
      <c r="K12" s="1524">
        <f t="shared" ref="K12:L27" si="6">IFERROR(((G12-F12)/F12),"")</f>
        <v>0.39703938673010836</v>
      </c>
      <c r="L12" s="1524">
        <f t="shared" si="6"/>
        <v>4.0302743614001893E-2</v>
      </c>
      <c r="N12" s="1525">
        <f t="shared" ref="N12:N31" si="7">E12/E$8</f>
        <v>2.286789297658863E-2</v>
      </c>
      <c r="O12" s="1525">
        <f t="shared" ref="O12:O31" si="8">F12/F$8</f>
        <v>2.6129299627020302E-2</v>
      </c>
      <c r="P12" s="1525">
        <f t="shared" ref="P12:P31" si="9">G12/G$8</f>
        <v>3.2459356708983596E-2</v>
      </c>
      <c r="Q12" s="1525">
        <f t="shared" ref="Q12:Q31" si="10">H12/H$8</f>
        <v>3.220176178427514E-2</v>
      </c>
      <c r="S12" s="1523">
        <v>79516.02</v>
      </c>
      <c r="T12" s="1523">
        <v>73494.2</v>
      </c>
      <c r="U12" s="1523">
        <v>122243.05</v>
      </c>
      <c r="V12" s="1523">
        <v>114412.95</v>
      </c>
      <c r="X12" s="1526">
        <f>S12/S$8</f>
        <v>2.6600020645485951E-2</v>
      </c>
      <c r="Y12" s="1526">
        <f t="shared" ref="Y12:AA27" si="11">T12/T$8</f>
        <v>2.7259989968718937E-2</v>
      </c>
      <c r="Z12" s="1526">
        <f t="shared" si="11"/>
        <v>4.3551960692485965E-2</v>
      </c>
      <c r="AA12" s="1526">
        <f t="shared" si="11"/>
        <v>4.1110169449047218E-2</v>
      </c>
      <c r="AC12" s="1527">
        <f t="shared" ref="AC12:AC31" si="12">IFERROR((S12/E12),"")</f>
        <v>20.766785061373728</v>
      </c>
      <c r="AD12" s="1527">
        <f t="shared" ref="AD12:AD31" si="13">IFERROR((T12/F12),"")</f>
        <v>19.427491408934706</v>
      </c>
      <c r="AE12" s="1527">
        <f t="shared" ref="AE12:AE31" si="14">IFERROR((U12/G12),"")</f>
        <v>23.130189214758751</v>
      </c>
      <c r="AF12" s="1527">
        <f t="shared" ref="AF12:AF31" si="15">IFERROR((V12/H12),"")</f>
        <v>20.809921789741725</v>
      </c>
      <c r="AH12" s="1526">
        <f>IFERROR(((AD12-AC12)/AC12),"")</f>
        <v>-6.4492103543273588E-2</v>
      </c>
      <c r="AI12" s="1526">
        <f t="shared" ref="AI12:AJ27" si="16">IFERROR(((AE12-AD12)/AD12),"")</f>
        <v>0.1905906289126538</v>
      </c>
      <c r="AJ12" s="1526">
        <f>IFERROR(((AF12-AE12)/AE12),"")</f>
        <v>-0.1003133784801261</v>
      </c>
      <c r="AL12" s="1528">
        <f t="shared" ref="AL12:AL31" si="17">IFERROR((AH12/J12),"")</f>
        <v>5.368266618852056</v>
      </c>
      <c r="AM12" s="1528">
        <f t="shared" ref="AM12:AM31" si="18">IFERROR((AI12/K12),"")</f>
        <v>0.48002952674871463</v>
      </c>
      <c r="AN12" s="1528">
        <f t="shared" ref="AN12:AN31" si="19">IFERROR((AJ12/L12),"")</f>
        <v>-2.488996268861345</v>
      </c>
      <c r="AP12" s="1528">
        <f>AL12</f>
        <v>5.368266618852056</v>
      </c>
      <c r="AQ12" s="1528">
        <f t="shared" ref="AQ12:AR27" si="20">AM12</f>
        <v>0.48002952674871463</v>
      </c>
      <c r="AR12" s="1528">
        <f t="shared" si="20"/>
        <v>-2.488996268861345</v>
      </c>
    </row>
    <row r="13" spans="1:44">
      <c r="B13" s="1531" t="s">
        <v>846</v>
      </c>
      <c r="C13"/>
      <c r="D13"/>
      <c r="E13" s="454">
        <v>550</v>
      </c>
      <c r="F13" s="454">
        <v>3132</v>
      </c>
      <c r="G13" s="454">
        <v>21009</v>
      </c>
      <c r="H13" s="454">
        <v>32620</v>
      </c>
      <c r="J13" s="1360">
        <f t="shared" ref="J13:L31" si="21">IFERROR(((F13-E13)/E13),"")</f>
        <v>4.6945454545454544</v>
      </c>
      <c r="K13" s="1360">
        <f t="shared" si="6"/>
        <v>5.7078544061302683</v>
      </c>
      <c r="L13" s="1360">
        <f t="shared" si="6"/>
        <v>0.55266790423151979</v>
      </c>
      <c r="N13" s="1361">
        <f t="shared" si="7"/>
        <v>3.284758719541328E-3</v>
      </c>
      <c r="O13" s="1361">
        <f t="shared" si="8"/>
        <v>2.1632822213012843E-2</v>
      </c>
      <c r="P13" s="1361">
        <f t="shared" si="9"/>
        <v>0.12903285243122731</v>
      </c>
      <c r="Q13" s="1361">
        <f t="shared" si="10"/>
        <v>0.19105519632649237</v>
      </c>
      <c r="S13" s="454">
        <v>1655.5</v>
      </c>
      <c r="T13" s="454">
        <v>8049.32</v>
      </c>
      <c r="U13" s="454">
        <v>52102.32</v>
      </c>
      <c r="V13" s="454">
        <v>87291.199999999997</v>
      </c>
      <c r="X13" s="1355">
        <f t="shared" ref="X13:AA31" si="22">S13/S$8</f>
        <v>5.538045563472869E-4</v>
      </c>
      <c r="Y13" s="1355">
        <f t="shared" si="11"/>
        <v>2.9856013461607681E-3</v>
      </c>
      <c r="Z13" s="1355">
        <f t="shared" si="11"/>
        <v>1.8562676509031189E-2</v>
      </c>
      <c r="AA13" s="1355">
        <f t="shared" si="11"/>
        <v>3.1364946218156865E-2</v>
      </c>
      <c r="AC13" s="1356">
        <f t="shared" si="12"/>
        <v>3.01</v>
      </c>
      <c r="AD13" s="1356">
        <f t="shared" si="13"/>
        <v>2.5700255427841632</v>
      </c>
      <c r="AE13" s="1356">
        <f t="shared" si="14"/>
        <v>2.48</v>
      </c>
      <c r="AF13" s="1356">
        <f t="shared" si="15"/>
        <v>2.6760024524831389</v>
      </c>
      <c r="AH13" s="1360">
        <f t="shared" ref="AH13:AJ31" si="23">IFERROR(((AD13-AC13)/AC13),"")</f>
        <v>-0.14617091601855037</v>
      </c>
      <c r="AI13" s="1360">
        <f t="shared" si="16"/>
        <v>-3.5029045931830163E-2</v>
      </c>
      <c r="AJ13" s="1360">
        <f t="shared" si="16"/>
        <v>7.9033246969007653E-2</v>
      </c>
      <c r="AL13" s="1362">
        <f t="shared" si="17"/>
        <v>-3.113632990325434E-2</v>
      </c>
      <c r="AM13" s="1362">
        <f t="shared" si="18"/>
        <v>-6.136990091094259E-3</v>
      </c>
      <c r="AN13" s="1362">
        <f t="shared" si="19"/>
        <v>0.14300314232812694</v>
      </c>
      <c r="AP13" s="1362">
        <f t="shared" ref="AP13:AR31" si="24">AL13</f>
        <v>-3.113632990325434E-2</v>
      </c>
      <c r="AQ13" s="1362">
        <f t="shared" si="20"/>
        <v>-6.136990091094259E-3</v>
      </c>
      <c r="AR13" s="1362">
        <f t="shared" si="20"/>
        <v>0.14300314232812694</v>
      </c>
    </row>
    <row r="14" spans="1:44">
      <c r="B14" s="1530" t="s">
        <v>847</v>
      </c>
      <c r="C14"/>
      <c r="D14" s="517"/>
      <c r="E14" s="1523">
        <v>18900</v>
      </c>
      <c r="F14" s="1523">
        <v>17170</v>
      </c>
      <c r="G14" s="1523">
        <v>25000</v>
      </c>
      <c r="H14" s="1523">
        <v>24810</v>
      </c>
      <c r="I14" s="517"/>
      <c r="J14" s="1524">
        <f t="shared" si="21"/>
        <v>-9.1534391534391538E-2</v>
      </c>
      <c r="K14" s="1524">
        <f t="shared" si="6"/>
        <v>0.45602795573675015</v>
      </c>
      <c r="L14" s="1524">
        <f t="shared" si="6"/>
        <v>-7.6E-3</v>
      </c>
      <c r="M14" s="517"/>
      <c r="N14" s="1525">
        <f t="shared" si="7"/>
        <v>0.112876254180602</v>
      </c>
      <c r="O14" s="1525">
        <f t="shared" si="8"/>
        <v>0.11859372841552698</v>
      </c>
      <c r="P14" s="1525">
        <f t="shared" si="9"/>
        <v>0.15354473372272279</v>
      </c>
      <c r="Q14" s="1525">
        <f t="shared" si="10"/>
        <v>0.14531206072533034</v>
      </c>
      <c r="R14" s="517"/>
      <c r="S14" s="1523">
        <v>55511</v>
      </c>
      <c r="T14" s="1523">
        <v>52495.199999999997</v>
      </c>
      <c r="U14" s="1523">
        <v>73637</v>
      </c>
      <c r="V14" s="1523">
        <v>94363.16</v>
      </c>
      <c r="W14" s="517"/>
      <c r="X14" s="1526">
        <f t="shared" si="22"/>
        <v>1.8569764256958166E-2</v>
      </c>
      <c r="Y14" s="1526">
        <f t="shared" si="11"/>
        <v>1.9471177663079459E-2</v>
      </c>
      <c r="Z14" s="1526">
        <f t="shared" si="11"/>
        <v>2.6234912573864844E-2</v>
      </c>
      <c r="AA14" s="1526">
        <f t="shared" si="11"/>
        <v>3.390600012802357E-2</v>
      </c>
      <c r="AB14" s="517"/>
      <c r="AC14" s="1527">
        <f t="shared" si="12"/>
        <v>2.9370899470899472</v>
      </c>
      <c r="AD14" s="1527">
        <f t="shared" si="13"/>
        <v>3.0573791496796736</v>
      </c>
      <c r="AE14" s="1527">
        <f t="shared" si="14"/>
        <v>2.9454799999999999</v>
      </c>
      <c r="AF14" s="1527">
        <f t="shared" si="15"/>
        <v>3.8034324869004434</v>
      </c>
      <c r="AG14" s="517"/>
      <c r="AH14" s="1526">
        <f t="shared" si="23"/>
        <v>4.0955232817744755E-2</v>
      </c>
      <c r="AI14" s="1526">
        <f t="shared" si="16"/>
        <v>-3.6599696734177567E-2</v>
      </c>
      <c r="AJ14" s="1526">
        <f t="shared" si="16"/>
        <v>0.29127764809146339</v>
      </c>
      <c r="AL14" s="1359">
        <f t="shared" si="17"/>
        <v>-0.44743000014761608</v>
      </c>
      <c r="AM14" s="1359">
        <f t="shared" si="18"/>
        <v>-8.0257572532034333E-2</v>
      </c>
      <c r="AN14" s="1528">
        <f t="shared" si="19"/>
        <v>-38.326006327824132</v>
      </c>
      <c r="AP14" s="1359">
        <f t="shared" si="24"/>
        <v>-0.44743000014761608</v>
      </c>
      <c r="AQ14" s="1359">
        <f t="shared" si="20"/>
        <v>-8.0257572532034333E-2</v>
      </c>
      <c r="AR14" s="1529">
        <v>0</v>
      </c>
    </row>
    <row r="15" spans="1:44">
      <c r="B15" s="1531" t="s">
        <v>848</v>
      </c>
      <c r="C15"/>
      <c r="D15"/>
      <c r="E15" s="454">
        <v>24442</v>
      </c>
      <c r="F15" s="454">
        <v>13673</v>
      </c>
      <c r="G15" s="454">
        <v>15089</v>
      </c>
      <c r="H15" s="454">
        <v>8918</v>
      </c>
      <c r="J15" s="1360">
        <f t="shared" si="21"/>
        <v>-0.4405940594059406</v>
      </c>
      <c r="K15" s="1360">
        <f t="shared" si="6"/>
        <v>0.1035617640605573</v>
      </c>
      <c r="L15" s="1360">
        <f t="shared" si="6"/>
        <v>-0.40897342434886341</v>
      </c>
      <c r="N15" s="1361">
        <f t="shared" si="7"/>
        <v>0.14597467749641663</v>
      </c>
      <c r="O15" s="1361">
        <f t="shared" si="8"/>
        <v>9.4439839756872479E-2</v>
      </c>
      <c r="P15" s="1361">
        <f t="shared" si="9"/>
        <v>9.267345948568656E-2</v>
      </c>
      <c r="Q15" s="1361">
        <f t="shared" si="10"/>
        <v>5.2232686721019585E-2</v>
      </c>
      <c r="S15" s="454">
        <v>765462.36</v>
      </c>
      <c r="T15" s="454">
        <v>475395.03</v>
      </c>
      <c r="U15" s="454">
        <v>645525.65</v>
      </c>
      <c r="V15" s="454">
        <v>376367.74</v>
      </c>
      <c r="X15" s="1355">
        <f t="shared" si="22"/>
        <v>0.25606556489299137</v>
      </c>
      <c r="Y15" s="1355">
        <f t="shared" si="11"/>
        <v>0.17633042810152147</v>
      </c>
      <c r="Z15" s="1355">
        <f>U15/U$8</f>
        <v>0.2299836901549123</v>
      </c>
      <c r="AA15" s="1355">
        <f t="shared" si="11"/>
        <v>0.13523418080344005</v>
      </c>
      <c r="AC15" s="1356">
        <f t="shared" si="12"/>
        <v>31.317501022829553</v>
      </c>
      <c r="AD15" s="1356">
        <f t="shared" si="13"/>
        <v>34.768889782783589</v>
      </c>
      <c r="AE15" s="1356">
        <f t="shared" si="14"/>
        <v>42.781208164888334</v>
      </c>
      <c r="AF15" s="1356">
        <f t="shared" si="15"/>
        <v>42.203155416012557</v>
      </c>
      <c r="AH15" s="1360">
        <f t="shared" si="23"/>
        <v>0.11020639090705459</v>
      </c>
      <c r="AI15" s="1360">
        <f t="shared" si="16"/>
        <v>0.23044504533107588</v>
      </c>
      <c r="AJ15" s="1360">
        <f t="shared" si="16"/>
        <v>-1.3511837876289807E-2</v>
      </c>
      <c r="AL15" s="1362">
        <f t="shared" si="17"/>
        <v>-0.25013135913735984</v>
      </c>
      <c r="AM15" s="1362">
        <f t="shared" si="18"/>
        <v>2.2251942830591811</v>
      </c>
      <c r="AN15" s="1362">
        <f t="shared" si="19"/>
        <v>3.3038425168584816E-2</v>
      </c>
      <c r="AP15" s="1362">
        <f t="shared" si="24"/>
        <v>-0.25013135913735984</v>
      </c>
      <c r="AQ15" s="1362">
        <f t="shared" si="20"/>
        <v>2.2251942830591811</v>
      </c>
      <c r="AR15" s="1362">
        <f t="shared" si="20"/>
        <v>3.3038425168584816E-2</v>
      </c>
    </row>
    <row r="16" spans="1:44">
      <c r="B16" s="1530" t="s">
        <v>849</v>
      </c>
      <c r="C16"/>
      <c r="D16" s="517"/>
      <c r="E16" s="1523">
        <v>2325</v>
      </c>
      <c r="F16" s="1523">
        <v>2225</v>
      </c>
      <c r="G16" s="1523">
        <v>1309</v>
      </c>
      <c r="H16" s="1523">
        <v>5913</v>
      </c>
      <c r="I16" s="517"/>
      <c r="J16" s="1524">
        <f t="shared" si="21"/>
        <v>-4.3010752688172046E-2</v>
      </c>
      <c r="K16" s="1524">
        <f t="shared" si="6"/>
        <v>-0.41168539325842696</v>
      </c>
      <c r="L16" s="1524">
        <f t="shared" si="6"/>
        <v>3.517188693659282</v>
      </c>
      <c r="M16" s="517"/>
      <c r="N16" s="1525">
        <f t="shared" si="7"/>
        <v>1.3885570950788342E-2</v>
      </c>
      <c r="O16" s="1525">
        <f t="shared" si="8"/>
        <v>1.5368144771377259E-2</v>
      </c>
      <c r="P16" s="1525">
        <f t="shared" si="9"/>
        <v>8.0396022577217639E-3</v>
      </c>
      <c r="Q16" s="1525">
        <f t="shared" si="10"/>
        <v>3.4632414956423954E-2</v>
      </c>
      <c r="R16" s="517"/>
      <c r="S16" s="1523">
        <v>28174.44</v>
      </c>
      <c r="T16" s="1523">
        <v>29900.47</v>
      </c>
      <c r="U16" s="1523">
        <v>21332.880000000001</v>
      </c>
      <c r="V16" s="1523">
        <v>60825.34</v>
      </c>
      <c r="W16" s="517"/>
      <c r="X16" s="1526">
        <f t="shared" si="22"/>
        <v>9.425027631853369E-3</v>
      </c>
      <c r="Y16" s="1526">
        <f t="shared" si="11"/>
        <v>1.1090487579427785E-2</v>
      </c>
      <c r="Z16" s="1526">
        <f t="shared" si="11"/>
        <v>7.6003400701922927E-3</v>
      </c>
      <c r="AA16" s="1526">
        <f t="shared" si="11"/>
        <v>2.1855393416531168E-2</v>
      </c>
      <c r="AB16" s="517"/>
      <c r="AC16" s="1527">
        <f t="shared" si="12"/>
        <v>12.118038709677419</v>
      </c>
      <c r="AD16" s="1527">
        <f t="shared" si="13"/>
        <v>13.438413483146068</v>
      </c>
      <c r="AE16" s="1527">
        <f t="shared" si="14"/>
        <v>16.297081741787625</v>
      </c>
      <c r="AF16" s="1527">
        <f t="shared" si="15"/>
        <v>10.286714019956028</v>
      </c>
      <c r="AG16" s="517"/>
      <c r="AH16" s="1526">
        <f t="shared" si="23"/>
        <v>0.10895944509685401</v>
      </c>
      <c r="AI16" s="1526">
        <f t="shared" si="16"/>
        <v>0.212723641985476</v>
      </c>
      <c r="AJ16" s="1526">
        <f t="shared" si="16"/>
        <v>-0.36880024393694433</v>
      </c>
      <c r="AL16" s="1528">
        <f t="shared" si="17"/>
        <v>-2.5333070985018558</v>
      </c>
      <c r="AM16" s="1359">
        <f t="shared" si="18"/>
        <v>-0.51671408670052854</v>
      </c>
      <c r="AN16" s="1359">
        <f t="shared" si="19"/>
        <v>-0.10485654198815381</v>
      </c>
      <c r="AP16" s="1528">
        <f t="shared" si="24"/>
        <v>-2.5333070985018558</v>
      </c>
      <c r="AQ16" s="1359">
        <f t="shared" si="20"/>
        <v>-0.51671408670052854</v>
      </c>
      <c r="AR16" s="1359">
        <f t="shared" si="20"/>
        <v>-0.10485654198815381</v>
      </c>
    </row>
    <row r="17" spans="2:44">
      <c r="B17" s="1531" t="s">
        <v>850</v>
      </c>
      <c r="C17"/>
      <c r="D17" s="517"/>
      <c r="E17" s="454">
        <v>4217</v>
      </c>
      <c r="F17" s="454">
        <v>4568</v>
      </c>
      <c r="G17" s="454">
        <v>3606</v>
      </c>
      <c r="H17" s="454">
        <v>5119</v>
      </c>
      <c r="J17" s="1360">
        <f t="shared" si="21"/>
        <v>8.3234526914868392E-2</v>
      </c>
      <c r="K17" s="1360">
        <f t="shared" si="6"/>
        <v>-0.2105954465849387</v>
      </c>
      <c r="L17" s="1360">
        <f t="shared" si="6"/>
        <v>0.41957848031059347</v>
      </c>
      <c r="N17" s="1361">
        <f t="shared" si="7"/>
        <v>2.5185140946010511E-2</v>
      </c>
      <c r="O17" s="1361">
        <f t="shared" si="8"/>
        <v>3.1551319242989359E-2</v>
      </c>
      <c r="P17" s="1361">
        <f t="shared" si="9"/>
        <v>2.2147292392165535E-2</v>
      </c>
      <c r="Q17" s="1361">
        <f t="shared" si="10"/>
        <v>2.9981960453565739E-2</v>
      </c>
      <c r="S17" s="454">
        <v>167795.9</v>
      </c>
      <c r="T17" s="454">
        <v>175871.12</v>
      </c>
      <c r="U17" s="454">
        <v>146818.79999999999</v>
      </c>
      <c r="V17" s="454">
        <v>202784.71</v>
      </c>
      <c r="X17" s="1355">
        <f t="shared" si="22"/>
        <v>5.6131763187190403E-2</v>
      </c>
      <c r="Y17" s="1355">
        <f t="shared" si="11"/>
        <v>6.5232970315853012E-2</v>
      </c>
      <c r="Z17" s="1355">
        <f t="shared" si="11"/>
        <v>5.230764944524828E-2</v>
      </c>
      <c r="AA17" s="1355">
        <f t="shared" si="11"/>
        <v>7.2863375953298115E-2</v>
      </c>
      <c r="AC17" s="1356">
        <f t="shared" si="12"/>
        <v>39.790348589044342</v>
      </c>
      <c r="AD17" s="1356">
        <f t="shared" si="13"/>
        <v>38.500683012259195</v>
      </c>
      <c r="AE17" s="1356">
        <f t="shared" si="14"/>
        <v>40.715141430948414</v>
      </c>
      <c r="AF17" s="1356">
        <f t="shared" si="15"/>
        <v>39.614125805821445</v>
      </c>
      <c r="AH17" s="1360">
        <f t="shared" si="23"/>
        <v>-3.2411517428631839E-2</v>
      </c>
      <c r="AI17" s="1360">
        <f t="shared" si="16"/>
        <v>5.7517380093857089E-2</v>
      </c>
      <c r="AJ17" s="1360">
        <f t="shared" si="16"/>
        <v>-2.7041920681873517E-2</v>
      </c>
      <c r="AL17" s="1362">
        <f t="shared" si="17"/>
        <v>-0.38939991167105542</v>
      </c>
      <c r="AM17" s="1362">
        <f t="shared" si="18"/>
        <v>-0.27311787138122579</v>
      </c>
      <c r="AN17" s="1362">
        <f t="shared" si="19"/>
        <v>-6.4450208842588161E-2</v>
      </c>
      <c r="AP17" s="1362">
        <f t="shared" si="24"/>
        <v>-0.38939991167105542</v>
      </c>
      <c r="AQ17" s="1362">
        <f t="shared" si="20"/>
        <v>-0.27311787138122579</v>
      </c>
      <c r="AR17" s="1362">
        <f t="shared" si="20"/>
        <v>-6.4450208842588161E-2</v>
      </c>
    </row>
    <row r="18" spans="2:44">
      <c r="B18" s="1530" t="s">
        <v>851</v>
      </c>
      <c r="C18"/>
      <c r="D18" s="517"/>
      <c r="E18" s="1523">
        <v>26082</v>
      </c>
      <c r="F18" s="1523">
        <v>33151</v>
      </c>
      <c r="G18" s="1523">
        <v>23267</v>
      </c>
      <c r="H18" s="1523">
        <v>19576</v>
      </c>
      <c r="I18" s="517"/>
      <c r="J18" s="1524">
        <f t="shared" si="21"/>
        <v>0.27102982900084349</v>
      </c>
      <c r="K18" s="1524">
        <f t="shared" si="6"/>
        <v>-0.29815088534282524</v>
      </c>
      <c r="L18" s="1524">
        <f t="shared" si="6"/>
        <v>-0.15863669574934455</v>
      </c>
      <c r="M18" s="517"/>
      <c r="N18" s="1525">
        <f t="shared" si="7"/>
        <v>0.15576923076923077</v>
      </c>
      <c r="O18" s="1525">
        <f t="shared" si="8"/>
        <v>0.22897499654648429</v>
      </c>
      <c r="P18" s="1525">
        <f t="shared" si="9"/>
        <v>0.14290101278106362</v>
      </c>
      <c r="Q18" s="1525">
        <f t="shared" si="10"/>
        <v>0.11465654577827758</v>
      </c>
      <c r="R18" s="517"/>
      <c r="S18" s="1523">
        <v>270849.03999999998</v>
      </c>
      <c r="T18" s="1523">
        <v>329716.05</v>
      </c>
      <c r="U18" s="1523">
        <v>227778.07</v>
      </c>
      <c r="V18" s="1523">
        <v>242171.86</v>
      </c>
      <c r="W18" s="517"/>
      <c r="X18" s="1526">
        <f t="shared" si="22"/>
        <v>9.0605516420591087E-2</v>
      </c>
      <c r="Y18" s="1526">
        <f t="shared" si="11"/>
        <v>0.12229612970174016</v>
      </c>
      <c r="Z18" s="1526">
        <f t="shared" si="11"/>
        <v>8.1151292864913932E-2</v>
      </c>
      <c r="AA18" s="1526">
        <f t="shared" si="11"/>
        <v>8.7015728555123698E-2</v>
      </c>
      <c r="AB18" s="517"/>
      <c r="AC18" s="1527">
        <f t="shared" si="12"/>
        <v>10.384519592055824</v>
      </c>
      <c r="AD18" s="1527">
        <f t="shared" si="13"/>
        <v>9.9458854936502661</v>
      </c>
      <c r="AE18" s="1527">
        <f t="shared" si="14"/>
        <v>9.7897481411441092</v>
      </c>
      <c r="AF18" s="1527">
        <f t="shared" si="15"/>
        <v>12.370855128729055</v>
      </c>
      <c r="AG18" s="517"/>
      <c r="AH18" s="1526">
        <f t="shared" si="23"/>
        <v>-4.2239228740163746E-2</v>
      </c>
      <c r="AI18" s="1526">
        <f>IFERROR(((AE18-AD18)/AD18),"")</f>
        <v>-1.5698687925357616E-2</v>
      </c>
      <c r="AJ18" s="1526">
        <f t="shared" si="16"/>
        <v>0.26365407468830926</v>
      </c>
      <c r="AL18" s="1359">
        <f t="shared" si="17"/>
        <v>-0.15584715857984877</v>
      </c>
      <c r="AM18" s="1359">
        <f t="shared" si="18"/>
        <v>5.2653500952400886E-2</v>
      </c>
      <c r="AN18" s="1528">
        <f t="shared" si="19"/>
        <v>-1.6619992836014337</v>
      </c>
      <c r="AP18" s="1359">
        <f t="shared" si="24"/>
        <v>-0.15584715857984877</v>
      </c>
      <c r="AQ18" s="1359">
        <f t="shared" si="20"/>
        <v>5.2653500952400886E-2</v>
      </c>
      <c r="AR18" s="1528">
        <f t="shared" si="20"/>
        <v>-1.6619992836014337</v>
      </c>
    </row>
    <row r="19" spans="2:44">
      <c r="B19" s="1531" t="s">
        <v>852</v>
      </c>
      <c r="C19"/>
      <c r="D19" s="517"/>
      <c r="E19" s="454">
        <v>3154</v>
      </c>
      <c r="F19" s="454">
        <v>1515</v>
      </c>
      <c r="G19" s="454">
        <v>1161</v>
      </c>
      <c r="H19" s="454">
        <v>1333</v>
      </c>
      <c r="J19" s="1360">
        <f t="shared" si="21"/>
        <v>-0.51965757767913756</v>
      </c>
      <c r="K19" s="1360">
        <f t="shared" si="6"/>
        <v>-0.23366336633663368</v>
      </c>
      <c r="L19" s="1360">
        <f t="shared" si="6"/>
        <v>0.14814814814814814</v>
      </c>
      <c r="N19" s="1361">
        <f t="shared" si="7"/>
        <v>1.8836598184424271E-2</v>
      </c>
      <c r="O19" s="1361">
        <f t="shared" si="8"/>
        <v>1.0464152507252382E-2</v>
      </c>
      <c r="P19" s="1361">
        <f t="shared" si="9"/>
        <v>7.1306174340832456E-3</v>
      </c>
      <c r="Q19" s="1361">
        <f t="shared" si="10"/>
        <v>7.8073751288539033E-3</v>
      </c>
      <c r="S19" s="454">
        <v>79903.81</v>
      </c>
      <c r="T19" s="454">
        <v>86907.53</v>
      </c>
      <c r="U19" s="454">
        <v>72973.11</v>
      </c>
      <c r="V19" s="454">
        <v>59808.11</v>
      </c>
      <c r="X19" s="1355">
        <f t="shared" si="22"/>
        <v>2.6729745724861313E-2</v>
      </c>
      <c r="Y19" s="1355">
        <f t="shared" si="11"/>
        <v>3.2235174966271353E-2</v>
      </c>
      <c r="Z19" s="1355">
        <f t="shared" si="11"/>
        <v>2.5998386152247137E-2</v>
      </c>
      <c r="AA19" s="1355">
        <f t="shared" si="11"/>
        <v>2.1489888483141598E-2</v>
      </c>
      <c r="AC19" s="1356">
        <f t="shared" si="12"/>
        <v>25.334118579581482</v>
      </c>
      <c r="AD19" s="1356">
        <f t="shared" si="13"/>
        <v>57.36470627062706</v>
      </c>
      <c r="AE19" s="1356">
        <f t="shared" si="14"/>
        <v>62.853669250645993</v>
      </c>
      <c r="AF19" s="1356">
        <f t="shared" si="15"/>
        <v>44.867299324831208</v>
      </c>
      <c r="AH19" s="1360">
        <f t="shared" si="23"/>
        <v>1.2643261138305892</v>
      </c>
      <c r="AI19" s="1360">
        <f t="shared" si="16"/>
        <v>9.5685367133649793E-2</v>
      </c>
      <c r="AJ19" s="1360">
        <f t="shared" si="16"/>
        <v>-0.28616260816992678</v>
      </c>
      <c r="AL19" s="1362">
        <f t="shared" si="17"/>
        <v>-2.4329985131309817</v>
      </c>
      <c r="AM19" s="1362">
        <f t="shared" si="18"/>
        <v>-0.40950093561434869</v>
      </c>
      <c r="AN19" s="1362">
        <f t="shared" si="19"/>
        <v>-1.9315976051470058</v>
      </c>
      <c r="AP19" s="1362">
        <f t="shared" si="24"/>
        <v>-2.4329985131309817</v>
      </c>
      <c r="AQ19" s="1362">
        <f t="shared" si="20"/>
        <v>-0.40950093561434869</v>
      </c>
      <c r="AR19" s="1362">
        <f t="shared" si="20"/>
        <v>-1.9315976051470058</v>
      </c>
    </row>
    <row r="20" spans="2:44">
      <c r="B20" s="1530" t="s">
        <v>853</v>
      </c>
      <c r="C20"/>
      <c r="D20" s="517"/>
      <c r="E20" s="1523">
        <v>19523</v>
      </c>
      <c r="F20" s="1523">
        <v>10303</v>
      </c>
      <c r="G20" s="1523">
        <v>11118</v>
      </c>
      <c r="H20" s="1523">
        <v>8031</v>
      </c>
      <c r="I20" s="517"/>
      <c r="J20" s="1524">
        <f t="shared" si="21"/>
        <v>-0.47226348409568203</v>
      </c>
      <c r="K20" s="1524">
        <f t="shared" si="6"/>
        <v>7.9103173832864221E-2</v>
      </c>
      <c r="L20" s="1524">
        <f t="shared" si="6"/>
        <v>-0.27765785213167837</v>
      </c>
      <c r="M20" s="517"/>
      <c r="N20" s="1525">
        <f t="shared" si="7"/>
        <v>0.11659698996655518</v>
      </c>
      <c r="O20" s="1525">
        <f t="shared" si="8"/>
        <v>7.1163144080674118E-2</v>
      </c>
      <c r="P20" s="1525">
        <f t="shared" si="9"/>
        <v>6.8284413981169273E-2</v>
      </c>
      <c r="Q20" s="1525">
        <f t="shared" si="10"/>
        <v>4.7037531627776213E-2</v>
      </c>
      <c r="R20" s="517"/>
      <c r="S20" s="1523">
        <v>110572.11</v>
      </c>
      <c r="T20" s="1523">
        <v>74194.429999999993</v>
      </c>
      <c r="U20" s="1523">
        <v>93109.37</v>
      </c>
      <c r="V20" s="1523">
        <v>45416.91</v>
      </c>
      <c r="W20" s="517"/>
      <c r="X20" s="1526">
        <f t="shared" si="22"/>
        <v>3.6989029491352098E-2</v>
      </c>
      <c r="Y20" s="1526">
        <f t="shared" si="11"/>
        <v>2.7519714719458396E-2</v>
      </c>
      <c r="Z20" s="1526">
        <f t="shared" si="11"/>
        <v>3.3172402212985778E-2</v>
      </c>
      <c r="AA20" s="1526">
        <f t="shared" si="11"/>
        <v>1.6318929508872267E-2</v>
      </c>
      <c r="AB20" s="517"/>
      <c r="AC20" s="1527">
        <f t="shared" si="12"/>
        <v>5.6636843722788504</v>
      </c>
      <c r="AD20" s="1527">
        <f t="shared" si="13"/>
        <v>7.201245268368436</v>
      </c>
      <c r="AE20" s="1527">
        <f t="shared" si="14"/>
        <v>8.3746510163698495</v>
      </c>
      <c r="AF20" s="1527">
        <f t="shared" si="15"/>
        <v>5.6551998505790069</v>
      </c>
      <c r="AG20" s="517"/>
      <c r="AH20" s="1526">
        <f t="shared" si="23"/>
        <v>0.27147715074223494</v>
      </c>
      <c r="AI20" s="1526">
        <f t="shared" si="16"/>
        <v>0.1629448386039028</v>
      </c>
      <c r="AJ20" s="1526">
        <f t="shared" si="16"/>
        <v>-0.32472411811252289</v>
      </c>
      <c r="AL20" s="1359">
        <f t="shared" si="17"/>
        <v>-0.57484256116492982</v>
      </c>
      <c r="AM20" s="1528">
        <f t="shared" si="18"/>
        <v>2.0599026651975589</v>
      </c>
      <c r="AN20" s="1528">
        <f t="shared" si="19"/>
        <v>1.1695117412293583</v>
      </c>
      <c r="AP20" s="1359">
        <f t="shared" si="24"/>
        <v>-0.57484256116492982</v>
      </c>
      <c r="AQ20" s="1528">
        <f t="shared" si="20"/>
        <v>2.0599026651975589</v>
      </c>
      <c r="AR20" s="1528">
        <f t="shared" si="20"/>
        <v>1.1695117412293583</v>
      </c>
    </row>
    <row r="21" spans="2:44">
      <c r="B21" s="1531" t="s">
        <v>854</v>
      </c>
      <c r="C21"/>
      <c r="D21" s="517"/>
      <c r="E21" s="454">
        <v>614</v>
      </c>
      <c r="F21" s="454">
        <v>683</v>
      </c>
      <c r="G21" s="454">
        <v>924</v>
      </c>
      <c r="H21" s="454">
        <v>788</v>
      </c>
      <c r="J21" s="1360">
        <f t="shared" si="21"/>
        <v>0.11237785016286644</v>
      </c>
      <c r="K21" s="1360">
        <f t="shared" si="6"/>
        <v>0.3528550512445095</v>
      </c>
      <c r="L21" s="1360">
        <f t="shared" si="6"/>
        <v>-0.1471861471861472</v>
      </c>
      <c r="N21" s="1361">
        <f t="shared" si="7"/>
        <v>3.6669851887243194E-3</v>
      </c>
      <c r="O21" s="1361">
        <f t="shared" si="8"/>
        <v>4.7175024174609739E-3</v>
      </c>
      <c r="P21" s="1361">
        <f t="shared" si="9"/>
        <v>5.675013358391834E-3</v>
      </c>
      <c r="Q21" s="1361">
        <f t="shared" si="10"/>
        <v>4.6153125292849777E-3</v>
      </c>
      <c r="S21" s="454">
        <v>96046.75</v>
      </c>
      <c r="T21" s="454">
        <v>86914.25</v>
      </c>
      <c r="U21" s="454">
        <v>128632.6</v>
      </c>
      <c r="V21" s="454">
        <v>193593.2</v>
      </c>
      <c r="X21" s="1355">
        <f t="shared" si="22"/>
        <v>3.2129947310388873E-2</v>
      </c>
      <c r="Y21" s="1355">
        <f t="shared" si="11"/>
        <v>3.2237667504901472E-2</v>
      </c>
      <c r="Z21" s="1355">
        <f t="shared" si="11"/>
        <v>4.5828388108544983E-2</v>
      </c>
      <c r="AA21" s="1355">
        <f t="shared" si="11"/>
        <v>6.9560738152309579E-2</v>
      </c>
      <c r="AC21" s="1356">
        <f t="shared" si="12"/>
        <v>156.42793159609121</v>
      </c>
      <c r="AD21" s="1356">
        <f t="shared" si="13"/>
        <v>127.25366032210835</v>
      </c>
      <c r="AE21" s="1356">
        <f t="shared" si="14"/>
        <v>139.21277056277057</v>
      </c>
      <c r="AF21" s="1356">
        <f t="shared" si="15"/>
        <v>245.67664974619291</v>
      </c>
      <c r="AH21" s="1360">
        <f t="shared" si="23"/>
        <v>-0.18650295363690578</v>
      </c>
      <c r="AI21" s="1360">
        <f t="shared" si="16"/>
        <v>9.3978516691708217E-2</v>
      </c>
      <c r="AJ21" s="1360">
        <f t="shared" si="16"/>
        <v>0.76475655755603344</v>
      </c>
      <c r="AL21" s="1362">
        <f t="shared" si="17"/>
        <v>-1.6596059932327558</v>
      </c>
      <c r="AM21" s="1362">
        <f t="shared" si="18"/>
        <v>0.26633745601840958</v>
      </c>
      <c r="AN21" s="1362">
        <f t="shared" si="19"/>
        <v>-5.1958460233954034</v>
      </c>
      <c r="AP21" s="1362">
        <f t="shared" si="24"/>
        <v>-1.6596059932327558</v>
      </c>
      <c r="AQ21" s="1362">
        <f t="shared" si="20"/>
        <v>0.26633745601840958</v>
      </c>
      <c r="AR21" s="1362">
        <f t="shared" si="20"/>
        <v>-5.1958460233954034</v>
      </c>
    </row>
    <row r="22" spans="2:44">
      <c r="B22" s="1530" t="s">
        <v>855</v>
      </c>
      <c r="C22"/>
      <c r="D22" s="517"/>
      <c r="E22" s="1523">
        <v>1703</v>
      </c>
      <c r="F22" s="1523">
        <v>2658</v>
      </c>
      <c r="G22" s="1523">
        <v>1962</v>
      </c>
      <c r="H22" s="1523">
        <v>2401</v>
      </c>
      <c r="I22" s="517"/>
      <c r="J22" s="1524">
        <f t="shared" si="21"/>
        <v>0.56077510275983555</v>
      </c>
      <c r="K22" s="1524">
        <f t="shared" si="6"/>
        <v>-0.26185101580135439</v>
      </c>
      <c r="L22" s="1524">
        <f t="shared" si="6"/>
        <v>0.2237512742099898</v>
      </c>
      <c r="M22" s="517"/>
      <c r="N22" s="1525">
        <f t="shared" si="7"/>
        <v>1.0170807453416149E-2</v>
      </c>
      <c r="O22" s="1525">
        <f t="shared" si="8"/>
        <v>1.8358889349357643E-2</v>
      </c>
      <c r="P22" s="1525">
        <f t="shared" si="9"/>
        <v>1.2050190702559284E-2</v>
      </c>
      <c r="Q22" s="1525">
        <f t="shared" si="10"/>
        <v>1.4062646424889889E-2</v>
      </c>
      <c r="R22" s="517"/>
      <c r="S22" s="1523">
        <v>233649.24</v>
      </c>
      <c r="T22" s="1523">
        <v>361115.14</v>
      </c>
      <c r="U22" s="1523">
        <v>260174.34</v>
      </c>
      <c r="V22" s="1523">
        <v>374719.18</v>
      </c>
      <c r="W22" s="517"/>
      <c r="X22" s="1526">
        <f t="shared" si="22"/>
        <v>7.816128885477544E-2</v>
      </c>
      <c r="Y22" s="1526">
        <f t="shared" si="11"/>
        <v>0.133942475650494</v>
      </c>
      <c r="Z22" s="1526">
        <f t="shared" si="11"/>
        <v>9.2693225740632934E-2</v>
      </c>
      <c r="AA22" s="1526">
        <f t="shared" si="11"/>
        <v>0.13464183019149514</v>
      </c>
      <c r="AB22" s="517"/>
      <c r="AC22" s="1527">
        <f t="shared" si="12"/>
        <v>137.19861421021727</v>
      </c>
      <c r="AD22" s="1527">
        <f t="shared" si="13"/>
        <v>135.85972159518437</v>
      </c>
      <c r="AE22" s="1527">
        <f t="shared" si="14"/>
        <v>132.60669724770642</v>
      </c>
      <c r="AF22" s="1527">
        <f t="shared" si="15"/>
        <v>156.06796334860474</v>
      </c>
      <c r="AG22" s="517"/>
      <c r="AH22" s="1526">
        <f t="shared" si="23"/>
        <v>-9.7587910981479578E-3</v>
      </c>
      <c r="AI22" s="1526">
        <f t="shared" si="16"/>
        <v>-2.3943993917276304E-2</v>
      </c>
      <c r="AJ22" s="1526">
        <f t="shared" si="16"/>
        <v>0.17692368928451011</v>
      </c>
      <c r="AL22" s="1359">
        <f t="shared" si="17"/>
        <v>-1.7402325905912015E-2</v>
      </c>
      <c r="AM22" s="1359">
        <f t="shared" si="18"/>
        <v>9.1441287115115538E-2</v>
      </c>
      <c r="AN22" s="1359">
        <f t="shared" si="19"/>
        <v>0.79071589607336867</v>
      </c>
      <c r="AP22" s="1359">
        <f t="shared" si="24"/>
        <v>-1.7402325905912015E-2</v>
      </c>
      <c r="AQ22" s="1359">
        <f t="shared" si="20"/>
        <v>9.1441287115115538E-2</v>
      </c>
      <c r="AR22" s="1359">
        <f t="shared" si="20"/>
        <v>0.79071589607336867</v>
      </c>
    </row>
    <row r="23" spans="2:44">
      <c r="B23" s="1531" t="s">
        <v>856</v>
      </c>
      <c r="C23"/>
      <c r="D23" s="517"/>
      <c r="E23" s="454">
        <v>4148</v>
      </c>
      <c r="F23" s="454">
        <v>2672</v>
      </c>
      <c r="G23" s="454">
        <v>2929</v>
      </c>
      <c r="H23" s="454">
        <v>5397</v>
      </c>
      <c r="J23" s="1360">
        <f t="shared" si="21"/>
        <v>-0.35583413693346189</v>
      </c>
      <c r="K23" s="1360">
        <f t="shared" si="6"/>
        <v>9.6182634730538924E-2</v>
      </c>
      <c r="L23" s="1360">
        <f t="shared" si="6"/>
        <v>0.84260839877091154</v>
      </c>
      <c r="N23" s="1361">
        <f t="shared" si="7"/>
        <v>2.4773053033922601E-2</v>
      </c>
      <c r="O23" s="1361">
        <f t="shared" si="8"/>
        <v>1.8455587788368557E-2</v>
      </c>
      <c r="P23" s="1361">
        <f t="shared" si="9"/>
        <v>1.7989301002954202E-2</v>
      </c>
      <c r="Q23" s="1361">
        <f t="shared" si="10"/>
        <v>3.1610205229125665E-2</v>
      </c>
      <c r="S23" s="454">
        <v>58420.61</v>
      </c>
      <c r="T23" s="454">
        <v>35030.51</v>
      </c>
      <c r="U23" s="454">
        <v>44972.51</v>
      </c>
      <c r="V23" s="454">
        <v>114677.56</v>
      </c>
      <c r="X23" s="1355">
        <f t="shared" si="22"/>
        <v>1.9543098763266608E-2</v>
      </c>
      <c r="Y23" s="1355">
        <f t="shared" si="11"/>
        <v>1.299328860235377E-2</v>
      </c>
      <c r="Z23" s="1355">
        <f t="shared" si="11"/>
        <v>1.6022514063273388E-2</v>
      </c>
      <c r="AA23" s="1355">
        <f t="shared" si="11"/>
        <v>4.120524751440531E-2</v>
      </c>
      <c r="AC23" s="1356">
        <f t="shared" si="12"/>
        <v>14.084042912246867</v>
      </c>
      <c r="AD23" s="1356">
        <f t="shared" si="13"/>
        <v>13.110220808383234</v>
      </c>
      <c r="AE23" s="1356">
        <f t="shared" si="14"/>
        <v>15.35421987026289</v>
      </c>
      <c r="AF23" s="1356">
        <f t="shared" si="15"/>
        <v>21.248389846210859</v>
      </c>
      <c r="AH23" s="1360">
        <f t="shared" si="23"/>
        <v>-6.9143647880882231E-2</v>
      </c>
      <c r="AI23" s="1360">
        <f t="shared" si="16"/>
        <v>0.17116409362417045</v>
      </c>
      <c r="AJ23" s="1360">
        <f t="shared" si="16"/>
        <v>0.38387948236715275</v>
      </c>
      <c r="AL23" s="1362">
        <f t="shared" si="17"/>
        <v>0.19431426247283165</v>
      </c>
      <c r="AM23" s="1362">
        <f t="shared" si="18"/>
        <v>1.7795737671742546</v>
      </c>
      <c r="AN23" s="1362">
        <f t="shared" si="19"/>
        <v>0.45558468551596049</v>
      </c>
      <c r="AP23" s="1362">
        <f t="shared" si="24"/>
        <v>0.19431426247283165</v>
      </c>
      <c r="AQ23" s="1362">
        <f t="shared" si="20"/>
        <v>1.7795737671742546</v>
      </c>
      <c r="AR23" s="1362">
        <f t="shared" si="20"/>
        <v>0.45558468551596049</v>
      </c>
    </row>
    <row r="24" spans="2:44">
      <c r="B24" s="1530" t="s">
        <v>857</v>
      </c>
      <c r="C24"/>
      <c r="D24" s="517"/>
      <c r="E24" s="1523">
        <v>0</v>
      </c>
      <c r="F24" s="1523">
        <v>3681</v>
      </c>
      <c r="G24" s="1523">
        <v>1720</v>
      </c>
      <c r="H24" s="1523">
        <v>2631</v>
      </c>
      <c r="I24" s="517"/>
      <c r="J24" s="1524" t="str">
        <f t="shared" si="21"/>
        <v/>
      </c>
      <c r="K24" s="1524">
        <f t="shared" si="6"/>
        <v>-0.53273566965498509</v>
      </c>
      <c r="L24" s="1524">
        <f t="shared" si="6"/>
        <v>0.52965116279069768</v>
      </c>
      <c r="M24" s="517"/>
      <c r="N24" s="1525">
        <f t="shared" si="7"/>
        <v>0</v>
      </c>
      <c r="O24" s="1525">
        <f t="shared" si="8"/>
        <v>2.5424782428512219E-2</v>
      </c>
      <c r="P24" s="1525">
        <f t="shared" si="9"/>
        <v>1.0563877680123327E-2</v>
      </c>
      <c r="Q24" s="1525">
        <f t="shared" si="10"/>
        <v>1.5409755411863931E-2</v>
      </c>
      <c r="R24" s="517"/>
      <c r="S24" s="1523">
        <v>0</v>
      </c>
      <c r="T24" s="1523">
        <v>54980.4</v>
      </c>
      <c r="U24" s="1523">
        <v>27508.15</v>
      </c>
      <c r="V24" s="1523">
        <v>43673</v>
      </c>
      <c r="W24" s="517"/>
      <c r="X24" s="1526">
        <f t="shared" si="22"/>
        <v>0</v>
      </c>
      <c r="Y24" s="1526">
        <f t="shared" si="11"/>
        <v>2.0392971860040039E-2</v>
      </c>
      <c r="Z24" s="1526">
        <f t="shared" si="11"/>
        <v>9.8004251981851555E-3</v>
      </c>
      <c r="AA24" s="1526">
        <f t="shared" si="11"/>
        <v>1.5692318311417014E-2</v>
      </c>
      <c r="AB24" s="517"/>
      <c r="AC24" s="1527" t="str">
        <f t="shared" si="12"/>
        <v/>
      </c>
      <c r="AD24" s="1527">
        <f t="shared" si="13"/>
        <v>14.936267318663408</v>
      </c>
      <c r="AE24" s="1527">
        <f t="shared" si="14"/>
        <v>15.993110465116279</v>
      </c>
      <c r="AF24" s="1527">
        <f t="shared" si="15"/>
        <v>16.599391866210567</v>
      </c>
      <c r="AG24" s="517"/>
      <c r="AH24" s="1526" t="str">
        <f t="shared" si="23"/>
        <v/>
      </c>
      <c r="AI24" s="1526">
        <f t="shared" si="16"/>
        <v>7.0756844659060694E-2</v>
      </c>
      <c r="AJ24" s="1526">
        <f t="shared" si="16"/>
        <v>3.7908910991185325E-2</v>
      </c>
      <c r="AL24" s="1528" t="str">
        <f t="shared" si="17"/>
        <v/>
      </c>
      <c r="AM24" s="1359">
        <f t="shared" si="18"/>
        <v>-0.13281792207547291</v>
      </c>
      <c r="AN24" s="1359">
        <f t="shared" si="19"/>
        <v>7.157335554867042E-2</v>
      </c>
      <c r="AP24" s="1528" t="str">
        <f t="shared" si="24"/>
        <v/>
      </c>
      <c r="AQ24" s="1359">
        <f t="shared" si="20"/>
        <v>-0.13281792207547291</v>
      </c>
      <c r="AR24" s="1359">
        <f t="shared" si="20"/>
        <v>7.157335554867042E-2</v>
      </c>
    </row>
    <row r="25" spans="2:44">
      <c r="B25" s="1531" t="s">
        <v>858</v>
      </c>
      <c r="C25"/>
      <c r="D25" s="517"/>
      <c r="E25" s="454">
        <v>4045</v>
      </c>
      <c r="F25" s="454">
        <v>8449</v>
      </c>
      <c r="G25" s="454">
        <v>7953</v>
      </c>
      <c r="H25" s="454">
        <v>1785</v>
      </c>
      <c r="J25" s="1360">
        <f t="shared" si="21"/>
        <v>1.088751545117429</v>
      </c>
      <c r="K25" s="1360">
        <f t="shared" si="6"/>
        <v>-5.8705172209728963E-2</v>
      </c>
      <c r="L25" s="1360">
        <f t="shared" si="6"/>
        <v>-0.77555639381365526</v>
      </c>
      <c r="N25" s="1361">
        <f t="shared" si="7"/>
        <v>2.4157907310081224E-2</v>
      </c>
      <c r="O25" s="1361">
        <f t="shared" si="8"/>
        <v>5.835750794308605E-2</v>
      </c>
      <c r="P25" s="1361">
        <f t="shared" si="9"/>
        <v>4.8845650691872571E-2</v>
      </c>
      <c r="Q25" s="1361">
        <f t="shared" si="10"/>
        <v>1.0454737138037672E-2</v>
      </c>
      <c r="S25" s="454">
        <v>22725.200000000001</v>
      </c>
      <c r="T25" s="454">
        <v>28994.94</v>
      </c>
      <c r="U25" s="454">
        <v>27233.57</v>
      </c>
      <c r="V25" s="454">
        <v>5422.1</v>
      </c>
      <c r="X25" s="1355">
        <f t="shared" si="22"/>
        <v>7.6021258253720107E-3</v>
      </c>
      <c r="Y25" s="1355">
        <f t="shared" si="11"/>
        <v>1.0754614289884201E-2</v>
      </c>
      <c r="Z25" s="1355">
        <f t="shared" si="11"/>
        <v>9.7025996173693719E-3</v>
      </c>
      <c r="AA25" s="1355">
        <f t="shared" si="11"/>
        <v>1.9482361897816543E-3</v>
      </c>
      <c r="AC25" s="1356">
        <f t="shared" si="12"/>
        <v>5.6180964153275648</v>
      </c>
      <c r="AD25" s="1356">
        <f t="shared" si="13"/>
        <v>3.4317599715942713</v>
      </c>
      <c r="AE25" s="1356">
        <f t="shared" si="14"/>
        <v>3.424314095309946</v>
      </c>
      <c r="AF25" s="1356">
        <f t="shared" si="15"/>
        <v>3.037591036414566</v>
      </c>
      <c r="AH25" s="1360">
        <f t="shared" si="23"/>
        <v>-0.38915965161587895</v>
      </c>
      <c r="AI25" s="1360">
        <f t="shared" si="16"/>
        <v>-2.1696961168488028E-3</v>
      </c>
      <c r="AJ25" s="1360">
        <f t="shared" si="16"/>
        <v>-0.11293445873585276</v>
      </c>
      <c r="AL25" s="1362">
        <f t="shared" si="17"/>
        <v>-0.35743660099596508</v>
      </c>
      <c r="AM25" s="1362">
        <f t="shared" si="18"/>
        <v>3.695919857107971E-2</v>
      </c>
      <c r="AN25" s="1362">
        <f t="shared" si="19"/>
        <v>0.14561733954705527</v>
      </c>
      <c r="AP25" s="1362">
        <f t="shared" si="24"/>
        <v>-0.35743660099596508</v>
      </c>
      <c r="AQ25" s="1362">
        <f t="shared" si="20"/>
        <v>3.695919857107971E-2</v>
      </c>
      <c r="AR25" s="1362">
        <f t="shared" si="20"/>
        <v>0.14561733954705527</v>
      </c>
    </row>
    <row r="26" spans="2:44">
      <c r="B26" s="1530" t="s">
        <v>859</v>
      </c>
      <c r="C26"/>
      <c r="D26" s="517"/>
      <c r="E26" s="1523">
        <v>1269</v>
      </c>
      <c r="F26" s="1523">
        <v>986</v>
      </c>
      <c r="G26" s="1523">
        <v>546</v>
      </c>
      <c r="H26" s="1523">
        <v>623</v>
      </c>
      <c r="I26" s="517"/>
      <c r="J26" s="1524">
        <f t="shared" si="21"/>
        <v>-0.22301024428684002</v>
      </c>
      <c r="K26" s="1524">
        <f t="shared" si="6"/>
        <v>-0.44624746450304259</v>
      </c>
      <c r="L26" s="1524">
        <f t="shared" si="6"/>
        <v>0.14102564102564102</v>
      </c>
      <c r="M26" s="517"/>
      <c r="N26" s="1525">
        <f t="shared" si="7"/>
        <v>7.5788342092689915E-3</v>
      </c>
      <c r="O26" s="1525">
        <f t="shared" si="8"/>
        <v>6.8103329189114501E-3</v>
      </c>
      <c r="P26" s="1525">
        <f t="shared" si="9"/>
        <v>3.3534169845042656E-3</v>
      </c>
      <c r="Q26" s="1525">
        <f t="shared" si="10"/>
        <v>3.6489082560209915E-3</v>
      </c>
      <c r="R26" s="517"/>
      <c r="S26" s="1523">
        <v>95195.44</v>
      </c>
      <c r="T26" s="1523">
        <v>76324.95</v>
      </c>
      <c r="U26" s="1523">
        <v>39789.4</v>
      </c>
      <c r="V26" s="1523">
        <v>31774.400000000001</v>
      </c>
      <c r="W26" s="517"/>
      <c r="X26" s="1526">
        <f t="shared" si="22"/>
        <v>3.1845163645717163E-2</v>
      </c>
      <c r="Y26" s="1526">
        <f t="shared" si="11"/>
        <v>2.8309953320982805E-2</v>
      </c>
      <c r="Z26" s="1526">
        <f t="shared" si="11"/>
        <v>1.4175909262551949E-2</v>
      </c>
      <c r="AA26" s="1526">
        <f t="shared" si="11"/>
        <v>1.1416985298795337E-2</v>
      </c>
      <c r="AB26" s="517"/>
      <c r="AC26" s="1527">
        <f t="shared" si="12"/>
        <v>75.016107171000783</v>
      </c>
      <c r="AD26" s="1527">
        <f t="shared" si="13"/>
        <v>77.408671399594311</v>
      </c>
      <c r="AE26" s="1527">
        <f t="shared" si="14"/>
        <v>72.874358974358984</v>
      </c>
      <c r="AF26" s="1527">
        <f t="shared" si="15"/>
        <v>51.002247191011236</v>
      </c>
      <c r="AG26" s="517"/>
      <c r="AH26" s="1526">
        <f t="shared" si="23"/>
        <v>3.1894006751638393E-2</v>
      </c>
      <c r="AI26" s="1526">
        <f t="shared" si="16"/>
        <v>-5.8576285359925338E-2</v>
      </c>
      <c r="AJ26" s="1526">
        <f t="shared" si="16"/>
        <v>-0.30013453416507585</v>
      </c>
      <c r="AL26" s="1359">
        <f t="shared" si="17"/>
        <v>-0.14301588186512057</v>
      </c>
      <c r="AM26" s="1359">
        <f t="shared" si="18"/>
        <v>0.13126413037474177</v>
      </c>
      <c r="AN26" s="1528">
        <f t="shared" si="19"/>
        <v>-2.1282266968069017</v>
      </c>
      <c r="AP26" s="1359">
        <f t="shared" si="24"/>
        <v>-0.14301588186512057</v>
      </c>
      <c r="AQ26" s="1359">
        <f t="shared" si="20"/>
        <v>0.13126413037474177</v>
      </c>
      <c r="AR26" s="1528">
        <f t="shared" si="20"/>
        <v>-2.1282266968069017</v>
      </c>
    </row>
    <row r="27" spans="2:44">
      <c r="B27" s="1531" t="s">
        <v>860</v>
      </c>
      <c r="C27"/>
      <c r="D27" s="517"/>
      <c r="E27" s="454">
        <v>400</v>
      </c>
      <c r="F27" s="454">
        <v>570</v>
      </c>
      <c r="G27" s="454">
        <v>450</v>
      </c>
      <c r="H27" s="454">
        <v>3685</v>
      </c>
      <c r="J27" s="1360">
        <f t="shared" si="21"/>
        <v>0.42499999999999999</v>
      </c>
      <c r="K27" s="1360">
        <f t="shared" si="6"/>
        <v>-0.21052631578947367</v>
      </c>
      <c r="L27" s="1360">
        <f t="shared" si="6"/>
        <v>7.1888888888888891</v>
      </c>
      <c r="N27" s="1361">
        <f t="shared" si="7"/>
        <v>2.3889154323936935E-3</v>
      </c>
      <c r="O27" s="1361">
        <f t="shared" si="8"/>
        <v>3.9370078740157471E-3</v>
      </c>
      <c r="P27" s="1361">
        <f t="shared" si="9"/>
        <v>2.76380520700901E-3</v>
      </c>
      <c r="Q27" s="1361">
        <f t="shared" si="10"/>
        <v>2.1583028769562366E-2</v>
      </c>
      <c r="S27" s="454">
        <v>3253</v>
      </c>
      <c r="T27" s="454">
        <v>6767</v>
      </c>
      <c r="U27" s="454">
        <v>4170</v>
      </c>
      <c r="V27" s="454">
        <v>16061.84</v>
      </c>
      <c r="X27" s="1355">
        <f t="shared" si="22"/>
        <v>1.0882067180898365E-3</v>
      </c>
      <c r="Y27" s="1355">
        <f t="shared" si="11"/>
        <v>2.5099715639917307E-3</v>
      </c>
      <c r="Z27" s="1355">
        <f t="shared" si="11"/>
        <v>1.4856605433819466E-3</v>
      </c>
      <c r="AA27" s="1355">
        <f t="shared" si="11"/>
        <v>5.7712432383177307E-3</v>
      </c>
      <c r="AC27" s="1356">
        <f t="shared" si="12"/>
        <v>8.1325000000000003</v>
      </c>
      <c r="AD27" s="1356">
        <f t="shared" si="13"/>
        <v>11.871929824561404</v>
      </c>
      <c r="AE27" s="1356">
        <f t="shared" si="14"/>
        <v>9.2666666666666675</v>
      </c>
      <c r="AF27" s="1356">
        <f t="shared" si="15"/>
        <v>4.3587082767978291</v>
      </c>
      <c r="AH27" s="1360">
        <f t="shared" si="23"/>
        <v>0.45981307403152821</v>
      </c>
      <c r="AI27" s="1360">
        <f t="shared" si="16"/>
        <v>-0.2194473178661149</v>
      </c>
      <c r="AJ27" s="1360">
        <f t="shared" si="16"/>
        <v>-0.52963579746786016</v>
      </c>
      <c r="AL27" s="1362">
        <f t="shared" si="17"/>
        <v>1.0819131153683017</v>
      </c>
      <c r="AM27" s="1362">
        <f t="shared" si="18"/>
        <v>1.0423747598640458</v>
      </c>
      <c r="AN27" s="1362">
        <f t="shared" si="19"/>
        <v>-7.3674222213458138E-2</v>
      </c>
      <c r="AP27" s="1362">
        <f t="shared" si="24"/>
        <v>1.0819131153683017</v>
      </c>
      <c r="AQ27" s="1362">
        <f t="shared" si="20"/>
        <v>1.0423747598640458</v>
      </c>
      <c r="AR27" s="1362">
        <f t="shared" si="20"/>
        <v>-7.3674222213458138E-2</v>
      </c>
    </row>
    <row r="28" spans="2:44">
      <c r="B28" s="1530" t="s">
        <v>861</v>
      </c>
      <c r="C28"/>
      <c r="D28" s="517"/>
      <c r="E28" s="1523">
        <v>11678</v>
      </c>
      <c r="F28" s="1523">
        <v>7610</v>
      </c>
      <c r="G28" s="1523">
        <v>9125</v>
      </c>
      <c r="H28" s="1523">
        <v>10903</v>
      </c>
      <c r="I28" s="517"/>
      <c r="J28" s="1524">
        <f t="shared" si="21"/>
        <v>-0.34834731974653194</v>
      </c>
      <c r="K28" s="1524">
        <f t="shared" si="21"/>
        <v>0.19908015768725362</v>
      </c>
      <c r="L28" s="1524">
        <f t="shared" si="21"/>
        <v>0.19484931506849315</v>
      </c>
      <c r="M28" s="517"/>
      <c r="N28" s="1525">
        <f t="shared" si="7"/>
        <v>6.974438604873387E-2</v>
      </c>
      <c r="O28" s="1525">
        <f t="shared" si="8"/>
        <v>5.2562508633789189E-2</v>
      </c>
      <c r="P28" s="1525">
        <f t="shared" si="9"/>
        <v>5.6043827808793814E-2</v>
      </c>
      <c r="Q28" s="1525">
        <f t="shared" si="10"/>
        <v>6.3858822978165114E-2</v>
      </c>
      <c r="R28" s="517"/>
      <c r="S28" s="1523">
        <v>178151.2</v>
      </c>
      <c r="T28" s="1523">
        <v>140065.73000000001</v>
      </c>
      <c r="U28" s="1523">
        <v>167217.82999999999</v>
      </c>
      <c r="V28" s="1523">
        <v>143433.60999999999</v>
      </c>
      <c r="W28" s="517"/>
      <c r="X28" s="1526">
        <f t="shared" si="22"/>
        <v>5.9595860029439313E-2</v>
      </c>
      <c r="Y28" s="1526">
        <f t="shared" si="22"/>
        <v>5.1952268270983225E-2</v>
      </c>
      <c r="Z28" s="1526">
        <f t="shared" si="22"/>
        <v>5.9575283496630681E-2</v>
      </c>
      <c r="AA28" s="1526">
        <f t="shared" si="22"/>
        <v>5.1537697540257048E-2</v>
      </c>
      <c r="AB28" s="517"/>
      <c r="AC28" s="1527">
        <f t="shared" si="12"/>
        <v>15.255283438945026</v>
      </c>
      <c r="AD28" s="1527">
        <f t="shared" si="13"/>
        <v>18.405483574244418</v>
      </c>
      <c r="AE28" s="1527">
        <f t="shared" si="14"/>
        <v>18.325241643835614</v>
      </c>
      <c r="AF28" s="1527">
        <f t="shared" si="15"/>
        <v>13.155426029533155</v>
      </c>
      <c r="AG28" s="517"/>
      <c r="AH28" s="1526">
        <f t="shared" si="23"/>
        <v>0.20649895807620877</v>
      </c>
      <c r="AI28" s="1526">
        <f t="shared" si="23"/>
        <v>-4.3596752068546197E-3</v>
      </c>
      <c r="AJ28" s="1526">
        <f t="shared" si="23"/>
        <v>-0.28211445801270085</v>
      </c>
      <c r="AL28" s="1359">
        <f t="shared" si="17"/>
        <v>-0.59279617315977529</v>
      </c>
      <c r="AM28" s="1359">
        <f t="shared" si="18"/>
        <v>-2.1899094603408352E-2</v>
      </c>
      <c r="AN28" s="1528">
        <f t="shared" si="19"/>
        <v>-1.4478596340640582</v>
      </c>
      <c r="AP28" s="1359">
        <f t="shared" si="24"/>
        <v>-0.59279617315977529</v>
      </c>
      <c r="AQ28" s="1359">
        <f t="shared" si="24"/>
        <v>-2.1899094603408352E-2</v>
      </c>
      <c r="AR28" s="1528">
        <f t="shared" si="24"/>
        <v>-1.4478596340640582</v>
      </c>
    </row>
    <row r="29" spans="2:44">
      <c r="B29" s="1531" t="s">
        <v>862</v>
      </c>
      <c r="C29"/>
      <c r="D29" s="517"/>
      <c r="E29" s="454">
        <v>1806</v>
      </c>
      <c r="F29" s="454">
        <v>2654</v>
      </c>
      <c r="G29" s="454">
        <v>1131</v>
      </c>
      <c r="H29" s="454">
        <v>1915</v>
      </c>
      <c r="J29" s="1360">
        <f t="shared" si="21"/>
        <v>0.46954595791805093</v>
      </c>
      <c r="K29" s="1360">
        <f t="shared" si="21"/>
        <v>-0.57385079125847782</v>
      </c>
      <c r="L29" s="1360">
        <f t="shared" si="21"/>
        <v>0.69319186560565871</v>
      </c>
      <c r="N29" s="1361">
        <f t="shared" si="7"/>
        <v>1.0785953177257526E-2</v>
      </c>
      <c r="O29" s="1361">
        <f t="shared" si="8"/>
        <v>1.8331261223925952E-2</v>
      </c>
      <c r="P29" s="1361">
        <f t="shared" si="9"/>
        <v>6.9463637536159783E-3</v>
      </c>
      <c r="Q29" s="1361">
        <f t="shared" si="10"/>
        <v>1.1216146565457783E-2</v>
      </c>
      <c r="S29" s="454">
        <v>32926.94</v>
      </c>
      <c r="T29" s="454">
        <v>9805.2000000000007</v>
      </c>
      <c r="U29" s="454">
        <v>12843.52</v>
      </c>
      <c r="V29" s="454">
        <v>9965.9599999999991</v>
      </c>
      <c r="X29" s="1355">
        <f t="shared" si="22"/>
        <v>1.1014853155284648E-2</v>
      </c>
      <c r="Y29" s="1355">
        <f t="shared" si="22"/>
        <v>3.6368809190559653E-3</v>
      </c>
      <c r="Z29" s="1355">
        <f t="shared" si="22"/>
        <v>4.5758059717354678E-3</v>
      </c>
      <c r="AA29" s="1355">
        <f t="shared" si="22"/>
        <v>3.5809084926350259E-3</v>
      </c>
      <c r="AC29" s="1356">
        <f t="shared" si="12"/>
        <v>18.231971207087486</v>
      </c>
      <c r="AD29" s="1356">
        <f t="shared" si="13"/>
        <v>3.6944988696307464</v>
      </c>
      <c r="AE29" s="1356">
        <f t="shared" si="14"/>
        <v>11.355897435897436</v>
      </c>
      <c r="AF29" s="1356">
        <f t="shared" si="15"/>
        <v>5.2041566579634457</v>
      </c>
      <c r="AH29" s="1360">
        <f t="shared" si="23"/>
        <v>-0.79736152346518907</v>
      </c>
      <c r="AI29" s="1360">
        <f t="shared" si="23"/>
        <v>2.0737314684934312</v>
      </c>
      <c r="AJ29" s="1360">
        <f t="shared" si="23"/>
        <v>-0.5417221151088909</v>
      </c>
      <c r="AL29" s="1362">
        <f t="shared" si="17"/>
        <v>-1.698154376625155</v>
      </c>
      <c r="AM29" s="1362">
        <f t="shared" si="18"/>
        <v>-3.6137119615112052</v>
      </c>
      <c r="AN29" s="1362">
        <f t="shared" si="19"/>
        <v>-0.78148942881142303</v>
      </c>
      <c r="AP29" s="1362">
        <f t="shared" si="24"/>
        <v>-1.698154376625155</v>
      </c>
      <c r="AQ29" s="1362">
        <f t="shared" si="24"/>
        <v>-3.6137119615112052</v>
      </c>
      <c r="AR29" s="1362">
        <f t="shared" si="24"/>
        <v>-0.78148942881142303</v>
      </c>
    </row>
    <row r="30" spans="2:44">
      <c r="B30" s="1530" t="s">
        <v>863</v>
      </c>
      <c r="C30"/>
      <c r="D30" s="517"/>
      <c r="E30" s="1523">
        <v>0</v>
      </c>
      <c r="F30" s="1523">
        <v>198</v>
      </c>
      <c r="G30" s="1523">
        <v>3834</v>
      </c>
      <c r="H30" s="1523">
        <v>548</v>
      </c>
      <c r="I30" s="517"/>
      <c r="J30" s="1524" t="str">
        <f t="shared" si="21"/>
        <v/>
      </c>
      <c r="K30" s="1524">
        <f t="shared" si="21"/>
        <v>18.363636363636363</v>
      </c>
      <c r="L30" s="1524">
        <f t="shared" si="21"/>
        <v>-0.85706833594157539</v>
      </c>
      <c r="M30" s="517"/>
      <c r="N30" s="1525">
        <f t="shared" si="7"/>
        <v>0</v>
      </c>
      <c r="O30" s="1525">
        <f t="shared" si="8"/>
        <v>1.3675922088686281E-3</v>
      </c>
      <c r="P30" s="1525">
        <f t="shared" si="9"/>
        <v>2.3547620363716767E-2</v>
      </c>
      <c r="Q30" s="1525">
        <f t="shared" si="10"/>
        <v>3.209633586355543E-3</v>
      </c>
      <c r="R30" s="517"/>
      <c r="S30" s="1523">
        <v>0</v>
      </c>
      <c r="T30" s="1523">
        <v>10650.96</v>
      </c>
      <c r="U30" s="1523">
        <v>34383.46</v>
      </c>
      <c r="V30" s="1523">
        <v>7162.4</v>
      </c>
      <c r="W30" s="517"/>
      <c r="X30" s="1526">
        <f t="shared" si="22"/>
        <v>0</v>
      </c>
      <c r="Y30" s="1526">
        <f t="shared" si="22"/>
        <v>3.9505847095039695E-3</v>
      </c>
      <c r="Z30" s="1526">
        <f t="shared" si="22"/>
        <v>1.2249916035240149E-2</v>
      </c>
      <c r="AA30" s="1526">
        <f t="shared" si="22"/>
        <v>2.573550263863101E-3</v>
      </c>
      <c r="AB30" s="517"/>
      <c r="AC30" s="1527" t="str">
        <f t="shared" si="12"/>
        <v/>
      </c>
      <c r="AD30" s="1527">
        <f t="shared" si="13"/>
        <v>53.792727272727269</v>
      </c>
      <c r="AE30" s="1527">
        <f t="shared" si="14"/>
        <v>8.9680386019822631</v>
      </c>
      <c r="AF30" s="1527">
        <f t="shared" si="15"/>
        <v>13.070072992700728</v>
      </c>
      <c r="AG30" s="517"/>
      <c r="AH30" s="1526" t="str">
        <f t="shared" si="23"/>
        <v/>
      </c>
      <c r="AI30" s="1526">
        <f t="shared" si="23"/>
        <v>-0.83328529604913659</v>
      </c>
      <c r="AJ30" s="1526">
        <f t="shared" si="23"/>
        <v>0.45740596944038203</v>
      </c>
      <c r="AL30" s="1528" t="str">
        <f t="shared" si="17"/>
        <v/>
      </c>
      <c r="AM30" s="1359">
        <f t="shared" si="18"/>
        <v>-4.5376922062081694E-2</v>
      </c>
      <c r="AN30" s="1359">
        <f t="shared" si="19"/>
        <v>-0.53368669714985539</v>
      </c>
      <c r="AP30" s="1528" t="str">
        <f t="shared" si="24"/>
        <v/>
      </c>
      <c r="AQ30" s="1359">
        <f t="shared" si="24"/>
        <v>-4.5376922062081694E-2</v>
      </c>
      <c r="AR30" s="1359">
        <f t="shared" si="24"/>
        <v>-0.53368669714985539</v>
      </c>
    </row>
    <row r="31" spans="2:44">
      <c r="B31" s="1531" t="s">
        <v>864</v>
      </c>
      <c r="C31"/>
      <c r="D31" s="517"/>
      <c r="E31" s="454">
        <v>0</v>
      </c>
      <c r="F31" s="454">
        <v>2877</v>
      </c>
      <c r="G31" s="454">
        <v>2584</v>
      </c>
      <c r="H31" s="454">
        <v>2013</v>
      </c>
      <c r="J31" s="1360" t="str">
        <f t="shared" si="21"/>
        <v/>
      </c>
      <c r="K31" s="1360">
        <f t="shared" si="21"/>
        <v>-0.10184219673270768</v>
      </c>
      <c r="L31" s="1360">
        <f t="shared" si="21"/>
        <v>-0.22097523219814241</v>
      </c>
      <c r="N31" s="1361">
        <f t="shared" si="7"/>
        <v>0</v>
      </c>
      <c r="O31" s="1361">
        <f t="shared" si="8"/>
        <v>1.987152921674264E-2</v>
      </c>
      <c r="P31" s="1361">
        <f t="shared" si="9"/>
        <v>1.5870383677580625E-2</v>
      </c>
      <c r="Q31" s="1361">
        <f t="shared" si="10"/>
        <v>1.1790132133820635E-2</v>
      </c>
      <c r="S31" s="454">
        <v>0</v>
      </c>
      <c r="T31" s="454">
        <v>11829.72</v>
      </c>
      <c r="U31" s="454">
        <v>17203.48</v>
      </c>
      <c r="V31" s="454">
        <v>17956.77</v>
      </c>
      <c r="X31" s="1355">
        <f t="shared" si="22"/>
        <v>0</v>
      </c>
      <c r="Y31" s="1355">
        <f t="shared" si="22"/>
        <v>4.387802690998116E-3</v>
      </c>
      <c r="Z31" s="1355">
        <f t="shared" si="22"/>
        <v>6.1291442313814032E-3</v>
      </c>
      <c r="AA31" s="1355">
        <f t="shared" si="22"/>
        <v>6.452118029100444E-3</v>
      </c>
      <c r="AC31" s="1356" t="str">
        <f t="shared" si="12"/>
        <v/>
      </c>
      <c r="AD31" s="1356">
        <f t="shared" si="13"/>
        <v>4.1118248175182481</v>
      </c>
      <c r="AE31" s="1356">
        <f t="shared" si="14"/>
        <v>6.6576934984520122</v>
      </c>
      <c r="AF31" s="1356">
        <f t="shared" si="15"/>
        <v>8.9204023845007452</v>
      </c>
      <c r="AH31" s="1360" t="str">
        <f t="shared" si="23"/>
        <v/>
      </c>
      <c r="AI31" s="1360">
        <f t="shared" si="23"/>
        <v>0.61915786637777048</v>
      </c>
      <c r="AJ31" s="1360">
        <f t="shared" si="23"/>
        <v>0.33986378113904431</v>
      </c>
      <c r="AL31" s="1362" t="str">
        <f t="shared" si="17"/>
        <v/>
      </c>
      <c r="AM31" s="1362">
        <f t="shared" si="18"/>
        <v>-6.0795808244670502</v>
      </c>
      <c r="AN31" s="1362">
        <f t="shared" si="19"/>
        <v>-1.5380175314593529</v>
      </c>
      <c r="AP31" s="1362" t="str">
        <f t="shared" si="24"/>
        <v/>
      </c>
      <c r="AQ31" s="1362">
        <f t="shared" si="24"/>
        <v>-6.0795808244670502</v>
      </c>
      <c r="AR31" s="1362">
        <f t="shared" si="24"/>
        <v>-1.5380175314593529</v>
      </c>
    </row>
    <row r="32" spans="2:44">
      <c r="C32"/>
      <c r="D32"/>
      <c r="E32" s="437"/>
      <c r="F32" s="437"/>
      <c r="G32" s="437"/>
      <c r="H32" s="437"/>
      <c r="J32" s="1360"/>
      <c r="K32" s="1360"/>
      <c r="L32" s="1360"/>
      <c r="N32" s="1363"/>
      <c r="O32" s="1363"/>
      <c r="P32" s="1363"/>
      <c r="Q32" s="1363"/>
      <c r="AL32" s="1358"/>
      <c r="AM32" s="1358"/>
      <c r="AN32" s="1358"/>
    </row>
    <row r="33" spans="3:44">
      <c r="C33"/>
      <c r="AL33" s="1375" t="s">
        <v>760</v>
      </c>
      <c r="AM33" s="1376"/>
      <c r="AN33" s="1377"/>
      <c r="AP33" s="1375" t="s">
        <v>776</v>
      </c>
      <c r="AQ33" s="1376"/>
      <c r="AR33" s="1377"/>
    </row>
    <row r="34" spans="3:44">
      <c r="AL34" s="1378">
        <f>SUMPRODUCT(AL12:AL31,$O12:$O31)</f>
        <v>-0.17478382115752975</v>
      </c>
      <c r="AM34" s="1379">
        <f>SUMPRODUCT(AM12:AM31,$P12:$P31)</f>
        <v>0.25821009830546693</v>
      </c>
      <c r="AN34" s="1380">
        <f>SUMPRODUCT(AN12:AN31,$Q12:$Q31)</f>
        <v>-5.9027870304651122</v>
      </c>
      <c r="AP34" s="1381">
        <f>SUMPRODUCT(AP12:AP31,$O12:$O31)</f>
        <v>-0.17478382115752975</v>
      </c>
      <c r="AQ34" s="1382">
        <f>SUMPRODUCT(AQ12:AQ31,$P12:$P31)</f>
        <v>0.25821009830546693</v>
      </c>
      <c r="AR34" s="1383">
        <f>SUMPRODUCT(AR12:AR31,$Q12:$Q31)</f>
        <v>-0.33355607159693723</v>
      </c>
    </row>
    <row r="35" spans="3:44">
      <c r="AN35" s="1364"/>
    </row>
    <row r="48" spans="3:44">
      <c r="AC48" s="1522"/>
    </row>
  </sheetData>
  <sheetProtection algorithmName="SHA-512" hashValue="rNU3mIJCunJJFDkzMHthqeYkYbqWGQ5Tb3rXVnUHDbqTQT/S5vfo2pUNaddqBe+rFCX8dFLpszsb3klZ+XanTQ==" saltValue="DvR05BmIJHIYZFKcUXGcpA==" spinCount="100000" sheet="1" objects="1" scenarios="1"/>
  <conditionalFormatting sqref="AL12:AN31">
    <cfRule type="cellIs" dxfId="1" priority="2" operator="between">
      <formula>-1</formula>
      <formula>1</formula>
    </cfRule>
  </conditionalFormatting>
  <conditionalFormatting sqref="AP12:AR13 AP15:AR31 AP14:AQ14">
    <cfRule type="cellIs" dxfId="0" priority="1" operator="between">
      <formula>-1</formula>
      <formula>1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0811D-7631-447A-A3CC-CC6B3B4EDE8A}">
  <sheetPr>
    <pageSetUpPr autoPageBreaks="0"/>
  </sheetPr>
  <dimension ref="B1:AQ45"/>
  <sheetViews>
    <sheetView zoomScale="80" zoomScaleNormal="80" workbookViewId="0">
      <selection activeCell="AD23" sqref="AD23"/>
    </sheetView>
  </sheetViews>
  <sheetFormatPr defaultRowHeight="14.5"/>
  <cols>
    <col min="1" max="1" width="2.1796875" style="174" customWidth="1"/>
    <col min="2" max="7" width="8.7265625" style="174"/>
    <col min="8" max="8" width="12.26953125" style="174" customWidth="1"/>
    <col min="9" max="9" width="10" style="174" customWidth="1"/>
    <col min="10" max="10" width="8.7265625" style="174"/>
    <col min="11" max="12" width="8.7265625" style="174" customWidth="1"/>
    <col min="13" max="14" width="12.81640625" style="906" customWidth="1"/>
    <col min="15" max="15" width="12.1796875" style="906" customWidth="1"/>
    <col min="16" max="16" width="12.08984375" style="906" customWidth="1"/>
    <col min="17" max="17" width="11.36328125" style="906" customWidth="1"/>
    <col min="18" max="18" width="8.7265625" style="906"/>
    <col min="19" max="23" width="8.7265625" style="174"/>
    <col min="24" max="25" width="14.08984375" style="174" customWidth="1"/>
    <col min="26" max="16384" width="8.7265625" style="174"/>
  </cols>
  <sheetData>
    <row r="1" spans="2:43" ht="6.75" customHeight="1"/>
    <row r="2" spans="2:43" s="207" customFormat="1" ht="17">
      <c r="B2" s="1148" t="s">
        <v>528</v>
      </c>
      <c r="M2" s="1134"/>
      <c r="N2" s="1134"/>
      <c r="O2" s="1134"/>
      <c r="P2" s="1134"/>
      <c r="Q2" s="1134"/>
      <c r="R2" s="1134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</row>
    <row r="3" spans="2:43" s="207" customFormat="1" ht="5.15" customHeight="1" thickBot="1">
      <c r="M3" s="1134"/>
      <c r="N3" s="1134"/>
      <c r="O3" s="1134"/>
      <c r="P3" s="1134"/>
      <c r="Q3" s="1134"/>
      <c r="R3" s="1134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</row>
    <row r="4" spans="2:43" s="207" customFormat="1">
      <c r="B4" s="1149"/>
      <c r="C4" s="1149"/>
      <c r="D4" s="1149"/>
      <c r="E4" s="1149"/>
      <c r="F4" s="1149"/>
      <c r="G4" s="1149"/>
      <c r="H4" s="1149"/>
      <c r="I4" s="1149"/>
      <c r="J4" s="1149"/>
      <c r="K4" s="1149"/>
      <c r="L4" s="1149"/>
      <c r="M4" s="1158"/>
      <c r="N4" s="1158"/>
      <c r="O4" s="1158"/>
      <c r="P4" s="1158"/>
      <c r="Q4" s="1158"/>
      <c r="R4" s="1158"/>
      <c r="S4" s="1149"/>
      <c r="T4" s="1149"/>
      <c r="U4" s="1149"/>
      <c r="V4" s="1149"/>
      <c r="W4" s="1149"/>
      <c r="X4" s="1149"/>
      <c r="Y4" s="1149"/>
      <c r="Z4" s="1149"/>
      <c r="AA4" s="1149"/>
      <c r="AB4" s="1149"/>
      <c r="AC4" s="1149"/>
      <c r="AD4" s="1149"/>
      <c r="AE4" s="1149"/>
      <c r="AF4" s="1149"/>
      <c r="AG4" s="1149"/>
      <c r="AH4" s="1149"/>
      <c r="AI4" s="1149"/>
      <c r="AJ4" s="1149"/>
      <c r="AK4" s="1149"/>
      <c r="AL4" s="1149"/>
      <c r="AM4" s="1149"/>
      <c r="AN4" s="1149"/>
      <c r="AO4" s="1149"/>
      <c r="AP4" s="1149"/>
      <c r="AQ4" s="1149"/>
    </row>
    <row r="5" spans="2:43" s="207" customFormat="1">
      <c r="B5" s="1423" t="s">
        <v>796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160"/>
      <c r="N5" s="1160"/>
      <c r="O5" s="1160"/>
      <c r="P5" s="1160"/>
      <c r="Q5" s="1160"/>
      <c r="R5" s="1160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</row>
    <row r="6" spans="2:43" s="207" customFormat="1"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160"/>
      <c r="N6" s="1160"/>
      <c r="O6" s="1160"/>
      <c r="P6" s="1160"/>
      <c r="Q6" s="1160"/>
      <c r="R6" s="1160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</row>
    <row r="7" spans="2:43" s="207" customFormat="1"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160"/>
      <c r="N7" s="1160"/>
      <c r="O7" s="1160"/>
      <c r="P7" s="1160"/>
      <c r="Q7" s="1160"/>
      <c r="R7" s="1160"/>
      <c r="S7" s="151"/>
      <c r="T7" s="151"/>
      <c r="U7" s="151"/>
      <c r="V7" s="151"/>
      <c r="W7" s="151"/>
      <c r="X7"/>
      <c r="Y7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</row>
    <row r="8" spans="2:43" s="207" customFormat="1">
      <c r="B8" s="151"/>
      <c r="C8" s="151"/>
      <c r="D8" s="151"/>
      <c r="E8" s="151"/>
      <c r="F8" s="151"/>
      <c r="G8" s="151"/>
      <c r="H8" s="151"/>
      <c r="I8" s="475" t="s">
        <v>677</v>
      </c>
      <c r="J8" s="151"/>
      <c r="K8" s="151"/>
      <c r="L8" s="151"/>
      <c r="N8" s="1159" t="s">
        <v>361</v>
      </c>
      <c r="O8" s="1159"/>
      <c r="Q8" s="1159" t="s">
        <v>649</v>
      </c>
      <c r="R8" s="1160"/>
      <c r="S8" s="151"/>
      <c r="T8" s="151"/>
      <c r="U8" s="151"/>
      <c r="V8" s="151"/>
      <c r="W8" s="151"/>
      <c r="X8"/>
      <c r="Y8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</row>
    <row r="9" spans="2:43">
      <c r="C9" s="1150">
        <v>0</v>
      </c>
      <c r="E9" s="1151" t="s">
        <v>364</v>
      </c>
      <c r="I9" s="1152" t="s">
        <v>363</v>
      </c>
      <c r="N9" s="1151" t="s">
        <v>364</v>
      </c>
      <c r="Q9" s="1151" t="s">
        <v>364</v>
      </c>
      <c r="S9" s="1151" t="s">
        <v>364</v>
      </c>
      <c r="X9"/>
      <c r="Y9"/>
    </row>
    <row r="10" spans="2:43">
      <c r="C10" s="1153">
        <v>1</v>
      </c>
      <c r="E10" s="1154" t="s">
        <v>525</v>
      </c>
      <c r="I10" s="1131" t="s">
        <v>64</v>
      </c>
      <c r="N10" s="1155">
        <v>3</v>
      </c>
      <c r="Q10" s="1157" t="s">
        <v>651</v>
      </c>
      <c r="S10" s="174" t="s">
        <v>696</v>
      </c>
      <c r="X10"/>
      <c r="Y10"/>
    </row>
    <row r="11" spans="2:43">
      <c r="C11" s="1153">
        <v>2</v>
      </c>
      <c r="E11" s="1154" t="s">
        <v>526</v>
      </c>
      <c r="I11" s="1165" t="s">
        <v>656</v>
      </c>
      <c r="N11" s="1155">
        <v>5</v>
      </c>
      <c r="Q11" s="1157" t="s">
        <v>652</v>
      </c>
      <c r="S11" s="174" t="s">
        <v>510</v>
      </c>
      <c r="X11"/>
      <c r="Y11"/>
    </row>
    <row r="12" spans="2:43">
      <c r="C12" s="1153">
        <v>3</v>
      </c>
      <c r="I12" s="1131" t="s">
        <v>65</v>
      </c>
      <c r="N12" s="1155">
        <v>7</v>
      </c>
      <c r="Q12" s="1157" t="s">
        <v>650</v>
      </c>
      <c r="X12"/>
      <c r="Y12"/>
    </row>
    <row r="13" spans="2:43">
      <c r="C13" s="1153">
        <v>4</v>
      </c>
      <c r="I13" s="1131" t="s">
        <v>68</v>
      </c>
      <c r="N13" s="1155">
        <v>10</v>
      </c>
      <c r="P13" s="1157"/>
      <c r="Q13" s="1157"/>
      <c r="X13"/>
      <c r="Y13"/>
    </row>
    <row r="14" spans="2:43">
      <c r="C14" s="1153">
        <v>5</v>
      </c>
      <c r="I14" s="1131" t="s">
        <v>67</v>
      </c>
      <c r="N14" s="1155">
        <v>15</v>
      </c>
      <c r="P14" s="1157"/>
      <c r="Q14" s="1157"/>
      <c r="X14"/>
      <c r="Y14"/>
    </row>
    <row r="15" spans="2:43">
      <c r="C15" s="1153">
        <v>6</v>
      </c>
      <c r="I15" s="1131" t="s">
        <v>335</v>
      </c>
      <c r="N15" s="1155">
        <v>20</v>
      </c>
      <c r="P15" s="1157"/>
      <c r="Q15" s="1157"/>
      <c r="X15"/>
      <c r="Y15"/>
    </row>
    <row r="16" spans="2:43">
      <c r="C16" s="1153">
        <v>7</v>
      </c>
      <c r="I16" s="1131" t="s">
        <v>66</v>
      </c>
      <c r="N16" s="1155">
        <v>25</v>
      </c>
      <c r="X16"/>
      <c r="Y16"/>
    </row>
    <row r="17" spans="3:25">
      <c r="C17" s="1153">
        <v>8</v>
      </c>
      <c r="I17" s="1131" t="s">
        <v>69</v>
      </c>
      <c r="X17"/>
      <c r="Y17"/>
    </row>
    <row r="18" spans="3:25">
      <c r="C18" s="1153">
        <v>9</v>
      </c>
      <c r="X18"/>
      <c r="Y18"/>
    </row>
    <row r="19" spans="3:25">
      <c r="C19" s="1153">
        <v>10</v>
      </c>
      <c r="X19"/>
      <c r="Y19"/>
    </row>
    <row r="20" spans="3:25">
      <c r="C20" s="1156"/>
      <c r="X20"/>
      <c r="Y20"/>
    </row>
    <row r="34" spans="8:28" ht="15.5">
      <c r="H34" s="1176" t="s">
        <v>676</v>
      </c>
    </row>
    <row r="35" spans="8:28">
      <c r="H35" s="1177"/>
      <c r="I35" s="1177"/>
      <c r="J35" s="1177"/>
      <c r="K35" s="1177"/>
      <c r="L35" s="1177"/>
      <c r="M35" s="1178"/>
      <c r="N35" s="1178"/>
      <c r="O35" s="1178"/>
      <c r="P35" s="1178" t="s">
        <v>655</v>
      </c>
      <c r="Q35" s="1178"/>
      <c r="R35" s="1178"/>
      <c r="S35" s="1177"/>
      <c r="T35" s="1177"/>
      <c r="U35" s="1177"/>
      <c r="V35" s="1177"/>
      <c r="W35" s="1177"/>
      <c r="X35" s="346"/>
      <c r="Y35" s="346"/>
      <c r="Z35" s="346"/>
      <c r="AA35" s="346"/>
      <c r="AB35" s="346"/>
    </row>
    <row r="36" spans="8:28">
      <c r="H36" s="375" t="s">
        <v>215</v>
      </c>
      <c r="I36" s="1162" t="s">
        <v>661</v>
      </c>
      <c r="J36" s="375"/>
      <c r="K36" s="375"/>
      <c r="L36" s="375"/>
      <c r="M36" s="1161"/>
      <c r="N36" s="1161"/>
      <c r="O36" s="1161" t="s">
        <v>654</v>
      </c>
      <c r="P36" s="1161" t="s">
        <v>361</v>
      </c>
      <c r="Q36"/>
      <c r="R36" s="375" t="s">
        <v>662</v>
      </c>
      <c r="T36" s="375"/>
      <c r="U36" s="375"/>
      <c r="V36" s="375"/>
      <c r="W36" s="375"/>
    </row>
    <row r="37" spans="8:28">
      <c r="H37" s="1179" t="s">
        <v>659</v>
      </c>
      <c r="I37" s="1180" t="s">
        <v>653</v>
      </c>
      <c r="J37" s="1180"/>
      <c r="K37" s="1180"/>
      <c r="L37" s="1180"/>
      <c r="M37" s="1181"/>
      <c r="N37" s="1181"/>
      <c r="O37" s="1181">
        <v>10</v>
      </c>
      <c r="P37" s="1181">
        <v>7</v>
      </c>
      <c r="Q37" s="1182"/>
      <c r="R37" s="346" t="s">
        <v>657</v>
      </c>
      <c r="S37" s="346"/>
      <c r="T37" s="346"/>
      <c r="U37" s="346"/>
      <c r="V37" s="346"/>
      <c r="W37" s="346"/>
      <c r="X37" s="346"/>
      <c r="Y37" s="346"/>
      <c r="Z37" s="346"/>
      <c r="AA37" s="346"/>
      <c r="AB37" s="346"/>
    </row>
    <row r="38" spans="8:28">
      <c r="H38" s="1164" t="s">
        <v>660</v>
      </c>
      <c r="I38" s="1165" t="s">
        <v>656</v>
      </c>
      <c r="J38" s="1165"/>
      <c r="K38" s="1165"/>
      <c r="L38" s="1165"/>
      <c r="M38" s="1166"/>
      <c r="N38" s="1166"/>
      <c r="O38" s="1166">
        <v>6</v>
      </c>
      <c r="P38" s="1166">
        <v>5</v>
      </c>
      <c r="R38" s="174" t="s">
        <v>658</v>
      </c>
    </row>
    <row r="39" spans="8:28">
      <c r="H39" s="1164" t="s">
        <v>663</v>
      </c>
      <c r="I39" s="1165" t="s">
        <v>664</v>
      </c>
      <c r="J39" s="1165"/>
      <c r="K39" s="1165"/>
      <c r="L39" s="1165"/>
      <c r="M39" s="1166"/>
      <c r="N39" s="1166"/>
      <c r="O39" s="1166">
        <v>4</v>
      </c>
      <c r="P39" s="1166">
        <v>5</v>
      </c>
      <c r="R39" s="174" t="s">
        <v>665</v>
      </c>
    </row>
    <row r="40" spans="8:28">
      <c r="H40" s="1164" t="s">
        <v>666</v>
      </c>
      <c r="I40" s="1165" t="s">
        <v>668</v>
      </c>
      <c r="J40" s="1165"/>
      <c r="K40" s="1165"/>
      <c r="L40" s="1165"/>
      <c r="M40" s="1166"/>
      <c r="N40" s="1166"/>
      <c r="O40" s="1166">
        <v>20</v>
      </c>
      <c r="P40" s="1166">
        <v>15</v>
      </c>
      <c r="R40" s="174"/>
    </row>
    <row r="41" spans="8:28">
      <c r="H41" s="1167">
        <v>34</v>
      </c>
      <c r="I41" s="1165" t="s">
        <v>667</v>
      </c>
      <c r="J41" s="1165"/>
      <c r="K41" s="1165"/>
      <c r="L41" s="1165"/>
      <c r="M41" s="1166"/>
      <c r="N41" s="1166"/>
      <c r="O41" s="1166">
        <v>12</v>
      </c>
      <c r="P41" s="1166">
        <v>7</v>
      </c>
      <c r="R41" s="1163" t="s">
        <v>669</v>
      </c>
    </row>
    <row r="42" spans="8:28">
      <c r="H42" s="1168">
        <v>34.01</v>
      </c>
      <c r="I42" s="1165" t="s">
        <v>671</v>
      </c>
      <c r="J42" s="1165"/>
      <c r="K42" s="1165"/>
      <c r="L42" s="1165"/>
      <c r="M42" s="1166"/>
      <c r="N42" s="1166"/>
      <c r="O42" s="1166">
        <v>3</v>
      </c>
      <c r="P42" s="1166">
        <v>3</v>
      </c>
      <c r="R42" s="174" t="s">
        <v>670</v>
      </c>
    </row>
    <row r="43" spans="8:28">
      <c r="H43" s="1169">
        <v>48.121000000000002</v>
      </c>
      <c r="I43" s="1165" t="s">
        <v>672</v>
      </c>
      <c r="J43" s="1165"/>
      <c r="K43" s="1165"/>
      <c r="L43" s="1165"/>
      <c r="M43" s="1166"/>
      <c r="N43" s="1166"/>
      <c r="O43" s="1166">
        <v>9.5</v>
      </c>
      <c r="P43" s="1166">
        <v>5</v>
      </c>
      <c r="R43" s="174" t="s">
        <v>673</v>
      </c>
    </row>
    <row r="44" spans="8:28">
      <c r="H44" s="978"/>
      <c r="Q44" s="174"/>
    </row>
    <row r="45" spans="8:28">
      <c r="H45" s="978"/>
    </row>
  </sheetData>
  <sortState xmlns:xlrd2="http://schemas.microsoft.com/office/spreadsheetml/2017/richdata2" ref="I10:I16">
    <sortCondition ref="I10:I16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6BAD8-7AC1-4280-BDCB-4AC122B8EC36}">
  <sheetPr codeName="Sheet7"/>
  <dimension ref="D8:F13"/>
  <sheetViews>
    <sheetView zoomScale="80" zoomScaleNormal="80" workbookViewId="0">
      <selection activeCell="M17" sqref="M17"/>
    </sheetView>
  </sheetViews>
  <sheetFormatPr defaultRowHeight="14.5"/>
  <cols>
    <col min="1" max="1" width="2" customWidth="1"/>
    <col min="3" max="3" width="10.453125" customWidth="1"/>
    <col min="4" max="4" width="10.54296875" customWidth="1"/>
    <col min="5" max="5" width="15.54296875" customWidth="1"/>
    <col min="6" max="6" width="16.453125" customWidth="1"/>
  </cols>
  <sheetData>
    <row r="8" spans="4:6">
      <c r="D8" s="26" t="s">
        <v>34</v>
      </c>
      <c r="F8" s="15" t="e">
        <f>PRODUCT(1000,HoldCo!#REF!)</f>
        <v>#REF!</v>
      </c>
    </row>
    <row r="10" spans="4:6">
      <c r="E10" s="13" t="s">
        <v>134</v>
      </c>
    </row>
    <row r="11" spans="4:6">
      <c r="E11" s="13" t="s">
        <v>34</v>
      </c>
      <c r="F11" s="13" t="s">
        <v>26</v>
      </c>
    </row>
    <row r="12" spans="4:6">
      <c r="D12" s="1" t="s">
        <v>92</v>
      </c>
      <c r="E12" s="5">
        <v>0.01</v>
      </c>
      <c r="F12" s="16" t="e">
        <f>PRODUCT($E12,$F$8)</f>
        <v>#REF!</v>
      </c>
    </row>
    <row r="13" spans="4:6">
      <c r="D13" s="1" t="s">
        <v>91</v>
      </c>
      <c r="E13" s="5">
        <v>0.15</v>
      </c>
      <c r="F13" s="16" t="e">
        <f>PRODUCT($E13,$F$8)</f>
        <v>#REF!</v>
      </c>
    </row>
  </sheetData>
  <pageMargins left="0.7" right="0.7" top="0.75" bottom="0.75" header="0.3" footer="0.3"/>
  <pageSetup orientation="portrait" horizontalDpi="300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08C26-7FFC-4E1B-8CEB-E08BBD70C800}">
  <sheetPr codeName="Sheet1">
    <outlinePr summaryBelow="0"/>
    <pageSetUpPr autoPageBreaks="0" fitToPage="1"/>
  </sheetPr>
  <dimension ref="A1:AY925"/>
  <sheetViews>
    <sheetView showGridLines="0" topLeftCell="B1" zoomScale="80" zoomScaleNormal="80" workbookViewId="0">
      <selection activeCell="W39" sqref="W39"/>
    </sheetView>
  </sheetViews>
  <sheetFormatPr defaultColWidth="12.453125" defaultRowHeight="14.5" outlineLevelRow="4"/>
  <cols>
    <col min="1" max="1" width="2.453125" style="52" customWidth="1"/>
    <col min="2" max="2" width="2.453125" style="57" customWidth="1"/>
    <col min="3" max="10" width="13.54296875" style="57" customWidth="1"/>
    <col min="11" max="11" width="12.81640625" style="57" customWidth="1"/>
    <col min="12" max="23" width="13.54296875" style="57" customWidth="1"/>
    <col min="24" max="24" width="2.453125" style="57" customWidth="1"/>
    <col min="25" max="25" width="4.90625" style="57" customWidth="1"/>
    <col min="26" max="26" width="13.453125" style="57" customWidth="1"/>
    <col min="27" max="16384" width="12.453125" style="57"/>
  </cols>
  <sheetData>
    <row r="1" spans="1:27" ht="7.5" customHeight="1"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</row>
    <row r="2" spans="1:27" ht="17">
      <c r="B2" s="41"/>
      <c r="C2" s="1695" t="s">
        <v>821</v>
      </c>
      <c r="D2" s="1540"/>
      <c r="E2" s="41"/>
      <c r="F2" s="41"/>
      <c r="G2" s="41"/>
      <c r="H2" s="41"/>
      <c r="I2" s="41"/>
      <c r="J2" s="41"/>
      <c r="K2" s="43"/>
      <c r="L2" s="41"/>
      <c r="M2" s="41"/>
      <c r="N2" s="41"/>
      <c r="O2" s="41"/>
      <c r="P2" s="41"/>
      <c r="Q2" s="41"/>
      <c r="R2" s="41"/>
      <c r="S2" s="41"/>
      <c r="T2" s="41"/>
      <c r="U2" s="41"/>
      <c r="V2" s="1541"/>
      <c r="W2" s="41"/>
      <c r="X2" s="41"/>
    </row>
    <row r="3" spans="1:27" ht="1" customHeight="1">
      <c r="B3" s="41"/>
      <c r="C3" s="1539"/>
      <c r="D3" s="1540"/>
      <c r="E3" s="41"/>
      <c r="F3" s="41"/>
      <c r="G3" s="41"/>
      <c r="H3" s="41"/>
      <c r="I3" s="41"/>
      <c r="J3" s="41"/>
      <c r="K3" s="43"/>
      <c r="L3" s="41"/>
      <c r="M3" s="41"/>
      <c r="N3" s="41"/>
      <c r="O3" s="41"/>
      <c r="P3" s="41"/>
      <c r="Q3" s="41"/>
      <c r="R3" s="41"/>
      <c r="S3" s="41"/>
      <c r="T3" s="41"/>
      <c r="U3" s="41"/>
      <c r="V3" s="1541"/>
      <c r="W3" s="41"/>
      <c r="X3" s="41"/>
    </row>
    <row r="4" spans="1:27" s="3" customFormat="1" ht="1.5" customHeight="1" thickBot="1">
      <c r="A4" s="150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7" s="58" customFormat="1" ht="6" customHeight="1">
      <c r="A5" s="52"/>
      <c r="B5" s="1542"/>
      <c r="C5" s="1543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1542"/>
    </row>
    <row r="6" spans="1:27" ht="15.5">
      <c r="A6" s="52" t="s">
        <v>63</v>
      </c>
      <c r="B6" s="41"/>
      <c r="C6" s="670" t="s">
        <v>166</v>
      </c>
      <c r="D6" s="1544"/>
      <c r="E6" s="1544"/>
      <c r="F6" s="1544"/>
      <c r="G6" s="1544"/>
      <c r="H6" s="1544"/>
      <c r="I6" s="1544"/>
      <c r="J6" s="1544"/>
      <c r="K6" s="1544"/>
      <c r="L6" s="1544"/>
      <c r="M6" s="1544"/>
      <c r="N6" s="1544"/>
      <c r="O6" s="1544"/>
      <c r="P6" s="1544"/>
      <c r="Q6" s="1544"/>
      <c r="R6" s="1544"/>
      <c r="S6" s="1544"/>
      <c r="T6" s="1544"/>
      <c r="U6" s="1544"/>
      <c r="V6" s="1544"/>
      <c r="W6" s="1544"/>
      <c r="X6" s="41"/>
    </row>
    <row r="7" spans="1:27" ht="3.65" customHeight="1" outlineLevel="1">
      <c r="B7" s="41"/>
      <c r="C7" s="1542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41"/>
    </row>
    <row r="8" spans="1:27" ht="15.5" outlineLevel="1">
      <c r="B8" s="41"/>
      <c r="C8" s="241" t="s">
        <v>278</v>
      </c>
      <c r="D8" s="1542"/>
      <c r="E8" s="1542"/>
      <c r="F8" s="1542"/>
      <c r="G8" s="1542"/>
      <c r="H8" s="1542"/>
      <c r="I8" s="1542"/>
      <c r="J8" s="1542"/>
      <c r="K8" s="1542"/>
      <c r="L8" s="1542"/>
      <c r="M8" s="1542"/>
      <c r="N8" s="1542"/>
      <c r="O8" s="41"/>
      <c r="P8" s="41"/>
      <c r="Q8" s="41"/>
      <c r="R8" s="41"/>
      <c r="S8" s="41"/>
      <c r="T8" s="41"/>
      <c r="U8" s="41"/>
      <c r="V8" s="1542"/>
      <c r="W8" s="1542"/>
      <c r="X8" s="41"/>
    </row>
    <row r="9" spans="1:27" ht="7.5" customHeight="1" outlineLevel="1">
      <c r="B9" s="41"/>
      <c r="C9" s="1545"/>
      <c r="D9" s="1542"/>
      <c r="E9" s="1542"/>
      <c r="F9" s="1542"/>
      <c r="G9" s="1542"/>
      <c r="H9" s="1542"/>
      <c r="I9" s="1542"/>
      <c r="J9" s="1542"/>
      <c r="K9" s="1542"/>
      <c r="L9" s="1542"/>
      <c r="M9" s="1542"/>
      <c r="N9" s="1542"/>
      <c r="O9" s="41"/>
      <c r="P9" s="41"/>
      <c r="Q9" s="41"/>
      <c r="R9" s="41"/>
      <c r="S9" s="41"/>
      <c r="T9" s="41"/>
      <c r="U9" s="41"/>
      <c r="V9" s="1542"/>
      <c r="W9" s="1542"/>
      <c r="X9" s="41"/>
    </row>
    <row r="10" spans="1:27" ht="15.5" outlineLevel="1">
      <c r="B10" s="41"/>
      <c r="C10" s="391" t="s">
        <v>158</v>
      </c>
      <c r="D10" s="389"/>
      <c r="E10" s="389"/>
      <c r="F10" s="389"/>
      <c r="G10" s="392"/>
      <c r="H10" s="58"/>
      <c r="I10" s="391" t="s">
        <v>34</v>
      </c>
      <c r="J10" s="389"/>
      <c r="K10" s="389"/>
      <c r="L10" s="392"/>
      <c r="N10" s="391" t="s">
        <v>121</v>
      </c>
      <c r="O10" s="389"/>
      <c r="P10" s="389"/>
      <c r="Q10" s="392"/>
      <c r="S10" s="391" t="s">
        <v>175</v>
      </c>
      <c r="T10" s="389"/>
      <c r="U10" s="389"/>
      <c r="V10" s="1600"/>
    </row>
    <row r="11" spans="1:27" ht="15.5" outlineLevel="1">
      <c r="B11" s="41"/>
      <c r="C11" s="58"/>
      <c r="I11" s="57" t="s">
        <v>319</v>
      </c>
      <c r="L11" s="1601">
        <v>900</v>
      </c>
      <c r="N11" s="58" t="s">
        <v>99</v>
      </c>
      <c r="O11" s="58"/>
      <c r="Q11" s="1602">
        <v>365</v>
      </c>
      <c r="S11" s="218" t="s">
        <v>100</v>
      </c>
      <c r="T11" s="1482"/>
      <c r="U11" s="168" t="str">
        <f>IF(circuit_breaker="OFF","","TURN OFF")</f>
        <v/>
      </c>
      <c r="V11" s="1450" t="s">
        <v>164</v>
      </c>
      <c r="Z11" s="182"/>
    </row>
    <row r="12" spans="1:27" ht="15.5" outlineLevel="1">
      <c r="B12" s="41"/>
      <c r="C12" s="1192" t="s">
        <v>142</v>
      </c>
      <c r="D12" s="329"/>
      <c r="E12" s="1603" t="s">
        <v>101</v>
      </c>
      <c r="F12" s="1604" t="s">
        <v>794</v>
      </c>
      <c r="G12" s="1603" t="s">
        <v>578</v>
      </c>
      <c r="I12" s="57" t="s">
        <v>161</v>
      </c>
      <c r="L12" s="1601">
        <v>1000</v>
      </c>
      <c r="N12" s="1605" t="s">
        <v>262</v>
      </c>
      <c r="Q12" s="1606">
        <v>44469</v>
      </c>
    </row>
    <row r="13" spans="1:27" ht="15.5" outlineLevel="1">
      <c r="B13" s="41"/>
      <c r="C13" s="1607" t="s">
        <v>898</v>
      </c>
      <c r="E13" s="1608">
        <f>$L$11</f>
        <v>900</v>
      </c>
      <c r="F13" s="1609">
        <f ca="1">E13/$E$20</f>
        <v>0.4105289987312683</v>
      </c>
      <c r="G13" s="1610">
        <f t="shared" ref="G13:G17" ca="1" si="0">$E13/$L$21</f>
        <v>2.7672724395182029</v>
      </c>
      <c r="I13" s="1611" t="s">
        <v>323</v>
      </c>
      <c r="J13" s="1611"/>
      <c r="K13" s="410"/>
      <c r="L13" s="1612">
        <f>SUM(L11:L12)</f>
        <v>1900</v>
      </c>
      <c r="N13" s="1605" t="s">
        <v>565</v>
      </c>
      <c r="Q13" s="1606">
        <v>44681</v>
      </c>
      <c r="S13" s="1613" t="s">
        <v>125</v>
      </c>
      <c r="T13" s="51"/>
      <c r="V13" s="101" t="b">
        <f ca="1">$R$920=0</f>
        <v>1</v>
      </c>
    </row>
    <row r="14" spans="1:27" ht="15.5" outlineLevel="1">
      <c r="B14" s="41"/>
      <c r="C14" s="1607" t="s">
        <v>899</v>
      </c>
      <c r="E14" s="1614">
        <f>L12</f>
        <v>1000</v>
      </c>
      <c r="F14" s="1609">
        <f ca="1">E14/$E$20</f>
        <v>0.45614333192363143</v>
      </c>
      <c r="G14" s="1610">
        <f t="shared" ca="1" si="0"/>
        <v>3.0747471550202254</v>
      </c>
      <c r="I14" s="409" t="s">
        <v>95</v>
      </c>
      <c r="J14" s="1615"/>
      <c r="K14" s="408"/>
      <c r="L14" s="1616">
        <f>$E$18</f>
        <v>209</v>
      </c>
      <c r="N14" s="57" t="s">
        <v>98</v>
      </c>
      <c r="Q14" s="1606">
        <v>44681</v>
      </c>
      <c r="S14" s="1613" t="s">
        <v>471</v>
      </c>
      <c r="T14" s="51"/>
      <c r="U14" s="51"/>
      <c r="V14" s="101" t="b">
        <f ca="1">COUNTIF(M487:S487,"False")=0</f>
        <v>1</v>
      </c>
      <c r="AA14" s="58"/>
    </row>
    <row r="15" spans="1:27" ht="15.5" outlineLevel="1">
      <c r="B15" s="41"/>
      <c r="C15" s="2" t="s">
        <v>910</v>
      </c>
      <c r="E15" s="30">
        <v>0</v>
      </c>
      <c r="F15" s="1609">
        <f t="shared" ref="F15:F17" ca="1" si="1">E15/$E$20</f>
        <v>0</v>
      </c>
      <c r="G15" s="1610">
        <f t="shared" ca="1" si="0"/>
        <v>0</v>
      </c>
      <c r="I15" s="1617" t="s">
        <v>275</v>
      </c>
      <c r="J15" s="329"/>
      <c r="K15" s="329"/>
      <c r="L15" s="1618">
        <f>$R$896</f>
        <v>83.846000000000004</v>
      </c>
      <c r="N15" s="1605" t="s">
        <v>566</v>
      </c>
      <c r="Q15" s="1606">
        <v>44775</v>
      </c>
      <c r="S15" s="51" t="s">
        <v>239</v>
      </c>
      <c r="T15" s="51"/>
      <c r="U15" s="51"/>
      <c r="V15" s="101" t="b">
        <f ca="1">COUNTIF($N$687:$W$687,"False")=0</f>
        <v>1</v>
      </c>
      <c r="X15" s="66"/>
      <c r="Y15" s="65"/>
      <c r="Z15" s="65"/>
      <c r="AA15" s="161"/>
    </row>
    <row r="16" spans="1:27" ht="15.5" outlineLevel="1">
      <c r="B16" s="41"/>
      <c r="C16" s="1607" t="s">
        <v>102</v>
      </c>
      <c r="E16" s="30">
        <v>0</v>
      </c>
      <c r="F16" s="1609">
        <f t="shared" ca="1" si="1"/>
        <v>0</v>
      </c>
      <c r="G16" s="1610">
        <f t="shared" ca="1" si="0"/>
        <v>0</v>
      </c>
      <c r="I16" s="1619" t="s">
        <v>274</v>
      </c>
      <c r="J16" s="1619"/>
      <c r="K16" s="100"/>
      <c r="L16" s="1620">
        <f>SUM(L$13:L$15)</f>
        <v>2192.846</v>
      </c>
      <c r="N16" s="1621" t="s">
        <v>808</v>
      </c>
      <c r="O16" s="58"/>
      <c r="Q16" s="1606">
        <v>44926</v>
      </c>
      <c r="S16" s="1478" t="s">
        <v>305</v>
      </c>
      <c r="T16" s="1622"/>
      <c r="U16" s="1622"/>
      <c r="V16" s="101" t="b">
        <f ca="1">COUNTIF($M$710:$W$710,"False")=0</f>
        <v>0</v>
      </c>
      <c r="X16" s="66"/>
      <c r="Y16" s="51"/>
      <c r="Z16" s="51"/>
      <c r="AA16" s="161"/>
    </row>
    <row r="17" spans="2:28" ht="15.5" outlineLevel="1">
      <c r="B17" s="41"/>
      <c r="C17" s="1607" t="s">
        <v>24</v>
      </c>
      <c r="E17" s="1608">
        <f>$Q$23</f>
        <v>75</v>
      </c>
      <c r="F17" s="1609">
        <f t="shared" ca="1" si="1"/>
        <v>3.4210749894272356E-2</v>
      </c>
      <c r="G17" s="1610">
        <f t="shared" ca="1" si="0"/>
        <v>0.23060603662651691</v>
      </c>
      <c r="W17" s="3"/>
      <c r="X17" s="3"/>
      <c r="Y17"/>
      <c r="Z17"/>
      <c r="AA17"/>
      <c r="AB17"/>
    </row>
    <row r="18" spans="2:28" ht="15.5" outlineLevel="1">
      <c r="B18" s="41"/>
      <c r="C18" s="1623" t="s">
        <v>95</v>
      </c>
      <c r="E18" s="1624">
        <f>PRODUCT($Q$30,$L$13)</f>
        <v>209</v>
      </c>
      <c r="F18" s="1609">
        <f ca="1">E18/$E$20</f>
        <v>9.533395637203898E-2</v>
      </c>
      <c r="G18" s="1610">
        <f ca="1">$E18/$L$21</f>
        <v>0.64262215539922707</v>
      </c>
      <c r="I18" s="391" t="s">
        <v>217</v>
      </c>
      <c r="J18" s="389"/>
      <c r="K18" s="389"/>
      <c r="L18" s="1625"/>
      <c r="N18" s="391" t="s">
        <v>327</v>
      </c>
      <c r="O18" s="389"/>
      <c r="P18" s="389"/>
      <c r="Q18" s="392"/>
      <c r="S18" s="391" t="s">
        <v>811</v>
      </c>
      <c r="T18" s="389"/>
      <c r="U18" s="389"/>
      <c r="V18" s="1600"/>
      <c r="W18" s="3"/>
      <c r="X18" s="3"/>
      <c r="Y18"/>
      <c r="Z18"/>
      <c r="AA18"/>
      <c r="AB18"/>
    </row>
    <row r="19" spans="2:28" ht="15.5" outlineLevel="1">
      <c r="B19" s="41"/>
      <c r="C19" s="1607" t="s">
        <v>25</v>
      </c>
      <c r="E19" s="1614">
        <f ca="1">SUM($H$56:$H$62)</f>
        <v>8.2933648571283118</v>
      </c>
      <c r="F19" s="1609">
        <f ca="1">E19/$E$20</f>
        <v>3.7829630787888598E-3</v>
      </c>
      <c r="G19" s="1610">
        <f ca="1">$E19/$L$21</f>
        <v>2.5499999999999995E-2</v>
      </c>
      <c r="I19" s="533" t="s">
        <v>156</v>
      </c>
      <c r="J19" s="533"/>
      <c r="K19" s="1626"/>
      <c r="L19" s="1627">
        <v>400</v>
      </c>
      <c r="N19" s="65" t="s">
        <v>195</v>
      </c>
      <c r="O19" s="66"/>
      <c r="Q19" s="1628">
        <v>0.04</v>
      </c>
      <c r="S19" s="1482" t="s">
        <v>96</v>
      </c>
      <c r="T19" s="1482"/>
      <c r="V19" s="1629" t="s">
        <v>5</v>
      </c>
      <c r="W19" s="3"/>
      <c r="X19" s="3"/>
      <c r="Y19"/>
      <c r="Z19"/>
      <c r="AA19"/>
      <c r="AB19"/>
    </row>
    <row r="20" spans="2:28" ht="15.5" outlineLevel="1">
      <c r="B20" s="41"/>
      <c r="C20" s="1630" t="s">
        <v>193</v>
      </c>
      <c r="D20" s="1630"/>
      <c r="E20" s="1631">
        <f ca="1">SUM($E$13:$E$19)</f>
        <v>2192.2933648571284</v>
      </c>
      <c r="F20" s="1632">
        <f ca="1">SUM($F$13:$F$19)</f>
        <v>1</v>
      </c>
      <c r="G20" s="1630"/>
      <c r="I20" s="1633" t="s">
        <v>183</v>
      </c>
      <c r="J20" s="218"/>
      <c r="K20" s="218"/>
      <c r="L20" s="1634">
        <f ca="1">PMT($N$59,$E$104,$E$25,0,0)</f>
        <v>-74.770005602811239</v>
      </c>
      <c r="M20" s="58"/>
      <c r="N20" s="58" t="s">
        <v>194</v>
      </c>
      <c r="O20" s="69"/>
      <c r="Q20" s="1628">
        <v>3.0439999999999998E-2</v>
      </c>
      <c r="W20" s="3"/>
      <c r="X20" s="3"/>
      <c r="Y20"/>
      <c r="Z20"/>
      <c r="AA20"/>
      <c r="AB20"/>
    </row>
    <row r="21" spans="2:28" ht="15.5" outlineLevel="1">
      <c r="B21" s="41"/>
      <c r="I21" s="997" t="s">
        <v>22</v>
      </c>
      <c r="J21" s="997"/>
      <c r="K21" s="1635"/>
      <c r="L21" s="1636">
        <f ca="1">SUM(L19:L20)</f>
        <v>325.22999439718876</v>
      </c>
      <c r="M21" s="65"/>
      <c r="W21" s="3"/>
      <c r="X21" s="3"/>
      <c r="Y21"/>
      <c r="Z21"/>
      <c r="AA21"/>
      <c r="AB21"/>
    </row>
    <row r="22" spans="2:28" ht="15" customHeight="1" outlineLevel="1">
      <c r="B22" s="41"/>
      <c r="C22" s="1192" t="s">
        <v>141</v>
      </c>
      <c r="D22" s="329"/>
      <c r="E22" s="1603" t="s">
        <v>101</v>
      </c>
      <c r="F22" s="1604" t="s">
        <v>794</v>
      </c>
      <c r="G22" s="1603" t="s">
        <v>578</v>
      </c>
      <c r="I22" s="3"/>
      <c r="J22" s="3"/>
      <c r="K22" s="3"/>
      <c r="L22" s="150"/>
      <c r="M22" s="65"/>
      <c r="N22" s="391" t="s">
        <v>324</v>
      </c>
      <c r="O22" s="389"/>
      <c r="P22" s="389"/>
      <c r="Q22" s="392"/>
      <c r="S22" s="391" t="s">
        <v>259</v>
      </c>
      <c r="T22" s="389"/>
      <c r="U22" s="389"/>
      <c r="V22" s="1600"/>
      <c r="W22" s="3"/>
      <c r="X22" s="3"/>
      <c r="Y22"/>
      <c r="Z22"/>
      <c r="AA22"/>
      <c r="AB22"/>
    </row>
    <row r="23" spans="2:28" ht="15.5" outlineLevel="1">
      <c r="B23" s="41"/>
      <c r="C23" s="1637" t="s">
        <v>27</v>
      </c>
      <c r="E23" s="1608">
        <f ca="1">PRODUCT($G23,$L$21)</f>
        <v>0</v>
      </c>
      <c r="F23" s="1638">
        <f t="shared" ref="F23:F30" ca="1" si="2">E23/$E$31</f>
        <v>0</v>
      </c>
      <c r="G23" s="1639">
        <v>0</v>
      </c>
      <c r="I23" s="1640" t="s">
        <v>904</v>
      </c>
      <c r="J23" s="853"/>
      <c r="K23" s="1641"/>
      <c r="L23" s="1641"/>
      <c r="M23" s="65"/>
      <c r="N23" s="58" t="s">
        <v>325</v>
      </c>
      <c r="O23" s="58"/>
      <c r="Q23" s="1642">
        <v>75</v>
      </c>
      <c r="S23" s="94" t="s">
        <v>219</v>
      </c>
      <c r="T23" s="58"/>
      <c r="V23" s="1643">
        <v>9</v>
      </c>
      <c r="W23" s="3"/>
      <c r="X23" s="3"/>
      <c r="Y23"/>
      <c r="Z23"/>
      <c r="AA23"/>
      <c r="AB23"/>
    </row>
    <row r="24" spans="2:28" ht="15.5" outlineLevel="1">
      <c r="B24" s="41"/>
      <c r="C24" s="1607" t="s">
        <v>140</v>
      </c>
      <c r="E24" s="1644">
        <f ca="1">PRODUCT($L$21,G24)</f>
        <v>552.89099047522086</v>
      </c>
      <c r="F24" s="1609">
        <f t="shared" ca="1" si="2"/>
        <v>0.25219753858592403</v>
      </c>
      <c r="G24" s="1639">
        <v>1.7</v>
      </c>
      <c r="I24" s="1548"/>
      <c r="J24" s="1548"/>
      <c r="K24" s="1549" t="s">
        <v>320</v>
      </c>
      <c r="L24" s="1549" t="s">
        <v>321</v>
      </c>
      <c r="M24" s="108"/>
      <c r="N24" s="57" t="s">
        <v>163</v>
      </c>
      <c r="Q24" s="1645">
        <v>2.5000000000000001E-3</v>
      </c>
      <c r="W24" s="3"/>
      <c r="X24" s="3"/>
      <c r="Y24"/>
      <c r="Z24"/>
      <c r="AA24"/>
      <c r="AB24"/>
    </row>
    <row r="25" spans="2:28" ht="15.5" outlineLevel="1">
      <c r="B25" s="41"/>
      <c r="C25" s="1607" t="s">
        <v>139</v>
      </c>
      <c r="E25" s="1624">
        <f ca="1">PRODUCT($L$12,$E$100)</f>
        <v>850</v>
      </c>
      <c r="F25" s="1609">
        <f t="shared" ca="1" si="2"/>
        <v>0.38772183213508676</v>
      </c>
      <c r="G25" s="1610">
        <f t="shared" ref="G25:G30" ca="1" si="3">E25/$L$21</f>
        <v>2.6135350817671914</v>
      </c>
      <c r="H25" s="58"/>
      <c r="I25" s="3" t="s">
        <v>785</v>
      </c>
      <c r="J25" s="65"/>
      <c r="K25" s="1646">
        <f ca="1">$L$21</f>
        <v>325.22999439718876</v>
      </c>
      <c r="L25" s="1610">
        <f ca="1">$L$11/K25</f>
        <v>2.7672724395182029</v>
      </c>
      <c r="M25" s="108"/>
      <c r="S25" s="62" t="s">
        <v>809</v>
      </c>
      <c r="T25" s="58"/>
      <c r="V25" s="1647">
        <v>3</v>
      </c>
      <c r="W25" s="3"/>
      <c r="X25" s="3"/>
      <c r="Y25"/>
      <c r="Z25"/>
      <c r="AA25"/>
      <c r="AB25"/>
    </row>
    <row r="26" spans="2:28" ht="15.5" outlineLevel="1">
      <c r="B26" s="41"/>
      <c r="C26" s="1607" t="s">
        <v>90</v>
      </c>
      <c r="E26" s="1644">
        <f ca="1">PRODUCT($L$21,G26)</f>
        <v>162.61499719859438</v>
      </c>
      <c r="F26" s="1609">
        <f t="shared" ca="1" si="2"/>
        <v>7.417574664291883E-2</v>
      </c>
      <c r="G26" s="1639">
        <v>0.5</v>
      </c>
      <c r="I26" s="57" t="str">
        <f>"FY '"&amp;VALUE(TEXT($N$121," yy"))&amp;" PF EBITDA"</f>
        <v>FY '22 PF EBITDA</v>
      </c>
      <c r="K26" s="1648">
        <f ca="1">$N$152/$N$122</f>
        <v>315.31067715643405</v>
      </c>
      <c r="L26" s="1610">
        <f ca="1">$L$11/K26</f>
        <v>2.8543277002747547</v>
      </c>
      <c r="M26" s="51"/>
      <c r="N26" s="58" t="s">
        <v>30</v>
      </c>
      <c r="O26" s="68"/>
      <c r="Q26" s="1649">
        <v>300</v>
      </c>
      <c r="R26" s="51"/>
      <c r="S26" s="192" t="s">
        <v>218</v>
      </c>
      <c r="T26" s="3"/>
      <c r="U26" s="3"/>
      <c r="V26" s="1650">
        <v>0.1</v>
      </c>
      <c r="W26" s="3"/>
      <c r="X26" s="3"/>
      <c r="Y26"/>
      <c r="Z26"/>
      <c r="AA26"/>
      <c r="AB26"/>
    </row>
    <row r="27" spans="2:28" ht="15.5" outlineLevel="1">
      <c r="B27" s="41"/>
      <c r="C27" s="1607" t="s">
        <v>159</v>
      </c>
      <c r="E27" s="1614">
        <f ca="1">SUM($L$12,-$E$25)</f>
        <v>150</v>
      </c>
      <c r="F27" s="1609">
        <f t="shared" ca="1" si="2"/>
        <v>6.8421499788544712E-2</v>
      </c>
      <c r="G27" s="1651">
        <f t="shared" ca="1" si="3"/>
        <v>0.46121207325303382</v>
      </c>
      <c r="I27" s="57" t="str">
        <f>"FY '"&amp;VALUE(TEXT($O$121,"yy"))&amp;" PF EBITDA"</f>
        <v>FY '23 PF EBITDA</v>
      </c>
      <c r="K27" s="1652">
        <f ca="1">$O$152</f>
        <v>237.98603040244853</v>
      </c>
      <c r="L27" s="1610">
        <f ca="1">$L$11/K27</f>
        <v>3.7817345769331352</v>
      </c>
      <c r="M27" s="51"/>
      <c r="N27" s="94" t="s">
        <v>234</v>
      </c>
      <c r="Q27" s="1547">
        <v>0</v>
      </c>
      <c r="W27" s="3"/>
      <c r="X27" s="3"/>
      <c r="Y27"/>
      <c r="Z27"/>
      <c r="AA27"/>
      <c r="AB27"/>
    </row>
    <row r="28" spans="2:28" ht="15.5" outlineLevel="1">
      <c r="B28" s="41"/>
      <c r="C28" s="1623" t="s">
        <v>160</v>
      </c>
      <c r="D28" s="51"/>
      <c r="E28" s="1653">
        <f ca="1">$E$20-SUM(E23:E27)</f>
        <v>476.78737718331308</v>
      </c>
      <c r="F28" s="1609">
        <f t="shared" ca="1" si="2"/>
        <v>0.21748338284752564</v>
      </c>
      <c r="G28" s="1651">
        <f t="shared" ca="1" si="3"/>
        <v>1.4660006315439471</v>
      </c>
      <c r="M28" s="51"/>
      <c r="W28" s="3"/>
      <c r="X28" s="3"/>
      <c r="Y28"/>
      <c r="Z28"/>
      <c r="AA28"/>
      <c r="AB28"/>
    </row>
    <row r="29" spans="2:28" ht="15.5" outlineLevel="1">
      <c r="B29" s="41"/>
      <c r="C29" s="1654" t="s">
        <v>900</v>
      </c>
      <c r="E29" s="30">
        <v>0</v>
      </c>
      <c r="F29" s="1638">
        <f t="shared" ca="1" si="2"/>
        <v>0</v>
      </c>
      <c r="G29" s="1610">
        <f t="shared" ca="1" si="3"/>
        <v>0</v>
      </c>
      <c r="I29" s="391" t="s">
        <v>902</v>
      </c>
      <c r="J29" s="389"/>
      <c r="K29" s="389"/>
      <c r="L29" s="1625"/>
      <c r="M29" s="51"/>
      <c r="N29" s="391" t="s">
        <v>322</v>
      </c>
      <c r="O29" s="389"/>
      <c r="P29" s="389"/>
      <c r="Q29" s="392"/>
      <c r="S29" s="391" t="s">
        <v>212</v>
      </c>
      <c r="T29" s="389"/>
      <c r="U29" s="389"/>
      <c r="V29" s="392"/>
      <c r="W29" s="3"/>
      <c r="X29" s="3"/>
      <c r="Y29"/>
      <c r="Z29"/>
      <c r="AA29"/>
      <c r="AB29"/>
    </row>
    <row r="30" spans="2:28" ht="15.5" outlineLevel="1">
      <c r="B30" s="41"/>
      <c r="C30" s="1654" t="s">
        <v>901</v>
      </c>
      <c r="E30" s="30">
        <v>0</v>
      </c>
      <c r="F30" s="1638">
        <f t="shared" ca="1" si="2"/>
        <v>0</v>
      </c>
      <c r="G30" s="1610">
        <f t="shared" ca="1" si="3"/>
        <v>0</v>
      </c>
      <c r="I30" s="1607" t="s">
        <v>140</v>
      </c>
      <c r="K30" s="1655">
        <f ca="1">_xlfn.XLOOKUP($I30,$C$23:$C$30,$E$23:$E$30,0)</f>
        <v>552.89099047522086</v>
      </c>
      <c r="L30" s="1609">
        <f ca="1">K30/$K$33</f>
        <v>0.46372059660121767</v>
      </c>
      <c r="N30" s="65" t="s">
        <v>218</v>
      </c>
      <c r="O30" s="3"/>
      <c r="P30" s="3"/>
      <c r="Q30" s="1656">
        <v>0.11</v>
      </c>
      <c r="R30" s="51"/>
      <c r="S30" s="65" t="s">
        <v>9</v>
      </c>
      <c r="T30" s="58"/>
      <c r="V30" s="1656">
        <v>0.37</v>
      </c>
      <c r="W30" s="3"/>
      <c r="X30" s="3"/>
      <c r="Y30"/>
      <c r="Z30"/>
      <c r="AA30"/>
      <c r="AB30"/>
    </row>
    <row r="31" spans="2:28" ht="15.5" outlineLevel="1">
      <c r="B31" s="41"/>
      <c r="C31" s="1630" t="s">
        <v>193</v>
      </c>
      <c r="D31" s="1657"/>
      <c r="E31" s="1631">
        <f ca="1">SUM($E$23:$E$30)</f>
        <v>2192.2933648571284</v>
      </c>
      <c r="F31" s="1632">
        <f ca="1">SUM($F$23:$F$30)</f>
        <v>1</v>
      </c>
      <c r="G31" s="1657"/>
      <c r="I31" s="1607" t="s">
        <v>90</v>
      </c>
      <c r="K31" s="1655">
        <f ca="1">_xlfn.XLOOKUP($I31,$C$23:$C$30,$E$23:$E$30,0)</f>
        <v>162.61499719859438</v>
      </c>
      <c r="L31" s="1609">
        <f ca="1">K31/$K$33</f>
        <v>0.13638841076506403</v>
      </c>
      <c r="S31" s="65" t="s">
        <v>97</v>
      </c>
      <c r="V31" s="1658">
        <v>0.2</v>
      </c>
      <c r="W31" s="3"/>
      <c r="X31" s="3"/>
      <c r="Y31"/>
      <c r="Z31"/>
      <c r="AA31"/>
      <c r="AB31"/>
    </row>
    <row r="32" spans="2:28" ht="15.5" outlineLevel="1">
      <c r="B32" s="41"/>
      <c r="I32" s="1607" t="s">
        <v>160</v>
      </c>
      <c r="K32" s="1655">
        <f ca="1">_xlfn.XLOOKUP($I32,$C$23:$C$30,$E$23:$E$30,0)</f>
        <v>476.78737718331308</v>
      </c>
      <c r="L32" s="1609">
        <f ca="1">K32/$K$33</f>
        <v>0.39989099263371825</v>
      </c>
      <c r="S32" s="57" t="s">
        <v>903</v>
      </c>
      <c r="V32" s="1659">
        <v>15</v>
      </c>
      <c r="W32" s="3"/>
      <c r="X32" s="3"/>
      <c r="Y32"/>
      <c r="Z32"/>
      <c r="AA32"/>
      <c r="AB32"/>
    </row>
    <row r="33" spans="2:28" ht="15.5" outlineLevel="1">
      <c r="B33" s="41"/>
      <c r="C33" s="3"/>
      <c r="D33" s="3"/>
      <c r="E33" s="3"/>
      <c r="F33" s="3"/>
      <c r="G33" s="3"/>
      <c r="H33" s="3"/>
      <c r="I33" s="90" t="s">
        <v>26</v>
      </c>
      <c r="J33" s="7"/>
      <c r="K33" s="1660">
        <f ca="1">SUM(K30:K32)</f>
        <v>1192.2933648571284</v>
      </c>
      <c r="L33" s="1661">
        <f ca="1">SUM(L30:L32)</f>
        <v>1</v>
      </c>
      <c r="W33" s="3"/>
      <c r="X33" s="3"/>
      <c r="Y33" s="517"/>
      <c r="Z33" s="517"/>
      <c r="AA33" s="517"/>
      <c r="AB33" s="517"/>
    </row>
    <row r="34" spans="2:28" ht="15.5" outlineLevel="1">
      <c r="B34" s="41"/>
      <c r="C34" s="3"/>
      <c r="D34" s="3"/>
      <c r="E34" s="3"/>
      <c r="F34" s="3"/>
      <c r="G34" s="3"/>
      <c r="H34" s="3"/>
      <c r="M34" s="3"/>
      <c r="V34" s="1659"/>
      <c r="W34" s="3"/>
      <c r="X34" s="3"/>
      <c r="Y34" s="517"/>
      <c r="Z34" s="517"/>
      <c r="AA34" s="517"/>
      <c r="AB34" s="517"/>
    </row>
    <row r="35" spans="2:28" ht="15.5" outlineLevel="1">
      <c r="B35" s="41"/>
      <c r="C35" s="391" t="s">
        <v>646</v>
      </c>
      <c r="D35" s="389"/>
      <c r="E35" s="389"/>
      <c r="F35" s="390"/>
      <c r="G35" s="389"/>
      <c r="H35" s="389"/>
      <c r="I35" s="390"/>
      <c r="J35" s="389"/>
      <c r="K35" s="389"/>
      <c r="L35" s="392"/>
      <c r="M35" s="3"/>
      <c r="N35" s="391" t="s">
        <v>213</v>
      </c>
      <c r="O35" s="389"/>
      <c r="P35" s="389"/>
      <c r="Q35" s="392"/>
      <c r="R35" s="51"/>
      <c r="W35" s="3"/>
      <c r="X35" s="3"/>
      <c r="Y35" s="517"/>
      <c r="Z35" s="517"/>
      <c r="AA35" s="517"/>
      <c r="AB35" s="517"/>
    </row>
    <row r="36" spans="2:28" ht="16" outlineLevel="1">
      <c r="B36" s="41"/>
      <c r="C36" s="18"/>
      <c r="D36" s="18"/>
      <c r="E36" s="114" t="s">
        <v>905</v>
      </c>
      <c r="F36" s="114" t="s">
        <v>269</v>
      </c>
      <c r="G36" s="185" t="s">
        <v>50</v>
      </c>
      <c r="H36" s="185"/>
      <c r="I36" s="6" t="s">
        <v>203</v>
      </c>
      <c r="J36" s="157" t="s">
        <v>273</v>
      </c>
      <c r="K36" s="157"/>
      <c r="L36" s="157"/>
      <c r="M36" s="1119"/>
      <c r="N36" s="1662" t="s">
        <v>215</v>
      </c>
      <c r="O36" s="175" t="s">
        <v>216</v>
      </c>
      <c r="P36" s="159"/>
      <c r="Q36" s="173" t="s">
        <v>203</v>
      </c>
      <c r="R36" s="51"/>
      <c r="T36" s="65"/>
      <c r="W36" s="3"/>
      <c r="X36" s="3"/>
      <c r="Y36" s="517"/>
      <c r="Z36" s="517"/>
      <c r="AA36" s="517"/>
      <c r="AB36" s="517"/>
    </row>
    <row r="37" spans="2:28" ht="15.5" outlineLevel="1">
      <c r="B37" s="41"/>
      <c r="C37" s="18"/>
      <c r="D37" s="18"/>
      <c r="E37" s="114" t="s">
        <v>270</v>
      </c>
      <c r="F37" s="114" t="s">
        <v>270</v>
      </c>
      <c r="G37" s="179" t="s">
        <v>203</v>
      </c>
      <c r="H37" s="179" t="s">
        <v>268</v>
      </c>
      <c r="I37" s="6" t="s">
        <v>204</v>
      </c>
      <c r="J37" s="56" t="s">
        <v>272</v>
      </c>
      <c r="K37" s="56" t="s">
        <v>680</v>
      </c>
      <c r="L37" s="1663" t="s">
        <v>196</v>
      </c>
      <c r="M37" s="1119"/>
      <c r="N37" s="1664">
        <v>1</v>
      </c>
      <c r="O37" s="1665" t="s">
        <v>205</v>
      </c>
      <c r="P37" s="51"/>
      <c r="Q37" s="1666">
        <v>0</v>
      </c>
      <c r="W37" s="3"/>
      <c r="X37" s="3"/>
      <c r="Y37"/>
      <c r="Z37"/>
      <c r="AA37"/>
      <c r="AB37"/>
    </row>
    <row r="38" spans="2:28" ht="15.5" outlineLevel="1">
      <c r="B38" s="41"/>
      <c r="C38" s="59" t="s">
        <v>68</v>
      </c>
      <c r="D38" s="60"/>
      <c r="E38" s="1667">
        <v>7</v>
      </c>
      <c r="F38" s="1668">
        <v>5</v>
      </c>
      <c r="G38" s="1669">
        <v>517.4877281309</v>
      </c>
      <c r="H38" s="1670">
        <f t="shared" ref="H38:H45" si="4">INDEX(acquired_BV,MATCH($C38,$C$860:$C$916,0),MATCH("Book Value ",$L$854,0))</f>
        <v>208.6138784602544</v>
      </c>
      <c r="I38" s="1670">
        <f t="shared" ref="I38:I45" si="5">SUM(G38,-H38)</f>
        <v>308.8738496706456</v>
      </c>
      <c r="J38" s="1671">
        <v>1</v>
      </c>
      <c r="K38" s="1672">
        <f t="shared" ref="K38:K45" si="6">PRODUCT(G38,J38)/(SUMPRODUCT($J$38:$J$45,$G$38:$G$45))</f>
        <v>0.37257037346749144</v>
      </c>
      <c r="L38" s="1670">
        <f t="shared" ref="L38:L45" si="7">PRODUCT(K38,$E$18)</f>
        <v>77.867208054705713</v>
      </c>
      <c r="M38" s="3"/>
      <c r="N38" s="1664">
        <v>2</v>
      </c>
      <c r="O38" s="1665" t="s">
        <v>206</v>
      </c>
      <c r="P38" s="51"/>
      <c r="Q38" s="1666">
        <v>0</v>
      </c>
      <c r="W38" s="3"/>
      <c r="X38" s="3"/>
      <c r="Y38"/>
      <c r="Z38"/>
      <c r="AA38"/>
      <c r="AB38"/>
    </row>
    <row r="39" spans="2:28" ht="15.5" outlineLevel="1">
      <c r="B39" s="41"/>
      <c r="C39" s="58" t="s">
        <v>67</v>
      </c>
      <c r="D39" s="18"/>
      <c r="E39" s="1673">
        <v>7</v>
      </c>
      <c r="F39" s="1674">
        <v>5</v>
      </c>
      <c r="G39" s="1675">
        <v>3.0594713656387666</v>
      </c>
      <c r="H39" s="1676">
        <f t="shared" si="4"/>
        <v>0.24844320911999995</v>
      </c>
      <c r="I39" s="1676">
        <f t="shared" si="5"/>
        <v>2.8110281565187667</v>
      </c>
      <c r="J39" s="1677">
        <v>1</v>
      </c>
      <c r="K39" s="1678">
        <f t="shared" si="6"/>
        <v>2.2026964647571283E-3</v>
      </c>
      <c r="L39" s="1676">
        <f t="shared" si="7"/>
        <v>0.46036356113423982</v>
      </c>
      <c r="M39" s="3"/>
      <c r="N39" s="1664">
        <v>3</v>
      </c>
      <c r="O39" s="1665" t="s">
        <v>12</v>
      </c>
      <c r="P39" s="51"/>
      <c r="Q39" s="1679">
        <f>$N$861</f>
        <v>228.56800000000001</v>
      </c>
    </row>
    <row r="40" spans="2:28" ht="15.5" outlineLevel="1">
      <c r="B40" s="41"/>
      <c r="C40" s="58" t="s">
        <v>66</v>
      </c>
      <c r="D40" s="18"/>
      <c r="E40" s="1673">
        <v>3</v>
      </c>
      <c r="F40" s="1674">
        <v>5</v>
      </c>
      <c r="G40" s="1675">
        <v>20.979232221522974</v>
      </c>
      <c r="H40" s="1676">
        <f t="shared" si="4"/>
        <v>1.2199775953599996</v>
      </c>
      <c r="I40" s="1676">
        <f t="shared" si="5"/>
        <v>19.759254626162974</v>
      </c>
      <c r="J40" s="1677">
        <v>1</v>
      </c>
      <c r="K40" s="1678">
        <f t="shared" si="6"/>
        <v>1.5104204329763168E-2</v>
      </c>
      <c r="L40" s="1676">
        <f t="shared" si="7"/>
        <v>3.1567787049205021</v>
      </c>
      <c r="M40" s="3"/>
      <c r="N40" s="1664">
        <v>4</v>
      </c>
      <c r="O40" s="1665" t="s">
        <v>207</v>
      </c>
      <c r="P40" s="51"/>
      <c r="Q40" s="1679">
        <f>$N$862</f>
        <v>218.79499999999999</v>
      </c>
    </row>
    <row r="41" spans="2:28" ht="15.5" outlineLevel="1">
      <c r="B41" s="41"/>
      <c r="C41" s="58" t="s">
        <v>69</v>
      </c>
      <c r="D41" s="18"/>
      <c r="E41" s="1673">
        <v>5</v>
      </c>
      <c r="F41" s="1674">
        <v>5</v>
      </c>
      <c r="G41" s="1675">
        <v>13.112020138451857</v>
      </c>
      <c r="H41" s="1676">
        <f t="shared" si="4"/>
        <v>5.8621991999999992</v>
      </c>
      <c r="I41" s="1676">
        <f t="shared" si="5"/>
        <v>7.2498209384518582</v>
      </c>
      <c r="J41" s="1677">
        <v>1</v>
      </c>
      <c r="K41" s="1678">
        <f t="shared" si="6"/>
        <v>9.4401277061019785E-3</v>
      </c>
      <c r="L41" s="1676">
        <f t="shared" si="7"/>
        <v>1.9729866905753135</v>
      </c>
      <c r="M41" s="3"/>
      <c r="N41" s="1664">
        <v>5</v>
      </c>
      <c r="O41" s="1665" t="s">
        <v>208</v>
      </c>
      <c r="P41" s="51"/>
      <c r="Q41" s="1679">
        <f>SUMIF($F$38:$F$45,N41,$G$38:$G$45)+SUMIF($F$38:$F$45,$N41,$L$38:$L$45)</f>
        <v>1543.1961986094796</v>
      </c>
      <c r="V41" s="1659"/>
    </row>
    <row r="42" spans="2:28" ht="15.5" outlineLevel="1">
      <c r="B42" s="41"/>
      <c r="C42" s="94" t="s">
        <v>277</v>
      </c>
      <c r="D42" s="18"/>
      <c r="E42" s="1673">
        <v>39</v>
      </c>
      <c r="F42" s="1674">
        <v>5</v>
      </c>
      <c r="G42" s="1675">
        <v>668.71302706104473</v>
      </c>
      <c r="H42" s="1676">
        <f t="shared" si="4"/>
        <v>41.086156695156696</v>
      </c>
      <c r="I42" s="1676">
        <f t="shared" si="5"/>
        <v>627.62687036588807</v>
      </c>
      <c r="J42" s="1677">
        <v>1</v>
      </c>
      <c r="K42" s="1678">
        <f t="shared" si="6"/>
        <v>0.48144651301120089</v>
      </c>
      <c r="L42" s="1676">
        <f t="shared" si="7"/>
        <v>100.62232121934099</v>
      </c>
      <c r="M42" s="3"/>
      <c r="N42" s="1680">
        <v>6</v>
      </c>
      <c r="O42" s="1681" t="s">
        <v>209</v>
      </c>
      <c r="P42" s="65"/>
      <c r="Q42" s="1679">
        <f>SUMIF($F$38:$F$45,N42,$G$38:$G$45)+SUMIF($F$38:$F$45,$N42,$L$38:$L$45)</f>
        <v>54.770195348984942</v>
      </c>
      <c r="V42" s="1659"/>
    </row>
    <row r="43" spans="2:28" ht="15.5" outlineLevel="1">
      <c r="B43" s="41"/>
      <c r="C43" s="58" t="s">
        <v>184</v>
      </c>
      <c r="D43" s="18"/>
      <c r="E43" s="1673" t="s">
        <v>563</v>
      </c>
      <c r="F43" s="1674">
        <v>5</v>
      </c>
      <c r="G43" s="1675">
        <v>118.00818124606673</v>
      </c>
      <c r="H43" s="1676">
        <f t="shared" si="4"/>
        <v>133.01599999999999</v>
      </c>
      <c r="I43" s="1676">
        <f t="shared" si="5"/>
        <v>-15.007818753933265</v>
      </c>
      <c r="J43" s="1677">
        <v>1</v>
      </c>
      <c r="K43" s="1678">
        <f t="shared" si="6"/>
        <v>8.4961149354917817E-2</v>
      </c>
      <c r="L43" s="1676">
        <f t="shared" si="7"/>
        <v>17.756880215177823</v>
      </c>
      <c r="M43" s="3"/>
      <c r="N43" s="1682">
        <v>7</v>
      </c>
      <c r="O43" s="1683" t="s">
        <v>210</v>
      </c>
      <c r="P43" s="1684"/>
      <c r="Q43" s="1685">
        <f>SUM($L$16,-SUM($Q$37:$Q$42))</f>
        <v>147.5166060415354</v>
      </c>
      <c r="V43" s="1659"/>
    </row>
    <row r="44" spans="2:28" ht="15.5" outlineLevel="1">
      <c r="B44" s="41"/>
      <c r="C44" s="57" t="s">
        <v>681</v>
      </c>
      <c r="D44" s="18"/>
      <c r="E44" s="1673">
        <v>15</v>
      </c>
      <c r="F44" s="1674">
        <v>6</v>
      </c>
      <c r="G44" s="1675">
        <v>43.706733794839522</v>
      </c>
      <c r="H44" s="1676">
        <f t="shared" si="4"/>
        <v>0</v>
      </c>
      <c r="I44" s="1676">
        <f t="shared" si="5"/>
        <v>43.706733794839522</v>
      </c>
      <c r="J44" s="1677">
        <v>1</v>
      </c>
      <c r="K44" s="1678">
        <f t="shared" si="6"/>
        <v>3.1467092353673259E-2</v>
      </c>
      <c r="L44" s="1676">
        <f t="shared" si="7"/>
        <v>6.5766223019177108</v>
      </c>
      <c r="M44" s="3"/>
      <c r="N44" s="1619" t="s">
        <v>26</v>
      </c>
      <c r="O44" s="1619"/>
      <c r="P44" s="1619"/>
      <c r="Q44" s="1686">
        <f>SUM(Q37:Q43)</f>
        <v>2192.846</v>
      </c>
      <c r="V44" s="1659"/>
    </row>
    <row r="45" spans="2:28" ht="15.5" outlineLevel="1">
      <c r="B45" s="41"/>
      <c r="C45" s="57" t="s">
        <v>276</v>
      </c>
      <c r="D45" s="18"/>
      <c r="E45" s="1673">
        <v>15</v>
      </c>
      <c r="F45" s="1674">
        <v>6</v>
      </c>
      <c r="G45" s="1675">
        <v>3.9</v>
      </c>
      <c r="H45" s="1676">
        <f t="shared" si="4"/>
        <v>0</v>
      </c>
      <c r="I45" s="1676">
        <f t="shared" si="5"/>
        <v>3.9</v>
      </c>
      <c r="J45" s="1677">
        <v>1</v>
      </c>
      <c r="K45" s="1678">
        <f t="shared" si="6"/>
        <v>2.8078433120942918E-3</v>
      </c>
      <c r="L45" s="1676">
        <f t="shared" si="7"/>
        <v>0.58683925222770694</v>
      </c>
      <c r="M45" s="3"/>
      <c r="V45" s="1659"/>
    </row>
    <row r="46" spans="2:28" ht="15.5" outlineLevel="1">
      <c r="B46" s="41"/>
      <c r="C46" s="60" t="s">
        <v>26</v>
      </c>
      <c r="D46" s="60"/>
      <c r="E46" s="60"/>
      <c r="F46" s="1687"/>
      <c r="G46" s="1688">
        <f>SUM(G38:G45)</f>
        <v>1388.9663939584646</v>
      </c>
      <c r="H46" s="1688">
        <f t="shared" ref="H46:I46" si="8">SUM(H38:H45)</f>
        <v>390.04665515989109</v>
      </c>
      <c r="I46" s="1688">
        <f t="shared" si="8"/>
        <v>998.91973879857358</v>
      </c>
      <c r="J46" s="59"/>
      <c r="K46" s="1689">
        <f t="shared" ref="K46" si="9">SUM(K38:K45)</f>
        <v>1</v>
      </c>
      <c r="L46" s="1688">
        <f t="shared" ref="L46" si="10">SUM(L38:L45)</f>
        <v>209.00000000000003</v>
      </c>
      <c r="M46" s="3"/>
    </row>
    <row r="47" spans="2:28" ht="15.5" outlineLevel="1">
      <c r="B47" s="41"/>
      <c r="K47" s="1398"/>
      <c r="L47" s="1690"/>
      <c r="M47" s="58"/>
    </row>
    <row r="48" spans="2:28" ht="13" customHeight="1">
      <c r="H48" s="58"/>
      <c r="K48" s="1398"/>
      <c r="M48" s="58"/>
      <c r="W48" s="3"/>
      <c r="X48" s="3"/>
      <c r="Y48" s="3"/>
    </row>
    <row r="49" spans="1:25">
      <c r="A49" s="52" t="s">
        <v>63</v>
      </c>
      <c r="C49" s="670" t="s">
        <v>252</v>
      </c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</row>
    <row r="50" spans="1:25" ht="7.5" customHeight="1" outlineLevel="1">
      <c r="C50" s="59"/>
      <c r="D50" s="59"/>
      <c r="E50" s="59"/>
      <c r="F50" s="59"/>
      <c r="G50" s="59"/>
      <c r="H50" s="59"/>
      <c r="I50" s="59"/>
      <c r="J50" s="179"/>
      <c r="K50" s="179"/>
      <c r="L50" s="179"/>
      <c r="M50" s="59"/>
      <c r="N50" s="180"/>
      <c r="O50" s="180"/>
      <c r="P50" s="180"/>
      <c r="Q50" s="180"/>
      <c r="R50" s="180"/>
      <c r="S50" s="180"/>
      <c r="T50" s="59"/>
      <c r="U50" s="59"/>
      <c r="V50" s="59"/>
      <c r="W50" s="187"/>
      <c r="X50" s="3"/>
      <c r="Y50" s="3"/>
    </row>
    <row r="51" spans="1:25" outlineLevel="1">
      <c r="B51" s="58"/>
      <c r="C51" s="391" t="s">
        <v>241</v>
      </c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  <c r="V51" s="389"/>
      <c r="W51" s="392"/>
      <c r="X51" s="3"/>
    </row>
    <row r="52" spans="1:25" ht="9.65" customHeight="1" outlineLevel="1">
      <c r="C52" s="58"/>
      <c r="D52" s="58"/>
      <c r="E52" s="58"/>
      <c r="F52" s="58"/>
      <c r="G52" s="58"/>
      <c r="H52" s="58"/>
      <c r="I52" s="58"/>
      <c r="J52" s="58"/>
      <c r="K52" s="58"/>
      <c r="L52" s="52"/>
      <c r="M52" s="58"/>
      <c r="N52" s="20"/>
      <c r="O52" s="20"/>
      <c r="P52" s="20"/>
      <c r="Q52" s="20"/>
      <c r="R52" s="20"/>
      <c r="S52" s="20"/>
      <c r="T52" s="58"/>
      <c r="U52" s="58"/>
      <c r="V52" s="58"/>
      <c r="W52" s="150"/>
      <c r="X52" s="3"/>
      <c r="Y52" s="3"/>
    </row>
    <row r="53" spans="1:25" ht="16" outlineLevel="1">
      <c r="E53" s="114" t="s">
        <v>224</v>
      </c>
      <c r="G53" s="169" t="s">
        <v>25</v>
      </c>
      <c r="H53" s="144"/>
      <c r="I53" s="76"/>
      <c r="J53" s="76"/>
      <c r="L53" s="160" t="s">
        <v>162</v>
      </c>
      <c r="M53" s="55"/>
      <c r="N53" s="55"/>
      <c r="O53" s="144"/>
      <c r="R53"/>
      <c r="S53"/>
      <c r="T53"/>
      <c r="U53"/>
      <c r="V53"/>
      <c r="X53" s="3"/>
      <c r="Y53" s="3"/>
    </row>
    <row r="54" spans="1:25" s="217" customFormat="1" outlineLevel="1">
      <c r="A54" s="220"/>
      <c r="E54" s="6" t="s">
        <v>229</v>
      </c>
      <c r="G54" s="251" t="s">
        <v>225</v>
      </c>
      <c r="H54" s="251" t="s">
        <v>196</v>
      </c>
      <c r="I54" s="251" t="s">
        <v>243</v>
      </c>
      <c r="J54" s="251" t="s">
        <v>244</v>
      </c>
      <c r="L54" s="280" t="s">
        <v>28</v>
      </c>
      <c r="M54" s="281" t="s">
        <v>29</v>
      </c>
      <c r="N54" s="282" t="s">
        <v>176</v>
      </c>
      <c r="O54" s="283" t="s">
        <v>228</v>
      </c>
      <c r="R54"/>
      <c r="S54"/>
      <c r="T54"/>
      <c r="U54"/>
      <c r="V54"/>
    </row>
    <row r="55" spans="1:25" s="58" customFormat="1" ht="7.5" customHeight="1" outlineLevel="1">
      <c r="A55" s="52"/>
      <c r="E55" s="59"/>
      <c r="M55" s="17"/>
      <c r="N55" s="52"/>
      <c r="R55"/>
      <c r="S55"/>
      <c r="T55"/>
      <c r="U55"/>
      <c r="V55"/>
    </row>
    <row r="56" spans="1:25" outlineLevel="1">
      <c r="C56" s="3" t="s">
        <v>7</v>
      </c>
      <c r="E56" s="171">
        <v>1</v>
      </c>
      <c r="G56" s="1288">
        <v>0</v>
      </c>
      <c r="H56" s="1494">
        <f>PRODUCT($G56,$Q$26)</f>
        <v>0</v>
      </c>
      <c r="I56" s="71">
        <v>0</v>
      </c>
      <c r="J56" s="188">
        <f>IFERROR((H56/I56),0)</f>
        <v>0</v>
      </c>
      <c r="L56" s="1288">
        <v>0.04</v>
      </c>
      <c r="M56" s="1483">
        <v>5.0000000000000001E-3</v>
      </c>
      <c r="N56" s="1483">
        <v>0</v>
      </c>
      <c r="O56" s="1483">
        <v>0</v>
      </c>
      <c r="R56"/>
      <c r="S56"/>
      <c r="T56"/>
      <c r="U56"/>
      <c r="V56"/>
    </row>
    <row r="57" spans="1:25" outlineLevel="1">
      <c r="C57" s="94" t="str">
        <f>$C$24</f>
        <v>Term Loan</v>
      </c>
      <c r="E57" s="171">
        <v>1</v>
      </c>
      <c r="G57" s="1288">
        <v>1.4999999999999999E-2</v>
      </c>
      <c r="H57" s="72">
        <f ca="1">PRODUCT((INDEX($E$24:$E$28,(MATCH($C57,$C$24:$C$28,0)),(MATCH("Balance",$E$12,0)))),$G57)</f>
        <v>8.2933648571283118</v>
      </c>
      <c r="I57" s="71">
        <v>5</v>
      </c>
      <c r="J57" s="188">
        <f ca="1">IFERROR((H57/I57),0)</f>
        <v>1.6586729714256623</v>
      </c>
      <c r="L57" s="1483">
        <v>0</v>
      </c>
      <c r="M57" s="1483">
        <v>0</v>
      </c>
      <c r="N57" s="1483">
        <v>6.13E-2</v>
      </c>
      <c r="O57" s="1483">
        <v>0</v>
      </c>
    </row>
    <row r="58" spans="1:25" outlineLevel="1">
      <c r="C58" s="108" t="s">
        <v>247</v>
      </c>
      <c r="E58" s="171">
        <v>1</v>
      </c>
      <c r="G58" s="1288">
        <v>0</v>
      </c>
      <c r="H58" s="72">
        <v>0</v>
      </c>
      <c r="I58" s="71">
        <v>0</v>
      </c>
      <c r="J58" s="188">
        <v>0</v>
      </c>
      <c r="L58" s="1483">
        <v>0</v>
      </c>
      <c r="M58" s="1483">
        <v>0</v>
      </c>
      <c r="N58" s="1483">
        <v>0.08</v>
      </c>
      <c r="O58" s="1483">
        <v>0</v>
      </c>
      <c r="R58"/>
      <c r="S58"/>
      <c r="T58"/>
      <c r="U58"/>
      <c r="V58"/>
    </row>
    <row r="59" spans="1:25" outlineLevel="1">
      <c r="C59" s="94" t="str">
        <f>$C$25</f>
        <v>CRE Loan</v>
      </c>
      <c r="E59" s="171">
        <v>1</v>
      </c>
      <c r="G59" s="1288">
        <v>0</v>
      </c>
      <c r="H59" s="72">
        <f ca="1">PRODUCT((INDEX($E$24:$E$28,(MATCH($C59,$C$24:$C$28,0)),(MATCH("Balance",$E$12,0)))),$G59)</f>
        <v>0</v>
      </c>
      <c r="I59" s="71">
        <v>0</v>
      </c>
      <c r="J59" s="188">
        <f ca="1">IFERROR((H59/I59),0)</f>
        <v>0</v>
      </c>
      <c r="L59" s="1483">
        <v>0</v>
      </c>
      <c r="M59" s="1483">
        <v>0</v>
      </c>
      <c r="N59" s="1483">
        <v>6.1100000000000002E-2</v>
      </c>
      <c r="O59" s="1483">
        <v>0</v>
      </c>
      <c r="R59"/>
      <c r="S59"/>
      <c r="T59"/>
      <c r="U59"/>
      <c r="V59"/>
    </row>
    <row r="60" spans="1:25" outlineLevel="1">
      <c r="C60" s="94" t="str">
        <f>$C$26</f>
        <v>Seller Note</v>
      </c>
      <c r="E60" s="171">
        <v>0</v>
      </c>
      <c r="G60" s="1288">
        <v>0</v>
      </c>
      <c r="H60" s="72">
        <f ca="1">PRODUCT((INDEX($E$24:$E$28,(MATCH($C60,$C$24:$C$28,0)),(MATCH("Balance",$E$12,0)))),$G60)</f>
        <v>0</v>
      </c>
      <c r="I60" s="71">
        <v>0</v>
      </c>
      <c r="J60" s="188">
        <f ca="1">IFERROR((H60/I60),0)</f>
        <v>0</v>
      </c>
      <c r="L60" s="1483">
        <v>0</v>
      </c>
      <c r="M60" s="1483">
        <v>0</v>
      </c>
      <c r="N60" s="1483">
        <v>0.06</v>
      </c>
      <c r="O60" s="1483">
        <v>0</v>
      </c>
    </row>
    <row r="61" spans="1:25" outlineLevel="1">
      <c r="C61" s="94" t="str">
        <f>$C$27</f>
        <v>Preferred Equity - A</v>
      </c>
      <c r="E61" s="171">
        <v>0</v>
      </c>
      <c r="G61" s="1288">
        <v>0</v>
      </c>
      <c r="H61" s="72">
        <f ca="1">PRODUCT((INDEX($E$24:$E$28,(MATCH($C61,$C$24:$C$28,0)),(MATCH("Balance",$E$12,0)))),$G61)</f>
        <v>0</v>
      </c>
      <c r="I61" s="71">
        <v>0</v>
      </c>
      <c r="J61" s="188">
        <f ca="1">IFERROR((H61/I61),0)</f>
        <v>0</v>
      </c>
      <c r="L61" s="1483">
        <v>0</v>
      </c>
      <c r="M61" s="1483">
        <v>0</v>
      </c>
      <c r="N61" s="1483">
        <v>0.08</v>
      </c>
      <c r="O61" s="1484">
        <v>1</v>
      </c>
    </row>
    <row r="62" spans="1:25" outlineLevel="1">
      <c r="C62" s="94" t="str">
        <f>$C$28</f>
        <v>Preferred Equity - B</v>
      </c>
      <c r="E62" s="171">
        <v>0</v>
      </c>
      <c r="G62" s="1288">
        <v>0</v>
      </c>
      <c r="H62" s="234">
        <v>0</v>
      </c>
      <c r="I62" s="71">
        <v>0</v>
      </c>
      <c r="J62" s="188">
        <f>IFERROR((H62/I62),0)</f>
        <v>0</v>
      </c>
      <c r="L62" s="1483">
        <v>0</v>
      </c>
      <c r="M62" s="1483">
        <v>0</v>
      </c>
      <c r="N62" s="1483">
        <v>0.08</v>
      </c>
      <c r="O62" s="1484">
        <v>1</v>
      </c>
    </row>
    <row r="63" spans="1:25" outlineLevel="1">
      <c r="F63" s="3"/>
      <c r="G63" s="3"/>
      <c r="H63" s="3"/>
      <c r="I63" s="3"/>
      <c r="J63" s="3"/>
      <c r="M63" s="51"/>
      <c r="N63" s="51"/>
      <c r="O63" s="51"/>
      <c r="P63" s="51"/>
    </row>
    <row r="64" spans="1:25" outlineLevel="1">
      <c r="B64" s="58"/>
      <c r="C64" s="391" t="s">
        <v>242</v>
      </c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Q64" s="389"/>
      <c r="R64" s="389"/>
      <c r="S64" s="389"/>
      <c r="T64" s="389"/>
      <c r="U64" s="389"/>
      <c r="V64" s="389"/>
      <c r="W64" s="392"/>
      <c r="X64" s="3"/>
    </row>
    <row r="65" spans="1:31" customFormat="1" ht="3.65" customHeight="1" outlineLevel="1">
      <c r="A65" s="14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31" outlineLevel="1">
      <c r="F66" s="3"/>
      <c r="G66" s="3"/>
      <c r="H66" s="3"/>
      <c r="I66" s="3"/>
      <c r="J66" s="3"/>
      <c r="M66" s="1569" t="s">
        <v>260</v>
      </c>
      <c r="N66" s="1570">
        <f>closing_date</f>
        <v>44775</v>
      </c>
      <c r="O66" s="1570">
        <f t="shared" ref="O66:W66" si="11">N$121+1</f>
        <v>44927</v>
      </c>
      <c r="P66" s="1570">
        <f t="shared" si="11"/>
        <v>45292</v>
      </c>
      <c r="Q66" s="1570">
        <f t="shared" si="11"/>
        <v>45658</v>
      </c>
      <c r="R66" s="1570">
        <f t="shared" si="11"/>
        <v>46023</v>
      </c>
      <c r="S66" s="1570">
        <f t="shared" si="11"/>
        <v>46388</v>
      </c>
      <c r="T66" s="1570">
        <f t="shared" si="11"/>
        <v>46753</v>
      </c>
      <c r="U66" s="1570">
        <f t="shared" si="11"/>
        <v>47119</v>
      </c>
      <c r="V66" s="1570">
        <f t="shared" si="11"/>
        <v>47484</v>
      </c>
      <c r="W66" s="1570">
        <f t="shared" si="11"/>
        <v>47849</v>
      </c>
      <c r="X66" s="1135"/>
      <c r="Y66" s="1135"/>
      <c r="Z66" s="3"/>
      <c r="AA66" s="3"/>
      <c r="AB66" s="3"/>
      <c r="AC66" s="3"/>
      <c r="AD66" s="3"/>
      <c r="AE66" s="3"/>
    </row>
    <row r="67" spans="1:31" ht="16" outlineLevel="1">
      <c r="E67" s="333" t="s">
        <v>723</v>
      </c>
      <c r="G67" s="157" t="s">
        <v>242</v>
      </c>
      <c r="H67" s="144"/>
      <c r="I67" s="144"/>
      <c r="J67" s="144"/>
      <c r="K67" s="144"/>
      <c r="M67" s="1569" t="s">
        <v>261</v>
      </c>
      <c r="N67" s="1570">
        <f>$Q$16</f>
        <v>44926</v>
      </c>
      <c r="O67" s="1570">
        <f t="shared" ref="O67:W67" si="12">EDATE(N67,12)</f>
        <v>45291</v>
      </c>
      <c r="P67" s="1570">
        <f t="shared" si="12"/>
        <v>45657</v>
      </c>
      <c r="Q67" s="1570">
        <f t="shared" si="12"/>
        <v>46022</v>
      </c>
      <c r="R67" s="1570">
        <f t="shared" si="12"/>
        <v>46387</v>
      </c>
      <c r="S67" s="1570">
        <f t="shared" si="12"/>
        <v>46752</v>
      </c>
      <c r="T67" s="1570">
        <f t="shared" si="12"/>
        <v>47118</v>
      </c>
      <c r="U67" s="1570">
        <f t="shared" si="12"/>
        <v>47483</v>
      </c>
      <c r="V67" s="1570">
        <f t="shared" si="12"/>
        <v>47848</v>
      </c>
      <c r="W67" s="1570">
        <f t="shared" si="12"/>
        <v>48213</v>
      </c>
      <c r="X67" s="1135"/>
      <c r="Y67" s="1135"/>
      <c r="Z67" s="3"/>
      <c r="AA67" s="3"/>
      <c r="AB67" s="3"/>
      <c r="AC67" s="3"/>
      <c r="AD67" s="3"/>
      <c r="AE67" s="3"/>
    </row>
    <row r="68" spans="1:31" ht="4" customHeight="1" outlineLevel="1">
      <c r="E68" s="333"/>
      <c r="G68" s="157"/>
      <c r="H68" s="144"/>
      <c r="I68" s="144"/>
      <c r="J68" s="144"/>
      <c r="K68" s="144"/>
      <c r="M68" s="1569"/>
      <c r="N68" s="1571"/>
      <c r="O68" s="1571"/>
      <c r="P68" s="1571"/>
      <c r="Q68" s="1571"/>
      <c r="R68" s="1571"/>
      <c r="S68" s="1571"/>
      <c r="T68" s="1571"/>
      <c r="U68" s="1571"/>
      <c r="V68" s="1571"/>
      <c r="W68" s="1571"/>
      <c r="X68" s="1135"/>
      <c r="Y68" s="1135"/>
      <c r="Z68" s="3"/>
      <c r="AA68" s="3"/>
      <c r="AB68" s="3"/>
      <c r="AC68" s="3"/>
      <c r="AD68" s="3"/>
      <c r="AE68" s="3"/>
    </row>
    <row r="69" spans="1:31" outlineLevel="1">
      <c r="C69" s="1550" t="s">
        <v>907</v>
      </c>
      <c r="E69" s="1451">
        <v>1</v>
      </c>
      <c r="G69" s="337">
        <v>1</v>
      </c>
      <c r="H69" s="337">
        <v>2</v>
      </c>
      <c r="I69" s="337">
        <v>3</v>
      </c>
      <c r="J69" s="337">
        <v>4</v>
      </c>
      <c r="K69" s="337">
        <v>5</v>
      </c>
      <c r="L69" s="3"/>
      <c r="M69" s="1135"/>
      <c r="N69" s="1576">
        <v>1</v>
      </c>
      <c r="O69" s="1577">
        <f t="shared" ref="O69:W69" si="13">SUM(N69,1)</f>
        <v>2</v>
      </c>
      <c r="P69" s="1577">
        <f t="shared" si="13"/>
        <v>3</v>
      </c>
      <c r="Q69" s="1577">
        <f t="shared" si="13"/>
        <v>4</v>
      </c>
      <c r="R69" s="1577">
        <f t="shared" si="13"/>
        <v>5</v>
      </c>
      <c r="S69" s="1577">
        <f t="shared" si="13"/>
        <v>6</v>
      </c>
      <c r="T69" s="1577">
        <f t="shared" si="13"/>
        <v>7</v>
      </c>
      <c r="U69" s="1577">
        <f t="shared" si="13"/>
        <v>8</v>
      </c>
      <c r="V69" s="1577">
        <f t="shared" si="13"/>
        <v>9</v>
      </c>
      <c r="W69" s="1577">
        <f t="shared" si="13"/>
        <v>10</v>
      </c>
      <c r="X69" s="1135"/>
      <c r="Y69" s="1135"/>
      <c r="Z69" s="3"/>
      <c r="AA69" s="3"/>
      <c r="AB69" s="3"/>
      <c r="AC69" s="3"/>
      <c r="AD69" s="3"/>
      <c r="AE69" s="3"/>
    </row>
    <row r="70" spans="1:31" outlineLevel="1">
      <c r="C70" s="62"/>
      <c r="E70" s="3"/>
      <c r="G70" s="337"/>
      <c r="H70" s="337"/>
      <c r="I70" s="337"/>
      <c r="J70" s="337"/>
      <c r="K70" s="337"/>
      <c r="L70" s="3"/>
      <c r="M70" s="1135"/>
      <c r="N70" s="1572"/>
      <c r="O70" s="1572"/>
      <c r="P70" s="1572"/>
      <c r="Q70" s="1572"/>
      <c r="R70" s="1572"/>
      <c r="S70" s="1572"/>
      <c r="T70" s="1572"/>
      <c r="U70" s="1572"/>
      <c r="V70" s="1572"/>
      <c r="W70" s="1572"/>
      <c r="X70" s="1135"/>
      <c r="Y70" s="1135"/>
      <c r="Z70" s="3"/>
      <c r="AA70" s="3"/>
      <c r="AB70" s="3"/>
      <c r="AC70" s="3"/>
      <c r="AD70" s="3"/>
      <c r="AE70" s="3"/>
    </row>
    <row r="71" spans="1:31" s="51" customFormat="1" outlineLevel="1">
      <c r="A71" s="97"/>
      <c r="C71" s="1691" t="s">
        <v>140</v>
      </c>
      <c r="D71" s="189"/>
      <c r="E71" s="189"/>
      <c r="F71" s="189"/>
      <c r="G71" s="189"/>
      <c r="H71" s="189"/>
      <c r="I71" s="189"/>
      <c r="J71" s="189"/>
      <c r="K71" s="733"/>
      <c r="L71" s="733"/>
      <c r="M71" s="733"/>
      <c r="N71" s="733"/>
      <c r="O71" s="733"/>
      <c r="P71" s="733"/>
      <c r="Q71" s="733"/>
      <c r="R71" s="733"/>
      <c r="S71" s="733"/>
      <c r="T71" s="733"/>
      <c r="U71" s="733"/>
      <c r="V71" s="733"/>
      <c r="W71" s="733"/>
      <c r="X71" s="1135"/>
      <c r="Y71" s="1135"/>
      <c r="Z71" s="207"/>
      <c r="AA71" s="207"/>
      <c r="AB71" s="207"/>
      <c r="AC71" s="207"/>
      <c r="AD71" s="207"/>
      <c r="AE71" s="207"/>
    </row>
    <row r="72" spans="1:31" ht="4" customHeight="1" outlineLevel="1">
      <c r="C72" s="179"/>
      <c r="D72" s="70"/>
      <c r="E72" s="70"/>
      <c r="F72" s="59"/>
      <c r="G72" s="59"/>
      <c r="H72" s="59"/>
      <c r="I72" s="59"/>
      <c r="J72" s="59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1135"/>
      <c r="Y72" s="1135"/>
      <c r="Z72" s="3"/>
      <c r="AA72" s="3"/>
      <c r="AB72" s="3"/>
      <c r="AC72" s="3"/>
      <c r="AD72" s="3"/>
      <c r="AE72" s="3"/>
    </row>
    <row r="73" spans="1:31" outlineLevel="1">
      <c r="C73" s="62" t="s">
        <v>240</v>
      </c>
      <c r="D73" s="58"/>
      <c r="E73" s="1485">
        <f ca="1">OFFSET($F73,,$E$69)</f>
        <v>5</v>
      </c>
      <c r="F73" s="58"/>
      <c r="G73" s="183">
        <v>5</v>
      </c>
      <c r="H73" s="71">
        <v>5</v>
      </c>
      <c r="I73" s="71">
        <v>5</v>
      </c>
      <c r="J73" s="71">
        <v>7</v>
      </c>
      <c r="K73" s="71">
        <v>7</v>
      </c>
      <c r="L73" s="3"/>
      <c r="M73" s="1478"/>
      <c r="N73" s="1478"/>
      <c r="O73" s="1478"/>
      <c r="P73" s="1478"/>
      <c r="Q73" s="1478"/>
      <c r="R73" s="1478"/>
      <c r="S73" s="1478"/>
      <c r="T73" s="1478"/>
      <c r="U73" s="1478"/>
      <c r="V73" s="1478"/>
      <c r="W73" s="1478"/>
      <c r="X73" s="1135"/>
      <c r="Y73" s="1135"/>
      <c r="Z73" s="3"/>
      <c r="AA73" s="3"/>
      <c r="AB73" s="3"/>
      <c r="AC73" s="3"/>
      <c r="AD73" s="3"/>
      <c r="AE73" s="3"/>
    </row>
    <row r="74" spans="1:31" outlineLevel="1">
      <c r="C74" s="62" t="s">
        <v>285</v>
      </c>
      <c r="D74" s="58"/>
      <c r="E74" s="1486">
        <f ca="1">EDATE(closing_date,PRODUCT($E$73,$E$95))</f>
        <v>46601</v>
      </c>
      <c r="F74" s="58"/>
      <c r="G74" s="183"/>
      <c r="H74" s="71"/>
      <c r="I74" s="71"/>
      <c r="J74" s="71"/>
      <c r="K74" s="71"/>
      <c r="L74" s="3"/>
      <c r="M74" s="1478"/>
      <c r="N74" s="1478"/>
      <c r="O74" s="1478"/>
      <c r="P74" s="1478"/>
      <c r="Q74" s="1478"/>
      <c r="R74" s="1478"/>
      <c r="S74" s="1478"/>
      <c r="T74" s="1478"/>
      <c r="U74" s="1478"/>
      <c r="V74" s="1478"/>
      <c r="W74" s="1478"/>
      <c r="X74" s="1135"/>
      <c r="Y74" s="1135"/>
      <c r="Z74" s="3"/>
      <c r="AA74" s="3"/>
      <c r="AB74" s="3"/>
      <c r="AC74" s="3"/>
      <c r="AD74" s="3"/>
      <c r="AE74" s="3"/>
    </row>
    <row r="75" spans="1:31" ht="4.5" customHeight="1" outlineLevel="1">
      <c r="C75" s="56"/>
      <c r="D75" s="58"/>
      <c r="E75" s="65"/>
      <c r="F75" s="58"/>
      <c r="L75" s="3"/>
      <c r="M75" s="1478"/>
      <c r="N75" s="1478"/>
      <c r="O75" s="1478"/>
      <c r="P75" s="1478"/>
      <c r="Q75" s="1478"/>
      <c r="R75" s="1478"/>
      <c r="S75" s="1478"/>
      <c r="T75" s="1478"/>
      <c r="U75" s="1478"/>
      <c r="V75" s="1478"/>
      <c r="W75" s="1478"/>
      <c r="X75" s="1135"/>
      <c r="Y75" s="1135"/>
      <c r="Z75" s="3"/>
      <c r="AA75" s="3"/>
      <c r="AB75" s="3"/>
      <c r="AC75" s="3"/>
      <c r="AD75" s="3"/>
      <c r="AE75" s="3"/>
    </row>
    <row r="76" spans="1:31" outlineLevel="1">
      <c r="C76" s="62" t="s">
        <v>284</v>
      </c>
      <c r="D76" s="58"/>
      <c r="E76" s="65"/>
      <c r="F76" s="58"/>
      <c r="G76" s="58"/>
      <c r="H76" s="58"/>
      <c r="I76" s="58"/>
      <c r="J76" s="58"/>
      <c r="K76" s="150"/>
      <c r="L76" s="3"/>
      <c r="M76" s="81" t="s">
        <v>140</v>
      </c>
      <c r="X76" s="1135"/>
      <c r="Y76" s="1135"/>
      <c r="Z76" s="3"/>
      <c r="AA76" s="3"/>
      <c r="AB76" s="3"/>
      <c r="AC76" s="3"/>
      <c r="AD76" s="3"/>
      <c r="AE76" s="3"/>
    </row>
    <row r="77" spans="1:31" outlineLevel="1">
      <c r="C77" s="736">
        <v>1</v>
      </c>
      <c r="D77" s="737"/>
      <c r="E77" s="1487">
        <f ca="1">IFERROR((OFFSET($F77,,$E$69))^-1,0)</f>
        <v>0.1</v>
      </c>
      <c r="F77" s="408"/>
      <c r="G77" s="734">
        <v>10</v>
      </c>
      <c r="H77" s="734">
        <v>10</v>
      </c>
      <c r="I77" s="734">
        <v>7</v>
      </c>
      <c r="J77" s="734">
        <v>10</v>
      </c>
      <c r="K77" s="734">
        <v>10</v>
      </c>
      <c r="L77" s="3"/>
      <c r="M77" s="408"/>
      <c r="N77" s="408"/>
      <c r="O77" s="408"/>
      <c r="P77" s="408"/>
      <c r="Q77" s="408"/>
      <c r="R77" s="408"/>
      <c r="S77" s="408"/>
      <c r="T77" s="408"/>
      <c r="U77" s="408"/>
      <c r="V77" s="408"/>
      <c r="W77" s="408"/>
      <c r="X77" s="1135"/>
      <c r="Y77" s="1135"/>
      <c r="Z77" s="3"/>
      <c r="AA77" s="3"/>
      <c r="AB77" s="3"/>
      <c r="AC77" s="3"/>
      <c r="AD77" s="3"/>
      <c r="AE77" s="3"/>
    </row>
    <row r="78" spans="1:31" outlineLevel="1">
      <c r="C78" s="735">
        <v>2</v>
      </c>
      <c r="D78" s="215"/>
      <c r="E78" s="1488">
        <f t="shared" ref="E78:E86" ca="1" si="14">IFERROR((OFFSET($F78,,$E$69))^-1,0)</f>
        <v>0.1</v>
      </c>
      <c r="F78" s="58"/>
      <c r="G78" s="71">
        <v>10</v>
      </c>
      <c r="H78" s="71">
        <v>10</v>
      </c>
      <c r="I78" s="71">
        <v>7</v>
      </c>
      <c r="J78" s="71">
        <v>10</v>
      </c>
      <c r="K78" s="71">
        <v>10</v>
      </c>
      <c r="L78" s="3"/>
      <c r="M78" s="62" t="s">
        <v>250</v>
      </c>
      <c r="X78" s="1135"/>
      <c r="Y78" s="1135"/>
      <c r="Z78" s="3"/>
      <c r="AA78" s="3"/>
      <c r="AB78" s="3"/>
      <c r="AC78" s="3"/>
      <c r="AD78" s="3"/>
      <c r="AE78" s="3"/>
    </row>
    <row r="79" spans="1:31" outlineLevel="1">
      <c r="C79" s="735">
        <v>3</v>
      </c>
      <c r="D79" s="215"/>
      <c r="E79" s="1488">
        <f t="shared" ca="1" si="14"/>
        <v>0.14285714285714285</v>
      </c>
      <c r="F79" s="58"/>
      <c r="G79" s="71">
        <v>7</v>
      </c>
      <c r="H79" s="71">
        <v>10</v>
      </c>
      <c r="I79" s="71">
        <v>7</v>
      </c>
      <c r="J79" s="71">
        <v>7</v>
      </c>
      <c r="K79" s="71">
        <v>7</v>
      </c>
      <c r="L79" s="3"/>
      <c r="M79" s="192" t="s">
        <v>39</v>
      </c>
      <c r="N79" s="1578">
        <f t="shared" ref="N79:W79" ca="1" si="15">_xlfn.XLOOKUP(N$69,$C$77:$C$86,$E$77:$E$86,0)</f>
        <v>0.1</v>
      </c>
      <c r="O79" s="1578">
        <f t="shared" ca="1" si="15"/>
        <v>0.1</v>
      </c>
      <c r="P79" s="1578">
        <f t="shared" ca="1" si="15"/>
        <v>0.14285714285714285</v>
      </c>
      <c r="Q79" s="1578">
        <f t="shared" ca="1" si="15"/>
        <v>0.14285714285714285</v>
      </c>
      <c r="R79" s="1578">
        <f t="shared" ca="1" si="15"/>
        <v>0.14285714285714285</v>
      </c>
      <c r="S79" s="1578">
        <f t="shared" ca="1" si="15"/>
        <v>0</v>
      </c>
      <c r="T79" s="1578">
        <f t="shared" ca="1" si="15"/>
        <v>0</v>
      </c>
      <c r="U79" s="1578">
        <f t="shared" ca="1" si="15"/>
        <v>0</v>
      </c>
      <c r="V79" s="1578">
        <f t="shared" ca="1" si="15"/>
        <v>0</v>
      </c>
      <c r="W79" s="1578">
        <f t="shared" ca="1" si="15"/>
        <v>0</v>
      </c>
      <c r="X79" s="1135"/>
      <c r="Y79" s="1135"/>
      <c r="Z79" s="3"/>
      <c r="AA79" s="3"/>
      <c r="AB79" s="3"/>
      <c r="AC79" s="3"/>
      <c r="AD79" s="3"/>
      <c r="AE79" s="3"/>
    </row>
    <row r="80" spans="1:31" outlineLevel="1">
      <c r="C80" s="735">
        <v>4</v>
      </c>
      <c r="D80" s="215"/>
      <c r="E80" s="1488">
        <f t="shared" ca="1" si="14"/>
        <v>0.14285714285714285</v>
      </c>
      <c r="F80" s="58"/>
      <c r="G80" s="71">
        <v>7</v>
      </c>
      <c r="H80" s="71">
        <v>7</v>
      </c>
      <c r="I80" s="71">
        <v>7</v>
      </c>
      <c r="J80" s="71">
        <v>7</v>
      </c>
      <c r="K80" s="71">
        <v>7</v>
      </c>
      <c r="L80" s="3"/>
      <c r="M80" s="231"/>
      <c r="N80" s="1573"/>
      <c r="O80" s="1573"/>
      <c r="P80" s="1573"/>
      <c r="Q80" s="1573"/>
      <c r="R80" s="1573"/>
      <c r="S80" s="1573"/>
      <c r="T80" s="1573"/>
      <c r="U80" s="1573"/>
      <c r="V80" s="1573"/>
      <c r="W80" s="1573"/>
      <c r="X80" s="1135"/>
      <c r="Y80" s="1135"/>
      <c r="Z80" s="3"/>
      <c r="AA80" s="3"/>
      <c r="AB80" s="3"/>
      <c r="AC80" s="3"/>
      <c r="AD80" s="3"/>
      <c r="AE80" s="3"/>
    </row>
    <row r="81" spans="3:31" outlineLevel="1">
      <c r="C81" s="735">
        <v>5</v>
      </c>
      <c r="D81" s="215"/>
      <c r="E81" s="1488">
        <f t="shared" ca="1" si="14"/>
        <v>0.14285714285714285</v>
      </c>
      <c r="G81" s="71">
        <v>7</v>
      </c>
      <c r="H81" s="71">
        <v>7</v>
      </c>
      <c r="I81" s="71">
        <v>7</v>
      </c>
      <c r="J81" s="71">
        <v>7</v>
      </c>
      <c r="K81" s="71">
        <v>7</v>
      </c>
      <c r="L81" s="3"/>
      <c r="M81" s="231"/>
      <c r="N81" s="231"/>
      <c r="O81" s="231"/>
      <c r="P81" s="231"/>
      <c r="Q81" s="231"/>
      <c r="R81" s="231"/>
      <c r="S81" s="231"/>
      <c r="T81" s="231"/>
      <c r="U81" s="231"/>
      <c r="V81" s="231"/>
      <c r="W81" s="231"/>
      <c r="X81" s="1135"/>
      <c r="Y81" s="1135"/>
      <c r="Z81" s="3"/>
      <c r="AA81" s="3"/>
      <c r="AB81" s="3"/>
      <c r="AC81" s="3"/>
      <c r="AD81" s="3"/>
      <c r="AE81" s="3"/>
    </row>
    <row r="82" spans="3:31" outlineLevel="1">
      <c r="C82" s="735">
        <v>6</v>
      </c>
      <c r="D82" s="215"/>
      <c r="E82" s="1488">
        <f t="shared" ca="1" si="14"/>
        <v>0</v>
      </c>
      <c r="G82" s="71">
        <v>0</v>
      </c>
      <c r="H82" s="71">
        <v>0</v>
      </c>
      <c r="I82" s="71">
        <v>0</v>
      </c>
      <c r="J82" s="71">
        <v>5</v>
      </c>
      <c r="K82" s="71">
        <v>7</v>
      </c>
      <c r="L82" s="3"/>
      <c r="M82" s="231"/>
      <c r="N82" s="231"/>
      <c r="O82" s="231"/>
      <c r="P82" s="231"/>
      <c r="Q82" s="231"/>
      <c r="R82" s="231"/>
      <c r="S82" s="231"/>
      <c r="T82" s="231"/>
      <c r="U82" s="231"/>
      <c r="V82" s="231"/>
      <c r="W82" s="231"/>
      <c r="X82" s="1135"/>
      <c r="Y82" s="1135"/>
      <c r="Z82" s="3"/>
      <c r="AA82" s="3"/>
      <c r="AB82" s="3"/>
      <c r="AC82" s="3"/>
      <c r="AD82" s="3"/>
      <c r="AE82" s="3"/>
    </row>
    <row r="83" spans="3:31" outlineLevel="1">
      <c r="C83" s="735">
        <v>7</v>
      </c>
      <c r="D83" s="215"/>
      <c r="E83" s="1488">
        <f t="shared" ca="1" si="14"/>
        <v>0</v>
      </c>
      <c r="G83" s="71">
        <v>0</v>
      </c>
      <c r="H83" s="71">
        <v>0</v>
      </c>
      <c r="I83" s="71">
        <v>0</v>
      </c>
      <c r="J83" s="71">
        <v>5</v>
      </c>
      <c r="K83" s="71">
        <v>7</v>
      </c>
      <c r="L83" s="3"/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1135"/>
      <c r="Y83" s="1135"/>
      <c r="Z83" s="3"/>
      <c r="AA83" s="3"/>
      <c r="AB83" s="3"/>
      <c r="AC83" s="3"/>
      <c r="AD83" s="3"/>
      <c r="AE83" s="3"/>
    </row>
    <row r="84" spans="3:31" outlineLevel="1">
      <c r="C84" s="735">
        <v>8</v>
      </c>
      <c r="D84" s="215"/>
      <c r="E84" s="1488">
        <f t="shared" ca="1" si="14"/>
        <v>0</v>
      </c>
      <c r="G84" s="71">
        <v>0</v>
      </c>
      <c r="H84" s="71">
        <v>0</v>
      </c>
      <c r="I84" s="71">
        <v>0</v>
      </c>
      <c r="J84" s="71">
        <v>0</v>
      </c>
      <c r="K84" s="71">
        <v>0</v>
      </c>
      <c r="L84" s="3"/>
      <c r="M84" s="231"/>
      <c r="N84" s="231"/>
      <c r="O84" s="231"/>
      <c r="P84" s="231"/>
      <c r="Q84" s="231"/>
      <c r="R84" s="231"/>
      <c r="S84" s="231"/>
      <c r="T84" s="231"/>
      <c r="U84" s="231"/>
      <c r="V84" s="231"/>
      <c r="W84" s="231"/>
      <c r="X84" s="1135"/>
      <c r="Y84" s="1135"/>
      <c r="Z84" s="3"/>
      <c r="AA84" s="3"/>
      <c r="AB84" s="3"/>
      <c r="AC84" s="3"/>
      <c r="AD84" s="3"/>
      <c r="AE84" s="3"/>
    </row>
    <row r="85" spans="3:31" outlineLevel="1">
      <c r="C85" s="735">
        <v>9</v>
      </c>
      <c r="D85" s="215"/>
      <c r="E85" s="1488">
        <f t="shared" ca="1" si="14"/>
        <v>0</v>
      </c>
      <c r="G85" s="71">
        <v>0</v>
      </c>
      <c r="H85" s="71">
        <v>0</v>
      </c>
      <c r="I85" s="71">
        <v>0</v>
      </c>
      <c r="J85" s="71">
        <v>0</v>
      </c>
      <c r="K85" s="71">
        <v>0</v>
      </c>
      <c r="L85" s="3"/>
      <c r="M85" s="231"/>
      <c r="N85" s="1478"/>
      <c r="O85" s="231"/>
      <c r="P85" s="231"/>
      <c r="Q85" s="231"/>
      <c r="R85" s="231"/>
      <c r="S85" s="231"/>
      <c r="T85" s="231"/>
      <c r="U85" s="231"/>
      <c r="V85" s="231"/>
      <c r="W85" s="231"/>
      <c r="X85" s="1135"/>
      <c r="Y85" s="1135"/>
      <c r="Z85" s="3"/>
      <c r="AA85" s="3"/>
      <c r="AB85" s="3"/>
      <c r="AC85" s="3"/>
      <c r="AD85" s="3"/>
      <c r="AE85" s="3"/>
    </row>
    <row r="86" spans="3:31" outlineLevel="1">
      <c r="C86" s="735">
        <v>10</v>
      </c>
      <c r="D86" s="215"/>
      <c r="E86" s="1488">
        <f t="shared" ca="1" si="14"/>
        <v>0</v>
      </c>
      <c r="G86" s="71">
        <v>0</v>
      </c>
      <c r="H86" s="71">
        <v>0</v>
      </c>
      <c r="I86" s="71">
        <v>0</v>
      </c>
      <c r="J86" s="71">
        <v>0</v>
      </c>
      <c r="K86" s="71">
        <v>0</v>
      </c>
      <c r="L86" s="3"/>
      <c r="M86" s="231"/>
      <c r="N86" s="231"/>
      <c r="O86" s="231"/>
      <c r="P86" s="231"/>
      <c r="Q86" s="231"/>
      <c r="R86" s="231"/>
      <c r="S86" s="231"/>
      <c r="T86" s="231"/>
      <c r="U86" s="231"/>
      <c r="V86" s="231"/>
      <c r="W86" s="231"/>
      <c r="X86" s="1135"/>
      <c r="Y86" s="1135"/>
      <c r="Z86" s="3"/>
      <c r="AA86" s="3"/>
      <c r="AB86" s="3"/>
      <c r="AC86" s="3"/>
      <c r="AD86" s="3"/>
      <c r="AE86" s="3"/>
    </row>
    <row r="87" spans="3:31" outlineLevel="1">
      <c r="C87" s="409" t="s">
        <v>26</v>
      </c>
      <c r="D87" s="408"/>
      <c r="E87" s="1487">
        <f ca="1">MIN(SUM($E$77:$E$86),1)</f>
        <v>0.62857142857142856</v>
      </c>
      <c r="F87" s="725"/>
      <c r="G87" s="409"/>
      <c r="H87" s="409"/>
      <c r="I87" s="409"/>
      <c r="J87" s="409"/>
      <c r="K87" s="409"/>
      <c r="L87" s="3"/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/>
      <c r="X87" s="1135"/>
      <c r="Y87" s="1135"/>
      <c r="Z87" s="3"/>
      <c r="AA87" s="3"/>
      <c r="AB87" s="3"/>
      <c r="AC87" s="3"/>
      <c r="AD87" s="3"/>
      <c r="AE87" s="3"/>
    </row>
    <row r="88" spans="3:31" outlineLevel="1">
      <c r="C88" s="216"/>
      <c r="E88" s="215"/>
      <c r="F88" s="3"/>
      <c r="G88" s="3"/>
      <c r="H88" s="3"/>
      <c r="I88" s="3"/>
      <c r="J88" s="3"/>
      <c r="L88" s="3"/>
      <c r="X88" s="1135"/>
      <c r="Y88" s="1135"/>
      <c r="Z88" s="3"/>
      <c r="AA88" s="3"/>
      <c r="AB88" s="3"/>
      <c r="AC88" s="3"/>
      <c r="AD88" s="3"/>
      <c r="AE88" s="3"/>
    </row>
    <row r="89" spans="3:31" outlineLevel="1">
      <c r="C89" s="1692" t="s">
        <v>913</v>
      </c>
      <c r="D89" s="329"/>
      <c r="E89" s="1693"/>
      <c r="F89" s="1694"/>
      <c r="G89" s="1694"/>
      <c r="H89" s="1694"/>
      <c r="I89" s="1694"/>
      <c r="J89" s="1694"/>
      <c r="K89" s="329"/>
      <c r="L89" s="329"/>
      <c r="M89" s="329"/>
      <c r="N89" s="329"/>
      <c r="O89" s="329"/>
      <c r="P89" s="329"/>
      <c r="Q89" s="329"/>
      <c r="R89" s="329"/>
      <c r="S89" s="329"/>
      <c r="T89" s="329"/>
      <c r="U89" s="329"/>
      <c r="V89" s="329"/>
      <c r="W89" s="329"/>
      <c r="X89" s="1135"/>
      <c r="Y89" s="1135"/>
      <c r="Z89" s="3"/>
      <c r="AA89" s="3"/>
      <c r="AB89" s="3"/>
      <c r="AC89" s="3"/>
      <c r="AD89" s="3"/>
      <c r="AE89" s="3"/>
    </row>
    <row r="90" spans="3:31" ht="4" customHeight="1" outlineLevel="1">
      <c r="C90" s="216"/>
      <c r="E90" s="215"/>
      <c r="F90" s="3"/>
      <c r="G90" s="3"/>
      <c r="H90" s="3"/>
      <c r="I90" s="3"/>
      <c r="J90" s="3"/>
      <c r="X90" s="1135"/>
      <c r="Y90" s="1135"/>
      <c r="Z90" s="3"/>
      <c r="AA90" s="3"/>
      <c r="AB90" s="3"/>
      <c r="AC90" s="3"/>
      <c r="AD90" s="3"/>
      <c r="AE90" s="3"/>
    </row>
    <row r="91" spans="3:31" outlineLevel="1">
      <c r="C91" s="62" t="s">
        <v>255</v>
      </c>
      <c r="E91" s="1489">
        <f ca="1">1-$E$87</f>
        <v>0.37142857142857144</v>
      </c>
      <c r="F91" s="3"/>
      <c r="G91" s="3"/>
      <c r="H91" s="3"/>
      <c r="I91" s="3"/>
      <c r="J91" s="3"/>
      <c r="L91" s="3"/>
      <c r="M91" s="62" t="s">
        <v>286</v>
      </c>
      <c r="N91" s="278" t="b">
        <f t="shared" ref="N91:W91" ca="1" si="16">AND(N$66&lt;$E$74,$E$74&lt;N$67,$E$92=1)</f>
        <v>0</v>
      </c>
      <c r="O91" s="278" t="b">
        <f t="shared" ca="1" si="16"/>
        <v>0</v>
      </c>
      <c r="P91" s="278" t="b">
        <f t="shared" ca="1" si="16"/>
        <v>0</v>
      </c>
      <c r="Q91" s="278" t="b">
        <f t="shared" ca="1" si="16"/>
        <v>0</v>
      </c>
      <c r="R91" s="278" t="b">
        <f t="shared" ca="1" si="16"/>
        <v>0</v>
      </c>
      <c r="S91" s="278" t="b">
        <f t="shared" ca="1" si="16"/>
        <v>1</v>
      </c>
      <c r="T91" s="278" t="b">
        <f t="shared" ca="1" si="16"/>
        <v>0</v>
      </c>
      <c r="U91" s="278" t="b">
        <f t="shared" ca="1" si="16"/>
        <v>0</v>
      </c>
      <c r="V91" s="278" t="b">
        <f t="shared" ca="1" si="16"/>
        <v>0</v>
      </c>
      <c r="W91" s="278" t="b">
        <f t="shared" ca="1" si="16"/>
        <v>0</v>
      </c>
      <c r="X91" s="1135"/>
      <c r="Y91" s="1135"/>
      <c r="Z91" s="3"/>
      <c r="AA91" s="3"/>
      <c r="AB91" s="3"/>
      <c r="AC91" s="3"/>
      <c r="AD91" s="3"/>
      <c r="AE91" s="3"/>
    </row>
    <row r="92" spans="3:31" outlineLevel="1">
      <c r="C92" s="57" t="s">
        <v>906</v>
      </c>
      <c r="E92" s="1490">
        <f ca="1">OFFSET($F92,,$E$69)</f>
        <v>1</v>
      </c>
      <c r="F92" s="3"/>
      <c r="G92" s="171">
        <v>1</v>
      </c>
      <c r="H92" s="171">
        <v>1</v>
      </c>
      <c r="I92" s="171">
        <v>1</v>
      </c>
      <c r="J92" s="171">
        <v>0</v>
      </c>
      <c r="K92" s="171">
        <v>0</v>
      </c>
      <c r="L92" s="3"/>
      <c r="M92" s="62" t="s">
        <v>287</v>
      </c>
      <c r="N92" s="756" t="b">
        <f t="shared" ref="N92:W92" ca="1" si="17">AND($E$92&lt;&gt;0,$E$74&lt;N$67)</f>
        <v>0</v>
      </c>
      <c r="O92" s="756" t="b">
        <f t="shared" ca="1" si="17"/>
        <v>0</v>
      </c>
      <c r="P92" s="756" t="b">
        <f t="shared" ca="1" si="17"/>
        <v>0</v>
      </c>
      <c r="Q92" s="756" t="b">
        <f t="shared" ca="1" si="17"/>
        <v>0</v>
      </c>
      <c r="R92" s="756" t="b">
        <f t="shared" ca="1" si="17"/>
        <v>0</v>
      </c>
      <c r="S92" s="756" t="b">
        <f t="shared" ca="1" si="17"/>
        <v>1</v>
      </c>
      <c r="T92" s="756" t="b">
        <f t="shared" ca="1" si="17"/>
        <v>1</v>
      </c>
      <c r="U92" s="756" t="b">
        <f t="shared" ca="1" si="17"/>
        <v>1</v>
      </c>
      <c r="V92" s="756" t="b">
        <f t="shared" ca="1" si="17"/>
        <v>1</v>
      </c>
      <c r="W92" s="756" t="b">
        <f t="shared" ca="1" si="17"/>
        <v>1</v>
      </c>
      <c r="X92" s="1135"/>
      <c r="Y92" s="1135"/>
      <c r="Z92" s="3"/>
      <c r="AA92" s="3"/>
      <c r="AB92" s="3"/>
      <c r="AC92" s="3"/>
      <c r="AD92" s="3"/>
      <c r="AE92" s="3"/>
    </row>
    <row r="93" spans="3:31" outlineLevel="1">
      <c r="C93" s="57" t="s">
        <v>908</v>
      </c>
      <c r="E93" s="1491">
        <f ca="1">IF(E92=0,0,OFFSET($F93,,$E$69))</f>
        <v>5</v>
      </c>
      <c r="F93" s="3"/>
      <c r="G93" s="71">
        <v>5</v>
      </c>
      <c r="H93" s="190">
        <f>$G$93</f>
        <v>5</v>
      </c>
      <c r="I93" s="190">
        <f>$G$93</f>
        <v>5</v>
      </c>
      <c r="J93" s="1551">
        <v>0</v>
      </c>
      <c r="K93" s="1551">
        <v>0</v>
      </c>
      <c r="L93" s="3"/>
      <c r="M93" s="3"/>
      <c r="N93" s="236">
        <f ca="1">IF((YEARFRAC($E$74,N$67)*N91)&gt;0,5,0)</f>
        <v>0</v>
      </c>
      <c r="O93" s="235">
        <f t="shared" ref="O93:W93" ca="1" si="18">YEARFRAC($E$74,O$67)*O91</f>
        <v>0</v>
      </c>
      <c r="P93" s="235">
        <f t="shared" ca="1" si="18"/>
        <v>0</v>
      </c>
      <c r="Q93" s="235">
        <f t="shared" ca="1" si="18"/>
        <v>0</v>
      </c>
      <c r="R93" s="235">
        <f t="shared" ca="1" si="18"/>
        <v>0</v>
      </c>
      <c r="S93" s="235">
        <f t="shared" ca="1" si="18"/>
        <v>0.41388888888888886</v>
      </c>
      <c r="T93" s="235">
        <f t="shared" ca="1" si="18"/>
        <v>0</v>
      </c>
      <c r="U93" s="235">
        <f t="shared" ca="1" si="18"/>
        <v>0</v>
      </c>
      <c r="V93" s="235">
        <f t="shared" ca="1" si="18"/>
        <v>0</v>
      </c>
      <c r="W93" s="235">
        <f t="shared" ca="1" si="18"/>
        <v>0</v>
      </c>
      <c r="X93" s="1135"/>
      <c r="Y93" s="1135"/>
      <c r="Z93" s="3"/>
      <c r="AA93" s="3"/>
      <c r="AB93" s="3"/>
      <c r="AC93" s="3"/>
      <c r="AD93" s="3"/>
      <c r="AE93" s="3"/>
    </row>
    <row r="94" spans="3:31" outlineLevel="1">
      <c r="C94" s="57" t="s">
        <v>909</v>
      </c>
      <c r="E94" s="1488">
        <f ca="1">IFERROR((1/$E$93),0)</f>
        <v>0.2</v>
      </c>
      <c r="F94" s="3"/>
      <c r="G94" s="71"/>
      <c r="H94" s="190"/>
      <c r="I94" s="190"/>
      <c r="J94" s="1551"/>
      <c r="K94" s="1551"/>
      <c r="L94" s="3"/>
      <c r="X94" s="1135"/>
      <c r="Y94" s="1135"/>
      <c r="Z94" s="3"/>
      <c r="AA94" s="3"/>
      <c r="AB94" s="3"/>
      <c r="AC94" s="3"/>
      <c r="AD94" s="3"/>
      <c r="AE94" s="3"/>
    </row>
    <row r="95" spans="3:31" outlineLevel="1">
      <c r="C95" s="3" t="s">
        <v>79</v>
      </c>
      <c r="E95" s="1492">
        <f ca="1">OFFSET($F95,,$E$69)</f>
        <v>12</v>
      </c>
      <c r="F95" s="3"/>
      <c r="G95" s="331">
        <v>12</v>
      </c>
      <c r="H95" s="332">
        <f>G95</f>
        <v>12</v>
      </c>
      <c r="I95" s="332">
        <f>H95</f>
        <v>12</v>
      </c>
      <c r="J95" s="1551">
        <v>0</v>
      </c>
      <c r="K95" s="1551">
        <v>0</v>
      </c>
      <c r="L95" s="3"/>
      <c r="M95" s="62" t="s">
        <v>250</v>
      </c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1135"/>
      <c r="Y95" s="1135"/>
      <c r="Z95" s="3"/>
      <c r="AA95" s="3"/>
      <c r="AB95" s="3"/>
      <c r="AC95" s="3"/>
      <c r="AD95" s="3"/>
      <c r="AE95" s="3"/>
    </row>
    <row r="96" spans="3:31" ht="13" customHeight="1" outlineLevel="1">
      <c r="E96" s="65"/>
      <c r="F96" s="3"/>
      <c r="G96" s="3"/>
      <c r="H96" s="3"/>
      <c r="I96" s="3"/>
      <c r="J96" s="3"/>
      <c r="L96" s="3"/>
      <c r="M96" s="192" t="s">
        <v>39</v>
      </c>
      <c r="N96" s="1579">
        <f t="shared" ref="N96:W96" ca="1" si="19">MAX($E$94*N93,$E$94*N$92)</f>
        <v>0</v>
      </c>
      <c r="O96" s="1579">
        <f t="shared" ca="1" si="19"/>
        <v>0</v>
      </c>
      <c r="P96" s="1579">
        <f t="shared" ca="1" si="19"/>
        <v>0</v>
      </c>
      <c r="Q96" s="1579">
        <f t="shared" ca="1" si="19"/>
        <v>0</v>
      </c>
      <c r="R96" s="1579">
        <f t="shared" ca="1" si="19"/>
        <v>0</v>
      </c>
      <c r="S96" s="1579">
        <f t="shared" ca="1" si="19"/>
        <v>0.2</v>
      </c>
      <c r="T96" s="1579">
        <f t="shared" ca="1" si="19"/>
        <v>0.2</v>
      </c>
      <c r="U96" s="1579">
        <f t="shared" ca="1" si="19"/>
        <v>0.2</v>
      </c>
      <c r="V96" s="1579">
        <f t="shared" ca="1" si="19"/>
        <v>0.2</v>
      </c>
      <c r="W96" s="1579">
        <f t="shared" ca="1" si="19"/>
        <v>0.2</v>
      </c>
      <c r="X96" s="1135"/>
      <c r="Y96" s="1135"/>
      <c r="Z96" s="3"/>
      <c r="AA96" s="3"/>
      <c r="AB96" s="3"/>
      <c r="AC96" s="3"/>
      <c r="AD96" s="3"/>
      <c r="AE96" s="3"/>
    </row>
    <row r="97" spans="1:31" ht="13" customHeight="1" outlineLevel="1">
      <c r="E97" s="65"/>
      <c r="F97" s="3"/>
      <c r="G97" s="3"/>
      <c r="H97" s="3"/>
      <c r="I97" s="3"/>
      <c r="J97" s="3"/>
      <c r="L97" s="3"/>
      <c r="X97" s="1135"/>
      <c r="Y97" s="1135"/>
      <c r="Z97" s="3"/>
      <c r="AA97" s="3"/>
      <c r="AB97" s="3"/>
      <c r="AC97" s="3"/>
      <c r="AD97" s="3"/>
      <c r="AE97" s="3"/>
    </row>
    <row r="98" spans="1:31" s="51" customFormat="1" outlineLevel="1">
      <c r="A98" s="97"/>
      <c r="C98" s="1691" t="s">
        <v>139</v>
      </c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135"/>
      <c r="Y98" s="1135"/>
      <c r="Z98" s="207"/>
      <c r="AA98" s="207"/>
      <c r="AB98" s="207"/>
      <c r="AC98" s="207"/>
      <c r="AD98" s="207"/>
      <c r="AE98" s="207"/>
    </row>
    <row r="99" spans="1:31" ht="4" customHeight="1" outlineLevel="1">
      <c r="C99" s="59"/>
      <c r="D99" s="59"/>
      <c r="E99" s="70"/>
      <c r="F99" s="187"/>
      <c r="G99" s="187"/>
      <c r="H99" s="187"/>
      <c r="I99" s="187"/>
      <c r="J99" s="187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1135"/>
      <c r="Y99" s="1135"/>
      <c r="Z99" s="3"/>
      <c r="AA99" s="3"/>
      <c r="AB99" s="3"/>
      <c r="AC99" s="3"/>
      <c r="AD99" s="3"/>
      <c r="AE99" s="3"/>
    </row>
    <row r="100" spans="1:31" outlineLevel="1">
      <c r="C100" s="57" t="s">
        <v>70</v>
      </c>
      <c r="E100" s="1489">
        <f ca="1">OFFSET($F100,,$E$69)</f>
        <v>0.85</v>
      </c>
      <c r="F100" s="3"/>
      <c r="G100" s="178">
        <v>0.85</v>
      </c>
      <c r="H100" s="178">
        <v>0.85</v>
      </c>
      <c r="I100" s="178">
        <v>0.85</v>
      </c>
      <c r="J100" s="178">
        <v>0.8</v>
      </c>
      <c r="K100" s="178">
        <v>0.8</v>
      </c>
      <c r="L100" s="3"/>
      <c r="M100" s="81" t="s">
        <v>499</v>
      </c>
      <c r="N100" s="278" t="b">
        <f t="shared" ref="N100:W100" ca="1" si="20">AND(N$66&lt;$E$102,$E$102&lt;N$67)</f>
        <v>0</v>
      </c>
      <c r="O100" s="278" t="b">
        <f t="shared" ca="1" si="20"/>
        <v>0</v>
      </c>
      <c r="P100" s="278" t="b">
        <f t="shared" ca="1" si="20"/>
        <v>0</v>
      </c>
      <c r="Q100" s="278" t="b">
        <f t="shared" ca="1" si="20"/>
        <v>0</v>
      </c>
      <c r="R100" s="278" t="b">
        <f t="shared" ca="1" si="20"/>
        <v>0</v>
      </c>
      <c r="S100" s="278" t="b">
        <f t="shared" ca="1" si="20"/>
        <v>0</v>
      </c>
      <c r="T100" s="278" t="b">
        <f t="shared" ca="1" si="20"/>
        <v>0</v>
      </c>
      <c r="U100" s="278" t="b">
        <f t="shared" ca="1" si="20"/>
        <v>0</v>
      </c>
      <c r="V100" s="278" t="b">
        <f t="shared" ca="1" si="20"/>
        <v>0</v>
      </c>
      <c r="W100" s="278" t="b">
        <f t="shared" ca="1" si="20"/>
        <v>0</v>
      </c>
      <c r="X100" s="1135"/>
      <c r="Y100" s="1135"/>
      <c r="Z100" s="3"/>
      <c r="AA100" s="3"/>
      <c r="AB100" s="3"/>
      <c r="AC100" s="3"/>
      <c r="AD100" s="3"/>
      <c r="AE100" s="3"/>
    </row>
    <row r="101" spans="1:31" outlineLevel="1">
      <c r="C101" s="62" t="s">
        <v>329</v>
      </c>
      <c r="E101" s="1485">
        <f ca="1">OFFSET($F101,,$E$69)</f>
        <v>10</v>
      </c>
      <c r="F101" s="3"/>
      <c r="G101" s="71">
        <v>10</v>
      </c>
      <c r="H101" s="184">
        <f>G101</f>
        <v>10</v>
      </c>
      <c r="I101" s="184">
        <f>H101</f>
        <v>10</v>
      </c>
      <c r="J101" s="184">
        <f>I101</f>
        <v>10</v>
      </c>
      <c r="K101" s="184">
        <f>J101</f>
        <v>10</v>
      </c>
      <c r="L101" s="3"/>
      <c r="X101" s="1135"/>
      <c r="Y101" s="1135"/>
      <c r="Z101" s="3"/>
      <c r="AA101" s="3"/>
      <c r="AB101" s="3"/>
      <c r="AC101" s="3"/>
      <c r="AD101" s="3"/>
      <c r="AE101" s="3"/>
    </row>
    <row r="102" spans="1:31" outlineLevel="1">
      <c r="C102" s="62" t="s">
        <v>285</v>
      </c>
      <c r="E102" s="1486">
        <f ca="1">EDATE(closing_date,PRODUCT($E$101,$E$105))</f>
        <v>48428</v>
      </c>
      <c r="F102" s="3"/>
      <c r="G102" s="71"/>
      <c r="H102" s="184"/>
      <c r="I102" s="184"/>
      <c r="J102" s="184"/>
      <c r="K102" s="184"/>
      <c r="L102" s="3"/>
      <c r="M102" s="972" t="str">
        <f>$C$98&amp;" Annual Payment Totals ($)"</f>
        <v>CRE Loan Annual Payment Totals ($)</v>
      </c>
      <c r="X102" s="1135"/>
      <c r="Y102" s="1135"/>
      <c r="Z102" s="3"/>
      <c r="AA102" s="3"/>
      <c r="AB102" s="3"/>
      <c r="AC102" s="3"/>
      <c r="AD102" s="3"/>
      <c r="AE102" s="3"/>
    </row>
    <row r="103" spans="1:31" outlineLevel="1">
      <c r="C103" s="3" t="s">
        <v>80</v>
      </c>
      <c r="E103" s="1493">
        <f ca="1">OFFSET($F103,,$E$69)</f>
        <v>0.5</v>
      </c>
      <c r="F103" s="150"/>
      <c r="G103" s="335">
        <v>0.5</v>
      </c>
      <c r="H103" s="335">
        <v>0.5</v>
      </c>
      <c r="I103" s="335">
        <v>0.5</v>
      </c>
      <c r="J103" s="335">
        <v>0.5</v>
      </c>
      <c r="K103" s="335">
        <v>0.5</v>
      </c>
      <c r="L103" s="3"/>
      <c r="P103" s="3"/>
      <c r="Q103" s="3"/>
      <c r="R103" s="3"/>
      <c r="S103" s="3"/>
      <c r="T103" s="3"/>
      <c r="U103" s="3"/>
      <c r="V103" s="3"/>
      <c r="W103" s="3"/>
      <c r="X103" s="1135"/>
      <c r="Y103" s="1135"/>
      <c r="Z103" s="3"/>
      <c r="AA103" s="3"/>
      <c r="AB103" s="3"/>
      <c r="AC103" s="3"/>
      <c r="AD103" s="3"/>
      <c r="AE103" s="3"/>
    </row>
    <row r="104" spans="1:31" outlineLevel="1">
      <c r="C104" s="3" t="s">
        <v>77</v>
      </c>
      <c r="E104" s="1485">
        <f ca="1">OFFSET($F104,,$E$69)</f>
        <v>20</v>
      </c>
      <c r="F104" s="3"/>
      <c r="G104" s="71">
        <v>20</v>
      </c>
      <c r="H104" s="71">
        <v>20</v>
      </c>
      <c r="I104" s="71">
        <v>20</v>
      </c>
      <c r="J104" s="71">
        <v>25</v>
      </c>
      <c r="K104" s="71">
        <v>25</v>
      </c>
      <c r="L104" s="3"/>
      <c r="M104" s="192" t="s">
        <v>84</v>
      </c>
      <c r="N104" s="1580">
        <f t="shared" ref="N104:W105" ca="1" si="21">INDEX(INDIRECT("'"&amp;$C$98&amp;"'"&amp;"!$K$15:$T$16"),MATCH($M104,INDIRECT("'"&amp;$C$98&amp;"'"&amp;"!$j$15:$j$16"),0),MATCH(N$69,INDIRECT("'"&amp;$C$98&amp;"'"&amp;"!$K$13:$T$13"),0))</f>
        <v>21639.583333333336</v>
      </c>
      <c r="O104" s="1580">
        <f t="shared" ca="1" si="21"/>
        <v>51418.650247942467</v>
      </c>
      <c r="P104" s="1580">
        <f t="shared" ca="1" si="21"/>
        <v>50026.703266647724</v>
      </c>
      <c r="Q104" s="1580">
        <f t="shared" ca="1" si="21"/>
        <v>48537.509022495637</v>
      </c>
      <c r="R104" s="1580">
        <f t="shared" ca="1" si="21"/>
        <v>46954.733171088046</v>
      </c>
      <c r="S104" s="1580">
        <f t="shared" ca="1" si="21"/>
        <v>45272.495003947246</v>
      </c>
      <c r="T104" s="1580">
        <f t="shared" ca="1" si="21"/>
        <v>43484.54426634375</v>
      </c>
      <c r="U104" s="1580">
        <f t="shared" ca="1" si="21"/>
        <v>41584.237934850687</v>
      </c>
      <c r="V104" s="1580">
        <f t="shared" ca="1" si="21"/>
        <v>39564.515535589933</v>
      </c>
      <c r="W104" s="1580">
        <f t="shared" ca="1" si="21"/>
        <v>37417.87291146598</v>
      </c>
      <c r="X104" s="1135"/>
      <c r="Y104" s="1135"/>
      <c r="Z104" s="3"/>
      <c r="AA104" s="3"/>
      <c r="AB104" s="3"/>
      <c r="AC104" s="3"/>
      <c r="AD104" s="3"/>
      <c r="AE104" s="3"/>
    </row>
    <row r="105" spans="1:31" outlineLevel="1">
      <c r="C105" s="3" t="s">
        <v>79</v>
      </c>
      <c r="E105" s="1492">
        <f ca="1">OFFSET($F105,,$E$69)</f>
        <v>12</v>
      </c>
      <c r="F105" s="3"/>
      <c r="G105" s="331">
        <v>12</v>
      </c>
      <c r="H105" s="332">
        <f>G105</f>
        <v>12</v>
      </c>
      <c r="I105" s="332">
        <f>H105</f>
        <v>12</v>
      </c>
      <c r="J105" s="332">
        <f>I105</f>
        <v>12</v>
      </c>
      <c r="K105" s="332">
        <f>J105</f>
        <v>12</v>
      </c>
      <c r="L105" s="3"/>
      <c r="M105" s="192" t="s">
        <v>85</v>
      </c>
      <c r="N105" s="1580">
        <f t="shared" ca="1" si="21"/>
        <v>0</v>
      </c>
      <c r="O105" s="1580">
        <f t="shared" ca="1" si="21"/>
        <v>20490.269568399406</v>
      </c>
      <c r="P105" s="1580">
        <f t="shared" ca="1" si="21"/>
        <v>23698.027442088867</v>
      </c>
      <c r="Q105" s="1580">
        <f t="shared" ca="1" si="21"/>
        <v>25187.221686240959</v>
      </c>
      <c r="R105" s="1580">
        <f t="shared" ca="1" si="21"/>
        <v>26769.997537648553</v>
      </c>
      <c r="S105" s="1580">
        <f t="shared" ca="1" si="21"/>
        <v>28452.235704789342</v>
      </c>
      <c r="T105" s="1580">
        <f t="shared" ca="1" si="21"/>
        <v>30240.186442392842</v>
      </c>
      <c r="U105" s="1580">
        <f t="shared" ca="1" si="21"/>
        <v>32140.492773885897</v>
      </c>
      <c r="V105" s="1580">
        <f t="shared" ca="1" si="21"/>
        <v>34160.215173146658</v>
      </c>
      <c r="W105" s="1580">
        <f t="shared" ca="1" si="21"/>
        <v>36306.857797270612</v>
      </c>
      <c r="X105" s="1135"/>
      <c r="Y105" s="1135"/>
      <c r="Z105" s="3"/>
      <c r="AA105" s="3"/>
      <c r="AB105" s="3"/>
      <c r="AC105" s="3"/>
      <c r="AD105" s="3"/>
      <c r="AE105" s="3"/>
    </row>
    <row r="106" spans="1:31" ht="12" customHeight="1" outlineLevel="1">
      <c r="E106" s="65"/>
      <c r="F106" s="3"/>
      <c r="G106" s="3"/>
      <c r="H106" s="3"/>
      <c r="I106" s="3"/>
      <c r="J106" s="3"/>
      <c r="L106" s="3"/>
      <c r="M106" s="193" t="s">
        <v>26</v>
      </c>
      <c r="N106" s="411">
        <f ca="1">SUM(N$104:N$105)</f>
        <v>21639.583333333336</v>
      </c>
      <c r="O106" s="411">
        <f t="shared" ref="O106:W106" ca="1" si="22">SUM(O$104:O$105)</f>
        <v>71908.919816341877</v>
      </c>
      <c r="P106" s="411">
        <f t="shared" ca="1" si="22"/>
        <v>73724.730708736592</v>
      </c>
      <c r="Q106" s="411">
        <f t="shared" ca="1" si="22"/>
        <v>73724.730708736592</v>
      </c>
      <c r="R106" s="411">
        <f t="shared" ca="1" si="22"/>
        <v>73724.730708736606</v>
      </c>
      <c r="S106" s="411">
        <f t="shared" ca="1" si="22"/>
        <v>73724.730708736592</v>
      </c>
      <c r="T106" s="411">
        <f t="shared" ca="1" si="22"/>
        <v>73724.730708736592</v>
      </c>
      <c r="U106" s="411">
        <f t="shared" ca="1" si="22"/>
        <v>73724.730708736577</v>
      </c>
      <c r="V106" s="411">
        <f t="shared" ca="1" si="22"/>
        <v>73724.730708736592</v>
      </c>
      <c r="W106" s="411">
        <f t="shared" ca="1" si="22"/>
        <v>73724.730708736592</v>
      </c>
      <c r="X106" s="1135"/>
      <c r="Y106" s="1135"/>
      <c r="Z106" s="3"/>
      <c r="AA106" s="3"/>
      <c r="AB106" s="3"/>
      <c r="AC106" s="3"/>
      <c r="AD106" s="3"/>
      <c r="AE106" s="3"/>
    </row>
    <row r="107" spans="1:31" ht="12" customHeight="1" outlineLevel="1">
      <c r="E107" s="65"/>
      <c r="F107" s="3"/>
      <c r="G107" s="3"/>
      <c r="H107" s="3"/>
      <c r="I107" s="3"/>
      <c r="J107" s="3"/>
      <c r="L107" s="3"/>
      <c r="M107" s="231"/>
      <c r="N107" s="1574"/>
      <c r="O107" s="1574"/>
      <c r="P107" s="1574"/>
      <c r="Q107" s="1574"/>
      <c r="R107" s="1574"/>
      <c r="S107" s="1574"/>
      <c r="T107" s="1574"/>
      <c r="U107" s="1574"/>
      <c r="V107" s="1574"/>
      <c r="W107" s="1574"/>
      <c r="X107" s="1135"/>
      <c r="Y107" s="1135"/>
      <c r="Z107" s="3"/>
      <c r="AA107" s="3"/>
      <c r="AB107" s="3"/>
      <c r="AC107" s="3"/>
      <c r="AD107" s="3"/>
      <c r="AE107" s="3"/>
    </row>
    <row r="108" spans="1:31" s="51" customFormat="1" outlineLevel="1">
      <c r="A108" s="97"/>
      <c r="C108" s="1691" t="s">
        <v>90</v>
      </c>
      <c r="D108" s="189"/>
      <c r="E108" s="189"/>
      <c r="F108" s="189"/>
      <c r="G108" s="189"/>
      <c r="H108" s="189"/>
      <c r="I108" s="189"/>
      <c r="J108" s="189"/>
      <c r="K108" s="189"/>
      <c r="L108" s="3"/>
      <c r="M108" s="189"/>
      <c r="N108" s="1575"/>
      <c r="O108" s="1575"/>
      <c r="P108" s="1575"/>
      <c r="Q108" s="1575"/>
      <c r="R108" s="1575"/>
      <c r="S108" s="1575"/>
      <c r="T108" s="1575"/>
      <c r="U108" s="1575"/>
      <c r="V108" s="1575"/>
      <c r="W108" s="1575"/>
      <c r="X108" s="1135"/>
      <c r="Y108" s="1135"/>
      <c r="Z108" s="207"/>
      <c r="AA108" s="207"/>
      <c r="AB108" s="207"/>
      <c r="AC108" s="207"/>
      <c r="AD108" s="207"/>
      <c r="AE108" s="207"/>
    </row>
    <row r="109" spans="1:31" ht="4" customHeight="1" outlineLevel="1">
      <c r="C109" s="59"/>
      <c r="D109" s="59"/>
      <c r="E109" s="70"/>
      <c r="F109" s="187"/>
      <c r="G109" s="187"/>
      <c r="H109" s="187"/>
      <c r="I109" s="187"/>
      <c r="J109" s="187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1135"/>
      <c r="Z109" s="3"/>
      <c r="AA109" s="3"/>
      <c r="AB109" s="3"/>
      <c r="AC109" s="3"/>
      <c r="AD109" s="3"/>
      <c r="AE109" s="3"/>
    </row>
    <row r="110" spans="1:31" outlineLevel="1">
      <c r="C110" s="62" t="s">
        <v>329</v>
      </c>
      <c r="E110" s="1485">
        <f ca="1">OFFSET($F110,,$E$69)</f>
        <v>5</v>
      </c>
      <c r="F110" s="150"/>
      <c r="G110" s="71">
        <v>5</v>
      </c>
      <c r="H110" s="71">
        <v>5</v>
      </c>
      <c r="I110" s="71">
        <v>5</v>
      </c>
      <c r="J110" s="71">
        <v>5</v>
      </c>
      <c r="K110" s="71">
        <v>5</v>
      </c>
      <c r="L110" s="3"/>
      <c r="M110" s="81" t="s">
        <v>499</v>
      </c>
      <c r="N110" s="278" t="b">
        <f t="shared" ref="N110:W110" ca="1" si="23">AND(N$66&lt;$E$111,$E$111&lt;N$67)</f>
        <v>0</v>
      </c>
      <c r="O110" s="278" t="b">
        <f t="shared" ca="1" si="23"/>
        <v>0</v>
      </c>
      <c r="P110" s="278" t="b">
        <f t="shared" ca="1" si="23"/>
        <v>0</v>
      </c>
      <c r="Q110" s="278" t="b">
        <f t="shared" ca="1" si="23"/>
        <v>0</v>
      </c>
      <c r="R110" s="278" t="b">
        <f t="shared" ca="1" si="23"/>
        <v>0</v>
      </c>
      <c r="S110" s="278" t="b">
        <f t="shared" ca="1" si="23"/>
        <v>1</v>
      </c>
      <c r="T110" s="278" t="b">
        <f t="shared" ca="1" si="23"/>
        <v>0</v>
      </c>
      <c r="U110" s="278" t="b">
        <f t="shared" ca="1" si="23"/>
        <v>0</v>
      </c>
      <c r="V110" s="278" t="b">
        <f t="shared" ca="1" si="23"/>
        <v>0</v>
      </c>
      <c r="W110" s="278" t="b">
        <f t="shared" ca="1" si="23"/>
        <v>0</v>
      </c>
      <c r="X110" s="1135"/>
      <c r="Y110" s="1135"/>
      <c r="Z110" s="3"/>
      <c r="AA110" s="3"/>
      <c r="AB110" s="3"/>
      <c r="AC110" s="3"/>
      <c r="AD110" s="3"/>
      <c r="AE110" s="3"/>
    </row>
    <row r="111" spans="1:31" outlineLevel="1">
      <c r="C111" s="62" t="s">
        <v>285</v>
      </c>
      <c r="E111" s="1486">
        <f ca="1">EDATE(closing_date,PRODUCT($E$110,$E$114))</f>
        <v>46601</v>
      </c>
      <c r="F111" s="150"/>
      <c r="G111" s="71"/>
      <c r="H111" s="184"/>
      <c r="I111" s="184"/>
      <c r="J111" s="184"/>
      <c r="K111" s="184"/>
      <c r="L111" s="3"/>
      <c r="X111" s="1135"/>
      <c r="Y111" s="1135"/>
      <c r="Z111" s="3"/>
      <c r="AA111" s="3"/>
      <c r="AB111" s="3"/>
      <c r="AC111" s="3"/>
      <c r="AD111" s="3"/>
      <c r="AE111" s="3"/>
    </row>
    <row r="112" spans="1:31" outlineLevel="1">
      <c r="C112" s="3" t="s">
        <v>80</v>
      </c>
      <c r="E112" s="1493">
        <f ca="1">OFFSET($F112,,$E$69)</f>
        <v>1</v>
      </c>
      <c r="F112" s="150"/>
      <c r="G112" s="335">
        <v>1</v>
      </c>
      <c r="H112" s="335">
        <v>1</v>
      </c>
      <c r="I112" s="335">
        <v>1</v>
      </c>
      <c r="J112" s="335">
        <v>1</v>
      </c>
      <c r="K112" s="335">
        <v>1</v>
      </c>
      <c r="L112" s="3"/>
      <c r="M112" s="972" t="str">
        <f>$C$108&amp;" Annual Payment Totals ($)"</f>
        <v>Seller Note Annual Payment Totals ($)</v>
      </c>
      <c r="N112" s="420"/>
      <c r="O112" s="420"/>
      <c r="X112" s="1135"/>
      <c r="Y112" s="1135"/>
      <c r="Z112" s="3"/>
      <c r="AA112" s="3"/>
      <c r="AB112" s="3"/>
      <c r="AC112" s="3"/>
      <c r="AD112" s="3"/>
      <c r="AE112" s="3"/>
    </row>
    <row r="113" spans="1:31" outlineLevel="1">
      <c r="C113" s="3" t="s">
        <v>77</v>
      </c>
      <c r="E113" s="1485">
        <f ca="1">OFFSET($F113,,$E$69)</f>
        <v>7</v>
      </c>
      <c r="F113" s="3"/>
      <c r="G113" s="71">
        <v>7</v>
      </c>
      <c r="H113" s="71">
        <v>7</v>
      </c>
      <c r="I113" s="71">
        <v>10</v>
      </c>
      <c r="J113" s="71">
        <v>10</v>
      </c>
      <c r="K113" s="71">
        <v>10</v>
      </c>
      <c r="X113" s="1135"/>
      <c r="Y113" s="1135"/>
      <c r="Z113" s="3"/>
      <c r="AA113" s="3"/>
      <c r="AB113" s="3"/>
      <c r="AC113" s="3"/>
      <c r="AD113" s="3"/>
      <c r="AE113" s="3"/>
    </row>
    <row r="114" spans="1:31" outlineLevel="1">
      <c r="C114" s="3" t="s">
        <v>79</v>
      </c>
      <c r="E114" s="1492">
        <f ca="1">OFFSET($F114,,$E$69)</f>
        <v>12</v>
      </c>
      <c r="G114" s="331">
        <v>12</v>
      </c>
      <c r="H114" s="332">
        <f t="shared" ref="H114:K114" si="24">G114</f>
        <v>12</v>
      </c>
      <c r="I114" s="332">
        <f t="shared" si="24"/>
        <v>12</v>
      </c>
      <c r="J114" s="332">
        <f t="shared" si="24"/>
        <v>12</v>
      </c>
      <c r="K114" s="332">
        <f t="shared" si="24"/>
        <v>12</v>
      </c>
      <c r="M114" s="192" t="s">
        <v>84</v>
      </c>
      <c r="N114" s="1580">
        <f t="shared" ref="N114:W115" ca="1" si="25">INDEX(INDIRECT("'"&amp;$C$108&amp;"'"&amp;"!$K$15:$T$16"),MATCH($M114,INDIRECT("'"&amp;$C$108&amp;"'"&amp;"!$j$15:$j$16"),0),MATCH(N$69,INDIRECT("'"&amp;$C$108&amp;"'"&amp;"!$K$13:$T$13"),0))</f>
        <v>4065.3749299648598</v>
      </c>
      <c r="O114" s="1580">
        <f t="shared" ca="1" si="25"/>
        <v>9678.3834775914474</v>
      </c>
      <c r="P114" s="1580">
        <f t="shared" ca="1" si="25"/>
        <v>8745.886182960061</v>
      </c>
      <c r="Q114" s="1580">
        <f t="shared" ca="1" si="25"/>
        <v>7527.0737567863052</v>
      </c>
      <c r="R114" s="1580">
        <f t="shared" ca="1" si="25"/>
        <v>6233.0876470928906</v>
      </c>
      <c r="S114" s="1580">
        <f t="shared" ca="1" si="25"/>
        <v>3006.8604433443356</v>
      </c>
      <c r="T114" s="1580">
        <f t="shared" ca="1" si="25"/>
        <v>0</v>
      </c>
      <c r="U114" s="1580">
        <f t="shared" ca="1" si="25"/>
        <v>0</v>
      </c>
      <c r="V114" s="1580">
        <f t="shared" ca="1" si="25"/>
        <v>0</v>
      </c>
      <c r="W114" s="1580">
        <f t="shared" ca="1" si="25"/>
        <v>0</v>
      </c>
      <c r="X114" s="1135"/>
      <c r="Y114" s="1135"/>
      <c r="Z114" s="3"/>
      <c r="AA114" s="3"/>
      <c r="AB114" s="3"/>
      <c r="AC114" s="3"/>
      <c r="AD114" s="3"/>
      <c r="AE114" s="3"/>
    </row>
    <row r="115" spans="1:31" s="58" customFormat="1" outlineLevel="1">
      <c r="A115" s="52"/>
      <c r="F115" s="150"/>
      <c r="G115" s="150"/>
      <c r="H115" s="150"/>
      <c r="I115" s="150"/>
      <c r="J115" s="150"/>
      <c r="M115" s="192" t="s">
        <v>85</v>
      </c>
      <c r="N115" s="1580">
        <f t="shared" ca="1" si="25"/>
        <v>0</v>
      </c>
      <c r="O115" s="1580">
        <f t="shared" ca="1" si="25"/>
        <v>7890.9916566369875</v>
      </c>
      <c r="P115" s="1580">
        <f t="shared" ca="1" si="25"/>
        <v>19760.954374506251</v>
      </c>
      <c r="Q115" s="1580">
        <f t="shared" ca="1" si="25"/>
        <v>20979.766800680001</v>
      </c>
      <c r="R115" s="1580">
        <f t="shared" ca="1" si="25"/>
        <v>22273.75291037342</v>
      </c>
      <c r="S115" s="1580">
        <f t="shared" ca="1" si="25"/>
        <v>13622.129881844348</v>
      </c>
      <c r="T115" s="1580">
        <f t="shared" ca="1" si="25"/>
        <v>0</v>
      </c>
      <c r="U115" s="1580">
        <f t="shared" ca="1" si="25"/>
        <v>0</v>
      </c>
      <c r="V115" s="1580">
        <f t="shared" ca="1" si="25"/>
        <v>0</v>
      </c>
      <c r="W115" s="1580">
        <f t="shared" ca="1" si="25"/>
        <v>0</v>
      </c>
      <c r="X115" s="348"/>
      <c r="Y115" s="348"/>
      <c r="Z115" s="150"/>
      <c r="AA115" s="150"/>
      <c r="AB115" s="150"/>
      <c r="AC115" s="150"/>
      <c r="AD115" s="150"/>
      <c r="AE115" s="150"/>
    </row>
    <row r="116" spans="1:31" outlineLevel="1">
      <c r="C116" s="58"/>
      <c r="D116" s="58"/>
      <c r="E116" s="58"/>
      <c r="F116" s="150"/>
      <c r="G116" s="150"/>
      <c r="H116" s="150"/>
      <c r="I116" s="150"/>
      <c r="J116" s="150"/>
      <c r="K116" s="58"/>
      <c r="M116" s="193" t="s">
        <v>26</v>
      </c>
      <c r="N116" s="411">
        <f t="shared" ref="N116:W116" ca="1" si="26">SUM(N114:N115)</f>
        <v>4065.3749299648598</v>
      </c>
      <c r="O116" s="411">
        <f t="shared" ca="1" si="26"/>
        <v>17569.375134228434</v>
      </c>
      <c r="P116" s="411">
        <f t="shared" ca="1" si="26"/>
        <v>28506.840557466312</v>
      </c>
      <c r="Q116" s="411">
        <f t="shared" ca="1" si="26"/>
        <v>28506.840557466305</v>
      </c>
      <c r="R116" s="411">
        <f t="shared" ca="1" si="26"/>
        <v>28506.840557466312</v>
      </c>
      <c r="S116" s="411">
        <f t="shared" ca="1" si="26"/>
        <v>16628.990325188683</v>
      </c>
      <c r="T116" s="411">
        <f t="shared" ca="1" si="26"/>
        <v>0</v>
      </c>
      <c r="U116" s="411">
        <f t="shared" ca="1" si="26"/>
        <v>0</v>
      </c>
      <c r="V116" s="411">
        <f t="shared" ca="1" si="26"/>
        <v>0</v>
      </c>
      <c r="W116" s="411">
        <f t="shared" ca="1" si="26"/>
        <v>0</v>
      </c>
      <c r="X116" s="1135"/>
      <c r="Y116" s="1135"/>
      <c r="Z116" s="3"/>
      <c r="AA116" s="3"/>
      <c r="AB116" s="3"/>
      <c r="AC116" s="3"/>
      <c r="AD116" s="3"/>
      <c r="AE116" s="3"/>
    </row>
    <row r="117" spans="1:31" ht="12" customHeight="1">
      <c r="C117" s="58"/>
      <c r="D117" s="52"/>
      <c r="E117" s="38"/>
      <c r="F117" s="72"/>
      <c r="G117" s="150"/>
      <c r="H117" s="150"/>
      <c r="I117" s="150"/>
      <c r="J117" s="150"/>
      <c r="K117" s="150"/>
      <c r="L117" s="3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</row>
    <row r="118" spans="1:31">
      <c r="A118" s="52" t="s">
        <v>63</v>
      </c>
      <c r="C118" s="670" t="s">
        <v>167</v>
      </c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244"/>
    </row>
    <row r="119" spans="1:31" ht="3.65" customHeight="1" outlineLevel="1">
      <c r="B119" s="58"/>
      <c r="C119" s="222"/>
      <c r="D119" s="59"/>
      <c r="E119" s="59"/>
      <c r="F119" s="59" t="s">
        <v>201</v>
      </c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</row>
    <row r="120" spans="1:31" outlineLevel="1">
      <c r="B120" s="58"/>
      <c r="C120" s="69" t="s">
        <v>249</v>
      </c>
      <c r="D120" s="58"/>
      <c r="E120" s="58"/>
      <c r="F120" s="1091">
        <v>42643</v>
      </c>
      <c r="G120" s="1091">
        <f>F$121+1</f>
        <v>43009</v>
      </c>
      <c r="H120" s="1091">
        <f>G$121+1</f>
        <v>43374</v>
      </c>
      <c r="I120" s="1091">
        <f>H$121+1</f>
        <v>43739</v>
      </c>
      <c r="J120" s="1091">
        <f>I$121+1</f>
        <v>44105</v>
      </c>
      <c r="K120" s="672" t="s">
        <v>177</v>
      </c>
      <c r="L120" s="52"/>
      <c r="M120"/>
      <c r="N120" s="722">
        <f>closing_date</f>
        <v>44775</v>
      </c>
      <c r="O120" s="1091">
        <f>N$121+1</f>
        <v>44927</v>
      </c>
      <c r="P120" s="1091">
        <f t="shared" ref="P120:W120" si="27">O$121+1</f>
        <v>45292</v>
      </c>
      <c r="Q120" s="1091">
        <f t="shared" si="27"/>
        <v>45658</v>
      </c>
      <c r="R120" s="1091">
        <f t="shared" si="27"/>
        <v>46023</v>
      </c>
      <c r="S120" s="1091">
        <f t="shared" si="27"/>
        <v>46388</v>
      </c>
      <c r="T120" s="1091">
        <f t="shared" si="27"/>
        <v>46753</v>
      </c>
      <c r="U120" s="1091">
        <f t="shared" si="27"/>
        <v>47119</v>
      </c>
      <c r="V120" s="1091">
        <f t="shared" si="27"/>
        <v>47484</v>
      </c>
      <c r="W120" s="1091">
        <f t="shared" si="27"/>
        <v>47849</v>
      </c>
    </row>
    <row r="121" spans="1:31" outlineLevel="1">
      <c r="B121" s="58"/>
      <c r="C121" s="69" t="s">
        <v>248</v>
      </c>
      <c r="D121" s="58"/>
      <c r="E121" s="58"/>
      <c r="F121" s="1091">
        <f>EDATE(F120,12)</f>
        <v>43008</v>
      </c>
      <c r="G121" s="1091">
        <f>EDATE(F121,12)</f>
        <v>43373</v>
      </c>
      <c r="H121" s="1091">
        <f>EDATE(G121,12)</f>
        <v>43738</v>
      </c>
      <c r="I121" s="1091">
        <f>EDATE(H121,12)</f>
        <v>44104</v>
      </c>
      <c r="J121" s="1091">
        <f>EDATE(I121,12)</f>
        <v>44469</v>
      </c>
      <c r="K121" s="722">
        <f>LTM_Date</f>
        <v>44681</v>
      </c>
      <c r="L121" s="52"/>
      <c r="M121"/>
      <c r="N121" s="722">
        <f>$Q$16</f>
        <v>44926</v>
      </c>
      <c r="O121" s="1091">
        <f>EOMONTH(O120,11)</f>
        <v>45291</v>
      </c>
      <c r="P121" s="1091">
        <f t="shared" ref="P121:W121" si="28">EOMONTH(P120,11)</f>
        <v>45657</v>
      </c>
      <c r="Q121" s="1091">
        <f t="shared" si="28"/>
        <v>46022</v>
      </c>
      <c r="R121" s="1091">
        <f t="shared" si="28"/>
        <v>46387</v>
      </c>
      <c r="S121" s="1091">
        <f t="shared" si="28"/>
        <v>46752</v>
      </c>
      <c r="T121" s="1091">
        <f t="shared" si="28"/>
        <v>47118</v>
      </c>
      <c r="U121" s="1091">
        <f t="shared" si="28"/>
        <v>47483</v>
      </c>
      <c r="V121" s="1091">
        <f t="shared" si="28"/>
        <v>47848</v>
      </c>
      <c r="W121" s="1091">
        <f t="shared" si="28"/>
        <v>48213</v>
      </c>
    </row>
    <row r="122" spans="1:31" ht="13.5" customHeight="1" outlineLevel="1">
      <c r="B122" s="58"/>
      <c r="C122" s="723" t="s">
        <v>32</v>
      </c>
      <c r="D122" s="723"/>
      <c r="E122" s="73"/>
      <c r="F122" s="1092" t="s">
        <v>33</v>
      </c>
      <c r="G122" s="1092" t="s">
        <v>33</v>
      </c>
      <c r="H122" s="1092" t="s">
        <v>33</v>
      </c>
      <c r="I122" s="1092" t="s">
        <v>33</v>
      </c>
      <c r="J122" s="1092" t="s">
        <v>33</v>
      </c>
      <c r="K122" s="724" t="s">
        <v>179</v>
      </c>
      <c r="L122" s="52"/>
      <c r="M122" s="741"/>
      <c r="N122" s="742">
        <f>ROUND((YEARFRAC(N$120,N$121)),2)</f>
        <v>0.41</v>
      </c>
      <c r="O122" s="1093">
        <f t="shared" ref="O122:W122" si="29">ROUND((YEARFRAC(O$120,O$121)),2)</f>
        <v>1</v>
      </c>
      <c r="P122" s="1093">
        <f t="shared" si="29"/>
        <v>1</v>
      </c>
      <c r="Q122" s="1093">
        <f t="shared" si="29"/>
        <v>1</v>
      </c>
      <c r="R122" s="1093">
        <f t="shared" si="29"/>
        <v>1</v>
      </c>
      <c r="S122" s="1093">
        <f t="shared" si="29"/>
        <v>1</v>
      </c>
      <c r="T122" s="1093">
        <f t="shared" si="29"/>
        <v>1</v>
      </c>
      <c r="U122" s="1093">
        <f t="shared" si="29"/>
        <v>1</v>
      </c>
      <c r="V122" s="1093">
        <f t="shared" si="29"/>
        <v>1</v>
      </c>
      <c r="W122" s="1093">
        <f t="shared" si="29"/>
        <v>1</v>
      </c>
    </row>
    <row r="123" spans="1:31" ht="4.5" customHeight="1" outlineLevel="1">
      <c r="B123" s="58"/>
      <c r="C123" s="73"/>
      <c r="D123" s="73"/>
      <c r="E123" s="73"/>
      <c r="F123" s="74"/>
      <c r="G123" s="74"/>
      <c r="H123" s="74"/>
      <c r="I123" s="74"/>
      <c r="J123" s="74"/>
      <c r="K123" s="75"/>
      <c r="L123" s="52"/>
      <c r="M123" s="741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</row>
    <row r="124" spans="1:31" ht="16" outlineLevel="1">
      <c r="B124" s="58"/>
      <c r="C124" s="73"/>
      <c r="D124" s="58"/>
      <c r="G124" s="744"/>
      <c r="H124" s="744"/>
      <c r="I124" s="744"/>
      <c r="J124" s="744"/>
      <c r="L124" s="58"/>
      <c r="M124" s="517"/>
      <c r="N124" s="743" t="str">
        <f>_xlfn.CONCAT((MONTH(N$121)-MONTH(N$120))," Months")</f>
        <v>4 Months</v>
      </c>
      <c r="O124" s="740" t="str">
        <f>"Fiscal Years Ending "&amp;TEXT($Q$16,"mmmm dd")</f>
        <v>Fiscal Years Ending December 31</v>
      </c>
      <c r="P124" s="739"/>
      <c r="Q124" s="739"/>
      <c r="R124" s="739"/>
      <c r="S124" s="739"/>
      <c r="T124" s="739"/>
      <c r="U124" s="739"/>
      <c r="V124" s="739"/>
      <c r="W124" s="739"/>
    </row>
    <row r="125" spans="1:31" ht="16" outlineLevel="1">
      <c r="B125" s="58"/>
      <c r="C125" s="58"/>
      <c r="D125" s="58"/>
      <c r="E125" s="58"/>
      <c r="F125" s="751" t="str">
        <f>CONCATENATE("Fiscal Years Ended "&amp;TEXT($Q$12,"mmmm dd"))</f>
        <v>Fiscal Years Ended September 30</v>
      </c>
      <c r="G125" s="76"/>
      <c r="H125" s="19"/>
      <c r="I125" s="19"/>
      <c r="J125" s="77"/>
      <c r="K125" s="444" t="s">
        <v>177</v>
      </c>
      <c r="L125"/>
      <c r="M125"/>
      <c r="N125" s="784">
        <v>1</v>
      </c>
      <c r="O125" s="745">
        <f>N125+1</f>
        <v>2</v>
      </c>
      <c r="P125" s="745">
        <f>O125+1</f>
        <v>3</v>
      </c>
      <c r="Q125" s="745">
        <f t="shared" ref="Q125:W125" si="30">P125+1</f>
        <v>4</v>
      </c>
      <c r="R125" s="745">
        <f t="shared" si="30"/>
        <v>5</v>
      </c>
      <c r="S125" s="745">
        <f t="shared" si="30"/>
        <v>6</v>
      </c>
      <c r="T125" s="745">
        <f t="shared" si="30"/>
        <v>7</v>
      </c>
      <c r="U125" s="745">
        <f t="shared" si="30"/>
        <v>8</v>
      </c>
      <c r="V125" s="745">
        <f t="shared" si="30"/>
        <v>9</v>
      </c>
      <c r="W125" s="745">
        <f t="shared" si="30"/>
        <v>10</v>
      </c>
    </row>
    <row r="126" spans="1:31" s="58" customFormat="1" outlineLevel="1">
      <c r="A126" s="52"/>
      <c r="F126" s="789" t="str">
        <f>TEXT(F$121,"yyyy")</f>
        <v>2017</v>
      </c>
      <c r="G126" s="789" t="str">
        <f>TEXT(G$121,"yyyy")</f>
        <v>2018</v>
      </c>
      <c r="H126" s="789" t="str">
        <f>TEXT(H$121,"yyyy")</f>
        <v>2019</v>
      </c>
      <c r="I126" s="789" t="str">
        <f>TEXT(I$121,"yyyy")</f>
        <v>2020</v>
      </c>
      <c r="J126" s="1584" t="str">
        <f>TEXT(J$121,"yyyy")</f>
        <v>2021</v>
      </c>
      <c r="K126" s="720">
        <f>LTM_Date</f>
        <v>44681</v>
      </c>
      <c r="L126"/>
      <c r="M126"/>
      <c r="N126" s="1585">
        <f>N$121</f>
        <v>44926</v>
      </c>
      <c r="O126" s="747">
        <f>O$121</f>
        <v>45291</v>
      </c>
      <c r="P126" s="747">
        <f t="shared" ref="P126:W126" si="31">P$121</f>
        <v>45657</v>
      </c>
      <c r="Q126" s="747">
        <f t="shared" si="31"/>
        <v>46022</v>
      </c>
      <c r="R126" s="747">
        <f t="shared" si="31"/>
        <v>46387</v>
      </c>
      <c r="S126" s="747">
        <f t="shared" si="31"/>
        <v>46752</v>
      </c>
      <c r="T126" s="747">
        <f t="shared" si="31"/>
        <v>47118</v>
      </c>
      <c r="U126" s="747">
        <f t="shared" si="31"/>
        <v>47483</v>
      </c>
      <c r="V126" s="747">
        <f t="shared" si="31"/>
        <v>47848</v>
      </c>
      <c r="W126" s="747">
        <f t="shared" si="31"/>
        <v>48213</v>
      </c>
    </row>
    <row r="127" spans="1:31" s="3" customFormat="1" ht="7" customHeight="1" outlineLevel="1" thickBot="1">
      <c r="A127" s="150"/>
      <c r="C127" s="755"/>
      <c r="D127" s="755"/>
      <c r="E127" s="755"/>
      <c r="F127" s="755"/>
      <c r="G127" s="755"/>
      <c r="H127" s="755"/>
      <c r="I127" s="755"/>
      <c r="J127" s="755"/>
      <c r="K127" s="755"/>
      <c r="L127"/>
      <c r="M127"/>
      <c r="N127" s="755"/>
      <c r="O127" s="755"/>
      <c r="P127" s="755"/>
      <c r="Q127" s="755"/>
      <c r="R127" s="755"/>
      <c r="S127" s="755"/>
      <c r="T127" s="755"/>
      <c r="U127" s="755"/>
      <c r="V127" s="755"/>
      <c r="W127" s="755"/>
    </row>
    <row r="128" spans="1:31" s="3" customFormat="1" ht="7" customHeight="1" outlineLevel="1">
      <c r="A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/>
      <c r="M128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</row>
    <row r="129" spans="1:51" outlineLevel="1">
      <c r="B129" s="58"/>
      <c r="C129" s="65" t="s">
        <v>470</v>
      </c>
      <c r="D129" s="65"/>
      <c r="E129" s="58"/>
      <c r="F129" s="82">
        <f>INDEX('Operating Model'!$K$19:$AA$25,MATCH($C129,'Operating Model'!$B$19:$B$25,0),MATCH(F$121,'Operating Model'!$K$8:$AA$8,0))</f>
        <v>2.4172011441717722E-2</v>
      </c>
      <c r="G129" s="82">
        <f>INDEX('Operating Model'!$K$19:$AA$25,MATCH($C129,'Operating Model'!$B$19:$B$25,0),MATCH(G$121,'Operating Model'!$K$8:$AA$8,0))</f>
        <v>8.61017434032159E-2</v>
      </c>
      <c r="H129" s="82">
        <f>INDEX('Operating Model'!$K$19:$AA$25,MATCH($C129,'Operating Model'!$B$19:$B$25,0),MATCH(H$121,'Operating Model'!$K$8:$AA$8,0))</f>
        <v>-0.10010435200963287</v>
      </c>
      <c r="I129" s="82">
        <f>INDEX('Operating Model'!$K$19:$AA$25,MATCH($C129,'Operating Model'!$B$19:$B$25,0),MATCH(I$121,'Operating Model'!$K$8:$AA$8,0))</f>
        <v>4.0449772951871993E-2</v>
      </c>
      <c r="J129" s="82">
        <f>INDEX('Operating Model'!$K$19:$AA$25,MATCH($C129,'Operating Model'!$B$19:$B$25,0),MATCH(J$121,'Operating Model'!$K$8:$AA$8,0))</f>
        <v>-1.0290105107841995E-2</v>
      </c>
      <c r="K129" s="1090">
        <f>INDEX('Operating Model'!$K$19:$AA$25,MATCH($C129,'Operating Model'!$B$19:$B$25,0),MATCH(K$121,'Operating Model'!$K$8:$AA$8,0))</f>
        <v>6.2E-2</v>
      </c>
      <c r="L129"/>
      <c r="M129"/>
      <c r="N129" s="82">
        <f ca="1">INDEX('Operating Model'!$K$19:$AA$25,MATCH($C129,'Operating Model'!$B$19:$B$25,0),MATCH(N$121,'Operating Model'!$K$8:$AA$8,0))</f>
        <v>2.3749999999999941E-2</v>
      </c>
      <c r="O129" s="82">
        <f ca="1">INDEX('Operating Model'!$K$19:$AA$25,MATCH($C129,'Operating Model'!$B$19:$B$25,0),MATCH(O$121,'Operating Model'!$K$8:$AA$8,0))</f>
        <v>2.3750000000000243E-2</v>
      </c>
      <c r="P129" s="82">
        <f ca="1">INDEX('Operating Model'!$K$19:$AA$25,MATCH($C129,'Operating Model'!$B$19:$B$25,0),MATCH(P$121,'Operating Model'!$K$8:$AA$8,0))</f>
        <v>2.37499999999999E-2</v>
      </c>
      <c r="Q129" s="82">
        <f ca="1">INDEX('Operating Model'!$K$19:$AA$25,MATCH($C129,'Operating Model'!$B$19:$B$25,0),MATCH(Q$121,'Operating Model'!$K$8:$AA$8,0))</f>
        <v>2.3749999999999959E-2</v>
      </c>
      <c r="R129" s="82">
        <f ca="1">INDEX('Operating Model'!$K$19:$AA$25,MATCH($C129,'Operating Model'!$B$19:$B$25,0),MATCH(R$121,'Operating Model'!$K$8:$AA$8,0))</f>
        <v>2.3749999999999934E-2</v>
      </c>
      <c r="S129" s="82">
        <f ca="1">INDEX('Operating Model'!$K$19:$AA$25,MATCH($C129,'Operating Model'!$B$19:$B$25,0),MATCH(S$121,'Operating Model'!$K$8:$AA$8,0))</f>
        <v>2.3749999999999934E-2</v>
      </c>
      <c r="T129" s="82">
        <f ca="1">INDEX('Operating Model'!$K$19:$AA$25,MATCH($C129,'Operating Model'!$B$19:$B$25,0),MATCH(T$121,'Operating Model'!$K$8:$AA$8,0))</f>
        <v>2.3749999999999865E-2</v>
      </c>
      <c r="U129" s="82">
        <f ca="1">INDEX('Operating Model'!$K$19:$AA$25,MATCH($C129,'Operating Model'!$B$19:$B$25,0),MATCH(U$121,'Operating Model'!$K$8:$AA$8,0))</f>
        <v>2.3749999999999979E-2</v>
      </c>
      <c r="V129" s="82">
        <f ca="1">INDEX('Operating Model'!$K$19:$AA$25,MATCH($C129,'Operating Model'!$B$19:$B$25,0),MATCH(V$121,'Operating Model'!$K$8:$AA$8,0))</f>
        <v>2.3749999999999938E-2</v>
      </c>
      <c r="W129" s="82">
        <f ca="1">INDEX('Operating Model'!$K$19:$AA$25,MATCH($C129,'Operating Model'!$B$19:$B$25,0),MATCH(W$121,'Operating Model'!$K$8:$AA$8,0))</f>
        <v>2.3749999999999952E-2</v>
      </c>
    </row>
    <row r="130" spans="1:51" s="453" customFormat="1" outlineLevel="1">
      <c r="A130" s="450"/>
      <c r="B130" s="451"/>
      <c r="C130" s="65" t="s">
        <v>8</v>
      </c>
      <c r="D130" s="452"/>
      <c r="E130" s="452"/>
      <c r="F130" s="82">
        <f>INDEX('Operating Model'!$K$19:$AA$25,MATCH($C130,'Operating Model'!$B$19:$B$25,0),MATCH(F$121,'Operating Model'!$K$8:$AA$8,0))</f>
        <v>0.57244451563983534</v>
      </c>
      <c r="G130" s="82">
        <f>INDEX('Operating Model'!$K$19:$AA$25,MATCH($C130,'Operating Model'!$B$19:$B$25,0),MATCH(G$121,'Operating Model'!$K$8:$AA$8,0))</f>
        <v>0.56813515634659106</v>
      </c>
      <c r="H130" s="82">
        <f>INDEX('Operating Model'!$K$19:$AA$25,MATCH($C130,'Operating Model'!$B$19:$B$25,0),MATCH(H$121,'Operating Model'!$K$8:$AA$8,0))</f>
        <v>0.55478542710547329</v>
      </c>
      <c r="I130" s="82">
        <f>INDEX('Operating Model'!$K$19:$AA$25,MATCH($C130,'Operating Model'!$B$19:$B$25,0),MATCH(I$121,'Operating Model'!$K$8:$AA$8,0))</f>
        <v>0.54734921337767484</v>
      </c>
      <c r="J130" s="82">
        <f>INDEX('Operating Model'!$K$19:$AA$25,MATCH($C130,'Operating Model'!$B$19:$B$25,0),MATCH(J$121,'Operating Model'!$K$8:$AA$8,0))</f>
        <v>0.57231796387103795</v>
      </c>
      <c r="K130" s="82">
        <f>INDEX('Operating Model'!$K$19:$AA$25,MATCH($C130,'Operating Model'!$B$19:$B$25,0),MATCH(K$121,'Operating Model'!$K$8:$AA$8,0))</f>
        <v>0.56559644411198651</v>
      </c>
      <c r="L130"/>
      <c r="M130"/>
      <c r="N130" s="82">
        <f ca="1">INDEX('Operating Model'!$K$19:$AA$25,MATCH($C130,'Operating Model'!$B$19:$B$25,0),MATCH(N$121,'Operating Model'!$K$8:$AA$8,0))</f>
        <v>0.56925311306022297</v>
      </c>
      <c r="O130" s="82">
        <f ca="1">INDEX('Operating Model'!$K$19:$AA$25,MATCH($C130,'Operating Model'!$B$19:$B$25,0),MATCH(O$121,'Operating Model'!$K$8:$AA$8,0))</f>
        <v>0.56219533882551509</v>
      </c>
      <c r="P130" s="82">
        <f ca="1">INDEX('Operating Model'!$K$19:$AA$25,MATCH($C130,'Operating Model'!$B$19:$B$25,0),MATCH(P$121,'Operating Model'!$K$8:$AA$8,0))</f>
        <v>0.55538125461535226</v>
      </c>
      <c r="Q130" s="82">
        <f ca="1">INDEX('Operating Model'!$K$19:$AA$25,MATCH($C130,'Operating Model'!$B$19:$B$25,0),MATCH(Q$121,'Operating Model'!$K$8:$AA$8,0))</f>
        <v>0.5487157597096598</v>
      </c>
      <c r="R130" s="82">
        <f ca="1">INDEX('Operating Model'!$K$19:$AA$25,MATCH($C130,'Operating Model'!$B$19:$B$25,0),MATCH(R$121,'Operating Model'!$K$8:$AA$8,0))</f>
        <v>0.54219491966922406</v>
      </c>
      <c r="S130" s="82">
        <f ca="1">INDEX('Operating Model'!$K$19:$AA$25,MATCH($C130,'Operating Model'!$B$19:$B$25,0),MATCH(S$121,'Operating Model'!$K$8:$AA$8,0))</f>
        <v>0.53581491432476347</v>
      </c>
      <c r="T130" s="82">
        <f ca="1">INDEX('Operating Model'!$K$19:$AA$25,MATCH($C130,'Operating Model'!$B$19:$B$25,0),MATCH(T$121,'Operating Model'!$K$8:$AA$8,0))</f>
        <v>0.52957203416049681</v>
      </c>
      <c r="U130" s="82">
        <f ca="1">INDEX('Operating Model'!$K$19:$AA$25,MATCH($C130,'Operating Model'!$B$19:$B$25,0),MATCH(U$121,'Operating Model'!$K$8:$AA$8,0))</f>
        <v>0.52346267682225145</v>
      </c>
      <c r="V130" s="82">
        <f ca="1">INDEX('Operating Model'!$K$19:$AA$25,MATCH($C130,'Operating Model'!$B$19:$B$25,0),MATCH(V$121,'Operating Model'!$K$8:$AA$8,0))</f>
        <v>0.51748334374550176</v>
      </c>
      <c r="W130" s="82">
        <f ca="1">INDEX('Operating Model'!$K$19:$AA$25,MATCH($C130,'Operating Model'!$B$19:$B$25,0),MATCH(W$121,'Operating Model'!$K$8:$AA$8,0))</f>
        <v>0.51163063689890431</v>
      </c>
    </row>
    <row r="131" spans="1:51" outlineLevel="1">
      <c r="B131" s="58"/>
      <c r="C131" s="65" t="s">
        <v>0</v>
      </c>
      <c r="D131" s="452"/>
      <c r="E131" s="58"/>
      <c r="F131" s="82">
        <f>INDEX('Operating Model'!$K$19:$AA$25,MATCH($C131,'Operating Model'!$B$19:$B$25,0),MATCH(F$121,'Operating Model'!$K$8:$AA$8,0))</f>
        <v>0.27298161269283699</v>
      </c>
      <c r="G131" s="82">
        <f>INDEX('Operating Model'!$K$19:$AA$25,MATCH($C131,'Operating Model'!$B$19:$B$25,0),MATCH(G$121,'Operating Model'!$K$8:$AA$8,0))</f>
        <v>0.2513407370450122</v>
      </c>
      <c r="H131" s="82">
        <f>INDEX('Operating Model'!$K$19:$AA$25,MATCH($C131,'Operating Model'!$B$19:$B$25,0),MATCH(H$121,'Operating Model'!$K$8:$AA$8,0))</f>
        <v>0.25848210890252499</v>
      </c>
      <c r="I131" s="82">
        <f>INDEX('Operating Model'!$K$19:$AA$25,MATCH($C131,'Operating Model'!$B$19:$B$25,0),MATCH(I$121,'Operating Model'!$K$8:$AA$8,0))</f>
        <v>0.25049895602119854</v>
      </c>
      <c r="J131" s="82">
        <f>INDEX('Operating Model'!$K$19:$AA$25,MATCH($C131,'Operating Model'!$B$19:$B$25,0),MATCH(J$121,'Operating Model'!$K$8:$AA$8,0))</f>
        <v>0.25529696888721481</v>
      </c>
      <c r="K131" s="82">
        <f>INDEX('Operating Model'!$K$19:$AA$25,MATCH($C131,'Operating Model'!$B$19:$B$25,0),MATCH(K$121,'Operating Model'!$K$8:$AA$8,0))</f>
        <v>0.26597008203423833</v>
      </c>
      <c r="L131"/>
      <c r="M131"/>
      <c r="N131" s="82">
        <f ca="1">INDEX('Operating Model'!$K$19:$AA$25,MATCH($C131,'Operating Model'!$B$19:$B$25,0),MATCH(N$121,'Operating Model'!$K$8:$AA$8,0))</f>
        <v>0.30094238323298339</v>
      </c>
      <c r="O131" s="82">
        <f ca="1">INDEX('Operating Model'!$K$19:$AA$25,MATCH($C131,'Operating Model'!$B$19:$B$25,0),MATCH(O$121,'Operating Model'!$K$8:$AA$8,0))</f>
        <v>0.33105754498941958</v>
      </c>
      <c r="P131" s="82">
        <f ca="1">INDEX('Operating Model'!$K$19:$AA$25,MATCH($C131,'Operating Model'!$B$19:$B$25,0),MATCH(P$121,'Operating Model'!$K$8:$AA$8,0))</f>
        <v>0.30942621649486107</v>
      </c>
      <c r="Q131" s="82">
        <f ca="1">INDEX('Operating Model'!$K$19:$AA$25,MATCH($C131,'Operating Model'!$B$19:$B$25,0),MATCH(Q$121,'Operating Model'!$K$8:$AA$8,0))</f>
        <v>0.30660010151944578</v>
      </c>
      <c r="R131" s="82">
        <f ca="1">INDEX('Operating Model'!$K$19:$AA$25,MATCH($C131,'Operating Model'!$B$19:$B$25,0),MATCH(R$121,'Operating Model'!$K$8:$AA$8,0))</f>
        <v>0.34729478102227351</v>
      </c>
      <c r="S131" s="82">
        <f ca="1">INDEX('Operating Model'!$K$19:$AA$25,MATCH($C131,'Operating Model'!$B$19:$B$25,0),MATCH(S$121,'Operating Model'!$K$8:$AA$8,0))</f>
        <v>0.29544738876928284</v>
      </c>
      <c r="T131" s="82">
        <f ca="1">INDEX('Operating Model'!$K$19:$AA$25,MATCH($C131,'Operating Model'!$B$19:$B$25,0),MATCH(T$121,'Operating Model'!$K$8:$AA$8,0))</f>
        <v>0.29559576017302991</v>
      </c>
      <c r="U131" s="82">
        <f ca="1">INDEX('Operating Model'!$K$19:$AA$25,MATCH($C131,'Operating Model'!$B$19:$B$25,0),MATCH(U$121,'Operating Model'!$K$8:$AA$8,0))</f>
        <v>0.31323253425650677</v>
      </c>
      <c r="V131" s="82">
        <f ca="1">INDEX('Operating Model'!$K$19:$AA$25,MATCH($C131,'Operating Model'!$B$19:$B$25,0),MATCH(V$121,'Operating Model'!$K$8:$AA$8,0))</f>
        <v>0.29740752159995698</v>
      </c>
      <c r="W131" s="82">
        <f ca="1">INDEX('Operating Model'!$K$19:$AA$25,MATCH($C131,'Operating Model'!$B$19:$B$25,0),MATCH(W$121,'Operating Model'!$K$8:$AA$8,0))</f>
        <v>0.29867227233090415</v>
      </c>
    </row>
    <row r="132" spans="1:51" outlineLevel="1">
      <c r="B132" s="58"/>
      <c r="C132" s="296" t="s">
        <v>571</v>
      </c>
      <c r="D132" s="58"/>
      <c r="E132" s="58"/>
      <c r="F132" s="651">
        <f>INDEX('Operating Model'!$K$19:$AA$25,MATCH($C132,'Operating Model'!$B$19:$B$25,0),MATCH(F$121,'Operating Model'!$K$8:$AA$8,0))</f>
        <v>34.079161409114093</v>
      </c>
      <c r="G132" s="651">
        <f>INDEX('Operating Model'!$K$19:$AA$25,MATCH($C132,'Operating Model'!$B$19:$B$25,0),MATCH(G$121,'Operating Model'!$K$8:$AA$8,0))</f>
        <v>29.86530745878331</v>
      </c>
      <c r="H132" s="651">
        <f>INDEX('Operating Model'!$K$19:$AA$25,MATCH($C132,'Operating Model'!$B$19:$B$25,0),MATCH(H$121,'Operating Model'!$K$8:$AA$8,0))</f>
        <v>34.187812464182471</v>
      </c>
      <c r="I132" s="651">
        <f>INDEX('Operating Model'!$K$19:$AA$25,MATCH($C132,'Operating Model'!$B$19:$B$25,0),MATCH(I$121,'Operating Model'!$K$8:$AA$8,0))</f>
        <v>28.661814477410356</v>
      </c>
      <c r="J132" s="651">
        <f>INDEX('Operating Model'!$K$19:$AA$25,MATCH($C132,'Operating Model'!$B$19:$B$25,0),MATCH(J$121,'Operating Model'!$K$8:$AA$8,0))</f>
        <v>26.165319459425163</v>
      </c>
      <c r="K132" s="651">
        <f>INDEX('Operating Model'!$K$19:$AA$25,MATCH($C132,'Operating Model'!$B$19:$B$25,0),MATCH(K$121,'Operating Model'!$K$8:$AA$8,0))</f>
        <v>39.053085678964059</v>
      </c>
      <c r="M132" s="58"/>
      <c r="N132" s="651">
        <f ca="1">INDEX('Operating Model'!$K$19:$AA$25,MATCH($C132,'Operating Model'!$B$19:$B$25,0),MATCH(N$121,'Operating Model'!$K$8:$AA$8,0))</f>
        <v>29.3</v>
      </c>
      <c r="O132" s="651">
        <f ca="1">INDEX('Operating Model'!$K$19:$AA$25,MATCH($C132,'Operating Model'!$B$19:$B$25,0),MATCH(O$121,'Operating Model'!$K$8:$AA$8,0))</f>
        <v>30</v>
      </c>
      <c r="P132" s="651">
        <f ca="1">INDEX('Operating Model'!$K$19:$AA$25,MATCH($C132,'Operating Model'!$B$19:$B$25,0),MATCH(P$121,'Operating Model'!$K$8:$AA$8,0))</f>
        <v>30</v>
      </c>
      <c r="Q132" s="651">
        <f ca="1">INDEX('Operating Model'!$K$19:$AA$25,MATCH($C132,'Operating Model'!$B$19:$B$25,0),MATCH(Q$121,'Operating Model'!$K$8:$AA$8,0))</f>
        <v>30</v>
      </c>
      <c r="R132" s="651">
        <f ca="1">INDEX('Operating Model'!$K$19:$AA$25,MATCH($C132,'Operating Model'!$B$19:$B$25,0),MATCH(R$121,'Operating Model'!$K$8:$AA$8,0))</f>
        <v>30</v>
      </c>
      <c r="S132" s="651">
        <f ca="1">INDEX('Operating Model'!$K$19:$AA$25,MATCH($C132,'Operating Model'!$B$19:$B$25,0),MATCH(S$121,'Operating Model'!$K$8:$AA$8,0))</f>
        <v>30</v>
      </c>
      <c r="T132" s="651">
        <f ca="1">INDEX('Operating Model'!$K$19:$AA$25,MATCH($C132,'Operating Model'!$B$19:$B$25,0),MATCH(T$121,'Operating Model'!$K$8:$AA$8,0))</f>
        <v>30</v>
      </c>
      <c r="U132" s="651">
        <f ca="1">INDEX('Operating Model'!$K$19:$AA$25,MATCH($C132,'Operating Model'!$B$19:$B$25,0),MATCH(U$121,'Operating Model'!$K$8:$AA$8,0))</f>
        <v>30</v>
      </c>
      <c r="V132" s="651">
        <f ca="1">INDEX('Operating Model'!$K$19:$AA$25,MATCH($C132,'Operating Model'!$B$19:$B$25,0),MATCH(V$121,'Operating Model'!$K$8:$AA$8,0))</f>
        <v>30</v>
      </c>
      <c r="W132" s="651">
        <f ca="1">INDEX('Operating Model'!$K$19:$AA$25,MATCH($C132,'Operating Model'!$B$19:$B$25,0),MATCH(W$121,'Operating Model'!$K$8:$AA$8,0))</f>
        <v>30</v>
      </c>
    </row>
    <row r="133" spans="1:51" outlineLevel="1">
      <c r="B133" s="58"/>
      <c r="C133" s="296" t="s">
        <v>572</v>
      </c>
      <c r="D133" s="58"/>
      <c r="E133" s="58"/>
      <c r="F133" s="651">
        <f>INDEX('Operating Model'!$K$19:$AA$25,MATCH($C133,'Operating Model'!$B$19:$B$25,0),MATCH(F$121,'Operating Model'!$K$8:$AA$8,0))</f>
        <v>46.208047937242988</v>
      </c>
      <c r="G133" s="651">
        <f>INDEX('Operating Model'!$K$19:$AA$25,MATCH($C133,'Operating Model'!$B$19:$B$25,0),MATCH(G$121,'Operating Model'!$K$8:$AA$8,0))</f>
        <v>42.516102163673906</v>
      </c>
      <c r="H133" s="651">
        <f>INDEX('Operating Model'!$K$19:$AA$25,MATCH($C133,'Operating Model'!$B$19:$B$25,0),MATCH(H$121,'Operating Model'!$K$8:$AA$8,0))</f>
        <v>45.107082660448675</v>
      </c>
      <c r="I133" s="651">
        <f>INDEX('Operating Model'!$K$19:$AA$25,MATCH($C133,'Operating Model'!$B$19:$B$25,0),MATCH(I$121,'Operating Model'!$K$8:$AA$8,0))</f>
        <v>41.64746158805162</v>
      </c>
      <c r="J133" s="651">
        <f>INDEX('Operating Model'!$K$19:$AA$25,MATCH($C133,'Operating Model'!$B$19:$B$25,0),MATCH(J$121,'Operating Model'!$K$8:$AA$8,0))</f>
        <v>45.968950101407167</v>
      </c>
      <c r="K133" s="651">
        <f>INDEX('Operating Model'!$K$19:$AA$25,MATCH($C133,'Operating Model'!$B$19:$B$25,0),MATCH(K$121,'Operating Model'!$K$8:$AA$8,0))</f>
        <v>46.393628179190891</v>
      </c>
      <c r="M133" s="58"/>
      <c r="N133" s="651">
        <f ca="1">INDEX('Operating Model'!$K$19:$AA$25,MATCH($C133,'Operating Model'!$B$19:$B$25,0),MATCH(N$121,'Operating Model'!$K$8:$AA$8,0))</f>
        <v>45.9</v>
      </c>
      <c r="O133" s="651">
        <f ca="1">INDEX('Operating Model'!$K$19:$AA$25,MATCH($C133,'Operating Model'!$B$19:$B$25,0),MATCH(O$121,'Operating Model'!$K$8:$AA$8,0))</f>
        <v>45.5</v>
      </c>
      <c r="P133" s="651">
        <f ca="1">INDEX('Operating Model'!$K$19:$AA$25,MATCH($C133,'Operating Model'!$B$19:$B$25,0),MATCH(P$121,'Operating Model'!$K$8:$AA$8,0))</f>
        <v>45</v>
      </c>
      <c r="Q133" s="651">
        <f ca="1">INDEX('Operating Model'!$K$19:$AA$25,MATCH($C133,'Operating Model'!$B$19:$B$25,0),MATCH(Q$121,'Operating Model'!$K$8:$AA$8,0))</f>
        <v>44</v>
      </c>
      <c r="R133" s="651">
        <f ca="1">INDEX('Operating Model'!$K$19:$AA$25,MATCH($C133,'Operating Model'!$B$19:$B$25,0),MATCH(R$121,'Operating Model'!$K$8:$AA$8,0))</f>
        <v>44</v>
      </c>
      <c r="S133" s="651">
        <f ca="1">INDEX('Operating Model'!$K$19:$AA$25,MATCH($C133,'Operating Model'!$B$19:$B$25,0),MATCH(S$121,'Operating Model'!$K$8:$AA$8,0))</f>
        <v>44</v>
      </c>
      <c r="T133" s="651">
        <f ca="1">INDEX('Operating Model'!$K$19:$AA$25,MATCH($C133,'Operating Model'!$B$19:$B$25,0),MATCH(T$121,'Operating Model'!$K$8:$AA$8,0))</f>
        <v>44</v>
      </c>
      <c r="U133" s="651">
        <f ca="1">INDEX('Operating Model'!$K$19:$AA$25,MATCH($C133,'Operating Model'!$B$19:$B$25,0),MATCH(U$121,'Operating Model'!$K$8:$AA$8,0))</f>
        <v>44</v>
      </c>
      <c r="V133" s="651">
        <f ca="1">INDEX('Operating Model'!$K$19:$AA$25,MATCH($C133,'Operating Model'!$B$19:$B$25,0),MATCH(V$121,'Operating Model'!$K$8:$AA$8,0))</f>
        <v>44</v>
      </c>
      <c r="W133" s="651">
        <f ca="1">INDEX('Operating Model'!$K$19:$AA$25,MATCH($C133,'Operating Model'!$B$19:$B$25,0),MATCH(W$121,'Operating Model'!$K$8:$AA$8,0))</f>
        <v>44</v>
      </c>
    </row>
    <row r="134" spans="1:51" outlineLevel="1">
      <c r="B134" s="58"/>
      <c r="C134" s="296" t="s">
        <v>573</v>
      </c>
      <c r="D134" s="58"/>
      <c r="E134" s="58"/>
      <c r="F134" s="651">
        <f>INDEX('Operating Model'!$K$19:$AA$25,MATCH($C134,'Operating Model'!$B$19:$B$25,0),MATCH(F$121,'Operating Model'!$K$8:$AA$8,0))</f>
        <v>15.170690019835712</v>
      </c>
      <c r="G134" s="651">
        <f>INDEX('Operating Model'!$K$19:$AA$25,MATCH($C134,'Operating Model'!$B$19:$B$25,0),MATCH(G$121,'Operating Model'!$K$8:$AA$8,0))</f>
        <v>17.322366431874936</v>
      </c>
      <c r="H134" s="651">
        <f>INDEX('Operating Model'!$K$19:$AA$25,MATCH($C134,'Operating Model'!$B$19:$B$25,0),MATCH(H$121,'Operating Model'!$K$8:$AA$8,0))</f>
        <v>21.212549383402887</v>
      </c>
      <c r="I134" s="651">
        <f>INDEX('Operating Model'!$K$19:$AA$25,MATCH($C134,'Operating Model'!$B$19:$B$25,0),MATCH(I$121,'Operating Model'!$K$8:$AA$8,0))</f>
        <v>16.108295696544989</v>
      </c>
      <c r="J134" s="651">
        <f>INDEX('Operating Model'!$K$19:$AA$25,MATCH($C134,'Operating Model'!$B$19:$B$25,0),MATCH(J$121,'Operating Model'!$K$8:$AA$8,0))</f>
        <v>15.692864869182403</v>
      </c>
      <c r="K134" s="651">
        <f>INDEX('Operating Model'!$K$19:$AA$25,MATCH($C134,'Operating Model'!$B$19:$B$25,0),MATCH(K$121,'Operating Model'!$K$8:$AA$8,0))</f>
        <v>16.413608696004957</v>
      </c>
      <c r="M134" s="58"/>
      <c r="N134" s="651">
        <f ca="1">INDEX('Operating Model'!$K$19:$AA$25,MATCH($C134,'Operating Model'!$B$19:$B$25,0),MATCH(N$121,'Operating Model'!$K$8:$AA$8,0))</f>
        <v>15.7</v>
      </c>
      <c r="O134" s="651">
        <f ca="1">INDEX('Operating Model'!$K$19:$AA$25,MATCH($C134,'Operating Model'!$B$19:$B$25,0),MATCH(O$121,'Operating Model'!$K$8:$AA$8,0))</f>
        <v>16</v>
      </c>
      <c r="P134" s="651">
        <f ca="1">INDEX('Operating Model'!$K$19:$AA$25,MATCH($C134,'Operating Model'!$B$19:$B$25,0),MATCH(P$121,'Operating Model'!$K$8:$AA$8,0))</f>
        <v>17</v>
      </c>
      <c r="Q134" s="651">
        <f ca="1">INDEX('Operating Model'!$K$19:$AA$25,MATCH($C134,'Operating Model'!$B$19:$B$25,0),MATCH(Q$121,'Operating Model'!$K$8:$AA$8,0))</f>
        <v>17</v>
      </c>
      <c r="R134" s="651">
        <f ca="1">INDEX('Operating Model'!$K$19:$AA$25,MATCH($C134,'Operating Model'!$B$19:$B$25,0),MATCH(R$121,'Operating Model'!$K$8:$AA$8,0))</f>
        <v>17</v>
      </c>
      <c r="S134" s="651">
        <f ca="1">INDEX('Operating Model'!$K$19:$AA$25,MATCH($C134,'Operating Model'!$B$19:$B$25,0),MATCH(S$121,'Operating Model'!$K$8:$AA$8,0))</f>
        <v>17</v>
      </c>
      <c r="T134" s="651">
        <f ca="1">INDEX('Operating Model'!$K$19:$AA$25,MATCH($C134,'Operating Model'!$B$19:$B$25,0),MATCH(T$121,'Operating Model'!$K$8:$AA$8,0))</f>
        <v>17</v>
      </c>
      <c r="U134" s="651">
        <f ca="1">INDEX('Operating Model'!$K$19:$AA$25,MATCH($C134,'Operating Model'!$B$19:$B$25,0),MATCH(U$121,'Operating Model'!$K$8:$AA$8,0))</f>
        <v>17</v>
      </c>
      <c r="V134" s="651">
        <f ca="1">INDEX('Operating Model'!$K$19:$AA$25,MATCH($C134,'Operating Model'!$B$19:$B$25,0),MATCH(V$121,'Operating Model'!$K$8:$AA$8,0))</f>
        <v>17</v>
      </c>
      <c r="W134" s="651">
        <f ca="1">INDEX('Operating Model'!$K$19:$AA$25,MATCH($C134,'Operating Model'!$B$19:$B$25,0),MATCH(W$121,'Operating Model'!$K$8:$AA$8,0))</f>
        <v>17</v>
      </c>
    </row>
    <row r="135" spans="1:51" outlineLevel="1">
      <c r="B135" s="58"/>
      <c r="C135" s="65" t="s">
        <v>691</v>
      </c>
      <c r="D135" s="65"/>
      <c r="E135" s="65"/>
      <c r="F135" s="82">
        <f>INDEX('Operating Model'!$K$19:$AA$25,MATCH($C135,'Operating Model'!$B$19:$B$25,0),MATCH(F$121,'Operating Model'!$K$8:$AA$8,0))</f>
        <v>0.31723603923660704</v>
      </c>
      <c r="G135" s="82">
        <f>INDEX('Operating Model'!$K$19:$AA$25,MATCH($C135,'Operating Model'!$B$19:$B$25,0),MATCH(G$121,'Operating Model'!$K$8:$AA$8,0))</f>
        <v>1.6247802761934969E-2</v>
      </c>
      <c r="H135" s="82">
        <f>INDEX('Operating Model'!$K$19:$AA$25,MATCH($C135,'Operating Model'!$B$19:$B$25,0),MATCH(H$121,'Operating Model'!$K$8:$AA$8,0))</f>
        <v>2.9723648286153443E-2</v>
      </c>
      <c r="I135" s="82">
        <f>INDEX('Operating Model'!$K$19:$AA$25,MATCH($C135,'Operating Model'!$B$19:$B$25,0),MATCH(I$121,'Operating Model'!$K$8:$AA$8,0))</f>
        <v>5.493294943542032E-3</v>
      </c>
      <c r="J135" s="82">
        <f>INDEX('Operating Model'!$K$19:$AA$25,MATCH($C135,'Operating Model'!$B$19:$B$25,0),MATCH(J$121,'Operating Model'!$K$8:$AA$8,0))</f>
        <v>1.5979624208035976E-3</v>
      </c>
      <c r="K135" s="1145">
        <f>INDEX('Operating Model'!$K$19:$AA$25,MATCH($C135,'Operating Model'!$B$19:$B$25,0),MATCH(K$121,'Operating Model'!$K$8:$AA$8,0))</f>
        <v>3.0000000000000001E-3</v>
      </c>
      <c r="M135" s="58"/>
      <c r="N135" s="82">
        <f ca="1">INDEX('Operating Model'!$K$19:$AA$25,MATCH($C135,'Operating Model'!$B$19:$B$25,0),MATCH(N$121,'Operating Model'!$K$8:$AA$8,0))</f>
        <v>2.5000000000000001E-2</v>
      </c>
      <c r="O135" s="82">
        <f ca="1">INDEX('Operating Model'!$K$19:$AA$25,MATCH($C135,'Operating Model'!$B$19:$B$25,0),MATCH(O$121,'Operating Model'!$K$8:$AA$8,0))</f>
        <v>2.5000000000000001E-2</v>
      </c>
      <c r="P135" s="82">
        <f ca="1">INDEX('Operating Model'!$K$19:$AA$25,MATCH($C135,'Operating Model'!$B$19:$B$25,0),MATCH(P$121,'Operating Model'!$K$8:$AA$8,0))</f>
        <v>2.5000000000000001E-2</v>
      </c>
      <c r="Q135" s="82">
        <f ca="1">INDEX('Operating Model'!$K$19:$AA$25,MATCH($C135,'Operating Model'!$B$19:$B$25,0),MATCH(Q$121,'Operating Model'!$K$8:$AA$8,0))</f>
        <v>2.5000000000000001E-2</v>
      </c>
      <c r="R135" s="82">
        <f ca="1">INDEX('Operating Model'!$K$19:$AA$25,MATCH($C135,'Operating Model'!$B$19:$B$25,0),MATCH(R$121,'Operating Model'!$K$8:$AA$8,0))</f>
        <v>2.5000000000000001E-2</v>
      </c>
      <c r="S135" s="82">
        <f ca="1">INDEX('Operating Model'!$K$19:$AA$25,MATCH($C135,'Operating Model'!$B$19:$B$25,0),MATCH(S$121,'Operating Model'!$K$8:$AA$8,0))</f>
        <v>2.5000000000000001E-2</v>
      </c>
      <c r="T135" s="82">
        <f ca="1">INDEX('Operating Model'!$K$19:$AA$25,MATCH($C135,'Operating Model'!$B$19:$B$25,0),MATCH(T$121,'Operating Model'!$K$8:$AA$8,0))</f>
        <v>2.5000000000000001E-2</v>
      </c>
      <c r="U135" s="82">
        <f ca="1">INDEX('Operating Model'!$K$19:$AA$25,MATCH($C135,'Operating Model'!$B$19:$B$25,0),MATCH(U$121,'Operating Model'!$K$8:$AA$8,0))</f>
        <v>2.5000000000000001E-2</v>
      </c>
      <c r="V135" s="82">
        <f ca="1">INDEX('Operating Model'!$K$19:$AA$25,MATCH($C135,'Operating Model'!$B$19:$B$25,0),MATCH(V$121,'Operating Model'!$K$8:$AA$8,0))</f>
        <v>2.5000000000000001E-2</v>
      </c>
      <c r="W135" s="82">
        <f ca="1">INDEX('Operating Model'!$K$19:$AA$25,MATCH($C135,'Operating Model'!$B$19:$B$25,0),MATCH(W$121,'Operating Model'!$K$8:$AA$8,0))</f>
        <v>2.5000000000000001E-2</v>
      </c>
    </row>
    <row r="136" spans="1:51" ht="4.5" customHeight="1"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M136" s="58"/>
      <c r="N136" s="58"/>
      <c r="O136" s="58"/>
      <c r="P136" s="58"/>
      <c r="Q136" s="58"/>
      <c r="R136" s="58"/>
      <c r="S136" s="58"/>
    </row>
    <row r="137" spans="1:51">
      <c r="A137" s="52" t="s">
        <v>63</v>
      </c>
      <c r="C137" s="670" t="s">
        <v>168</v>
      </c>
      <c r="D137" s="244"/>
      <c r="E137" s="244"/>
      <c r="F137" s="244"/>
      <c r="G137" s="244"/>
      <c r="H137" s="244"/>
      <c r="I137" s="244"/>
      <c r="J137" s="244"/>
      <c r="K137" s="244"/>
      <c r="L137" s="244"/>
      <c r="M137" s="244"/>
      <c r="N137" s="244"/>
      <c r="O137" s="244"/>
      <c r="P137" s="244"/>
      <c r="Q137" s="244"/>
      <c r="R137" s="244"/>
      <c r="S137" s="244"/>
      <c r="T137" s="244"/>
      <c r="U137" s="244"/>
      <c r="V137" s="244"/>
      <c r="W137" s="244"/>
    </row>
    <row r="138" spans="1:51" ht="3.65" customHeight="1" outlineLevel="1">
      <c r="B138" s="58"/>
      <c r="C138" s="58"/>
      <c r="D138" s="59"/>
      <c r="E138" s="59"/>
      <c r="F138" s="59"/>
      <c r="G138" s="83"/>
      <c r="H138" s="83"/>
      <c r="I138" s="83"/>
      <c r="J138" s="83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</row>
    <row r="139" spans="1:51" ht="16" outlineLevel="1">
      <c r="B139" s="58"/>
      <c r="C139" s="241" t="str">
        <f>units</f>
        <v>($ '000)</v>
      </c>
      <c r="D139" s="58"/>
      <c r="E139" s="58"/>
      <c r="F139" s="58"/>
      <c r="G139" s="101"/>
      <c r="H139" s="101"/>
      <c r="I139" s="101"/>
      <c r="J139" s="101"/>
      <c r="K139" s="58"/>
      <c r="L139" s="58"/>
      <c r="M139" s="58"/>
      <c r="N139" s="743" t="str">
        <f>$N$124</f>
        <v>4 Months</v>
      </c>
      <c r="O139" s="740" t="str">
        <f>"Fiscal Years Ending "&amp;TEXT($Q$16,"mmmm dd")</f>
        <v>Fiscal Years Ending December 31</v>
      </c>
      <c r="P139" s="739"/>
      <c r="Q139" s="739"/>
      <c r="R139" s="739"/>
      <c r="S139" s="739"/>
      <c r="T139" s="739"/>
      <c r="U139" s="739"/>
      <c r="V139" s="739"/>
      <c r="W139" s="739"/>
    </row>
    <row r="140" spans="1:51" ht="16" outlineLevel="1">
      <c r="B140" s="58"/>
      <c r="D140" s="58"/>
      <c r="E140"/>
      <c r="F140" s="751" t="str">
        <f>$F$125</f>
        <v>Fiscal Years Ended September 30</v>
      </c>
      <c r="G140" s="751"/>
      <c r="H140" s="751"/>
      <c r="I140" s="751"/>
      <c r="J140" s="751"/>
      <c r="K140" s="36" t="s">
        <v>177</v>
      </c>
      <c r="L140" s="58"/>
      <c r="M140" s="58"/>
      <c r="N140" s="785">
        <f>$N$125</f>
        <v>1</v>
      </c>
      <c r="O140" s="746">
        <f>O$125</f>
        <v>2</v>
      </c>
      <c r="P140" s="746">
        <f t="shared" ref="P140:W140" si="32">P$125</f>
        <v>3</v>
      </c>
      <c r="Q140" s="746">
        <f t="shared" si="32"/>
        <v>4</v>
      </c>
      <c r="R140" s="746">
        <f t="shared" si="32"/>
        <v>5</v>
      </c>
      <c r="S140" s="746">
        <f t="shared" si="32"/>
        <v>6</v>
      </c>
      <c r="T140" s="746">
        <f t="shared" si="32"/>
        <v>7</v>
      </c>
      <c r="U140" s="746">
        <f t="shared" si="32"/>
        <v>8</v>
      </c>
      <c r="V140" s="746">
        <f t="shared" si="32"/>
        <v>9</v>
      </c>
      <c r="W140" s="746">
        <f t="shared" si="32"/>
        <v>10</v>
      </c>
    </row>
    <row r="141" spans="1:51" s="58" customFormat="1" outlineLevel="1">
      <c r="A141" s="52"/>
      <c r="E141" s="14"/>
      <c r="F141" s="1584" t="str">
        <f t="shared" ref="F141:K141" si="33">F$126</f>
        <v>2017</v>
      </c>
      <c r="G141" s="1584" t="str">
        <f t="shared" si="33"/>
        <v>2018</v>
      </c>
      <c r="H141" s="1584" t="str">
        <f t="shared" si="33"/>
        <v>2019</v>
      </c>
      <c r="I141" s="1584" t="str">
        <f t="shared" si="33"/>
        <v>2020</v>
      </c>
      <c r="J141" s="1584" t="str">
        <f t="shared" si="33"/>
        <v>2021</v>
      </c>
      <c r="K141" s="720">
        <f t="shared" si="33"/>
        <v>44681</v>
      </c>
      <c r="N141" s="1585">
        <f>$N$126</f>
        <v>44926</v>
      </c>
      <c r="O141" s="747">
        <f>O$126</f>
        <v>45291</v>
      </c>
      <c r="P141" s="747">
        <f t="shared" ref="P141:W141" si="34">P$126</f>
        <v>45657</v>
      </c>
      <c r="Q141" s="747">
        <f t="shared" si="34"/>
        <v>46022</v>
      </c>
      <c r="R141" s="747">
        <f t="shared" si="34"/>
        <v>46387</v>
      </c>
      <c r="S141" s="747">
        <f t="shared" si="34"/>
        <v>46752</v>
      </c>
      <c r="T141" s="747">
        <f t="shared" si="34"/>
        <v>47118</v>
      </c>
      <c r="U141" s="747">
        <f t="shared" si="34"/>
        <v>47483</v>
      </c>
      <c r="V141" s="747">
        <f t="shared" si="34"/>
        <v>47848</v>
      </c>
      <c r="W141" s="747">
        <f t="shared" si="34"/>
        <v>48213</v>
      </c>
      <c r="Z141" s="338"/>
      <c r="AA141" s="1463"/>
      <c r="AB141" s="1463"/>
      <c r="AC141" s="1463"/>
      <c r="AD141" s="1463"/>
      <c r="AE141" s="1463"/>
      <c r="AF141" s="1463"/>
      <c r="AG141" s="1463"/>
      <c r="AH141" s="1463"/>
      <c r="AI141" s="1463"/>
      <c r="AJ141" s="1463"/>
      <c r="AK141" s="1463"/>
      <c r="AL141" s="1463"/>
      <c r="AM141" s="1463"/>
      <c r="AN141" s="1463"/>
      <c r="AO141" s="1463"/>
      <c r="AP141" s="1463"/>
      <c r="AQ141" s="1463"/>
      <c r="AR141" s="1463"/>
      <c r="AS141" s="1463"/>
      <c r="AT141" s="1463"/>
      <c r="AU141" s="1463"/>
      <c r="AV141" s="1463"/>
      <c r="AW141" s="1463"/>
      <c r="AX141" s="1463"/>
      <c r="AY141" s="1463"/>
    </row>
    <row r="142" spans="1:51" s="3" customFormat="1" ht="7" customHeight="1" outlineLevel="1" thickBot="1">
      <c r="A142" s="150"/>
      <c r="C142" s="755"/>
      <c r="D142" s="755"/>
      <c r="E142" s="755"/>
      <c r="F142" s="755"/>
      <c r="G142" s="755"/>
      <c r="H142" s="755"/>
      <c r="I142" s="755"/>
      <c r="J142" s="755"/>
      <c r="K142" s="755"/>
      <c r="L142" s="517"/>
      <c r="M142" s="517"/>
      <c r="N142" s="755"/>
      <c r="O142" s="755"/>
      <c r="P142" s="755"/>
      <c r="Q142" s="755"/>
      <c r="R142" s="755"/>
      <c r="S142" s="755"/>
      <c r="T142" s="755"/>
      <c r="U142" s="755"/>
      <c r="V142" s="755"/>
      <c r="W142" s="755"/>
    </row>
    <row r="143" spans="1:51" s="3" customFormat="1" ht="7" customHeight="1" outlineLevel="1">
      <c r="A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517"/>
      <c r="M143" s="517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</row>
    <row r="144" spans="1:51" s="54" customFormat="1" outlineLevel="1">
      <c r="A144" s="36"/>
      <c r="B144" s="18"/>
      <c r="C144" s="1271" t="s">
        <v>342</v>
      </c>
      <c r="D144" s="18"/>
      <c r="E144"/>
      <c r="F144" s="1272">
        <f>INDEX('Operating Model'!$K$31:$P$44,MATCH($C144,'Operating Model'!$B$31:$B$44,0),MATCH(VALUE(F$141),'Operating Model'!$K$13:$P$13,0))</f>
        <v>2740.502</v>
      </c>
      <c r="G144" s="1272">
        <f>INDEX('Operating Model'!$K$31:$P$44,MATCH($C144,'Operating Model'!$B$31:$B$44,0),MATCH(VALUE(G$141),'Operating Model'!$K$13:$P$13,0))</f>
        <v>2976.4639999999999</v>
      </c>
      <c r="H144" s="1272">
        <f>INDEX('Operating Model'!$K$31:$P$44,MATCH($C144,'Operating Model'!$B$31:$B$44,0),MATCH(VALUE(H$141),'Operating Model'!$K$13:$P$13,0))</f>
        <v>2678.5070000000001</v>
      </c>
      <c r="I144" s="1272">
        <f>INDEX('Operating Model'!$K$31:$P$44,MATCH($C144,'Operating Model'!$B$31:$B$44,0),MATCH(VALUE(I$141),'Operating Model'!$K$13:$P$13,0))</f>
        <v>2786.8519999999999</v>
      </c>
      <c r="J144" s="1272">
        <f>INDEX('Operating Model'!$K$31:$P$44,MATCH($C144,'Operating Model'!$B$31:$B$44,0),MATCH(VALUE(J$141),'Operating Model'!$K$13:$P$13,0))</f>
        <v>2758.1750000000002</v>
      </c>
      <c r="K144" s="1272">
        <f>INDEX('Operating Model'!$K$31:$P$44,MATCH($C144,'Operating Model'!$B$31:$B$44,0),MATCH(VALUE(K$141),'Operating Model'!$K$13:$P$13,0))</f>
        <v>2769.9409999999998</v>
      </c>
      <c r="L144"/>
      <c r="M144"/>
      <c r="N144" s="1273">
        <f ca="1">PRODUCT(K$144,(1+N$129),$N$122)</f>
        <v>1162.6481104874997</v>
      </c>
      <c r="O144" s="1274">
        <f t="shared" ref="O144:W144" ca="1" si="35">PRODUCT((N$144/N$122),(1+O$129),O$122)</f>
        <v>2903.0756173453124</v>
      </c>
      <c r="P144" s="1274">
        <f t="shared" ca="1" si="35"/>
        <v>2972.0236632572633</v>
      </c>
      <c r="Q144" s="1274">
        <f t="shared" ca="1" si="35"/>
        <v>3042.6092252596231</v>
      </c>
      <c r="R144" s="1274">
        <f t="shared" ca="1" si="35"/>
        <v>3114.871194359539</v>
      </c>
      <c r="S144" s="1274">
        <f t="shared" ca="1" si="35"/>
        <v>3188.8493852255779</v>
      </c>
      <c r="T144" s="1274">
        <f t="shared" ca="1" si="35"/>
        <v>3264.5845581246849</v>
      </c>
      <c r="U144" s="1274">
        <f t="shared" ca="1" si="35"/>
        <v>3342.1184413801461</v>
      </c>
      <c r="V144" s="1274">
        <f t="shared" ca="1" si="35"/>
        <v>3421.4937543629244</v>
      </c>
      <c r="W144" s="1274">
        <f t="shared" ca="1" si="35"/>
        <v>3502.7542310290437</v>
      </c>
    </row>
    <row r="145" spans="1:24" outlineLevel="1">
      <c r="B145" s="58"/>
      <c r="C145" s="227" t="s">
        <v>331</v>
      </c>
      <c r="D145" s="452"/>
      <c r="E145"/>
      <c r="F145" s="770">
        <f>-INDEX('Operating Model'!$K$31:$P$44,MATCH($C145,'Operating Model'!$B$31:$B$44,0),MATCH(VALUE(F$141),'Operating Model'!$K$13:$P$13,0))</f>
        <v>-1568.7853399999999</v>
      </c>
      <c r="G145" s="770">
        <f>-INDEX('Operating Model'!$K$31:$P$44,MATCH($C145,'Operating Model'!$B$31:$B$44,0),MATCH(VALUE(G$141),'Operating Model'!$K$13:$P$13,0))</f>
        <v>-1691.0338399999998</v>
      </c>
      <c r="H145" s="770">
        <f>-INDEX('Operating Model'!$K$31:$P$44,MATCH($C145,'Operating Model'!$B$31:$B$44,0),MATCH(VALUE(H$141),'Operating Model'!$K$13:$P$13,0))</f>
        <v>-1485.99665</v>
      </c>
      <c r="I145" s="770">
        <f>-INDEX('Operating Model'!$K$31:$P$44,MATCH($C145,'Operating Model'!$B$31:$B$44,0),MATCH(VALUE(I$141),'Operating Model'!$K$13:$P$13,0))</f>
        <v>-1525.3812499999997</v>
      </c>
      <c r="J145" s="770">
        <f>-INDEX('Operating Model'!$K$31:$P$44,MATCH($C145,'Operating Model'!$B$31:$B$44,0),MATCH(VALUE(J$141),'Operating Model'!$K$13:$P$13,0))</f>
        <v>-1578.5531000000001</v>
      </c>
      <c r="K145" s="770">
        <f>-INDEX('Operating Model'!$K$31:$P$44,MATCH($C145,'Operating Model'!$B$31:$B$44,0),MATCH(VALUE(K$141),'Operating Model'!$K$13:$P$13,0))</f>
        <v>-1566.66878</v>
      </c>
      <c r="L145"/>
      <c r="M145"/>
      <c r="N145" s="404">
        <f t="shared" ref="N145:W145" ca="1" si="36">-PRODUCT(N$130,N$144)</f>
        <v>-661.84105628859527</v>
      </c>
      <c r="O145" s="404">
        <f t="shared" ca="1" si="36"/>
        <v>-1632.0955803295392</v>
      </c>
      <c r="P145" s="404">
        <f t="shared" ca="1" si="36"/>
        <v>-1650.606230846334</v>
      </c>
      <c r="Q145" s="404">
        <f t="shared" ca="1" si="36"/>
        <v>-1669.5276325379537</v>
      </c>
      <c r="R145" s="404">
        <f t="shared" ca="1" si="36"/>
        <v>-1688.8673370057502</v>
      </c>
      <c r="S145" s="404">
        <f t="shared" ca="1" si="36"/>
        <v>-1708.6330601392176</v>
      </c>
      <c r="T145" s="404">
        <f t="shared" ca="1" si="36"/>
        <v>-1728.8326851350359</v>
      </c>
      <c r="U145" s="404">
        <f t="shared" ca="1" si="36"/>
        <v>-1749.4742655818623</v>
      </c>
      <c r="V145" s="404">
        <f t="shared" ca="1" si="36"/>
        <v>-1770.5660286120765</v>
      </c>
      <c r="W145" s="404">
        <f t="shared" ca="1" si="36"/>
        <v>-1792.1163781217215</v>
      </c>
    </row>
    <row r="146" spans="1:24" outlineLevel="1">
      <c r="B146" s="58"/>
      <c r="C146" s="60" t="s">
        <v>37</v>
      </c>
      <c r="D146" s="59"/>
      <c r="E146"/>
      <c r="F146" s="766">
        <f t="shared" ref="F146:K146" si="37">SUM(F$144:F$145)</f>
        <v>1171.71666</v>
      </c>
      <c r="G146" s="766">
        <f t="shared" si="37"/>
        <v>1285.4301600000001</v>
      </c>
      <c r="H146" s="766">
        <f t="shared" si="37"/>
        <v>1192.51035</v>
      </c>
      <c r="I146" s="766">
        <f t="shared" si="37"/>
        <v>1261.4707500000002</v>
      </c>
      <c r="J146" s="766">
        <f t="shared" si="37"/>
        <v>1179.6219000000001</v>
      </c>
      <c r="K146" s="766">
        <f t="shared" si="37"/>
        <v>1203.2722199999998</v>
      </c>
      <c r="L146"/>
      <c r="M146"/>
      <c r="N146" s="405">
        <f t="shared" ref="N146:W146" ca="1" si="38">SUM(N$144:N$145)</f>
        <v>500.80705419890444</v>
      </c>
      <c r="O146" s="405">
        <f t="shared" ca="1" si="38"/>
        <v>1270.9800370157732</v>
      </c>
      <c r="P146" s="405">
        <f t="shared" ca="1" si="38"/>
        <v>1321.4174324109292</v>
      </c>
      <c r="Q146" s="405">
        <f t="shared" ca="1" si="38"/>
        <v>1373.0815927216695</v>
      </c>
      <c r="R146" s="405">
        <f t="shared" ca="1" si="38"/>
        <v>1426.0038573537888</v>
      </c>
      <c r="S146" s="405">
        <f t="shared" ca="1" si="38"/>
        <v>1480.2163250863603</v>
      </c>
      <c r="T146" s="405">
        <f t="shared" ca="1" si="38"/>
        <v>1535.751872989649</v>
      </c>
      <c r="U146" s="405">
        <f t="shared" ca="1" si="38"/>
        <v>1592.6441757982839</v>
      </c>
      <c r="V146" s="405">
        <f t="shared" ca="1" si="38"/>
        <v>1650.9277257508479</v>
      </c>
      <c r="W146" s="405">
        <f t="shared" ca="1" si="38"/>
        <v>1710.6378529073222</v>
      </c>
    </row>
    <row r="147" spans="1:24" ht="7" customHeight="1" outlineLevel="1">
      <c r="B147" s="58"/>
      <c r="C147" s="18"/>
      <c r="D147" s="58"/>
      <c r="E147"/>
      <c r="F147" s="1269"/>
      <c r="G147" s="1269"/>
      <c r="H147" s="1269"/>
      <c r="I147" s="1269"/>
      <c r="J147" s="1269"/>
      <c r="K147" s="1269"/>
      <c r="L147"/>
      <c r="M147"/>
      <c r="N147" s="1270"/>
      <c r="O147" s="1270"/>
      <c r="P147" s="1270"/>
      <c r="Q147" s="1270"/>
      <c r="R147" s="1270"/>
      <c r="S147" s="1270"/>
      <c r="T147" s="1270"/>
      <c r="U147" s="1270"/>
      <c r="V147" s="1270"/>
      <c r="W147" s="1270"/>
    </row>
    <row r="148" spans="1:24" outlineLevel="1">
      <c r="B148" s="58"/>
      <c r="C148" s="65" t="s">
        <v>44</v>
      </c>
      <c r="D148" s="452"/>
      <c r="E148"/>
      <c r="F148" s="770">
        <f>-INDEX('Operating Model'!$K$31:$P$44,MATCH($C148,'Operating Model'!$B$31:$B$44,0),MATCH(VALUE(F$141),'Operating Model'!$K$13:$P$13,0))</f>
        <v>-748.10665554794514</v>
      </c>
      <c r="G148" s="770">
        <f>-INDEX('Operating Model'!$K$31:$P$44,MATCH($C148,'Operating Model'!$B$31:$B$44,0),MATCH(VALUE(G$141),'Operating Model'!$K$13:$P$13,0))</f>
        <v>-748.10665554794514</v>
      </c>
      <c r="H148" s="770">
        <f>-INDEX('Operating Model'!$K$31:$P$44,MATCH($C148,'Operating Model'!$B$31:$B$44,0),MATCH(VALUE(H$141),'Operating Model'!$K$13:$P$13,0))</f>
        <v>-692.34613807017547</v>
      </c>
      <c r="I148" s="770">
        <f>-INDEX('Operating Model'!$K$31:$P$44,MATCH($C148,'Operating Model'!$B$31:$B$44,0),MATCH(VALUE(I$141),'Operating Model'!$K$13:$P$13,0))</f>
        <v>-698.1035165855892</v>
      </c>
      <c r="J148" s="770">
        <f>-INDEX('Operating Model'!$K$31:$P$44,MATCH($C148,'Operating Model'!$B$31:$B$44,0),MATCH(VALUE(J$141),'Operating Model'!$K$13:$P$13,0))</f>
        <v>-704.15371716049378</v>
      </c>
      <c r="K148" s="770">
        <f>-INDEX('Operating Model'!$K$31:$P$44,MATCH($C148,'Operating Model'!$B$31:$B$44,0),MATCH(VALUE(K$141),'Operating Model'!$K$13:$P$13,0))</f>
        <v>-736.72143500000004</v>
      </c>
      <c r="L148"/>
      <c r="M148"/>
      <c r="N148" s="404">
        <f t="shared" ref="N148:W148" ca="1" si="39">-(PRODUCT(N$131,N$144))</f>
        <v>-349.89009323143313</v>
      </c>
      <c r="O148" s="404">
        <f t="shared" ca="1" si="39"/>
        <v>-961.08508679698275</v>
      </c>
      <c r="P148" s="404">
        <f t="shared" ca="1" si="39"/>
        <v>-919.62203745489205</v>
      </c>
      <c r="Q148" s="404">
        <f t="shared" ca="1" si="39"/>
        <v>-932.86429734860269</v>
      </c>
      <c r="R148" s="404">
        <f t="shared" ca="1" si="39"/>
        <v>-1081.7785093576836</v>
      </c>
      <c r="S148" s="404">
        <f t="shared" ca="1" si="39"/>
        <v>-942.13722404342991</v>
      </c>
      <c r="T148" s="404">
        <f t="shared" ca="1" si="39"/>
        <v>-964.99735410800122</v>
      </c>
      <c r="U148" s="404">
        <f t="shared" ca="1" si="39"/>
        <v>-1046.8602291789095</v>
      </c>
      <c r="V148" s="404">
        <f t="shared" ca="1" si="39"/>
        <v>-1017.5779776548094</v>
      </c>
      <c r="W148" s="404">
        <f t="shared" ca="1" si="39"/>
        <v>-1046.1755655981333</v>
      </c>
    </row>
    <row r="149" spans="1:24" outlineLevel="1">
      <c r="B149" s="58"/>
      <c r="C149" s="60" t="s">
        <v>156</v>
      </c>
      <c r="D149" s="59"/>
      <c r="E149"/>
      <c r="F149" s="766">
        <f t="shared" ref="F149:K149" si="40">SUM(F146:F148)</f>
        <v>423.61000445205491</v>
      </c>
      <c r="G149" s="766">
        <f t="shared" si="40"/>
        <v>537.32350445205498</v>
      </c>
      <c r="H149" s="766">
        <f t="shared" si="40"/>
        <v>500.16421192982455</v>
      </c>
      <c r="I149" s="766">
        <f t="shared" si="40"/>
        <v>563.36723341441098</v>
      </c>
      <c r="J149" s="766">
        <f t="shared" si="40"/>
        <v>475.46818283950631</v>
      </c>
      <c r="K149" s="766">
        <f t="shared" si="40"/>
        <v>466.55078499999979</v>
      </c>
      <c r="L149"/>
      <c r="M149"/>
      <c r="N149" s="405">
        <f ca="1">SUM(N$146:N$148)</f>
        <v>150.91696096747131</v>
      </c>
      <c r="O149" s="405">
        <f t="shared" ref="O149:W149" ca="1" si="41">SUM(O$146:O$148)</f>
        <v>309.89495021879043</v>
      </c>
      <c r="P149" s="405">
        <f t="shared" ca="1" si="41"/>
        <v>401.79539495603717</v>
      </c>
      <c r="Q149" s="405">
        <f t="shared" ca="1" si="41"/>
        <v>440.2172953730668</v>
      </c>
      <c r="R149" s="405">
        <f t="shared" ca="1" si="41"/>
        <v>344.22534799610526</v>
      </c>
      <c r="S149" s="405">
        <f t="shared" ca="1" si="41"/>
        <v>538.07910104293035</v>
      </c>
      <c r="T149" s="405">
        <f t="shared" ca="1" si="41"/>
        <v>570.75451888164775</v>
      </c>
      <c r="U149" s="405">
        <f t="shared" ca="1" si="41"/>
        <v>545.78394661937432</v>
      </c>
      <c r="V149" s="405">
        <f t="shared" ca="1" si="41"/>
        <v>633.34974809603852</v>
      </c>
      <c r="W149" s="405">
        <f t="shared" ca="1" si="41"/>
        <v>664.46228730918892</v>
      </c>
    </row>
    <row r="150" spans="1:24" ht="7" customHeight="1" outlineLevel="1">
      <c r="B150" s="58"/>
      <c r="C150" s="18"/>
      <c r="D150" s="58"/>
      <c r="E150"/>
      <c r="F150" s="1269"/>
      <c r="G150" s="1269"/>
      <c r="H150" s="1269"/>
      <c r="I150" s="1269"/>
      <c r="J150" s="1269"/>
      <c r="K150" s="1269"/>
      <c r="L150"/>
      <c r="M150"/>
      <c r="N150" s="1270"/>
      <c r="O150" s="1270"/>
      <c r="P150" s="1270"/>
      <c r="Q150" s="1270"/>
      <c r="R150" s="1270"/>
      <c r="S150" s="1270"/>
      <c r="T150" s="1270"/>
      <c r="U150" s="1270"/>
      <c r="V150" s="1270"/>
      <c r="W150" s="1270"/>
    </row>
    <row r="151" spans="1:24" s="51" customFormat="1" outlineLevel="1">
      <c r="A151" s="97"/>
      <c r="B151" s="65"/>
      <c r="C151" s="65" t="s">
        <v>155</v>
      </c>
      <c r="D151" s="65"/>
      <c r="E151"/>
      <c r="F151" s="771">
        <v>-125.52</v>
      </c>
      <c r="G151" s="771">
        <v>-125.52</v>
      </c>
      <c r="H151" s="771">
        <v>-125.52</v>
      </c>
      <c r="I151" s="771">
        <v>-125.52</v>
      </c>
      <c r="J151" s="771">
        <v>-125.52</v>
      </c>
      <c r="K151" s="771">
        <v>-125.52</v>
      </c>
      <c r="L151"/>
      <c r="M151"/>
      <c r="N151" s="403">
        <f t="shared" ref="N151:W151" ca="1" si="42">-(N$106)/1000</f>
        <v>-21.639583333333334</v>
      </c>
      <c r="O151" s="403">
        <f t="shared" ca="1" si="42"/>
        <v>-71.908919816341879</v>
      </c>
      <c r="P151" s="403">
        <f t="shared" ca="1" si="42"/>
        <v>-73.724730708736587</v>
      </c>
      <c r="Q151" s="403">
        <f t="shared" ca="1" si="42"/>
        <v>-73.724730708736587</v>
      </c>
      <c r="R151" s="403">
        <f t="shared" ca="1" si="42"/>
        <v>-73.724730708736601</v>
      </c>
      <c r="S151" s="403">
        <f t="shared" ca="1" si="42"/>
        <v>-73.724730708736587</v>
      </c>
      <c r="T151" s="403">
        <f t="shared" ca="1" si="42"/>
        <v>-73.724730708736587</v>
      </c>
      <c r="U151" s="403">
        <f t="shared" ca="1" si="42"/>
        <v>-73.724730708736573</v>
      </c>
      <c r="V151" s="403">
        <f t="shared" ca="1" si="42"/>
        <v>-73.724730708736587</v>
      </c>
      <c r="W151" s="403">
        <f t="shared" ca="1" si="42"/>
        <v>-73.724730708736587</v>
      </c>
    </row>
    <row r="152" spans="1:24" outlineLevel="1">
      <c r="B152" s="58"/>
      <c r="C152" s="60" t="s">
        <v>22</v>
      </c>
      <c r="D152" s="59"/>
      <c r="E152"/>
      <c r="F152" s="766">
        <f t="shared" ref="F152:K152" si="43">SUM(F$149:F$151)</f>
        <v>298.09000445205493</v>
      </c>
      <c r="G152" s="766">
        <f t="shared" si="43"/>
        <v>411.80350445205499</v>
      </c>
      <c r="H152" s="766">
        <f t="shared" si="43"/>
        <v>374.64421192982456</v>
      </c>
      <c r="I152" s="766">
        <f t="shared" si="43"/>
        <v>437.84723341441099</v>
      </c>
      <c r="J152" s="766">
        <f t="shared" si="43"/>
        <v>349.94818283950633</v>
      </c>
      <c r="K152" s="766">
        <f t="shared" si="43"/>
        <v>341.03078499999981</v>
      </c>
      <c r="L152"/>
      <c r="M152"/>
      <c r="N152" s="405">
        <f ca="1">SUM(N$149:N$151)</f>
        <v>129.27737763413796</v>
      </c>
      <c r="O152" s="405">
        <f t="shared" ref="O152:W152" ca="1" si="44">SUM(O$149:O$151)</f>
        <v>237.98603040244853</v>
      </c>
      <c r="P152" s="405">
        <f t="shared" ca="1" si="44"/>
        <v>328.07066424730056</v>
      </c>
      <c r="Q152" s="405">
        <f t="shared" ca="1" si="44"/>
        <v>366.49256466433019</v>
      </c>
      <c r="R152" s="405">
        <f t="shared" ca="1" si="44"/>
        <v>270.50061728736864</v>
      </c>
      <c r="S152" s="405">
        <f t="shared" ca="1" si="44"/>
        <v>464.35437033419373</v>
      </c>
      <c r="T152" s="405">
        <f t="shared" ca="1" si="44"/>
        <v>497.02978817291114</v>
      </c>
      <c r="U152" s="405">
        <f t="shared" ca="1" si="44"/>
        <v>472.05921591063776</v>
      </c>
      <c r="V152" s="405">
        <f t="shared" ca="1" si="44"/>
        <v>559.62501738730191</v>
      </c>
      <c r="W152" s="405">
        <f t="shared" ca="1" si="44"/>
        <v>590.73755660045231</v>
      </c>
    </row>
    <row r="153" spans="1:24" ht="7" customHeight="1" outlineLevel="1">
      <c r="B153" s="58"/>
      <c r="C153" s="18"/>
      <c r="D153" s="58"/>
      <c r="E153"/>
      <c r="F153" s="1269"/>
      <c r="G153" s="1269"/>
      <c r="H153" s="1269"/>
      <c r="I153" s="1269"/>
      <c r="J153" s="1269"/>
      <c r="K153" s="1269"/>
      <c r="L153"/>
      <c r="M153"/>
      <c r="N153" s="1270"/>
      <c r="O153" s="1270"/>
      <c r="P153" s="1270"/>
      <c r="Q153" s="1270"/>
      <c r="R153" s="1270"/>
      <c r="S153" s="1270"/>
      <c r="T153" s="1270"/>
      <c r="U153" s="1270"/>
      <c r="V153" s="1270"/>
      <c r="W153" s="1270"/>
    </row>
    <row r="154" spans="1:24" outlineLevel="1">
      <c r="B154" s="58"/>
      <c r="C154" s="58" t="s">
        <v>38</v>
      </c>
      <c r="D154" s="65"/>
      <c r="E154"/>
      <c r="F154" s="290">
        <v>-293.58499999999998</v>
      </c>
      <c r="G154" s="290">
        <v>-151.517</v>
      </c>
      <c r="H154" s="290">
        <v>-143.601</v>
      </c>
      <c r="I154" s="290">
        <v>-141.43299999999999</v>
      </c>
      <c r="J154" s="290">
        <v>-98.668000000000006</v>
      </c>
      <c r="K154" s="290">
        <v>-88.317999999999998</v>
      </c>
      <c r="L154"/>
      <c r="M154"/>
      <c r="N154" s="406">
        <f t="shared" ref="N154:W154" ca="1" si="45">-SUM(N$217,N$250,N$326,N$341)</f>
        <v>-35.935779563076757</v>
      </c>
      <c r="O154" s="406">
        <f t="shared" ca="1" si="45"/>
        <v>-138.97708921393956</v>
      </c>
      <c r="P154" s="406">
        <f t="shared" ca="1" si="45"/>
        <v>-248.76493942704951</v>
      </c>
      <c r="Q154" s="406">
        <f t="shared" ca="1" si="45"/>
        <v>-209.07506176655201</v>
      </c>
      <c r="R154" s="406">
        <f t="shared" ca="1" si="45"/>
        <v>-208.34291249345273</v>
      </c>
      <c r="S154" s="406">
        <f t="shared" ca="1" si="45"/>
        <v>-217.19519946354836</v>
      </c>
      <c r="T154" s="406">
        <f t="shared" ca="1" si="45"/>
        <v>-218.86764060854097</v>
      </c>
      <c r="U154" s="406">
        <f t="shared" ca="1" si="45"/>
        <v>-212.67091728618891</v>
      </c>
      <c r="V154" s="406">
        <f t="shared" ca="1" si="45"/>
        <v>-179.78577729973443</v>
      </c>
      <c r="W154" s="406">
        <f t="shared" ca="1" si="45"/>
        <v>-154.12295803722441</v>
      </c>
      <c r="X154" s="406"/>
    </row>
    <row r="155" spans="1:24" outlineLevel="1">
      <c r="B155" s="58"/>
      <c r="C155" s="58" t="s">
        <v>39</v>
      </c>
      <c r="D155" s="58"/>
      <c r="E155"/>
      <c r="F155" s="765">
        <v>0</v>
      </c>
      <c r="G155" s="765">
        <v>0</v>
      </c>
      <c r="H155" s="765">
        <v>0</v>
      </c>
      <c r="I155" s="765">
        <v>0</v>
      </c>
      <c r="J155" s="765">
        <v>0</v>
      </c>
      <c r="K155" s="765">
        <v>0</v>
      </c>
      <c r="L155"/>
      <c r="M155"/>
      <c r="N155" s="406">
        <f t="shared" ref="N155:W155" ca="1" si="46">-N$421</f>
        <v>-6.20922848962541</v>
      </c>
      <c r="O155" s="406">
        <f t="shared" ca="1" si="46"/>
        <v>-15.144459730793685</v>
      </c>
      <c r="P155" s="406">
        <f t="shared" ca="1" si="46"/>
        <v>-15.144459730793685</v>
      </c>
      <c r="Q155" s="406">
        <f t="shared" ca="1" si="46"/>
        <v>-15.144459730793685</v>
      </c>
      <c r="R155" s="406">
        <f t="shared" ca="1" si="46"/>
        <v>-15.144459730793685</v>
      </c>
      <c r="S155" s="406">
        <f t="shared" ca="1" si="46"/>
        <v>-14.285786759368023</v>
      </c>
      <c r="T155" s="406">
        <f t="shared" ca="1" si="46"/>
        <v>-13.485786759368022</v>
      </c>
      <c r="U155" s="406">
        <f t="shared" ca="1" si="46"/>
        <v>-13.485786759368022</v>
      </c>
      <c r="V155" s="406">
        <f t="shared" ca="1" si="46"/>
        <v>-13.485786759368022</v>
      </c>
      <c r="W155" s="406">
        <f t="shared" ca="1" si="46"/>
        <v>-13.485786759368022</v>
      </c>
    </row>
    <row r="156" spans="1:24" outlineLevel="1">
      <c r="B156" s="58"/>
      <c r="C156" s="60" t="s">
        <v>40</v>
      </c>
      <c r="D156" s="59"/>
      <c r="E156"/>
      <c r="F156" s="766">
        <f t="shared" ref="F156:K156" si="47">SUM(F$152:F$155)</f>
        <v>4.5050044520549477</v>
      </c>
      <c r="G156" s="766">
        <f t="shared" si="47"/>
        <v>260.286504452055</v>
      </c>
      <c r="H156" s="766">
        <f t="shared" si="47"/>
        <v>231.04321192982457</v>
      </c>
      <c r="I156" s="766">
        <f t="shared" si="47"/>
        <v>296.414233414411</v>
      </c>
      <c r="J156" s="766">
        <f t="shared" si="47"/>
        <v>251.28018283950632</v>
      </c>
      <c r="K156" s="766">
        <f t="shared" si="47"/>
        <v>252.71278499999983</v>
      </c>
      <c r="L156"/>
      <c r="M156"/>
      <c r="N156" s="405">
        <f ca="1">SUM(N$152:N$155)</f>
        <v>87.132369581435796</v>
      </c>
      <c r="O156" s="405">
        <f t="shared" ref="O156:W156" ca="1" si="48">SUM(O$152:O$155)</f>
        <v>83.864481457715286</v>
      </c>
      <c r="P156" s="405">
        <f t="shared" ca="1" si="48"/>
        <v>64.161265089457359</v>
      </c>
      <c r="Q156" s="405">
        <f t="shared" ca="1" si="48"/>
        <v>142.27304316698451</v>
      </c>
      <c r="R156" s="405">
        <f t="shared" ca="1" si="48"/>
        <v>47.013245063122227</v>
      </c>
      <c r="S156" s="405">
        <f t="shared" ca="1" si="48"/>
        <v>232.87338411127735</v>
      </c>
      <c r="T156" s="405">
        <f t="shared" ca="1" si="48"/>
        <v>264.67636080500216</v>
      </c>
      <c r="U156" s="405">
        <f t="shared" ca="1" si="48"/>
        <v>245.90251186508084</v>
      </c>
      <c r="V156" s="405">
        <f t="shared" ca="1" si="48"/>
        <v>366.35345332819946</v>
      </c>
      <c r="W156" s="405">
        <f t="shared" ca="1" si="48"/>
        <v>423.12881180385989</v>
      </c>
    </row>
    <row r="157" spans="1:24" ht="7" customHeight="1" outlineLevel="1">
      <c r="B157" s="58"/>
      <c r="C157" s="18"/>
      <c r="D157" s="58"/>
      <c r="E157"/>
      <c r="F157" s="1269"/>
      <c r="G157" s="1269"/>
      <c r="H157" s="1269"/>
      <c r="I157" s="1269"/>
      <c r="J157" s="1269"/>
      <c r="K157" s="1269"/>
      <c r="L157"/>
      <c r="M157"/>
      <c r="N157" s="1270"/>
      <c r="O157" s="1270"/>
      <c r="P157" s="1270"/>
      <c r="Q157" s="1270"/>
      <c r="R157" s="1270"/>
      <c r="S157" s="1270"/>
      <c r="T157" s="1270"/>
      <c r="U157" s="1270"/>
      <c r="V157" s="1270"/>
      <c r="W157" s="1270"/>
    </row>
    <row r="158" spans="1:24" outlineLevel="1">
      <c r="B158" s="58"/>
      <c r="C158" s="58" t="s">
        <v>45</v>
      </c>
      <c r="D158" s="58"/>
      <c r="E158"/>
      <c r="F158" s="65"/>
      <c r="G158" s="767"/>
      <c r="H158" s="767"/>
      <c r="I158" s="767"/>
      <c r="J158" s="767"/>
      <c r="K158" s="65"/>
      <c r="L158"/>
      <c r="M158"/>
      <c r="N158" s="407">
        <f t="shared" ref="N158:W158" ca="1" si="49">IF(circuit_breaker="off",N$470,0)</f>
        <v>0</v>
      </c>
      <c r="O158" s="407">
        <f t="shared" ca="1" si="49"/>
        <v>0.13339540776018211</v>
      </c>
      <c r="P158" s="407">
        <f t="shared" ca="1" si="49"/>
        <v>0.25679523251872249</v>
      </c>
      <c r="Q158" s="407">
        <f t="shared" ca="1" si="49"/>
        <v>0.47454488763744318</v>
      </c>
      <c r="R158" s="407">
        <f t="shared" ca="1" si="49"/>
        <v>1.4129407489784409</v>
      </c>
      <c r="S158" s="407">
        <f t="shared" ca="1" si="49"/>
        <v>1.0971158090748614</v>
      </c>
      <c r="T158" s="407">
        <f t="shared" ca="1" si="49"/>
        <v>7.7322681590885624E-12</v>
      </c>
      <c r="U158" s="407">
        <f t="shared" ca="1" si="49"/>
        <v>1.4960692145525392</v>
      </c>
      <c r="V158" s="407">
        <f t="shared" ca="1" si="49"/>
        <v>7.5295714695943268</v>
      </c>
      <c r="W158" s="407">
        <f t="shared" ca="1" si="49"/>
        <v>19.367048100291452</v>
      </c>
    </row>
    <row r="159" spans="1:24" outlineLevel="1">
      <c r="B159" s="58"/>
      <c r="C159" s="65" t="s">
        <v>41</v>
      </c>
      <c r="D159" s="58"/>
      <c r="E159"/>
      <c r="F159" s="65"/>
      <c r="G159" s="767"/>
      <c r="H159" s="767"/>
      <c r="I159" s="767"/>
      <c r="J159" s="767"/>
      <c r="K159" s="767"/>
      <c r="L159"/>
      <c r="M159"/>
      <c r="N159" s="407">
        <f t="shared" ref="N159:W159" ca="1" si="50">IF(circuit_breaker="off",-N$615,0)</f>
        <v>-38.90907739734957</v>
      </c>
      <c r="O159" s="407">
        <f t="shared" ca="1" si="50"/>
        <v>-91.670314999999988</v>
      </c>
      <c r="P159" s="407">
        <f t="shared" ca="1" si="50"/>
        <v>-85.369820000000004</v>
      </c>
      <c r="Q159" s="407">
        <f t="shared" ca="1" si="50"/>
        <v>-77.800169999999994</v>
      </c>
      <c r="R159" s="407">
        <f t="shared" ca="1" si="50"/>
        <v>-73.163794938799128</v>
      </c>
      <c r="S159" s="407">
        <f t="shared" ca="1" si="50"/>
        <v>-68.280908813459774</v>
      </c>
      <c r="T159" s="407">
        <f t="shared" ca="1" si="50"/>
        <v>-59.219666023933868</v>
      </c>
      <c r="U159" s="407">
        <f t="shared" ca="1" si="50"/>
        <v>-51.684242154015102</v>
      </c>
      <c r="V159" s="407">
        <f t="shared" ca="1" si="50"/>
        <v>-46.383471249023714</v>
      </c>
      <c r="W159" s="407">
        <f t="shared" ca="1" si="50"/>
        <v>-40.960500344032319</v>
      </c>
    </row>
    <row r="160" spans="1:24" s="54" customFormat="1" outlineLevel="1">
      <c r="A160" s="36"/>
      <c r="B160" s="18"/>
      <c r="C160" s="60" t="s">
        <v>46</v>
      </c>
      <c r="D160" s="60"/>
      <c r="E160"/>
      <c r="F160" s="768"/>
      <c r="G160" s="768"/>
      <c r="H160" s="768"/>
      <c r="I160" s="768"/>
      <c r="J160" s="768"/>
      <c r="K160" s="768"/>
      <c r="L160"/>
      <c r="M160"/>
      <c r="N160" s="405">
        <f ca="1">SUM(N$156:N$159)</f>
        <v>48.223292184086226</v>
      </c>
      <c r="O160" s="405">
        <f t="shared" ref="O160:W160" ca="1" si="51">SUM(O$156:O$159)</f>
        <v>-7.6724381345245263</v>
      </c>
      <c r="P160" s="405">
        <f t="shared" ca="1" si="51"/>
        <v>-20.951759678023919</v>
      </c>
      <c r="Q160" s="405">
        <f t="shared" ca="1" si="51"/>
        <v>64.947418054621963</v>
      </c>
      <c r="R160" s="405">
        <f t="shared" ca="1" si="51"/>
        <v>-24.737609126698459</v>
      </c>
      <c r="S160" s="405">
        <f t="shared" ca="1" si="51"/>
        <v>165.68959110689244</v>
      </c>
      <c r="T160" s="405">
        <f t="shared" ca="1" si="51"/>
        <v>205.45669478107601</v>
      </c>
      <c r="U160" s="405">
        <f t="shared" ca="1" si="51"/>
        <v>195.71433892561828</v>
      </c>
      <c r="V160" s="405">
        <f t="shared" ca="1" si="51"/>
        <v>327.49955354877005</v>
      </c>
      <c r="W160" s="405">
        <f t="shared" ca="1" si="51"/>
        <v>401.53535956011905</v>
      </c>
    </row>
    <row r="161" spans="1:23" s="54" customFormat="1" ht="7" customHeight="1" outlineLevel="1">
      <c r="A161" s="36"/>
      <c r="B161" s="18"/>
      <c r="C161" s="18"/>
      <c r="D161" s="18"/>
      <c r="E161"/>
      <c r="F161" s="769"/>
      <c r="G161" s="769"/>
      <c r="H161" s="769"/>
      <c r="I161" s="769"/>
      <c r="J161" s="769"/>
      <c r="K161" s="769"/>
      <c r="L161"/>
      <c r="M161"/>
      <c r="N161" s="1270"/>
      <c r="O161" s="1270"/>
      <c r="P161" s="1270"/>
      <c r="Q161" s="1270"/>
      <c r="R161" s="1270"/>
      <c r="S161" s="1270"/>
      <c r="T161" s="1270"/>
      <c r="U161" s="1270"/>
      <c r="V161" s="1270"/>
      <c r="W161" s="1270"/>
    </row>
    <row r="162" spans="1:23" outlineLevel="1">
      <c r="B162" s="58"/>
      <c r="C162" s="329" t="s">
        <v>42</v>
      </c>
      <c r="D162" s="329"/>
      <c r="E162"/>
      <c r="F162" s="1457"/>
      <c r="G162" s="1457"/>
      <c r="H162" s="1457"/>
      <c r="I162" s="1457"/>
      <c r="J162" s="1457"/>
      <c r="K162" s="1457"/>
      <c r="L162"/>
      <c r="M162"/>
      <c r="N162" s="1458">
        <f t="shared" ref="N162:W162" ca="1" si="52">IF(N$160&lt;0,0,-PRODUCT(N$160,$V$30,(1-$V$31)))</f>
        <v>-14.274094486489524</v>
      </c>
      <c r="O162" s="1458">
        <f t="shared" ca="1" si="52"/>
        <v>0</v>
      </c>
      <c r="P162" s="1458">
        <f t="shared" ca="1" si="52"/>
        <v>0</v>
      </c>
      <c r="Q162" s="1458">
        <f t="shared" ca="1" si="52"/>
        <v>-19.224435744168105</v>
      </c>
      <c r="R162" s="1458">
        <f t="shared" ca="1" si="52"/>
        <v>0</v>
      </c>
      <c r="S162" s="1458">
        <f t="shared" ca="1" si="52"/>
        <v>-49.044118967640166</v>
      </c>
      <c r="T162" s="1458">
        <f t="shared" ca="1" si="52"/>
        <v>-60.815181655198501</v>
      </c>
      <c r="U162" s="1458">
        <f t="shared" ca="1" si="52"/>
        <v>-57.931444321983008</v>
      </c>
      <c r="V162" s="1458">
        <f t="shared" ca="1" si="52"/>
        <v>-96.939867850435945</v>
      </c>
      <c r="W162" s="1458">
        <f t="shared" ca="1" si="52"/>
        <v>-118.85446642979524</v>
      </c>
    </row>
    <row r="163" spans="1:23" ht="15" outlineLevel="1" thickBot="1">
      <c r="B163" s="58"/>
      <c r="C163" s="1459" t="s">
        <v>43</v>
      </c>
      <c r="D163" s="1460"/>
      <c r="E163"/>
      <c r="F163" s="1461"/>
      <c r="G163" s="1461"/>
      <c r="H163" s="1461"/>
      <c r="I163" s="1461"/>
      <c r="J163" s="1461"/>
      <c r="K163" s="1461"/>
      <c r="L163"/>
      <c r="M163"/>
      <c r="N163" s="1462">
        <f ca="1">SUM(N$160:N$162)</f>
        <v>33.949197697596702</v>
      </c>
      <c r="O163" s="1462">
        <f t="shared" ref="O163:W163" ca="1" si="53">SUM(O$160:O$162)</f>
        <v>-7.6724381345245263</v>
      </c>
      <c r="P163" s="1462">
        <f t="shared" ca="1" si="53"/>
        <v>-20.951759678023919</v>
      </c>
      <c r="Q163" s="1462">
        <f t="shared" ca="1" si="53"/>
        <v>45.722982310453858</v>
      </c>
      <c r="R163" s="1462">
        <f t="shared" ca="1" si="53"/>
        <v>-24.737609126698459</v>
      </c>
      <c r="S163" s="1462">
        <f t="shared" ca="1" si="53"/>
        <v>116.64547213925226</v>
      </c>
      <c r="T163" s="1462">
        <f t="shared" ca="1" si="53"/>
        <v>144.64151312587751</v>
      </c>
      <c r="U163" s="1462">
        <f t="shared" ca="1" si="53"/>
        <v>137.78289460363527</v>
      </c>
      <c r="V163" s="1462">
        <f t="shared" ca="1" si="53"/>
        <v>230.55968569833411</v>
      </c>
      <c r="W163" s="1462">
        <f t="shared" ca="1" si="53"/>
        <v>282.6808931303238</v>
      </c>
    </row>
    <row r="164" spans="1:23" ht="15" outlineLevel="1" thickTop="1">
      <c r="B164" s="58"/>
      <c r="C164" s="18"/>
      <c r="D164" s="58"/>
      <c r="E164"/>
      <c r="F164" s="58"/>
      <c r="G164" s="85"/>
      <c r="H164" s="85"/>
      <c r="I164" s="85"/>
      <c r="J164" s="85"/>
      <c r="K164" s="84"/>
      <c r="L164"/>
      <c r="M164"/>
      <c r="N164" s="86"/>
      <c r="O164" s="86"/>
      <c r="P164" s="86"/>
      <c r="Q164" s="86"/>
      <c r="R164" s="86"/>
      <c r="S164" s="86"/>
      <c r="T164" s="86"/>
      <c r="U164" s="86"/>
      <c r="V164" s="86"/>
      <c r="W164" s="86"/>
    </row>
    <row r="165" spans="1:23" ht="6.5" customHeight="1">
      <c r="B165" s="58"/>
      <c r="C165" s="58"/>
      <c r="D165" s="58"/>
      <c r="E165" s="58"/>
      <c r="F165" s="58"/>
      <c r="G165" s="85"/>
      <c r="H165" s="85"/>
      <c r="I165" s="85"/>
      <c r="J165" s="85"/>
      <c r="K165" s="84"/>
      <c r="M165" s="84"/>
      <c r="N165" s="86"/>
      <c r="O165" s="86"/>
      <c r="P165" s="86"/>
      <c r="Q165" s="86"/>
      <c r="R165" s="86"/>
      <c r="S165" s="86"/>
    </row>
    <row r="166" spans="1:23">
      <c r="A166" s="52" t="s">
        <v>63</v>
      </c>
      <c r="C166" s="670" t="s">
        <v>169</v>
      </c>
      <c r="D166" s="244"/>
      <c r="E166" s="244"/>
      <c r="F166" s="244"/>
      <c r="G166" s="244"/>
      <c r="H166" s="244"/>
      <c r="I166" s="244"/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  <c r="U166" s="244"/>
      <c r="V166" s="244"/>
      <c r="W166" s="244"/>
    </row>
    <row r="167" spans="1:23" ht="3.65" customHeight="1" outlineLevel="1">
      <c r="B167" s="58"/>
      <c r="C167" s="211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</row>
    <row r="168" spans="1:23" s="58" customFormat="1" ht="16" outlineLevel="1">
      <c r="A168" s="52"/>
      <c r="C168" s="241" t="str">
        <f>units</f>
        <v>($ '000)</v>
      </c>
      <c r="F168" s="751" t="str">
        <f>$F$125</f>
        <v>Fiscal Years Ended September 30</v>
      </c>
      <c r="G168" s="76"/>
      <c r="H168" s="19"/>
      <c r="I168" s="19"/>
      <c r="J168" s="77"/>
      <c r="K168"/>
      <c r="M168" s="743" t="s">
        <v>50</v>
      </c>
      <c r="N168" s="743" t="s">
        <v>180</v>
      </c>
      <c r="O168" s="740" t="str">
        <f>$O$124</f>
        <v>Fiscal Years Ending December 31</v>
      </c>
      <c r="P168" s="79"/>
      <c r="Q168" s="79"/>
      <c r="R168" s="79"/>
      <c r="S168" s="79"/>
      <c r="T168" s="76"/>
      <c r="U168" s="76"/>
      <c r="V168" s="76"/>
      <c r="W168" s="76"/>
    </row>
    <row r="169" spans="1:23" s="530" customFormat="1" ht="15" outlineLevel="1" thickBot="1">
      <c r="A169" s="220"/>
      <c r="B169" s="297"/>
      <c r="C169"/>
      <c r="D169"/>
      <c r="E169"/>
      <c r="F169" s="786" t="str">
        <f>F$126</f>
        <v>2017</v>
      </c>
      <c r="G169" s="786" t="str">
        <f>G$126</f>
        <v>2018</v>
      </c>
      <c r="H169" s="786" t="str">
        <f>H$126</f>
        <v>2019</v>
      </c>
      <c r="I169" s="786" t="str">
        <f>I$126</f>
        <v>2020</v>
      </c>
      <c r="J169" s="787" t="str">
        <f>J$126</f>
        <v>2021</v>
      </c>
      <c r="K169" s="465"/>
      <c r="L169" s="297"/>
      <c r="M169" s="749">
        <f>$Q$15</f>
        <v>44775</v>
      </c>
      <c r="N169" s="749">
        <f>$Q$16</f>
        <v>44926</v>
      </c>
      <c r="O169" s="788">
        <f>O$126</f>
        <v>45291</v>
      </c>
      <c r="P169" s="788">
        <f t="shared" ref="P169:W169" si="54">EDATE(O169,12)</f>
        <v>45657</v>
      </c>
      <c r="Q169" s="788">
        <f t="shared" si="54"/>
        <v>46022</v>
      </c>
      <c r="R169" s="788">
        <f t="shared" si="54"/>
        <v>46387</v>
      </c>
      <c r="S169" s="788">
        <f t="shared" si="54"/>
        <v>46752</v>
      </c>
      <c r="T169" s="788">
        <f t="shared" si="54"/>
        <v>47118</v>
      </c>
      <c r="U169" s="788">
        <f t="shared" si="54"/>
        <v>47483</v>
      </c>
      <c r="V169" s="788">
        <f t="shared" si="54"/>
        <v>47848</v>
      </c>
      <c r="W169" s="788">
        <f t="shared" si="54"/>
        <v>48213</v>
      </c>
    </row>
    <row r="170" spans="1:23" ht="7.5" customHeight="1" outlineLevel="1">
      <c r="B170" s="58"/>
      <c r="C170"/>
      <c r="D170"/>
      <c r="E170"/>
      <c r="F170" s="408"/>
      <c r="G170" s="408"/>
      <c r="H170" s="408"/>
      <c r="I170" s="408"/>
      <c r="J170" s="408"/>
      <c r="K170"/>
      <c r="M170" s="726"/>
      <c r="N170" s="726"/>
      <c r="O170" s="408"/>
      <c r="P170" s="408"/>
      <c r="Q170" s="408"/>
      <c r="R170" s="408"/>
      <c r="S170" s="408"/>
      <c r="T170" s="408"/>
      <c r="U170" s="408"/>
      <c r="V170" s="408"/>
      <c r="W170" s="408"/>
    </row>
    <row r="171" spans="1:23" outlineLevel="1">
      <c r="B171" s="58"/>
      <c r="C171" s="58" t="s">
        <v>12</v>
      </c>
      <c r="D171" s="58"/>
      <c r="E171" s="58"/>
      <c r="F171" s="407">
        <f>F$861</f>
        <v>239.07900000000001</v>
      </c>
      <c r="G171" s="407">
        <f>G$861</f>
        <v>248.006</v>
      </c>
      <c r="H171" s="407">
        <f>H$861</f>
        <v>253.76</v>
      </c>
      <c r="I171" s="407">
        <f>I$861</f>
        <v>183.91800000000001</v>
      </c>
      <c r="J171" s="407">
        <f>J$861</f>
        <v>211.52600000000001</v>
      </c>
      <c r="K171" s="298"/>
      <c r="L171" s="309"/>
      <c r="M171" s="307">
        <f>$R$861</f>
        <v>228.56800000000001</v>
      </c>
      <c r="N171" s="298">
        <f t="shared" ref="N171:W171" ca="1" si="55">PRODUCT(N$132,N$144/(N$122*$Q$11))</f>
        <v>227.63507943390408</v>
      </c>
      <c r="O171" s="298">
        <f t="shared" ca="1" si="55"/>
        <v>238.60895485029965</v>
      </c>
      <c r="P171" s="298">
        <f t="shared" ca="1" si="55"/>
        <v>244.27591752799424</v>
      </c>
      <c r="Q171" s="298">
        <f t="shared" ca="1" si="55"/>
        <v>250.07747056928409</v>
      </c>
      <c r="R171" s="298">
        <f t="shared" ca="1" si="55"/>
        <v>256.01681049530458</v>
      </c>
      <c r="S171" s="298">
        <f t="shared" ca="1" si="55"/>
        <v>262.09720974456803</v>
      </c>
      <c r="T171" s="298">
        <f t="shared" ca="1" si="55"/>
        <v>268.32201847600152</v>
      </c>
      <c r="U171" s="298">
        <f t="shared" ca="1" si="55"/>
        <v>274.69466641480653</v>
      </c>
      <c r="V171" s="298">
        <f t="shared" ca="1" si="55"/>
        <v>281.21866474215818</v>
      </c>
      <c r="W171" s="298">
        <f t="shared" ca="1" si="55"/>
        <v>287.89760802978441</v>
      </c>
    </row>
    <row r="172" spans="1:23" outlineLevel="1">
      <c r="B172" s="58"/>
      <c r="C172" s="58" t="s">
        <v>3</v>
      </c>
      <c r="D172" s="58"/>
      <c r="E172" s="58"/>
      <c r="F172" s="407">
        <f>F$862</f>
        <v>223.61</v>
      </c>
      <c r="G172" s="407">
        <f>G$862</f>
        <v>219.655</v>
      </c>
      <c r="H172" s="407">
        <f>H$862</f>
        <v>204.93899999999999</v>
      </c>
      <c r="I172" s="407">
        <f>I$862</f>
        <v>204.61199999999999</v>
      </c>
      <c r="J172" s="407">
        <f>J$862</f>
        <v>249.62799999999999</v>
      </c>
      <c r="K172" s="298"/>
      <c r="L172" s="309"/>
      <c r="M172" s="307">
        <f>$R$862</f>
        <v>218.79499999999999</v>
      </c>
      <c r="N172" s="298">
        <f t="shared" ref="N172:W172" ca="1" si="56">PRODUCT(N$133,-N$145/(N$122*$Q$11))</f>
        <v>202.99702294451404</v>
      </c>
      <c r="O172" s="298">
        <f t="shared" ca="1" si="56"/>
        <v>203.45301069861378</v>
      </c>
      <c r="P172" s="298">
        <f t="shared" ca="1" si="56"/>
        <v>203.49939832352064</v>
      </c>
      <c r="Q172" s="298">
        <f t="shared" ca="1" si="56"/>
        <v>201.25812556621909</v>
      </c>
      <c r="R172" s="298">
        <f t="shared" ca="1" si="56"/>
        <v>203.58948720069318</v>
      </c>
      <c r="S172" s="298">
        <f t="shared" ca="1" si="56"/>
        <v>205.97220450993308</v>
      </c>
      <c r="T172" s="298">
        <f t="shared" ca="1" si="56"/>
        <v>208.40722779710023</v>
      </c>
      <c r="U172" s="298">
        <f t="shared" ca="1" si="56"/>
        <v>210.89552790575874</v>
      </c>
      <c r="V172" s="298">
        <f t="shared" ca="1" si="56"/>
        <v>213.43809659981196</v>
      </c>
      <c r="W172" s="298">
        <f t="shared" ca="1" si="56"/>
        <v>216.03594695165958</v>
      </c>
    </row>
    <row r="173" spans="1:23" outlineLevel="1">
      <c r="B173" s="58"/>
      <c r="C173" s="58" t="s">
        <v>13</v>
      </c>
      <c r="D173" s="58"/>
      <c r="E173" s="58"/>
      <c r="F173" s="298">
        <v>0</v>
      </c>
      <c r="G173" s="298">
        <v>0</v>
      </c>
      <c r="H173" s="298">
        <v>0</v>
      </c>
      <c r="I173" s="298">
        <v>0</v>
      </c>
      <c r="J173" s="298">
        <v>0</v>
      </c>
      <c r="K173" s="298"/>
      <c r="L173" s="309"/>
      <c r="M173" s="307">
        <v>0</v>
      </c>
      <c r="N173" s="298">
        <v>0</v>
      </c>
      <c r="O173" s="298">
        <v>0</v>
      </c>
      <c r="P173" s="298">
        <v>0</v>
      </c>
      <c r="Q173" s="298">
        <v>0</v>
      </c>
      <c r="R173" s="298">
        <v>0</v>
      </c>
      <c r="S173" s="298">
        <v>0</v>
      </c>
      <c r="T173" s="298">
        <v>0</v>
      </c>
      <c r="U173" s="298">
        <v>0</v>
      </c>
      <c r="V173" s="298">
        <v>0</v>
      </c>
      <c r="W173" s="298">
        <v>0</v>
      </c>
    </row>
    <row r="174" spans="1:23" s="54" customFormat="1" outlineLevel="1">
      <c r="A174" s="36"/>
      <c r="B174" s="18"/>
      <c r="C174" s="90" t="s">
        <v>15</v>
      </c>
      <c r="D174" s="60"/>
      <c r="E174" s="18"/>
      <c r="F174" s="300">
        <f>SUM(F$171:F$173)</f>
        <v>462.68900000000002</v>
      </c>
      <c r="G174" s="300">
        <f>SUM(G$171:G$173)</f>
        <v>467.661</v>
      </c>
      <c r="H174" s="300">
        <f>SUM(H$171:H$173)</f>
        <v>458.69899999999996</v>
      </c>
      <c r="I174" s="300">
        <f>SUM(I$171:I$173)</f>
        <v>388.53</v>
      </c>
      <c r="J174" s="300">
        <f>SUM(J$171:J$173)</f>
        <v>461.154</v>
      </c>
      <c r="K174" s="327"/>
      <c r="L174" s="328"/>
      <c r="M174" s="300">
        <f t="shared" ref="M174:W174" si="57">SUM(M$171:M$173)</f>
        <v>447.363</v>
      </c>
      <c r="N174" s="300">
        <f t="shared" ca="1" si="57"/>
        <v>430.63210237841815</v>
      </c>
      <c r="O174" s="300">
        <f t="shared" ca="1" si="57"/>
        <v>442.06196554891346</v>
      </c>
      <c r="P174" s="300">
        <f t="shared" ca="1" si="57"/>
        <v>447.77531585151485</v>
      </c>
      <c r="Q174" s="300">
        <f t="shared" ca="1" si="57"/>
        <v>451.33559613550318</v>
      </c>
      <c r="R174" s="300">
        <f t="shared" ca="1" si="57"/>
        <v>459.6062976959978</v>
      </c>
      <c r="S174" s="300">
        <f t="shared" ca="1" si="57"/>
        <v>468.06941425450111</v>
      </c>
      <c r="T174" s="300">
        <f t="shared" ca="1" si="57"/>
        <v>476.72924627310175</v>
      </c>
      <c r="U174" s="300">
        <f t="shared" ca="1" si="57"/>
        <v>485.59019432056527</v>
      </c>
      <c r="V174" s="300">
        <f t="shared" ca="1" si="57"/>
        <v>494.65676134197014</v>
      </c>
      <c r="W174" s="300">
        <f t="shared" ca="1" si="57"/>
        <v>503.93355498144399</v>
      </c>
    </row>
    <row r="175" spans="1:23" outlineLevel="1">
      <c r="B175" s="58"/>
      <c r="C175" s="58"/>
      <c r="D175" s="58"/>
      <c r="E175" s="58"/>
      <c r="F175" s="298"/>
      <c r="G175" s="298"/>
      <c r="H175" s="298"/>
      <c r="I175" s="298"/>
      <c r="J175" s="301"/>
      <c r="K175" s="298"/>
      <c r="L175" s="309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</row>
    <row r="176" spans="1:23" outlineLevel="1">
      <c r="B176" s="58"/>
      <c r="C176" s="58" t="s">
        <v>11</v>
      </c>
      <c r="D176" s="58"/>
      <c r="E176" s="58"/>
      <c r="F176" s="298">
        <f>F$893</f>
        <v>74.441000000000003</v>
      </c>
      <c r="G176" s="298">
        <f>G$893</f>
        <v>86.602999999999994</v>
      </c>
      <c r="H176" s="298">
        <f>H$893</f>
        <v>86.805000000000007</v>
      </c>
      <c r="I176" s="298">
        <f>I$893</f>
        <v>48.393999999999998</v>
      </c>
      <c r="J176" s="298">
        <f>J$893</f>
        <v>87.918000000000006</v>
      </c>
      <c r="K176" s="298"/>
      <c r="L176" s="309"/>
      <c r="M176" s="307">
        <f>$R$893</f>
        <v>83.846000000000004</v>
      </c>
      <c r="N176" s="298">
        <f t="shared" ref="N176:W176" ca="1" si="58">PRODUCT(N$134,-N$145/(N$122*$Q$11))</f>
        <v>69.434711551827235</v>
      </c>
      <c r="O176" s="298">
        <f t="shared" ca="1" si="58"/>
        <v>71.543915850061993</v>
      </c>
      <c r="P176" s="298">
        <f t="shared" ca="1" si="58"/>
        <v>76.877550477774463</v>
      </c>
      <c r="Q176" s="298">
        <f t="shared" ca="1" si="58"/>
        <v>77.758821241493735</v>
      </c>
      <c r="R176" s="298">
        <f t="shared" ca="1" si="58"/>
        <v>78.659574600267817</v>
      </c>
      <c r="S176" s="298">
        <f t="shared" ca="1" si="58"/>
        <v>79.580169924292335</v>
      </c>
      <c r="T176" s="298">
        <f t="shared" ca="1" si="58"/>
        <v>80.520974376152353</v>
      </c>
      <c r="U176" s="298">
        <f t="shared" ca="1" si="58"/>
        <v>81.482363054497696</v>
      </c>
      <c r="V176" s="298">
        <f t="shared" ca="1" si="58"/>
        <v>82.464719140836436</v>
      </c>
      <c r="W176" s="298">
        <f t="shared" ca="1" si="58"/>
        <v>83.468434049504836</v>
      </c>
    </row>
    <row r="177" spans="1:23" outlineLevel="1">
      <c r="B177" s="58"/>
      <c r="C177" s="58" t="s">
        <v>17</v>
      </c>
      <c r="D177" s="58"/>
      <c r="E177" s="58"/>
      <c r="F177" s="298">
        <v>0</v>
      </c>
      <c r="G177" s="298">
        <v>0</v>
      </c>
      <c r="H177" s="298">
        <v>0</v>
      </c>
      <c r="I177" s="298">
        <v>0</v>
      </c>
      <c r="J177" s="298">
        <v>0</v>
      </c>
      <c r="K177" s="298"/>
      <c r="L177" s="309"/>
      <c r="M177" s="307">
        <v>0</v>
      </c>
      <c r="N177" s="298">
        <v>0</v>
      </c>
      <c r="O177" s="298">
        <v>0</v>
      </c>
      <c r="P177" s="298">
        <v>0</v>
      </c>
      <c r="Q177" s="298">
        <v>0</v>
      </c>
      <c r="R177" s="298">
        <v>0</v>
      </c>
      <c r="S177" s="298">
        <v>0</v>
      </c>
      <c r="T177" s="298">
        <v>0</v>
      </c>
      <c r="U177" s="298">
        <v>0</v>
      </c>
      <c r="V177" s="298">
        <v>0</v>
      </c>
      <c r="W177" s="298">
        <v>0</v>
      </c>
    </row>
    <row r="178" spans="1:23" outlineLevel="1">
      <c r="B178" s="58"/>
      <c r="C178" s="58" t="s">
        <v>14</v>
      </c>
      <c r="D178" s="58"/>
      <c r="E178"/>
      <c r="F178" s="298">
        <v>0</v>
      </c>
      <c r="G178" s="298">
        <v>0</v>
      </c>
      <c r="H178" s="298">
        <v>0</v>
      </c>
      <c r="I178" s="298">
        <v>0</v>
      </c>
      <c r="J178" s="298">
        <v>0</v>
      </c>
      <c r="K178"/>
      <c r="L178"/>
      <c r="M178" s="307">
        <v>0</v>
      </c>
      <c r="N178" s="298">
        <v>0</v>
      </c>
      <c r="O178" s="298">
        <v>0</v>
      </c>
      <c r="P178" s="298">
        <v>0</v>
      </c>
      <c r="Q178" s="298">
        <v>0</v>
      </c>
      <c r="R178" s="298">
        <v>0</v>
      </c>
      <c r="S178" s="298">
        <v>0</v>
      </c>
      <c r="T178" s="298">
        <v>0</v>
      </c>
      <c r="U178" s="298">
        <v>0</v>
      </c>
      <c r="V178" s="298">
        <v>0</v>
      </c>
      <c r="W178" s="298">
        <v>0</v>
      </c>
    </row>
    <row r="179" spans="1:23" s="54" customFormat="1" outlineLevel="1">
      <c r="A179" s="36"/>
      <c r="B179" s="18"/>
      <c r="C179" s="90" t="s">
        <v>18</v>
      </c>
      <c r="D179" s="60"/>
      <c r="E179"/>
      <c r="F179" s="300">
        <f>SUM(F$176:F$178)</f>
        <v>74.441000000000003</v>
      </c>
      <c r="G179" s="300">
        <f>SUM(G$176:G$178)</f>
        <v>86.602999999999994</v>
      </c>
      <c r="H179" s="300">
        <f>SUM(H$176:H$178)</f>
        <v>86.805000000000007</v>
      </c>
      <c r="I179" s="300">
        <f>SUM(I$176:I$178)</f>
        <v>48.393999999999998</v>
      </c>
      <c r="J179" s="300">
        <f>SUM(J$176:J$178)</f>
        <v>87.918000000000006</v>
      </c>
      <c r="K179"/>
      <c r="L179"/>
      <c r="M179" s="300">
        <f t="shared" ref="M179:W179" si="59">SUM(M$176:M$178)</f>
        <v>83.846000000000004</v>
      </c>
      <c r="N179" s="300">
        <f t="shared" ca="1" si="59"/>
        <v>69.434711551827235</v>
      </c>
      <c r="O179" s="300">
        <f t="shared" ca="1" si="59"/>
        <v>71.543915850061993</v>
      </c>
      <c r="P179" s="300">
        <f t="shared" ca="1" si="59"/>
        <v>76.877550477774463</v>
      </c>
      <c r="Q179" s="300">
        <f t="shared" ca="1" si="59"/>
        <v>77.758821241493735</v>
      </c>
      <c r="R179" s="300">
        <f t="shared" ca="1" si="59"/>
        <v>78.659574600267817</v>
      </c>
      <c r="S179" s="300">
        <f t="shared" ca="1" si="59"/>
        <v>79.580169924292335</v>
      </c>
      <c r="T179" s="300">
        <f t="shared" ca="1" si="59"/>
        <v>80.520974376152353</v>
      </c>
      <c r="U179" s="300">
        <f t="shared" ca="1" si="59"/>
        <v>81.482363054497696</v>
      </c>
      <c r="V179" s="300">
        <f t="shared" ca="1" si="59"/>
        <v>82.464719140836436</v>
      </c>
      <c r="W179" s="300">
        <f t="shared" ca="1" si="59"/>
        <v>83.468434049504836</v>
      </c>
    </row>
    <row r="180" spans="1:23" ht="6.65" customHeight="1" outlineLevel="1">
      <c r="B180" s="58"/>
      <c r="C180" s="329"/>
      <c r="D180" s="329"/>
      <c r="E180"/>
      <c r="F180" s="1464"/>
      <c r="G180" s="1464"/>
      <c r="H180" s="1464"/>
      <c r="I180" s="1464"/>
      <c r="J180" s="1465"/>
      <c r="K180"/>
      <c r="L180"/>
      <c r="M180" s="1464"/>
      <c r="N180" s="1464"/>
      <c r="O180" s="1464"/>
      <c r="P180" s="1464"/>
      <c r="Q180" s="1464"/>
      <c r="R180" s="1464"/>
      <c r="S180" s="1464"/>
      <c r="T180" s="1464"/>
      <c r="U180" s="1464"/>
      <c r="V180" s="1464"/>
      <c r="W180" s="1464"/>
    </row>
    <row r="181" spans="1:23" s="54" customFormat="1" ht="15" outlineLevel="1" thickBot="1">
      <c r="A181" s="36"/>
      <c r="B181" s="18"/>
      <c r="C181" s="1459" t="s">
        <v>51</v>
      </c>
      <c r="D181" s="1459"/>
      <c r="E181"/>
      <c r="F181" s="1469">
        <f>SUM(F$174,-F$179)</f>
        <v>388.24800000000005</v>
      </c>
      <c r="G181" s="1469">
        <f>SUM(G$174,-G$179)</f>
        <v>381.05799999999999</v>
      </c>
      <c r="H181" s="1469">
        <f>SUM(H$174,-H$179)</f>
        <v>371.89399999999995</v>
      </c>
      <c r="I181" s="1469">
        <f>SUM(I$174,-I$179)</f>
        <v>340.13599999999997</v>
      </c>
      <c r="J181" s="1469">
        <f>SUM(J$174,-J$179)</f>
        <v>373.23599999999999</v>
      </c>
      <c r="K181"/>
      <c r="L181"/>
      <c r="M181" s="1469">
        <f>SUM(M$174,-M$179)</f>
        <v>363.517</v>
      </c>
      <c r="N181" s="1469">
        <f t="shared" ref="N181:W181" ca="1" si="60">SUM(N$174,-N$179)</f>
        <v>361.19739082659089</v>
      </c>
      <c r="O181" s="1469">
        <f t="shared" ca="1" si="60"/>
        <v>370.51804969885148</v>
      </c>
      <c r="P181" s="1469">
        <f t="shared" ca="1" si="60"/>
        <v>370.89776537374041</v>
      </c>
      <c r="Q181" s="1469">
        <f t="shared" ca="1" si="60"/>
        <v>373.57677489400942</v>
      </c>
      <c r="R181" s="1469">
        <f t="shared" ca="1" si="60"/>
        <v>380.94672309572996</v>
      </c>
      <c r="S181" s="1469">
        <f t="shared" ca="1" si="60"/>
        <v>388.48924433020875</v>
      </c>
      <c r="T181" s="1469">
        <f t="shared" ca="1" si="60"/>
        <v>396.20827189694938</v>
      </c>
      <c r="U181" s="1469">
        <f t="shared" ca="1" si="60"/>
        <v>404.10783126606759</v>
      </c>
      <c r="V181" s="1469">
        <f t="shared" ca="1" si="60"/>
        <v>412.19204220113369</v>
      </c>
      <c r="W181" s="1469">
        <f t="shared" ca="1" si="60"/>
        <v>420.46512093193917</v>
      </c>
    </row>
    <row r="182" spans="1:23" s="110" customFormat="1" ht="15" outlineLevel="1" thickTop="1">
      <c r="A182" s="78"/>
      <c r="B182" s="109"/>
      <c r="C182" s="1466" t="s">
        <v>795</v>
      </c>
      <c r="D182" s="109"/>
      <c r="E182"/>
      <c r="F182" s="1467">
        <v>0</v>
      </c>
      <c r="G182" s="901">
        <f>G181-F181</f>
        <v>-7.1900000000000546</v>
      </c>
      <c r="H182" s="901">
        <f>H181-G181</f>
        <v>-9.1640000000000441</v>
      </c>
      <c r="I182" s="901">
        <f>I181-H181</f>
        <v>-31.757999999999981</v>
      </c>
      <c r="J182" s="1468">
        <f>J181-I181</f>
        <v>33.100000000000023</v>
      </c>
      <c r="K182"/>
      <c r="L182"/>
      <c r="M182" s="1467">
        <v>0</v>
      </c>
      <c r="N182" s="901">
        <f t="shared" ref="N182:W182" ca="1" si="61">N$181-M$181</f>
        <v>-2.3196091734091056</v>
      </c>
      <c r="O182" s="901">
        <f t="shared" ca="1" si="61"/>
        <v>9.3206588722605943</v>
      </c>
      <c r="P182" s="901">
        <f t="shared" ca="1" si="61"/>
        <v>0.37971567488892788</v>
      </c>
      <c r="Q182" s="901">
        <f t="shared" ca="1" si="61"/>
        <v>2.6790095202690054</v>
      </c>
      <c r="R182" s="901">
        <f t="shared" ca="1" si="61"/>
        <v>7.3699482017205469</v>
      </c>
      <c r="S182" s="901">
        <f t="shared" ca="1" si="61"/>
        <v>7.5425212344787838</v>
      </c>
      <c r="T182" s="901">
        <f t="shared" ca="1" si="61"/>
        <v>7.7190275667406354</v>
      </c>
      <c r="U182" s="901">
        <f t="shared" ca="1" si="61"/>
        <v>7.899559369118208</v>
      </c>
      <c r="V182" s="901">
        <f t="shared" ca="1" si="61"/>
        <v>8.0842109350660962</v>
      </c>
      <c r="W182" s="901">
        <f t="shared" ca="1" si="61"/>
        <v>8.2730787308054801</v>
      </c>
    </row>
    <row r="183" spans="1:23" outlineLevel="1">
      <c r="B183" s="58"/>
      <c r="C183" s="73"/>
      <c r="D183" s="58"/>
      <c r="E183" s="58"/>
      <c r="F183" s="58"/>
      <c r="G183" s="58"/>
      <c r="H183" s="58"/>
      <c r="I183" s="58"/>
      <c r="J183" s="58"/>
      <c r="K183"/>
      <c r="L183"/>
      <c r="M183" s="58"/>
      <c r="N183" s="58"/>
      <c r="O183" s="58"/>
      <c r="P183" s="58"/>
      <c r="Q183" s="58"/>
      <c r="R183" s="58"/>
      <c r="S183" s="58"/>
    </row>
    <row r="184" spans="1:23" ht="9" customHeight="1">
      <c r="B184" s="58"/>
      <c r="C184" s="73"/>
      <c r="D184" s="58"/>
      <c r="E184" s="58"/>
      <c r="F184" s="58"/>
      <c r="G184" s="58"/>
      <c r="H184" s="58"/>
      <c r="I184" s="58"/>
      <c r="J184" s="58"/>
      <c r="K184"/>
      <c r="L184"/>
      <c r="M184" s="58"/>
      <c r="N184" s="58"/>
      <c r="O184" s="58"/>
      <c r="P184" s="58"/>
      <c r="Q184" s="58"/>
      <c r="R184" s="58"/>
      <c r="S184" s="58"/>
    </row>
    <row r="185" spans="1:23" s="58" customFormat="1">
      <c r="A185" s="52" t="s">
        <v>63</v>
      </c>
      <c r="C185" s="518" t="s">
        <v>537</v>
      </c>
      <c r="D185" s="247"/>
      <c r="E185" s="247"/>
      <c r="F185" s="247"/>
      <c r="G185" s="247"/>
      <c r="H185" s="247"/>
      <c r="I185" s="247"/>
      <c r="J185" s="247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</row>
    <row r="186" spans="1:23" s="58" customFormat="1" ht="5.25" customHeight="1" outlineLevel="1">
      <c r="A186" s="52"/>
      <c r="C186"/>
      <c r="N186" s="18"/>
    </row>
    <row r="187" spans="1:23" outlineLevel="1">
      <c r="B187" s="58"/>
      <c r="C187" s="868" t="s">
        <v>687</v>
      </c>
      <c r="D187" s="389"/>
      <c r="E187" s="389"/>
      <c r="F187" s="389"/>
      <c r="G187" s="389"/>
      <c r="H187" s="389"/>
      <c r="I187" s="389"/>
      <c r="J187" s="389"/>
      <c r="K187" s="389"/>
      <c r="L187" s="389"/>
      <c r="M187" s="389"/>
      <c r="N187" s="389"/>
      <c r="O187" s="389"/>
      <c r="P187" s="389"/>
      <c r="Q187" s="389"/>
      <c r="R187" s="389"/>
      <c r="S187" s="389"/>
      <c r="T187" s="389"/>
      <c r="U187" s="389"/>
      <c r="V187" s="389"/>
      <c r="W187" s="392"/>
    </row>
    <row r="188" spans="1:23" ht="5.25" customHeight="1" outlineLevel="2">
      <c r="B188" s="58"/>
      <c r="C188" s="73"/>
      <c r="D188" s="58"/>
      <c r="E188" s="58"/>
      <c r="F188" s="58"/>
      <c r="G188" s="58"/>
      <c r="H188" s="58"/>
      <c r="I188" s="58"/>
      <c r="J188" s="58"/>
      <c r="K188" s="58"/>
      <c r="M188" s="105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</row>
    <row r="189" spans="1:23" s="58" customFormat="1" ht="16" outlineLevel="2">
      <c r="A189" s="52"/>
      <c r="C189" s="241" t="str">
        <f>units</f>
        <v>($ '000)</v>
      </c>
      <c r="D189"/>
      <c r="E189"/>
      <c r="F189"/>
      <c r="G189"/>
      <c r="H189"/>
      <c r="I189"/>
      <c r="J189"/>
      <c r="K189" s="517"/>
      <c r="N189" s="743" t="str">
        <f>$N$124</f>
        <v>4 Months</v>
      </c>
      <c r="O189" s="740" t="str">
        <f>$O$124</f>
        <v>Fiscal Years Ending December 31</v>
      </c>
      <c r="P189" s="79"/>
      <c r="Q189" s="79"/>
      <c r="R189" s="79"/>
      <c r="S189" s="79"/>
      <c r="T189" s="76"/>
      <c r="U189" s="76"/>
      <c r="V189" s="76"/>
      <c r="W189" s="76"/>
    </row>
    <row r="190" spans="1:23" s="58" customFormat="1" ht="16" outlineLevel="2">
      <c r="A190" s="52"/>
      <c r="C190" s="241"/>
      <c r="D190" s="517"/>
      <c r="E190" s="517"/>
      <c r="F190" s="517"/>
      <c r="G190" s="517"/>
      <c r="H190" s="517"/>
      <c r="I190" s="517"/>
      <c r="J190" s="517"/>
      <c r="K190" s="517"/>
      <c r="M190"/>
      <c r="N190" s="1191">
        <v>1</v>
      </c>
      <c r="O190" s="740"/>
      <c r="P190" s="79"/>
      <c r="Q190" s="79"/>
      <c r="R190" s="79"/>
      <c r="S190" s="79"/>
      <c r="T190" s="76"/>
      <c r="U190" s="76"/>
      <c r="V190" s="76"/>
      <c r="W190" s="76"/>
    </row>
    <row r="191" spans="1:23" ht="15" outlineLevel="2" thickBot="1">
      <c r="B191" s="58"/>
      <c r="C191"/>
      <c r="D191"/>
      <c r="E191"/>
      <c r="F191"/>
      <c r="G191"/>
      <c r="H191"/>
      <c r="I191"/>
      <c r="J191"/>
      <c r="K191" s="517"/>
      <c r="L191" s="58"/>
      <c r="M191"/>
      <c r="N191" s="752">
        <f>$Q$16</f>
        <v>44926</v>
      </c>
      <c r="O191" s="750">
        <f>O$126</f>
        <v>45291</v>
      </c>
      <c r="P191" s="750">
        <f t="shared" ref="P191:W191" si="62">EDATE(O191,12)</f>
        <v>45657</v>
      </c>
      <c r="Q191" s="750">
        <f t="shared" si="62"/>
        <v>46022</v>
      </c>
      <c r="R191" s="750">
        <f t="shared" si="62"/>
        <v>46387</v>
      </c>
      <c r="S191" s="750">
        <f t="shared" si="62"/>
        <v>46752</v>
      </c>
      <c r="T191" s="750">
        <f t="shared" si="62"/>
        <v>47118</v>
      </c>
      <c r="U191" s="750">
        <f t="shared" si="62"/>
        <v>47483</v>
      </c>
      <c r="V191" s="750">
        <f t="shared" si="62"/>
        <v>47848</v>
      </c>
      <c r="W191" s="750">
        <f t="shared" si="62"/>
        <v>48213</v>
      </c>
    </row>
    <row r="192" spans="1:23" ht="5" customHeight="1" outlineLevel="2">
      <c r="B192" s="58"/>
      <c r="C192"/>
      <c r="D192"/>
      <c r="E192"/>
      <c r="F192"/>
      <c r="G192"/>
      <c r="H192"/>
      <c r="I192"/>
      <c r="J192"/>
      <c r="K192" s="58"/>
      <c r="M192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</row>
    <row r="193" spans="2:23" ht="16" outlineLevel="2">
      <c r="B193" s="58"/>
      <c r="C193" s="73"/>
      <c r="D193" s="58"/>
      <c r="E193" s="58"/>
      <c r="F193" s="58"/>
      <c r="G193" s="58"/>
      <c r="H193" s="58"/>
      <c r="I193" s="58"/>
      <c r="J193" s="58"/>
      <c r="K193" s="58"/>
      <c r="M193"/>
      <c r="N193" s="1174" t="s">
        <v>675</v>
      </c>
      <c r="O193" s="1172" t="s">
        <v>674</v>
      </c>
      <c r="P193" s="1173"/>
      <c r="Q193" s="1173"/>
      <c r="R193" s="1173"/>
      <c r="S193" s="1173"/>
      <c r="T193" s="1173"/>
      <c r="U193" s="1173"/>
      <c r="V193" s="1173"/>
      <c r="W193" s="1173"/>
    </row>
    <row r="194" spans="2:23" outlineLevel="2">
      <c r="B194" s="58"/>
      <c r="D194"/>
      <c r="E194"/>
      <c r="F194" s="58"/>
      <c r="G194" s="58"/>
      <c r="H194" s="58"/>
      <c r="I194" s="58"/>
      <c r="J194" s="58"/>
      <c r="K194" s="58"/>
      <c r="M194" s="105"/>
      <c r="N194" s="1175">
        <f>MONTH(Next_FYE)-MONTH(closing_date)</f>
        <v>4</v>
      </c>
      <c r="O194" s="1170">
        <v>1</v>
      </c>
      <c r="P194" s="1171">
        <f>O194+1</f>
        <v>2</v>
      </c>
      <c r="Q194" s="1171">
        <f t="shared" ref="Q194:W194" si="63">P194+1</f>
        <v>3</v>
      </c>
      <c r="R194" s="1171">
        <f t="shared" si="63"/>
        <v>4</v>
      </c>
      <c r="S194" s="1171">
        <f t="shared" si="63"/>
        <v>5</v>
      </c>
      <c r="T194" s="1171">
        <f t="shared" si="63"/>
        <v>6</v>
      </c>
      <c r="U194" s="1171">
        <f t="shared" si="63"/>
        <v>7</v>
      </c>
      <c r="V194" s="1171">
        <f t="shared" si="63"/>
        <v>8</v>
      </c>
      <c r="W194" s="1171">
        <f t="shared" si="63"/>
        <v>9</v>
      </c>
    </row>
    <row r="195" spans="2:23" outlineLevel="2">
      <c r="B195" s="58"/>
      <c r="C195" s="1192" t="s">
        <v>646</v>
      </c>
      <c r="D195" s="330"/>
      <c r="E195" s="330"/>
      <c r="F195" s="329"/>
      <c r="G195" s="329"/>
      <c r="H195" s="329"/>
      <c r="I195" s="329"/>
      <c r="J195" s="58"/>
      <c r="K195" s="58"/>
      <c r="M195" s="105"/>
      <c r="N195" s="213">
        <f>N194/12</f>
        <v>0.33333333333333331</v>
      </c>
      <c r="O195" s="158"/>
      <c r="P195" s="158"/>
      <c r="Q195" s="158"/>
      <c r="R195" s="158"/>
      <c r="S195" s="158"/>
      <c r="T195" s="158"/>
      <c r="U195" s="158"/>
      <c r="V195" s="158"/>
      <c r="W195" s="158"/>
    </row>
    <row r="196" spans="2:23" ht="4.5" customHeight="1" outlineLevel="2">
      <c r="B196" s="58"/>
      <c r="C196" s="18"/>
      <c r="D196" s="517"/>
      <c r="F196" s="517"/>
      <c r="G196" s="58"/>
      <c r="H196" s="58"/>
      <c r="I196" s="58"/>
      <c r="J196" s="58"/>
      <c r="K196" s="58"/>
      <c r="M196" s="105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</row>
    <row r="197" spans="2:23" outlineLevel="2">
      <c r="B197" s="58"/>
      <c r="C197" s="186"/>
      <c r="D197" s="517"/>
      <c r="F197" s="36" t="s">
        <v>684</v>
      </c>
      <c r="G197" s="36" t="s">
        <v>203</v>
      </c>
      <c r="H197" s="36" t="s">
        <v>682</v>
      </c>
      <c r="I197" s="36" t="s">
        <v>26</v>
      </c>
      <c r="M197" s="105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</row>
    <row r="198" spans="2:23" outlineLevel="2">
      <c r="B198" s="58"/>
      <c r="C198" s="186"/>
      <c r="D198" s="14"/>
      <c r="F198" s="36" t="s">
        <v>82</v>
      </c>
      <c r="G198" s="36" t="s">
        <v>204</v>
      </c>
      <c r="H198" s="36" t="s">
        <v>683</v>
      </c>
      <c r="I198" s="36" t="s">
        <v>126</v>
      </c>
      <c r="M198" s="105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</row>
    <row r="199" spans="2:23" outlineLevel="2">
      <c r="B199" s="58"/>
      <c r="C199" s="225" t="s">
        <v>68</v>
      </c>
      <c r="D199" s="14"/>
      <c r="F199" s="1190">
        <f>_xlfn.XLOOKUP($C199,$C$38:$C$45,$E$38:$E$45,0)</f>
        <v>7</v>
      </c>
      <c r="G199" s="1448">
        <f>_xlfn.XLOOKUP($C199,$C$38:$C$45,$I$38:$I$45,0)</f>
        <v>308.8738496706456</v>
      </c>
      <c r="H199" s="1448">
        <f>_xlfn.XLOOKUP($C199,$C$38:$C$45,$L$38:$L$45,0)</f>
        <v>77.867208054705713</v>
      </c>
      <c r="I199" s="1448">
        <f>SUM(G199:H199)</f>
        <v>386.74105772535131</v>
      </c>
      <c r="M199" s="58"/>
      <c r="N199" s="307">
        <f>PRODUCT($I199,$N$195,INDEX($D$355:$I$375,MATCH($N$190,$C$355:$C$375,0),MATCH($F199,$D$353:$I$353,0)))</f>
        <v>18.421765716317566</v>
      </c>
      <c r="O199" s="301">
        <f t="shared" ref="O199:W202" si="64">PRODUCT($I199,INDEX($D$355:$I$375,MATCH(O$194,$C$355:$C$375,0),MATCH($F199,$D$353:$I$353,0)))</f>
        <v>55.265297148952705</v>
      </c>
      <c r="P199" s="301">
        <f t="shared" si="64"/>
        <v>94.712885036938545</v>
      </c>
      <c r="Q199" s="301">
        <f t="shared" si="64"/>
        <v>67.641010996163942</v>
      </c>
      <c r="R199" s="301">
        <f t="shared" si="64"/>
        <v>48.303958109896378</v>
      </c>
      <c r="S199" s="301">
        <f t="shared" si="64"/>
        <v>34.535976454873875</v>
      </c>
      <c r="T199" s="301">
        <f t="shared" si="64"/>
        <v>34.497302349101339</v>
      </c>
      <c r="U199" s="301">
        <f t="shared" si="64"/>
        <v>34.535976454873875</v>
      </c>
      <c r="V199" s="301">
        <f t="shared" si="64"/>
        <v>17.24865117455067</v>
      </c>
      <c r="W199" s="301">
        <f t="shared" si="64"/>
        <v>0</v>
      </c>
    </row>
    <row r="200" spans="2:23" outlineLevel="2">
      <c r="B200" s="58"/>
      <c r="C200" s="225" t="s">
        <v>67</v>
      </c>
      <c r="D200"/>
      <c r="F200" s="1189">
        <f>_xlfn.XLOOKUP($C200,$C$38:$C$45,$E$38:$E$45,0)</f>
        <v>7</v>
      </c>
      <c r="G200" s="1449">
        <f>_xlfn.XLOOKUP($C200,$C$38:$C$45,$I$38:$I$45,0)</f>
        <v>2.8110281565187667</v>
      </c>
      <c r="H200" s="1449">
        <f>_xlfn.XLOOKUP($C200,$C$38:$C$45,$L$38:$L$45,0)</f>
        <v>0.46036356113423982</v>
      </c>
      <c r="I200" s="1449">
        <f t="shared" ref="I200:I204" si="65">SUM(G200:H200)</f>
        <v>3.2713917176530067</v>
      </c>
      <c r="M200" s="58"/>
      <c r="N200" s="307">
        <f>PRODUCT($I200,$N$195,INDEX($D$355:$I$375,MATCH($N$190,$C$355:$C$375,0),MATCH($F200,$D$353:$I$353,0)))</f>
        <v>0.15582729215087154</v>
      </c>
      <c r="O200" s="301">
        <f t="shared" si="64"/>
        <v>0.46748187645261469</v>
      </c>
      <c r="P200" s="301">
        <f t="shared" si="64"/>
        <v>0.80116383165322136</v>
      </c>
      <c r="Q200" s="301">
        <f t="shared" si="64"/>
        <v>0.5721664114175109</v>
      </c>
      <c r="R200" s="301">
        <f t="shared" si="64"/>
        <v>0.40859682553486054</v>
      </c>
      <c r="S200" s="301">
        <f t="shared" si="64"/>
        <v>0.29213528038641351</v>
      </c>
      <c r="T200" s="301">
        <f t="shared" si="64"/>
        <v>0.29180814121464821</v>
      </c>
      <c r="U200" s="301">
        <f t="shared" si="64"/>
        <v>0.29213528038641351</v>
      </c>
      <c r="V200" s="301">
        <f t="shared" si="64"/>
        <v>0.1459040706073241</v>
      </c>
      <c r="W200" s="301">
        <f t="shared" si="64"/>
        <v>0</v>
      </c>
    </row>
    <row r="201" spans="2:23" outlineLevel="2">
      <c r="B201" s="58"/>
      <c r="C201" s="225" t="s">
        <v>66</v>
      </c>
      <c r="D201"/>
      <c r="F201" s="1189">
        <f>_xlfn.XLOOKUP($C201,$C$38:$C$45,$E$38:$E$45,0)</f>
        <v>3</v>
      </c>
      <c r="G201" s="1449">
        <f>_xlfn.XLOOKUP($C201,$C$38:$C$45,$I$38:$I$45,0)</f>
        <v>19.759254626162974</v>
      </c>
      <c r="H201" s="1449">
        <f>_xlfn.XLOOKUP($C201,$C$38:$C$45,$L$38:$L$45,0)</f>
        <v>3.1567787049205021</v>
      </c>
      <c r="I201" s="1449">
        <f t="shared" si="65"/>
        <v>22.916033331083476</v>
      </c>
      <c r="M201"/>
      <c r="N201" s="307">
        <f>PRODUCT($I201,$N$195,INDEX($D$355:$I$375,MATCH($N$190,$C$355:$C$375,0),MATCH($F201,$D$353:$I$353,0)))</f>
        <v>2.5459713030833737</v>
      </c>
      <c r="O201" s="301">
        <f t="shared" si="64"/>
        <v>7.6379139092501225</v>
      </c>
      <c r="P201" s="301">
        <f t="shared" si="64"/>
        <v>10.186176815666606</v>
      </c>
      <c r="Q201" s="301">
        <f t="shared" si="64"/>
        <v>3.3938645363334632</v>
      </c>
      <c r="R201" s="301">
        <f t="shared" si="64"/>
        <v>1.6980780698332856</v>
      </c>
      <c r="S201" s="301">
        <f t="shared" si="64"/>
        <v>0</v>
      </c>
      <c r="T201" s="301">
        <f t="shared" si="64"/>
        <v>0</v>
      </c>
      <c r="U201" s="301">
        <f t="shared" si="64"/>
        <v>0</v>
      </c>
      <c r="V201" s="301">
        <f t="shared" si="64"/>
        <v>0</v>
      </c>
      <c r="W201" s="301">
        <f t="shared" si="64"/>
        <v>0</v>
      </c>
    </row>
    <row r="202" spans="2:23" outlineLevel="2">
      <c r="B202" s="58"/>
      <c r="C202" s="225" t="s">
        <v>69</v>
      </c>
      <c r="D202"/>
      <c r="F202" s="1189">
        <f>_xlfn.XLOOKUP($C202,$C$38:$C$45,$E$38:$E$45,0)</f>
        <v>5</v>
      </c>
      <c r="G202" s="1449">
        <f>_xlfn.XLOOKUP($C202,$C$38:$C$45,$I$38:$I$45,0)</f>
        <v>7.2498209384518582</v>
      </c>
      <c r="H202" s="1449">
        <f>_xlfn.XLOOKUP($C202,$C$38:$C$45,$L$38:$L$45,0)</f>
        <v>1.9729866905753135</v>
      </c>
      <c r="I202" s="1449">
        <f t="shared" si="65"/>
        <v>9.2228076290271712</v>
      </c>
      <c r="M202"/>
      <c r="N202" s="307">
        <f>PRODUCT($I202,$N$195,INDEX($D$355:$I$375,MATCH($N$190,$C$355:$C$375,0),MATCH($F202,$D$353:$I$353,0)))</f>
        <v>0.61485384193514481</v>
      </c>
      <c r="O202" s="301">
        <f t="shared" si="64"/>
        <v>1.8445615258054344</v>
      </c>
      <c r="P202" s="301">
        <f t="shared" si="64"/>
        <v>2.9512984412886949</v>
      </c>
      <c r="Q202" s="301">
        <f t="shared" si="64"/>
        <v>1.7707790647732169</v>
      </c>
      <c r="R202" s="301">
        <f t="shared" si="64"/>
        <v>1.0624674388639301</v>
      </c>
      <c r="S202" s="301">
        <f t="shared" si="64"/>
        <v>1.0624674388639301</v>
      </c>
      <c r="T202" s="301">
        <f t="shared" si="64"/>
        <v>0.53123371943196507</v>
      </c>
      <c r="U202" s="301">
        <f t="shared" si="64"/>
        <v>0</v>
      </c>
      <c r="V202" s="301">
        <f t="shared" si="64"/>
        <v>0</v>
      </c>
      <c r="W202" s="301">
        <f t="shared" si="64"/>
        <v>0</v>
      </c>
    </row>
    <row r="203" spans="2:23" customFormat="1" ht="5" customHeight="1" outlineLevel="2">
      <c r="C203" s="499"/>
      <c r="E203" s="57"/>
      <c r="G203" s="456"/>
      <c r="H203" s="456"/>
      <c r="I203" s="456"/>
    </row>
    <row r="204" spans="2:23" outlineLevel="2">
      <c r="B204" s="58"/>
      <c r="C204" s="225" t="s">
        <v>277</v>
      </c>
      <c r="D204" s="517"/>
      <c r="F204" s="1189">
        <f>_xlfn.XLOOKUP($C204,$C$38:$C$45,$E$38:$E$45,0)</f>
        <v>39</v>
      </c>
      <c r="G204" s="1449">
        <f>_xlfn.XLOOKUP($C204,$C$38:$C$45,$I$38:$I$45,0)</f>
        <v>627.62687036588807</v>
      </c>
      <c r="H204" s="1449">
        <f>_xlfn.XLOOKUP($C204,$C$38:$C$45,$L$38:$L$45,0)</f>
        <v>100.62232121934099</v>
      </c>
      <c r="I204" s="1449">
        <f t="shared" si="65"/>
        <v>728.24919158522903</v>
      </c>
      <c r="M204" s="517"/>
      <c r="N204" s="307">
        <f>PRODUCT($I204,$N$195,INDEX($L$355:$W$394,MATCH($N$190,$K$355:$K$394,0),MATCH(MONTH(closing_date),$L$353:$W$353,0)))</f>
        <v>2.337679904988585</v>
      </c>
      <c r="O204" s="301">
        <f t="shared" ref="O204:W204" si="66">PRODUCT($I204,INDEX($L$355:$W$394,MATCH(O$194,$K$355:$K$394,0),MATCH(MONTH(closing_date),$L$353:$W$353,0)))</f>
        <v>7.0130397149657551</v>
      </c>
      <c r="P204" s="301">
        <f t="shared" si="66"/>
        <v>18.672309272245272</v>
      </c>
      <c r="Q204" s="301">
        <f t="shared" si="66"/>
        <v>18.672309272245272</v>
      </c>
      <c r="R204" s="301">
        <f t="shared" si="66"/>
        <v>18.672309272245272</v>
      </c>
      <c r="S204" s="301">
        <f t="shared" si="66"/>
        <v>18.672309272245272</v>
      </c>
      <c r="T204" s="301">
        <f t="shared" si="66"/>
        <v>18.672309272245272</v>
      </c>
      <c r="U204" s="301">
        <f t="shared" si="66"/>
        <v>18.672309272245272</v>
      </c>
      <c r="V204" s="301">
        <f t="shared" si="66"/>
        <v>18.672309272245272</v>
      </c>
      <c r="W204" s="301">
        <f t="shared" si="66"/>
        <v>18.672309272245272</v>
      </c>
    </row>
    <row r="205" spans="2:23" outlineLevel="2">
      <c r="B205" s="58"/>
      <c r="C205" s="14"/>
      <c r="D205" s="14"/>
      <c r="E205" s="58"/>
      <c r="F205" s="14"/>
      <c r="G205" s="1139"/>
      <c r="H205" s="1139"/>
      <c r="I205" s="1139"/>
      <c r="J205"/>
      <c r="K205" s="325"/>
      <c r="L205" s="58"/>
      <c r="M205"/>
      <c r="N205" s="1048">
        <f>SUM(N199:N204)</f>
        <v>24.076098058475537</v>
      </c>
      <c r="O205" s="1048">
        <f t="shared" ref="O205:W205" si="67">SUM(O199:O204)</f>
        <v>72.22829417542664</v>
      </c>
      <c r="P205" s="1048">
        <f t="shared" si="67"/>
        <v>127.32383339779236</v>
      </c>
      <c r="Q205" s="1048">
        <f t="shared" si="67"/>
        <v>92.050130280933416</v>
      </c>
      <c r="R205" s="1048">
        <f t="shared" si="67"/>
        <v>70.145409716373734</v>
      </c>
      <c r="S205" s="1048">
        <f t="shared" si="67"/>
        <v>54.562888446369492</v>
      </c>
      <c r="T205" s="1048">
        <f t="shared" si="67"/>
        <v>53.992653481993223</v>
      </c>
      <c r="U205" s="1048">
        <f t="shared" si="67"/>
        <v>53.500421007505558</v>
      </c>
      <c r="V205" s="1048">
        <f t="shared" si="67"/>
        <v>36.06686451740326</v>
      </c>
      <c r="W205" s="1048">
        <f t="shared" si="67"/>
        <v>18.672309272245272</v>
      </c>
    </row>
    <row r="206" spans="2:23" outlineLevel="2">
      <c r="B206" s="58"/>
      <c r="C206" s="14"/>
      <c r="D206" s="14"/>
      <c r="E206" s="58"/>
      <c r="F206" s="14"/>
      <c r="G206" s="1139"/>
      <c r="H206" s="1139"/>
      <c r="I206" s="1139"/>
      <c r="J206" s="517"/>
      <c r="K206" s="325"/>
      <c r="L206" s="58"/>
      <c r="M206" s="517"/>
      <c r="N206" s="498"/>
      <c r="O206" s="498"/>
      <c r="P206" s="498"/>
      <c r="Q206" s="498"/>
      <c r="R206" s="498"/>
      <c r="S206" s="498"/>
      <c r="T206" s="498"/>
      <c r="U206" s="498"/>
      <c r="V206" s="498"/>
      <c r="W206" s="498"/>
    </row>
    <row r="207" spans="2:23" outlineLevel="2">
      <c r="B207" s="58"/>
      <c r="C207" s="1192" t="s">
        <v>685</v>
      </c>
      <c r="D207" s="330"/>
      <c r="E207" s="330"/>
      <c r="F207" s="330"/>
      <c r="G207" s="330"/>
      <c r="H207" s="330"/>
      <c r="I207" s="330"/>
      <c r="J207"/>
      <c r="K207" s="325"/>
      <c r="L207" s="58"/>
      <c r="M207"/>
      <c r="N207"/>
      <c r="O207"/>
      <c r="P207"/>
      <c r="Q207"/>
      <c r="R207"/>
      <c r="S207"/>
      <c r="T207"/>
      <c r="U207"/>
      <c r="V207"/>
      <c r="W207"/>
    </row>
    <row r="208" spans="2:23" ht="4.5" customHeight="1" outlineLevel="2">
      <c r="B208" s="58"/>
      <c r="C208" s="18"/>
      <c r="D208" s="517"/>
      <c r="F208" s="517"/>
      <c r="G208" s="517"/>
      <c r="H208" s="517"/>
      <c r="I208" s="517"/>
      <c r="J208" s="517"/>
      <c r="K208" s="325"/>
      <c r="L208" s="58"/>
      <c r="M208" s="517"/>
      <c r="N208" s="517"/>
      <c r="O208" s="517"/>
      <c r="P208" s="517"/>
      <c r="Q208" s="517"/>
      <c r="R208" s="517"/>
      <c r="S208" s="517"/>
      <c r="T208" s="517"/>
      <c r="U208" s="517"/>
      <c r="V208" s="517"/>
      <c r="W208" s="517"/>
    </row>
    <row r="209" spans="1:24" outlineLevel="2">
      <c r="B209" s="58"/>
      <c r="D209" s="517"/>
      <c r="F209" s="36" t="s">
        <v>684</v>
      </c>
      <c r="G209" s="6" t="s">
        <v>271</v>
      </c>
      <c r="H209" s="517"/>
      <c r="I209" s="517"/>
      <c r="J209" s="517"/>
      <c r="K209" s="325"/>
      <c r="L209" s="58"/>
      <c r="M209" s="517"/>
      <c r="N209" s="517"/>
      <c r="O209" s="517"/>
      <c r="P209" s="517"/>
      <c r="Q209" s="517"/>
      <c r="R209" s="517"/>
      <c r="S209" s="517"/>
      <c r="T209" s="517"/>
      <c r="U209" s="517"/>
      <c r="V209" s="517"/>
      <c r="W209" s="517"/>
    </row>
    <row r="210" spans="1:24" outlineLevel="2">
      <c r="B210" s="58"/>
      <c r="C210" s="517"/>
      <c r="D210" s="517"/>
      <c r="F210" s="36" t="s">
        <v>82</v>
      </c>
      <c r="G210" s="6" t="s">
        <v>268</v>
      </c>
      <c r="H210" s="517"/>
      <c r="I210" s="517"/>
      <c r="J210" s="517"/>
      <c r="K210" s="325"/>
      <c r="L210" s="58"/>
      <c r="M210" s="517"/>
      <c r="N210" s="517"/>
      <c r="O210" s="517"/>
      <c r="P210" s="517"/>
      <c r="Q210" s="517"/>
      <c r="R210" s="517"/>
      <c r="S210" s="517"/>
      <c r="T210" s="517"/>
      <c r="U210" s="517"/>
      <c r="V210" s="517"/>
      <c r="W210" s="517"/>
    </row>
    <row r="211" spans="1:24" outlineLevel="2">
      <c r="B211" s="58"/>
      <c r="C211" s="225" t="s">
        <v>68</v>
      </c>
      <c r="D211" s="517"/>
      <c r="F211" s="1190">
        <f>_xlfn.XLOOKUP($C211,$C$38:$C$45,$E$38:$E$45,0)</f>
        <v>7</v>
      </c>
      <c r="G211" s="1448">
        <f>_xlfn.XLOOKUP($C211,$C$38:$C$45,$H$38:$H$45,0)</f>
        <v>208.6138784602544</v>
      </c>
      <c r="H211" s="517"/>
      <c r="I211" s="517"/>
      <c r="J211" s="517"/>
      <c r="K211" s="325"/>
      <c r="L211" s="58"/>
      <c r="M211" s="517"/>
      <c r="N211" s="307">
        <f>PRODUCT($G211,$N$195,INDEX($D$355:$I$375,MATCH($N$190,$C$355:$C$375,0),MATCH($F211,$D$353:$I$353,0)))</f>
        <v>9.9369744106567843</v>
      </c>
      <c r="O211" s="301">
        <f t="shared" ref="O211:W214" si="68">PRODUCT($G211,INDEX($D$355:$I$375,MATCH(O$194,$C$355:$C$375,0),MATCH($F211,$D$353:$I$353,0)))</f>
        <v>29.810923231970353</v>
      </c>
      <c r="P211" s="301">
        <f t="shared" si="68"/>
        <v>51.089538834916304</v>
      </c>
      <c r="Q211" s="301">
        <f t="shared" si="68"/>
        <v>36.486567342698493</v>
      </c>
      <c r="R211" s="301">
        <f t="shared" si="68"/>
        <v>26.055873419685774</v>
      </c>
      <c r="S211" s="301">
        <f t="shared" si="68"/>
        <v>18.629219346500719</v>
      </c>
      <c r="T211" s="301">
        <f t="shared" si="68"/>
        <v>18.608357958654693</v>
      </c>
      <c r="U211" s="301">
        <f t="shared" si="68"/>
        <v>18.629219346500719</v>
      </c>
      <c r="V211" s="301">
        <f t="shared" si="68"/>
        <v>9.3041789793273466</v>
      </c>
      <c r="W211" s="301">
        <f t="shared" si="68"/>
        <v>0</v>
      </c>
    </row>
    <row r="212" spans="1:24" outlineLevel="2">
      <c r="B212" s="58"/>
      <c r="C212" s="225" t="s">
        <v>67</v>
      </c>
      <c r="D212" s="517"/>
      <c r="F212" s="1189">
        <f>_xlfn.XLOOKUP($C212,$C$38:$C$45,$E$38:$E$45,0)</f>
        <v>7</v>
      </c>
      <c r="G212" s="1449">
        <f>_xlfn.XLOOKUP($C212,$C$38:$C$45,$H$38:$H$45,0)</f>
        <v>0.24844320911999995</v>
      </c>
      <c r="H212" s="517"/>
      <c r="I212" s="517"/>
      <c r="J212" s="517"/>
      <c r="K212" s="325"/>
      <c r="L212" s="58"/>
      <c r="M212" s="517"/>
      <c r="N212" s="307">
        <f>PRODUCT($G212,$N$195,INDEX($D$355:$I$375,MATCH($N$190,$C$355:$C$375,0),MATCH($F212,$D$353:$I$353,0)))</f>
        <v>1.1834178194415998E-2</v>
      </c>
      <c r="O212" s="301">
        <f t="shared" si="68"/>
        <v>3.5502534583247994E-2</v>
      </c>
      <c r="P212" s="301">
        <f t="shared" si="68"/>
        <v>6.0843741913487993E-2</v>
      </c>
      <c r="Q212" s="301">
        <f t="shared" si="68"/>
        <v>4.3452717275087989E-2</v>
      </c>
      <c r="R212" s="301">
        <f t="shared" si="68"/>
        <v>3.1030556819087993E-2</v>
      </c>
      <c r="S212" s="301">
        <f t="shared" si="68"/>
        <v>2.2185978574415996E-2</v>
      </c>
      <c r="T212" s="301">
        <f t="shared" si="68"/>
        <v>2.2161134253503995E-2</v>
      </c>
      <c r="U212" s="301">
        <f t="shared" si="68"/>
        <v>2.2185978574415996E-2</v>
      </c>
      <c r="V212" s="301">
        <f t="shared" si="68"/>
        <v>1.1080567126751997E-2</v>
      </c>
      <c r="W212" s="301">
        <f t="shared" si="68"/>
        <v>0</v>
      </c>
      <c r="X212" s="301"/>
    </row>
    <row r="213" spans="1:24" outlineLevel="2">
      <c r="B213" s="58"/>
      <c r="C213" s="225" t="s">
        <v>66</v>
      </c>
      <c r="D213"/>
      <c r="F213" s="1189">
        <f>_xlfn.XLOOKUP($C213,$C$38:$C$45,$E$38:$E$45,0)</f>
        <v>3</v>
      </c>
      <c r="G213" s="1449">
        <f>_xlfn.XLOOKUP($C213,$C$38:$C$45,$H$38:$H$45,0)</f>
        <v>1.2199775953599996</v>
      </c>
      <c r="H213"/>
      <c r="I213"/>
      <c r="J213"/>
      <c r="K213" s="58"/>
      <c r="M213"/>
      <c r="N213" s="307">
        <f>PRODUCT($G213,$N$195,INDEX($D$355:$I$375,MATCH($N$190,$C$355:$C$375,0),MATCH($F213,$D$353:$I$353,0)))</f>
        <v>0.13553951084449595</v>
      </c>
      <c r="O213" s="301">
        <f t="shared" si="68"/>
        <v>0.40661853253348784</v>
      </c>
      <c r="P213" s="301">
        <f t="shared" si="68"/>
        <v>0.54228004113751982</v>
      </c>
      <c r="Q213" s="301">
        <f t="shared" si="68"/>
        <v>0.18067868187281597</v>
      </c>
      <c r="R213" s="301">
        <f t="shared" si="68"/>
        <v>9.040033981617597E-2</v>
      </c>
      <c r="S213" s="301">
        <f t="shared" si="68"/>
        <v>0</v>
      </c>
      <c r="T213" s="301">
        <f t="shared" si="68"/>
        <v>0</v>
      </c>
      <c r="U213" s="301">
        <f t="shared" si="68"/>
        <v>0</v>
      </c>
      <c r="V213" s="301">
        <f t="shared" si="68"/>
        <v>0</v>
      </c>
      <c r="W213" s="301">
        <f t="shared" si="68"/>
        <v>0</v>
      </c>
    </row>
    <row r="214" spans="1:24" outlineLevel="2">
      <c r="B214" s="58"/>
      <c r="C214" s="225" t="s">
        <v>69</v>
      </c>
      <c r="D214" s="58"/>
      <c r="F214" s="1189">
        <f>_xlfn.XLOOKUP($C214,$C$38:$C$45,$E$38:$E$45,0)</f>
        <v>5</v>
      </c>
      <c r="G214" s="1449">
        <f>_xlfn.XLOOKUP($C214,$C$38:$C$45,$H$38:$H$45,0)</f>
        <v>5.8621991999999992</v>
      </c>
      <c r="H214" s="58"/>
      <c r="I214" s="58"/>
      <c r="J214" s="58"/>
      <c r="K214" s="58"/>
      <c r="M214"/>
      <c r="N214" s="307">
        <f>PRODUCT($G214,$N$195,INDEX($D$355:$I$375,MATCH($N$190,$C$355:$C$375,0),MATCH($F214,$D$353:$I$353,0)))</f>
        <v>0.39081327999999993</v>
      </c>
      <c r="O214" s="301">
        <f t="shared" si="68"/>
        <v>1.1724398399999998</v>
      </c>
      <c r="P214" s="301">
        <f t="shared" si="68"/>
        <v>1.8759037439999997</v>
      </c>
      <c r="Q214" s="301">
        <f t="shared" si="68"/>
        <v>1.1255422463999998</v>
      </c>
      <c r="R214" s="301">
        <f t="shared" si="68"/>
        <v>0.67532534783999987</v>
      </c>
      <c r="S214" s="301">
        <f t="shared" si="68"/>
        <v>0.67532534783999987</v>
      </c>
      <c r="T214" s="301">
        <f t="shared" si="68"/>
        <v>0.33766267391999993</v>
      </c>
      <c r="U214" s="301">
        <f t="shared" si="68"/>
        <v>0</v>
      </c>
      <c r="V214" s="301">
        <f t="shared" si="68"/>
        <v>0</v>
      </c>
      <c r="W214" s="301">
        <f t="shared" si="68"/>
        <v>0</v>
      </c>
    </row>
    <row r="215" spans="1:24" outlineLevel="2">
      <c r="B215" s="58"/>
      <c r="C215" s="58"/>
      <c r="D215" s="58"/>
      <c r="F215" s="58"/>
      <c r="G215" s="58"/>
      <c r="H215" s="58"/>
      <c r="I215" s="58"/>
      <c r="J215" s="58"/>
      <c r="K215" s="58"/>
      <c r="M215"/>
      <c r="N215" s="1048">
        <f>SUM(N211:N214)</f>
        <v>10.475161379695695</v>
      </c>
      <c r="O215" s="1048">
        <f t="shared" ref="O215" si="69">SUM(O211:O214)</f>
        <v>31.425484139087089</v>
      </c>
      <c r="P215" s="1048">
        <f t="shared" ref="P215" si="70">SUM(P211:P214)</f>
        <v>53.568566361967306</v>
      </c>
      <c r="Q215" s="1048">
        <f t="shared" ref="Q215" si="71">SUM(Q211:Q214)</f>
        <v>37.836240988246395</v>
      </c>
      <c r="R215" s="1048">
        <f t="shared" ref="R215" si="72">SUM(R211:R214)</f>
        <v>26.852629664161039</v>
      </c>
      <c r="S215" s="1048">
        <f t="shared" ref="S215" si="73">SUM(S211:S214)</f>
        <v>19.326730672915136</v>
      </c>
      <c r="T215" s="1048">
        <f t="shared" ref="T215" si="74">SUM(T211:T214)</f>
        <v>18.968181766828199</v>
      </c>
      <c r="U215" s="1048">
        <f t="shared" ref="U215" si="75">SUM(U211:U214)</f>
        <v>18.651405325075135</v>
      </c>
      <c r="V215" s="1048">
        <f>SUM(V211:V214)</f>
        <v>9.315259546454099</v>
      </c>
      <c r="W215" s="1048">
        <f t="shared" ref="W215" si="76">SUM(W211:W214)</f>
        <v>0</v>
      </c>
    </row>
    <row r="216" spans="1:24" ht="15" outlineLevel="2" thickBot="1">
      <c r="B216" s="58"/>
      <c r="C216" s="908"/>
      <c r="D216" s="748"/>
      <c r="E216" s="748"/>
      <c r="F216" s="748"/>
      <c r="G216" s="748"/>
      <c r="H216" s="748"/>
      <c r="I216" s="748"/>
      <c r="J216"/>
      <c r="K216" s="58"/>
      <c r="M216"/>
      <c r="N216" s="910"/>
      <c r="O216" s="910"/>
      <c r="P216" s="910"/>
      <c r="Q216" s="910"/>
      <c r="R216" s="910"/>
      <c r="S216" s="910"/>
      <c r="T216" s="910"/>
      <c r="U216" s="910"/>
      <c r="V216" s="910"/>
      <c r="W216" s="910"/>
    </row>
    <row r="217" spans="1:24" s="232" customFormat="1" outlineLevel="2">
      <c r="A217" s="1203"/>
      <c r="B217" s="98"/>
      <c r="C217" s="98" t="s">
        <v>193</v>
      </c>
      <c r="D217" s="98"/>
      <c r="E217" s="98"/>
      <c r="F217" s="98"/>
      <c r="G217" s="98"/>
      <c r="H217" s="98"/>
      <c r="I217"/>
      <c r="J217"/>
      <c r="K217" s="98"/>
      <c r="M217"/>
      <c r="N217" s="303">
        <f t="shared" ref="N217:W217" si="77">SUM(N$205,N$215)</f>
        <v>34.551259438171229</v>
      </c>
      <c r="O217" s="303">
        <f t="shared" si="77"/>
        <v>103.65377831451373</v>
      </c>
      <c r="P217" s="303">
        <f t="shared" si="77"/>
        <v>180.89239975975966</v>
      </c>
      <c r="Q217" s="303">
        <f t="shared" si="77"/>
        <v>129.88637126917982</v>
      </c>
      <c r="R217" s="303">
        <f t="shared" si="77"/>
        <v>96.998039380534777</v>
      </c>
      <c r="S217" s="303">
        <f t="shared" si="77"/>
        <v>73.889619119284632</v>
      </c>
      <c r="T217" s="303">
        <f t="shared" si="77"/>
        <v>72.960835248821425</v>
      </c>
      <c r="U217" s="303">
        <f t="shared" si="77"/>
        <v>72.151826332580697</v>
      </c>
      <c r="V217" s="303">
        <f t="shared" si="77"/>
        <v>45.382124063857361</v>
      </c>
      <c r="W217" s="303">
        <f t="shared" si="77"/>
        <v>18.672309272245272</v>
      </c>
    </row>
    <row r="218" spans="1:24" s="54" customFormat="1" outlineLevel="2">
      <c r="A218" s="36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M218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</row>
    <row r="219" spans="1:24" ht="6" customHeight="1" outlineLevel="1">
      <c r="B219" s="58"/>
      <c r="C219" s="73"/>
      <c r="D219" s="58"/>
      <c r="E219" s="58"/>
      <c r="F219" s="58"/>
      <c r="G219" s="58"/>
      <c r="H219" s="58"/>
      <c r="I219" s="58"/>
      <c r="J219" s="58"/>
      <c r="K219" s="58"/>
      <c r="M219" s="105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</row>
    <row r="220" spans="1:24" outlineLevel="1">
      <c r="B220" s="58"/>
      <c r="C220" s="868" t="s">
        <v>644</v>
      </c>
      <c r="D220" s="389"/>
      <c r="E220" s="389"/>
      <c r="F220" s="389"/>
      <c r="G220" s="389"/>
      <c r="H220" s="389"/>
      <c r="I220" s="389"/>
      <c r="J220" s="389"/>
      <c r="K220" s="389"/>
      <c r="L220" s="389"/>
      <c r="M220" s="389"/>
      <c r="N220" s="389"/>
      <c r="O220" s="389"/>
      <c r="P220" s="389"/>
      <c r="Q220" s="389"/>
      <c r="R220" s="389"/>
      <c r="S220" s="389"/>
      <c r="T220" s="389"/>
      <c r="U220" s="389"/>
      <c r="V220" s="389"/>
      <c r="W220" s="392"/>
    </row>
    <row r="221" spans="1:24" ht="6.75" customHeight="1" outlineLevel="2">
      <c r="B221" s="58"/>
      <c r="C221" s="73"/>
      <c r="D221" s="58"/>
      <c r="E221" s="58"/>
      <c r="F221" s="58"/>
      <c r="G221" s="58"/>
      <c r="H221" s="58"/>
      <c r="I221" s="58"/>
      <c r="J221" s="58"/>
      <c r="K221" s="58"/>
      <c r="M221" s="105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</row>
    <row r="222" spans="1:24" outlineLevel="2">
      <c r="B222" s="58"/>
      <c r="C222" s="241" t="str">
        <f>units</f>
        <v>($ '000)</v>
      </c>
      <c r="D222" s="1213"/>
      <c r="E222" s="58"/>
      <c r="F222" s="58"/>
      <c r="G222" s="58"/>
      <c r="H222" s="58"/>
      <c r="I222" s="58"/>
      <c r="J222" s="58"/>
      <c r="K222" s="58"/>
      <c r="M222" s="105"/>
      <c r="N222" s="743" t="str">
        <f>$N$124</f>
        <v>4 Months</v>
      </c>
      <c r="O222" s="158"/>
      <c r="P222" s="158"/>
      <c r="Q222" s="158"/>
      <c r="R222" s="158"/>
      <c r="S222" s="158"/>
      <c r="T222" s="158"/>
      <c r="U222" s="158"/>
      <c r="V222" s="158"/>
      <c r="W222" s="158"/>
    </row>
    <row r="223" spans="1:24" s="58" customFormat="1" ht="16" outlineLevel="2">
      <c r="A223" s="52"/>
      <c r="F223" s="751" t="str">
        <f>$F$125</f>
        <v>Fiscal Years Ended September 30</v>
      </c>
      <c r="G223" s="76"/>
      <c r="H223" s="19"/>
      <c r="I223" s="19"/>
      <c r="J223" s="77"/>
      <c r="K223" s="36" t="str">
        <f>K140</f>
        <v>LTM</v>
      </c>
      <c r="M223"/>
      <c r="N223" s="1191">
        <v>1</v>
      </c>
      <c r="O223" s="740" t="str">
        <f>$O$124</f>
        <v>Fiscal Years Ending December 31</v>
      </c>
      <c r="P223" s="79"/>
      <c r="Q223" s="79"/>
      <c r="R223" s="79"/>
      <c r="S223" s="79"/>
      <c r="T223" s="76"/>
      <c r="U223" s="76"/>
      <c r="V223" s="76"/>
      <c r="W223" s="76"/>
    </row>
    <row r="224" spans="1:24" ht="15" outlineLevel="2" thickBot="1">
      <c r="B224" s="58"/>
      <c r="C224" s="748"/>
      <c r="D224" s="748"/>
      <c r="E224" s="748"/>
      <c r="F224" s="773" t="str">
        <f>F$126</f>
        <v>2017</v>
      </c>
      <c r="G224" s="773" t="str">
        <f>G$126</f>
        <v>2018</v>
      </c>
      <c r="H224" s="773" t="str">
        <f>H$126</f>
        <v>2019</v>
      </c>
      <c r="I224" s="773" t="str">
        <f>I$126</f>
        <v>2020</v>
      </c>
      <c r="J224" s="772" t="str">
        <f>J$126</f>
        <v>2021</v>
      </c>
      <c r="K224" s="752">
        <f>K141</f>
        <v>44681</v>
      </c>
      <c r="L224" s="58"/>
      <c r="M224"/>
      <c r="N224" s="752">
        <f>$Q$16</f>
        <v>44926</v>
      </c>
      <c r="O224" s="750">
        <f>O$126</f>
        <v>45291</v>
      </c>
      <c r="P224" s="750">
        <f t="shared" ref="P224:W224" si="78">EDATE(O224,12)</f>
        <v>45657</v>
      </c>
      <c r="Q224" s="750">
        <f t="shared" si="78"/>
        <v>46022</v>
      </c>
      <c r="R224" s="750">
        <f t="shared" si="78"/>
        <v>46387</v>
      </c>
      <c r="S224" s="750">
        <f t="shared" si="78"/>
        <v>46752</v>
      </c>
      <c r="T224" s="750">
        <f t="shared" si="78"/>
        <v>47118</v>
      </c>
      <c r="U224" s="750">
        <f t="shared" si="78"/>
        <v>47483</v>
      </c>
      <c r="V224" s="750">
        <f t="shared" si="78"/>
        <v>47848</v>
      </c>
      <c r="W224" s="750">
        <f t="shared" si="78"/>
        <v>48213</v>
      </c>
    </row>
    <row r="225" spans="1:41" outlineLevel="2">
      <c r="B225" s="58"/>
      <c r="C225" s="73"/>
      <c r="D225" s="58"/>
      <c r="E225" s="58"/>
      <c r="F225" s="58"/>
      <c r="G225" s="58"/>
      <c r="H225" s="58"/>
      <c r="I225" s="58"/>
      <c r="J225" s="58"/>
      <c r="K225" s="58"/>
      <c r="M225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</row>
    <row r="226" spans="1:41" outlineLevel="2">
      <c r="B226" s="58"/>
      <c r="C226" s="186" t="s">
        <v>704</v>
      </c>
      <c r="D226" s="58"/>
      <c r="E226" s="58"/>
      <c r="F226" s="58"/>
      <c r="G226" s="58"/>
      <c r="H226" s="58"/>
      <c r="I226" s="58"/>
      <c r="J226" s="58"/>
      <c r="K226" s="14"/>
      <c r="L226" s="14"/>
      <c r="M226" s="14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</row>
    <row r="227" spans="1:41" outlineLevel="2">
      <c r="B227" s="58"/>
      <c r="C227" s="58" t="s">
        <v>705</v>
      </c>
      <c r="D227" s="58"/>
      <c r="E227" s="58"/>
      <c r="F227" s="428">
        <f>F$144</f>
        <v>2740.502</v>
      </c>
      <c r="G227" s="428">
        <f t="shared" ref="G227:J227" si="79">G$144</f>
        <v>2976.4639999999999</v>
      </c>
      <c r="H227" s="428">
        <f t="shared" si="79"/>
        <v>2678.5070000000001</v>
      </c>
      <c r="I227" s="428">
        <f t="shared" si="79"/>
        <v>2786.8519999999999</v>
      </c>
      <c r="J227" s="428">
        <f t="shared" si="79"/>
        <v>2758.1750000000002</v>
      </c>
      <c r="K227" s="428"/>
      <c r="L227" s="14"/>
      <c r="M227" s="14"/>
      <c r="N227" s="428">
        <f ca="1">N$144</f>
        <v>1162.6481104874997</v>
      </c>
      <c r="O227" s="428">
        <f t="shared" ref="O227:W227" ca="1" si="80">O$144</f>
        <v>2903.0756173453124</v>
      </c>
      <c r="P227" s="428">
        <f t="shared" ca="1" si="80"/>
        <v>2972.0236632572633</v>
      </c>
      <c r="Q227" s="428">
        <f t="shared" ca="1" si="80"/>
        <v>3042.6092252596231</v>
      </c>
      <c r="R227" s="428">
        <f t="shared" ca="1" si="80"/>
        <v>3114.871194359539</v>
      </c>
      <c r="S227" s="428">
        <f t="shared" ca="1" si="80"/>
        <v>3188.8493852255779</v>
      </c>
      <c r="T227" s="428">
        <f t="shared" ca="1" si="80"/>
        <v>3264.5845581246849</v>
      </c>
      <c r="U227" s="428">
        <f t="shared" ca="1" si="80"/>
        <v>3342.1184413801461</v>
      </c>
      <c r="V227" s="428">
        <f t="shared" ca="1" si="80"/>
        <v>3421.4937543629244</v>
      </c>
      <c r="W227" s="428">
        <f t="shared" ca="1" si="80"/>
        <v>3502.7542310290437</v>
      </c>
    </row>
    <row r="228" spans="1:41" ht="5" customHeight="1" outlineLevel="2">
      <c r="B228" s="58"/>
      <c r="C228" s="225"/>
      <c r="D228" s="58"/>
      <c r="E228" s="58"/>
      <c r="F228" s="428"/>
      <c r="G228" s="428"/>
      <c r="H228" s="428"/>
      <c r="I228" s="428"/>
      <c r="J228" s="428"/>
      <c r="K228" s="14"/>
      <c r="L228" s="14"/>
      <c r="M228" s="14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</row>
    <row r="229" spans="1:41" s="54" customFormat="1" outlineLevel="2">
      <c r="A229" s="36"/>
      <c r="B229" s="18"/>
      <c r="C229" s="18" t="s">
        <v>688</v>
      </c>
      <c r="D229" s="379"/>
      <c r="E229" s="18"/>
      <c r="F229" s="327">
        <f t="shared" ref="F229:J229" si="81">PRODUCT(F$135,F$144)</f>
        <v>869.38600000000008</v>
      </c>
      <c r="G229" s="327">
        <f t="shared" si="81"/>
        <v>48.361000000000004</v>
      </c>
      <c r="H229" s="327">
        <f t="shared" si="81"/>
        <v>79.615000000000009</v>
      </c>
      <c r="I229" s="327">
        <f t="shared" si="81"/>
        <v>15.308999999999997</v>
      </c>
      <c r="J229" s="327">
        <f t="shared" si="81"/>
        <v>4.4074599999999631</v>
      </c>
      <c r="K229" s="379"/>
      <c r="L229" s="379"/>
      <c r="M229" s="379"/>
      <c r="N229" s="327">
        <f ca="1">PRODUCT(N$135,N$144)</f>
        <v>29.066202762187494</v>
      </c>
      <c r="O229" s="327">
        <f t="shared" ref="O229:W229" ca="1" si="82">PRODUCT(O$135,O$144)</f>
        <v>72.576890433632812</v>
      </c>
      <c r="P229" s="327">
        <f t="shared" ca="1" si="82"/>
        <v>74.30059158143159</v>
      </c>
      <c r="Q229" s="327">
        <f t="shared" ca="1" si="82"/>
        <v>76.065230631490579</v>
      </c>
      <c r="R229" s="327">
        <f t="shared" ca="1" si="82"/>
        <v>77.871779858988475</v>
      </c>
      <c r="S229" s="327">
        <f t="shared" ca="1" si="82"/>
        <v>79.721234630639458</v>
      </c>
      <c r="T229" s="327">
        <f t="shared" ca="1" si="82"/>
        <v>81.614613953117129</v>
      </c>
      <c r="U229" s="327">
        <f t="shared" ca="1" si="82"/>
        <v>83.552961034503653</v>
      </c>
      <c r="V229" s="327">
        <f t="shared" ca="1" si="82"/>
        <v>85.537343859073118</v>
      </c>
      <c r="W229" s="327">
        <f t="shared" ca="1" si="82"/>
        <v>87.568855775726092</v>
      </c>
      <c r="X229" s="1"/>
      <c r="Y229" s="1"/>
      <c r="Z229" s="1"/>
      <c r="AA229" s="1"/>
    </row>
    <row r="230" spans="1:41" outlineLevel="2">
      <c r="B230" s="58"/>
      <c r="C230" s="1231" t="s">
        <v>385</v>
      </c>
      <c r="D230" s="58"/>
      <c r="E230" s="58"/>
      <c r="F230" s="87">
        <f>F229/F227</f>
        <v>0.31723603923660704</v>
      </c>
      <c r="G230" s="87">
        <f t="shared" ref="G230:J230" si="83">G229/G227</f>
        <v>1.6247802761934969E-2</v>
      </c>
      <c r="H230" s="87">
        <f t="shared" si="83"/>
        <v>2.9723648286153447E-2</v>
      </c>
      <c r="I230" s="87">
        <f t="shared" si="83"/>
        <v>5.493294943542032E-3</v>
      </c>
      <c r="J230" s="87">
        <f t="shared" si="83"/>
        <v>1.5979624208035976E-3</v>
      </c>
      <c r="K230" s="58"/>
      <c r="L230" s="58"/>
      <c r="M230" s="105"/>
      <c r="N230" s="87">
        <f ca="1">N$135</f>
        <v>2.5000000000000001E-2</v>
      </c>
      <c r="O230" s="87">
        <f t="shared" ref="O230:W230" ca="1" si="84">O$135</f>
        <v>2.5000000000000001E-2</v>
      </c>
      <c r="P230" s="87">
        <f t="shared" ca="1" si="84"/>
        <v>2.5000000000000001E-2</v>
      </c>
      <c r="Q230" s="87">
        <f t="shared" ca="1" si="84"/>
        <v>2.5000000000000001E-2</v>
      </c>
      <c r="R230" s="87">
        <f t="shared" ca="1" si="84"/>
        <v>2.5000000000000001E-2</v>
      </c>
      <c r="S230" s="87">
        <f t="shared" ca="1" si="84"/>
        <v>2.5000000000000001E-2</v>
      </c>
      <c r="T230" s="87">
        <f t="shared" ca="1" si="84"/>
        <v>2.5000000000000001E-2</v>
      </c>
      <c r="U230" s="87">
        <f t="shared" ca="1" si="84"/>
        <v>2.5000000000000001E-2</v>
      </c>
      <c r="V230" s="87">
        <f t="shared" ca="1" si="84"/>
        <v>2.5000000000000001E-2</v>
      </c>
      <c r="W230" s="87">
        <f t="shared" ca="1" si="84"/>
        <v>2.5000000000000001E-2</v>
      </c>
      <c r="X230"/>
      <c r="Y230"/>
      <c r="Z230"/>
      <c r="AA230"/>
    </row>
    <row r="231" spans="1:41" ht="4" customHeight="1" outlineLevel="2">
      <c r="B231" s="58"/>
      <c r="C231" s="73"/>
      <c r="D231" s="58"/>
      <c r="E231" s="58"/>
      <c r="F231" s="58"/>
      <c r="G231" s="58"/>
      <c r="H231" s="58"/>
      <c r="I231" s="58"/>
      <c r="J231" s="58"/>
      <c r="K231" s="58"/>
      <c r="L231" s="58"/>
      <c r="M231" s="105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517"/>
      <c r="Y231" s="517"/>
      <c r="Z231" s="517"/>
      <c r="AA231" s="517"/>
    </row>
    <row r="232" spans="1:41" outlineLevel="2">
      <c r="B232" s="58"/>
      <c r="C232" s="58" t="s">
        <v>718</v>
      </c>
      <c r="D232" s="150"/>
      <c r="E232" s="58"/>
      <c r="F232" s="58"/>
      <c r="G232" s="58"/>
      <c r="H232" s="58"/>
      <c r="I232" s="58"/>
      <c r="J232" s="58"/>
      <c r="K232" s="58"/>
      <c r="L232" s="58"/>
      <c r="M232" s="105"/>
      <c r="N232" s="1234">
        <f>SUMIFS('OpCo Capex'!$H$6:$H$15,'OpCo Capex'!$F$6:$F$15,YEAR(HoldCo!N$224),'OpCo Capex'!$B$6:$B$15,"Maintenance")/1000</f>
        <v>30</v>
      </c>
      <c r="O232" s="1234">
        <f>SUMIFS('OpCo Capex'!$H$6:$H$15,'OpCo Capex'!$F$6:$F$15,YEAR(HoldCo!O$224),'OpCo Capex'!$B$6:$B$15,"Maintenance")/1000</f>
        <v>190.8</v>
      </c>
      <c r="P232" s="1234">
        <f>SUMIFS('OpCo Capex'!$H$6:$H$15,'OpCo Capex'!$F$6:$F$15,YEAR(HoldCo!P$224),'OpCo Capex'!$B$6:$B$15,"Maintenance")/1000</f>
        <v>45</v>
      </c>
      <c r="Q232" s="1234">
        <f>SUMIFS('OpCo Capex'!$H$6:$H$15,'OpCo Capex'!$F$6:$F$15,YEAR(HoldCo!Q$224),'OpCo Capex'!$B$6:$B$15,"Maintenance")/1000</f>
        <v>20</v>
      </c>
      <c r="R232" s="1234">
        <f>SUMIFS('OpCo Capex'!$H$6:$H$15,'OpCo Capex'!$F$6:$F$15,YEAR(HoldCo!R$224),'OpCo Capex'!$B$6:$B$15,"Maintenance")/1000</f>
        <v>0</v>
      </c>
      <c r="S232" s="1234">
        <f>SUMIFS('OpCo Capex'!$H$6:$H$15,'OpCo Capex'!$F$6:$F$15,YEAR(HoldCo!S$224),'OpCo Capex'!$B$6:$B$15,"Maintenance")/1000</f>
        <v>0</v>
      </c>
      <c r="T232" s="1234">
        <f>SUMIFS('OpCo Capex'!$H$6:$H$15,'OpCo Capex'!$F$6:$F$15,YEAR(HoldCo!T$224),'OpCo Capex'!$B$6:$B$15,"Maintenance")/1000</f>
        <v>0</v>
      </c>
      <c r="U232" s="1234">
        <f>SUMIFS('OpCo Capex'!$H$6:$H$15,'OpCo Capex'!$F$6:$F$15,YEAR(HoldCo!U$224),'OpCo Capex'!$B$6:$B$15,"Maintenance")/1000</f>
        <v>0</v>
      </c>
      <c r="V232" s="1234">
        <f>SUMIFS('OpCo Capex'!$H$6:$H$15,'OpCo Capex'!$F$6:$F$15,YEAR(HoldCo!V$224),'OpCo Capex'!$B$6:$B$15,"Maintenance")/1000</f>
        <v>0</v>
      </c>
      <c r="W232" s="1234">
        <f>SUMIFS('OpCo Capex'!$H$6:$H$15,'OpCo Capex'!$F$6:$F$15,YEAR(HoldCo!W$224),'OpCo Capex'!$B$6:$B$15,"Maintenance")/1000</f>
        <v>0</v>
      </c>
      <c r="X232" s="3"/>
      <c r="Y232" s="3"/>
      <c r="Z232" s="3"/>
      <c r="AA232" s="3"/>
    </row>
    <row r="233" spans="1:41" outlineLevel="2">
      <c r="B233" s="58"/>
      <c r="C233" s="73"/>
      <c r="D233" s="58"/>
      <c r="E233" s="58"/>
      <c r="F233" s="58"/>
      <c r="G233" s="58"/>
      <c r="H233" s="58"/>
      <c r="I233" s="58"/>
      <c r="J233" s="58"/>
      <c r="K233" s="58"/>
      <c r="M233" s="105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517"/>
      <c r="Y233" s="517"/>
      <c r="Z233" s="517"/>
      <c r="AA233" s="517"/>
    </row>
    <row r="234" spans="1:41" s="517" customFormat="1" outlineLevel="2">
      <c r="A234" s="380"/>
      <c r="C234" s="852" t="s">
        <v>692</v>
      </c>
      <c r="D234" s="853"/>
      <c r="E234" s="853"/>
      <c r="F234" s="853"/>
      <c r="G234" s="853"/>
      <c r="H234" s="853"/>
      <c r="I234" s="853"/>
      <c r="J234" s="853"/>
      <c r="K234" s="853"/>
      <c r="L234" s="853"/>
      <c r="M234" s="853"/>
      <c r="N234" s="853"/>
      <c r="O234" s="853"/>
      <c r="P234" s="854"/>
      <c r="Q234" s="854"/>
      <c r="R234" s="854"/>
      <c r="S234" s="854"/>
      <c r="T234" s="854"/>
      <c r="U234" s="854"/>
      <c r="V234" s="854"/>
      <c r="W234" s="854"/>
      <c r="X234"/>
      <c r="Y234"/>
      <c r="Z234"/>
      <c r="AA234"/>
      <c r="AD234" s="174"/>
      <c r="AE234" s="174"/>
      <c r="AF234" s="174"/>
      <c r="AG234" s="174"/>
      <c r="AH234" s="174"/>
      <c r="AI234" s="174"/>
      <c r="AJ234" s="174"/>
      <c r="AK234" s="174"/>
      <c r="AL234" s="174"/>
      <c r="AM234" s="174"/>
      <c r="AN234" s="174"/>
      <c r="AO234" s="174"/>
    </row>
    <row r="235" spans="1:41" customFormat="1" ht="7" customHeight="1" outlineLevel="2"/>
    <row r="236" spans="1:41" s="363" customFormat="1" outlineLevel="2">
      <c r="C236" s="917" t="s">
        <v>361</v>
      </c>
      <c r="D236" s="918">
        <v>7</v>
      </c>
      <c r="X236"/>
      <c r="Y236"/>
      <c r="Z236"/>
      <c r="AA236"/>
    </row>
    <row r="237" spans="1:41" s="517" customFormat="1" ht="7.5" customHeight="1" outlineLevel="2">
      <c r="C237" s="499"/>
      <c r="D237" s="477"/>
      <c r="X237"/>
      <c r="Y237"/>
      <c r="Z237"/>
      <c r="AA237"/>
    </row>
    <row r="238" spans="1:41" s="517" customFormat="1" outlineLevel="2">
      <c r="C238" s="1239" t="s">
        <v>693</v>
      </c>
      <c r="D238" s="1242" t="s">
        <v>476</v>
      </c>
    </row>
    <row r="239" spans="1:41" s="517" customFormat="1" ht="4" customHeight="1" outlineLevel="2">
      <c r="C239" s="1211"/>
      <c r="D239" s="1212"/>
    </row>
    <row r="240" spans="1:41" s="517" customFormat="1" outlineLevel="2">
      <c r="C240" s="904" cm="1">
        <f t="array" ref="C240:C249">TRANSPOSE($N$224:$W$224)</f>
        <v>44926</v>
      </c>
      <c r="D240" s="1206">
        <f t="shared" ref="D240:D249" ca="1" si="85">_xlfn.XLOOKUP($C240,$N$224:$W$224,$N$229:$W$229)</f>
        <v>29.066202762187494</v>
      </c>
      <c r="N240" s="307">
        <f ca="1">PRODUCT($D240,INDEX($D$355:$I$375,MATCH($N$190,$C$355:$C$375,0),MATCH($D236,$D$353:$I$353,0)),$N$195)</f>
        <v>1.3845201249055308</v>
      </c>
      <c r="O240" s="301">
        <f ca="1">PRODUCT($D240,INDEX($D$355:$I$375,MATCH((COUNTA($N240:N240)+1),$C$355:$C$375,0),MATCH($D$236,$D$353:$I$353,0)))</f>
        <v>7.1183130564597175</v>
      </c>
      <c r="P240" s="301">
        <f ca="1">PRODUCT($D240,INDEX($D$355:$I$375,MATCH((COUNTA($N240:O240)+1),$C$355:$C$375,0),MATCH($D$236,$D$353:$I$353,0)))</f>
        <v>5.0836788631065923</v>
      </c>
      <c r="Q240" s="301">
        <f ca="1">PRODUCT($D240,INDEX($D$355:$I$375,MATCH((COUNTA($N240:P240)+1),$C$355:$C$375,0),MATCH($D$236,$D$353:$I$353,0)))</f>
        <v>3.6303687249972181</v>
      </c>
      <c r="R240" s="301">
        <f ca="1">PRODUCT($D240,INDEX($D$355:$I$375,MATCH((COUNTA($N240:Q240)+1),$C$355:$C$375,0),MATCH($D$236,$D$353:$I$353,0)))</f>
        <v>2.5956119066633434</v>
      </c>
      <c r="S240" s="301">
        <f ca="1">PRODUCT($D240,INDEX($D$355:$I$375,MATCH((COUNTA($N240:R240)+1),$C$355:$C$375,0),MATCH($D$236,$D$353:$I$353,0)))</f>
        <v>2.5927052863871247</v>
      </c>
      <c r="T240" s="301">
        <f ca="1">PRODUCT($D240,INDEX($D$355:$I$375,MATCH((COUNTA($N240:S240)+1),$C$355:$C$375,0),MATCH($D$236,$D$353:$I$353,0)))</f>
        <v>2.5956119066633434</v>
      </c>
      <c r="U240" s="301">
        <f ca="1">PRODUCT($D240,INDEX($D$355:$I$375,MATCH((COUNTA($N240:T240)+1),$C$355:$C$375,0),MATCH($D$236,$D$353:$I$353,0)))</f>
        <v>1.2963526431935624</v>
      </c>
      <c r="V240" s="301">
        <f ca="1">PRODUCT($D240,INDEX($D$355:$I$375,MATCH((COUNTA($N240:U240)+1),$C$355:$C$375,0),MATCH($D$236,$D$353:$I$353,0)))</f>
        <v>0</v>
      </c>
      <c r="W240" s="301">
        <f ca="1">PRODUCT($D240,INDEX($D$355:$I$375,MATCH((COUNTA($N240:V240)+1),$C$355:$C$375,0),MATCH($D$236,$D$353:$I$353,0)))</f>
        <v>0</v>
      </c>
      <c r="X240" s="301"/>
    </row>
    <row r="241" spans="2:24" s="517" customFormat="1" outlineLevel="2">
      <c r="C241" s="904">
        <v>45291</v>
      </c>
      <c r="D241" s="1206">
        <f t="shared" ca="1" si="85"/>
        <v>72.576890433632812</v>
      </c>
      <c r="N241" s="306"/>
      <c r="O241" s="301">
        <f ca="1">PRODUCT($D241,INDEX($D$355:$I$375,MATCH((COUNTA($N241:N241)+1),$C$355:$C$375,0),MATCH($D$236,$D$353:$I$353,0)))</f>
        <v>10.371237642966129</v>
      </c>
      <c r="P241" s="301">
        <f ca="1">PRODUCT($D241,INDEX($D$355:$I$375,MATCH((COUNTA($N241:O241)+1),$C$355:$C$375,0),MATCH($D$236,$D$353:$I$353,0)))</f>
        <v>17.774080467196676</v>
      </c>
      <c r="Q241" s="301">
        <f ca="1">PRODUCT($D241,INDEX($D$355:$I$375,MATCH((COUNTA($N241:P241)+1),$C$355:$C$375,0),MATCH($D$236,$D$353:$I$353,0)))</f>
        <v>12.693698136842379</v>
      </c>
      <c r="R241" s="301">
        <f ca="1">PRODUCT($D241,INDEX($D$355:$I$375,MATCH((COUNTA($N241:Q241)+1),$C$355:$C$375,0),MATCH($D$236,$D$353:$I$353,0)))</f>
        <v>9.0648536151607377</v>
      </c>
      <c r="S241" s="301">
        <f ca="1">PRODUCT($D241,INDEX($D$355:$I$375,MATCH((COUNTA($N241:R241)+1),$C$355:$C$375,0),MATCH($D$236,$D$353:$I$353,0)))</f>
        <v>6.4811163157234102</v>
      </c>
      <c r="T241" s="301">
        <f ca="1">PRODUCT($D241,INDEX($D$355:$I$375,MATCH((COUNTA($N241:S241)+1),$C$355:$C$375,0),MATCH($D$236,$D$353:$I$353,0)))</f>
        <v>6.4738586266800473</v>
      </c>
      <c r="U241" s="301">
        <f ca="1">PRODUCT($D241,INDEX($D$355:$I$375,MATCH((COUNTA($N241:T241)+1),$C$355:$C$375,0),MATCH($D$236,$D$353:$I$353,0)))</f>
        <v>6.4811163157234102</v>
      </c>
      <c r="V241" s="301">
        <f ca="1">PRODUCT($D241,INDEX($D$355:$I$375,MATCH((COUNTA($N241:U241)+1),$C$355:$C$375,0),MATCH($D$236,$D$353:$I$353,0)))</f>
        <v>3.2369293133400237</v>
      </c>
      <c r="W241" s="301">
        <f ca="1">PRODUCT($D241,INDEX($D$355:$I$375,MATCH((COUNTA($N241:V241)+1),$C$355:$C$375,0),MATCH($D$236,$D$353:$I$353,0)))</f>
        <v>0</v>
      </c>
    </row>
    <row r="242" spans="2:24" s="517" customFormat="1" outlineLevel="2">
      <c r="C242" s="904">
        <v>45657</v>
      </c>
      <c r="D242" s="1206">
        <f t="shared" ca="1" si="85"/>
        <v>74.30059158143159</v>
      </c>
      <c r="N242" s="306"/>
      <c r="O242" s="306"/>
      <c r="P242" s="301">
        <f ca="1">PRODUCT($D242,INDEX($D$355:$I$375,MATCH((COUNTA($N242:O242)+1),$C$355:$C$375,0),MATCH($D$236,$D$353:$I$353,0)))</f>
        <v>10.617554536986574</v>
      </c>
      <c r="Q242" s="301">
        <f ca="1">PRODUCT($D242,INDEX($D$355:$I$375,MATCH((COUNTA($N242:P242)+1),$C$355:$C$375,0),MATCH($D$236,$D$353:$I$353,0)))</f>
        <v>18.196214878292597</v>
      </c>
      <c r="R242" s="301">
        <f ca="1">PRODUCT($D242,INDEX($D$355:$I$375,MATCH((COUNTA($N242:Q242)+1),$C$355:$C$375,0),MATCH($D$236,$D$353:$I$353,0)))</f>
        <v>12.995173467592386</v>
      </c>
      <c r="S242" s="301">
        <f ca="1">PRODUCT($D242,INDEX($D$355:$I$375,MATCH((COUNTA($N242:R242)+1),$C$355:$C$375,0),MATCH($D$236,$D$353:$I$353,0)))</f>
        <v>9.2801438885208061</v>
      </c>
      <c r="T242" s="301">
        <f ca="1">PRODUCT($D242,INDEX($D$355:$I$375,MATCH((COUNTA($N242:S242)+1),$C$355:$C$375,0),MATCH($D$236,$D$353:$I$353,0)))</f>
        <v>6.6350428282218417</v>
      </c>
      <c r="U242" s="301">
        <f ca="1">PRODUCT($D242,INDEX($D$355:$I$375,MATCH((COUNTA($N242:T242)+1),$C$355:$C$375,0),MATCH($D$236,$D$353:$I$353,0)))</f>
        <v>6.6276127690636981</v>
      </c>
      <c r="V242" s="301">
        <f ca="1">PRODUCT($D242,INDEX($D$355:$I$375,MATCH((COUNTA($N242:U242)+1),$C$355:$C$375,0),MATCH($D$236,$D$353:$I$353,0)))</f>
        <v>6.6350428282218417</v>
      </c>
      <c r="W242" s="301">
        <f ca="1">PRODUCT($D242,INDEX($D$355:$I$375,MATCH((COUNTA($N242:V242)+1),$C$355:$C$375,0),MATCH($D$236,$D$353:$I$353,0)))</f>
        <v>3.3138063845318491</v>
      </c>
    </row>
    <row r="243" spans="2:24" s="517" customFormat="1" outlineLevel="2">
      <c r="C243" s="904">
        <v>46022</v>
      </c>
      <c r="D243" s="1206">
        <f t="shared" ca="1" si="85"/>
        <v>76.065230631490579</v>
      </c>
      <c r="N243" s="306"/>
      <c r="O243" s="306"/>
      <c r="P243" s="306"/>
      <c r="Q243" s="301">
        <f ca="1">PRODUCT($D243,INDEX($D$355:$I$375,MATCH((COUNTA($N243:P243)+1),$C$355:$C$375,0),MATCH($D$236,$D$353:$I$353,0)))</f>
        <v>10.869721457240004</v>
      </c>
      <c r="R243" s="301">
        <f ca="1">PRODUCT($D243,INDEX($D$355:$I$375,MATCH((COUNTA($N243:Q243)+1),$C$355:$C$375,0),MATCH($D$236,$D$353:$I$353,0)))</f>
        <v>18.628374981652044</v>
      </c>
      <c r="S243" s="301">
        <f ca="1">PRODUCT($D243,INDEX($D$355:$I$375,MATCH((COUNTA($N243:R243)+1),$C$355:$C$375,0),MATCH($D$236,$D$353:$I$353,0)))</f>
        <v>13.303808837447702</v>
      </c>
      <c r="T243" s="301">
        <f ca="1">PRODUCT($D243,INDEX($D$355:$I$375,MATCH((COUNTA($N243:S243)+1),$C$355:$C$375,0),MATCH($D$236,$D$353:$I$353,0)))</f>
        <v>9.5005473058731731</v>
      </c>
      <c r="U243" s="301">
        <f ca="1">PRODUCT($D243,INDEX($D$355:$I$375,MATCH((COUNTA($N243:T243)+1),$C$355:$C$375,0),MATCH($D$236,$D$353:$I$353,0)))</f>
        <v>6.7926250953921086</v>
      </c>
      <c r="V243" s="301">
        <f ca="1">PRODUCT($D243,INDEX($D$355:$I$375,MATCH((COUNTA($N243:U243)+1),$C$355:$C$375,0),MATCH($D$236,$D$353:$I$353,0)))</f>
        <v>6.7850185723289593</v>
      </c>
      <c r="W243" s="301">
        <f ca="1">PRODUCT($D243,INDEX($D$355:$I$375,MATCH((COUNTA($N243:V243)+1),$C$355:$C$375,0),MATCH($D$236,$D$353:$I$353,0)))</f>
        <v>6.7926250953921086</v>
      </c>
    </row>
    <row r="244" spans="2:24" s="517" customFormat="1" outlineLevel="2">
      <c r="C244" s="904">
        <v>46387</v>
      </c>
      <c r="D244" s="1206">
        <f t="shared" ca="1" si="85"/>
        <v>77.871779858988475</v>
      </c>
      <c r="N244" s="306"/>
      <c r="O244" s="306"/>
      <c r="P244" s="306"/>
      <c r="Q244" s="306"/>
      <c r="R244" s="301">
        <f ca="1">PRODUCT($D244,INDEX($D$355:$I$375,MATCH((COUNTA($N244:Q244)+1),$C$355:$C$375,0),MATCH($D$236,$D$353:$I$353,0)))</f>
        <v>11.127877341849453</v>
      </c>
      <c r="S244" s="301">
        <f ca="1">PRODUCT($D244,INDEX($D$355:$I$375,MATCH((COUNTA($N244:R244)+1),$C$355:$C$375,0),MATCH($D$236,$D$353:$I$353,0)))</f>
        <v>19.070798887466278</v>
      </c>
      <c r="T244" s="301">
        <f ca="1">PRODUCT($D244,INDEX($D$355:$I$375,MATCH((COUNTA($N244:S244)+1),$C$355:$C$375,0),MATCH($D$236,$D$353:$I$353,0)))</f>
        <v>13.619774297337084</v>
      </c>
      <c r="U244" s="301">
        <f ca="1">PRODUCT($D244,INDEX($D$355:$I$375,MATCH((COUNTA($N244:T244)+1),$C$355:$C$375,0),MATCH($D$236,$D$353:$I$353,0)))</f>
        <v>9.7261853043876609</v>
      </c>
      <c r="V244" s="301">
        <f ca="1">PRODUCT($D244,INDEX($D$355:$I$375,MATCH((COUNTA($N244:U244)+1),$C$355:$C$375,0),MATCH($D$236,$D$353:$I$353,0)))</f>
        <v>6.9539499414076715</v>
      </c>
      <c r="W244" s="301">
        <f ca="1">PRODUCT($D244,INDEX($D$355:$I$375,MATCH((COUNTA($N244:V244)+1),$C$355:$C$375,0),MATCH($D$236,$D$353:$I$353,0)))</f>
        <v>6.9461627634217722</v>
      </c>
    </row>
    <row r="245" spans="2:24" s="517" customFormat="1" outlineLevel="2">
      <c r="C245" s="904">
        <v>46752</v>
      </c>
      <c r="D245" s="1206">
        <f t="shared" ca="1" si="85"/>
        <v>79.721234630639458</v>
      </c>
      <c r="N245" s="306"/>
      <c r="O245" s="306"/>
      <c r="P245" s="306"/>
      <c r="Q245" s="306"/>
      <c r="R245" s="306"/>
      <c r="S245" s="301">
        <f ca="1">PRODUCT($D245,INDEX($D$355:$I$375,MATCH((COUNTA($N245:R245)+1),$C$355:$C$375,0),MATCH($D$236,$D$353:$I$353,0)))</f>
        <v>11.392164428718379</v>
      </c>
      <c r="T245" s="301">
        <f ca="1">PRODUCT($D245,INDEX($D$355:$I$375,MATCH((COUNTA($N245:S245)+1),$C$355:$C$375,0),MATCH($D$236,$D$353:$I$353,0)))</f>
        <v>19.523730361043604</v>
      </c>
      <c r="U245" s="301">
        <f ca="1">PRODUCT($D245,INDEX($D$355:$I$375,MATCH((COUNTA($N245:T245)+1),$C$355:$C$375,0),MATCH($D$236,$D$353:$I$353,0)))</f>
        <v>13.943243936898842</v>
      </c>
      <c r="V245" s="301">
        <f ca="1">PRODUCT($D245,INDEX($D$355:$I$375,MATCH((COUNTA($N245:U245)+1),$C$355:$C$375,0),MATCH($D$236,$D$353:$I$353,0)))</f>
        <v>9.9571822053668679</v>
      </c>
      <c r="W245" s="301">
        <f ca="1">PRODUCT($D245,INDEX($D$355:$I$375,MATCH((COUNTA($N245:V245)+1),$C$355:$C$375,0),MATCH($D$236,$D$353:$I$353,0)))</f>
        <v>7.1191062525161035</v>
      </c>
    </row>
    <row r="246" spans="2:24" s="517" customFormat="1" outlineLevel="2">
      <c r="C246" s="904">
        <v>47118</v>
      </c>
      <c r="D246" s="1206">
        <f t="shared" ca="1" si="85"/>
        <v>81.614613953117129</v>
      </c>
      <c r="N246" s="306"/>
      <c r="O246" s="306"/>
      <c r="P246" s="306"/>
      <c r="Q246" s="306"/>
      <c r="R246" s="306"/>
      <c r="S246" s="306"/>
      <c r="T246" s="301">
        <f ca="1">PRODUCT($D246,INDEX($D$355:$I$375,MATCH((COUNTA($N246:S246)+1),$C$355:$C$375,0),MATCH($D$236,$D$353:$I$353,0)))</f>
        <v>11.662728333900438</v>
      </c>
      <c r="U246" s="301">
        <f ca="1">PRODUCT($D246,INDEX($D$355:$I$375,MATCH((COUNTA($N246:T246)+1),$C$355:$C$375,0),MATCH($D$236,$D$353:$I$353,0)))</f>
        <v>19.987418957118386</v>
      </c>
      <c r="V246" s="301">
        <f ca="1">PRODUCT($D246,INDEX($D$355:$I$375,MATCH((COUNTA($N246:U246)+1),$C$355:$C$375,0),MATCH($D$236,$D$353:$I$353,0)))</f>
        <v>14.274395980400186</v>
      </c>
      <c r="W246" s="301">
        <f ca="1">PRODUCT($D246,INDEX($D$355:$I$375,MATCH((COUNTA($N246:V246)+1),$C$355:$C$375,0),MATCH($D$236,$D$353:$I$353,0)))</f>
        <v>10.193665282744329</v>
      </c>
    </row>
    <row r="247" spans="2:24" s="517" customFormat="1" outlineLevel="2">
      <c r="C247" s="904">
        <v>47483</v>
      </c>
      <c r="D247" s="1206">
        <f t="shared" ca="1" si="85"/>
        <v>83.552961034503653</v>
      </c>
      <c r="N247" s="306"/>
      <c r="O247" s="306"/>
      <c r="P247" s="306"/>
      <c r="Q247" s="306"/>
      <c r="R247" s="306"/>
      <c r="S247" s="306"/>
      <c r="T247" s="306"/>
      <c r="U247" s="301">
        <f ca="1">PRODUCT($D247,INDEX($D$355:$I$375,MATCH((COUNTA($N247:T247)+1),$C$355:$C$375,0),MATCH($D$236,$D$353:$I$353,0)))</f>
        <v>11.939718131830572</v>
      </c>
      <c r="V247" s="301">
        <f ca="1">PRODUCT($D247,INDEX($D$355:$I$375,MATCH((COUNTA($N247:U247)+1),$C$355:$C$375,0),MATCH($D$236,$D$353:$I$353,0)))</f>
        <v>20.462120157349947</v>
      </c>
      <c r="W247" s="301">
        <f ca="1">PRODUCT($D247,INDEX($D$355:$I$375,MATCH((COUNTA($N247:V247)+1),$C$355:$C$375,0),MATCH($D$236,$D$353:$I$353,0)))</f>
        <v>14.613412884934689</v>
      </c>
    </row>
    <row r="248" spans="2:24" s="517" customFormat="1" outlineLevel="2">
      <c r="C248" s="904">
        <v>47848</v>
      </c>
      <c r="D248" s="1206">
        <f t="shared" ca="1" si="85"/>
        <v>85.537343859073118</v>
      </c>
      <c r="N248" s="306"/>
      <c r="O248" s="306"/>
      <c r="P248" s="306"/>
      <c r="Q248" s="306"/>
      <c r="R248" s="306"/>
      <c r="S248" s="306"/>
      <c r="T248" s="306"/>
      <c r="U248" s="306"/>
      <c r="V248" s="301">
        <f ca="1">PRODUCT($D248,INDEX($D$355:$I$375,MATCH((COUNTA($N248:U248)+1),$C$355:$C$375,0),MATCH($D$236,$D$353:$I$353,0)))</f>
        <v>12.223286437461548</v>
      </c>
      <c r="W248" s="301">
        <f ca="1">PRODUCT($D248,INDEX($D$355:$I$375,MATCH((COUNTA($N248:V248)+1),$C$355:$C$375,0),MATCH($D$236,$D$353:$I$353,0)))</f>
        <v>20.948095511087008</v>
      </c>
    </row>
    <row r="249" spans="2:24" s="517" customFormat="1" outlineLevel="2">
      <c r="C249" s="904">
        <v>48213</v>
      </c>
      <c r="D249" s="1206">
        <f t="shared" ca="1" si="85"/>
        <v>87.568855775726092</v>
      </c>
      <c r="E249" s="330"/>
      <c r="F249"/>
      <c r="G249"/>
      <c r="N249" s="306"/>
      <c r="O249" s="306"/>
      <c r="P249" s="306"/>
      <c r="Q249" s="306"/>
      <c r="R249" s="306"/>
      <c r="S249" s="306"/>
      <c r="T249" s="306"/>
      <c r="U249" s="306"/>
      <c r="V249" s="306"/>
      <c r="W249" s="301">
        <f ca="1">PRODUCT($D249,INDEX($D$355:$I$375,MATCH((COUNTA($N249:V249)+1),$C$355:$C$375,0),MATCH($D$236,$D$353:$I$353,0)))</f>
        <v>12.513589490351258</v>
      </c>
    </row>
    <row r="250" spans="2:24" outlineLevel="2">
      <c r="B250" s="517"/>
      <c r="C250" s="252" t="s">
        <v>717</v>
      </c>
      <c r="D250" s="226"/>
      <c r="E250"/>
      <c r="F250"/>
      <c r="G250"/>
      <c r="H250" s="58"/>
      <c r="I250" s="58"/>
      <c r="J250" s="58"/>
      <c r="K250" s="58"/>
      <c r="M250" s="105"/>
      <c r="N250" s="300">
        <f t="shared" ref="N250:W250" ca="1" si="86">SUM(N$240:N$249)</f>
        <v>1.3845201249055308</v>
      </c>
      <c r="O250" s="300">
        <f ca="1">SUM(O$240:O$249)</f>
        <v>17.489550699425848</v>
      </c>
      <c r="P250" s="300">
        <f t="shared" ca="1" si="86"/>
        <v>33.475313867289842</v>
      </c>
      <c r="Q250" s="300">
        <f t="shared" ca="1" si="86"/>
        <v>45.390003197372195</v>
      </c>
      <c r="R250" s="300">
        <f t="shared" ca="1" si="86"/>
        <v>54.411891312917966</v>
      </c>
      <c r="S250" s="300">
        <f t="shared" ca="1" si="86"/>
        <v>62.120737644263706</v>
      </c>
      <c r="T250" s="300">
        <f t="shared" ca="1" si="86"/>
        <v>70.011293659719527</v>
      </c>
      <c r="U250" s="300">
        <f t="shared" ca="1" si="86"/>
        <v>76.794273153608231</v>
      </c>
      <c r="V250" s="300">
        <f t="shared" ca="1" si="86"/>
        <v>80.527925435877052</v>
      </c>
      <c r="W250" s="300">
        <f t="shared" ca="1" si="86"/>
        <v>82.44046366497912</v>
      </c>
      <c r="X250" s="300"/>
    </row>
    <row r="251" spans="2:24" outlineLevel="2">
      <c r="B251" s="517"/>
      <c r="C251" s="250"/>
      <c r="D251" s="94"/>
      <c r="E251" s="58"/>
      <c r="F251" s="58"/>
      <c r="G251" s="58"/>
      <c r="H251" s="58"/>
      <c r="I251" s="58"/>
      <c r="J251" s="58"/>
      <c r="K251" s="58"/>
      <c r="M251" s="105"/>
      <c r="N251" s="327"/>
      <c r="O251" s="327"/>
      <c r="P251" s="327"/>
      <c r="Q251" s="327"/>
      <c r="R251" s="327"/>
      <c r="S251" s="327"/>
      <c r="T251" s="327"/>
      <c r="U251" s="327"/>
      <c r="V251" s="327"/>
      <c r="W251" s="327"/>
      <c r="X251" s="327"/>
    </row>
    <row r="252" spans="2:24" ht="8.5" customHeight="1" outlineLevel="1">
      <c r="B252" s="517"/>
      <c r="C252" s="250"/>
      <c r="D252" s="94"/>
      <c r="E252" s="58"/>
      <c r="F252" s="58"/>
      <c r="G252" s="58"/>
      <c r="H252" s="58"/>
      <c r="I252" s="58"/>
      <c r="J252" s="58"/>
      <c r="K252" s="58"/>
      <c r="M252" s="105"/>
      <c r="N252" s="1087"/>
      <c r="O252" s="1087"/>
      <c r="P252" s="1087"/>
      <c r="Q252" s="1087"/>
      <c r="R252" s="1087"/>
      <c r="S252" s="1087"/>
      <c r="T252" s="1087"/>
      <c r="U252" s="1087"/>
      <c r="V252" s="1087"/>
      <c r="W252" s="1087"/>
    </row>
    <row r="253" spans="2:24" outlineLevel="1">
      <c r="B253" s="58"/>
      <c r="C253" s="868" t="s">
        <v>645</v>
      </c>
      <c r="D253" s="389"/>
      <c r="E253" s="389"/>
      <c r="F253" s="389"/>
      <c r="G253" s="389"/>
      <c r="H253" s="389"/>
      <c r="I253" s="389"/>
      <c r="J253" s="389"/>
      <c r="K253" s="389"/>
      <c r="L253" s="389"/>
      <c r="M253" s="389"/>
      <c r="N253" s="389"/>
      <c r="O253" s="389"/>
      <c r="P253" s="389"/>
      <c r="Q253" s="389"/>
      <c r="R253" s="389"/>
      <c r="S253" s="389"/>
      <c r="T253" s="389"/>
      <c r="U253" s="389"/>
      <c r="V253" s="389"/>
      <c r="W253" s="392"/>
    </row>
    <row r="254" spans="2:24" ht="7" customHeight="1" outlineLevel="4">
      <c r="B254" s="517"/>
      <c r="C254" s="250"/>
      <c r="D254" s="94"/>
      <c r="E254" s="58"/>
      <c r="F254" s="58"/>
      <c r="G254" s="58"/>
      <c r="H254" s="58"/>
      <c r="I254" s="58"/>
      <c r="J254" s="58"/>
      <c r="K254" s="58"/>
      <c r="M254" s="105"/>
      <c r="N254" s="1087"/>
      <c r="O254" s="1087"/>
      <c r="P254" s="1087"/>
      <c r="Q254" s="1087"/>
      <c r="R254" s="1087"/>
      <c r="S254" s="1087"/>
      <c r="T254" s="1087"/>
      <c r="U254" s="1087"/>
      <c r="V254" s="1087"/>
      <c r="W254" s="1087"/>
    </row>
    <row r="255" spans="2:24" outlineLevel="4">
      <c r="B255" s="517"/>
      <c r="C255" s="241" t="str">
        <f>units</f>
        <v>($ '000)</v>
      </c>
      <c r="E255" s="58"/>
      <c r="F255" s="58"/>
      <c r="G255" s="58"/>
      <c r="H255" s="58"/>
      <c r="I255" s="58"/>
      <c r="J255" s="58"/>
      <c r="K255" s="58"/>
      <c r="M255" s="105"/>
      <c r="N255" s="743" t="str">
        <f>$N$124</f>
        <v>4 Months</v>
      </c>
      <c r="O255" s="158"/>
      <c r="P255" s="158"/>
      <c r="Q255" s="158"/>
      <c r="R255" s="158"/>
      <c r="S255" s="158"/>
      <c r="T255" s="158"/>
      <c r="U255" s="158"/>
      <c r="V255" s="158"/>
      <c r="W255" s="158"/>
    </row>
    <row r="256" spans="2:24" ht="16" outlineLevel="4">
      <c r="B256" s="517"/>
      <c r="C256" s="241"/>
      <c r="D256" s="1213"/>
      <c r="E256" s="58"/>
      <c r="F256" s="58"/>
      <c r="G256" s="58"/>
      <c r="H256" s="58"/>
      <c r="I256" s="58"/>
      <c r="J256" s="58"/>
      <c r="K256" s="58"/>
      <c r="M256" s="105"/>
      <c r="N256" s="1191">
        <v>1</v>
      </c>
      <c r="O256" s="740" t="str">
        <f>$O$124</f>
        <v>Fiscal Years Ending December 31</v>
      </c>
      <c r="P256" s="79"/>
      <c r="Q256" s="79"/>
      <c r="R256" s="79"/>
      <c r="S256" s="79"/>
      <c r="T256" s="76"/>
      <c r="U256" s="76"/>
      <c r="V256" s="76"/>
      <c r="W256" s="76"/>
    </row>
    <row r="257" spans="2:32" ht="15" outlineLevel="4" thickBot="1">
      <c r="B257" s="517"/>
      <c r="C257" s="241"/>
      <c r="D257" s="1213"/>
      <c r="E257" s="58"/>
      <c r="F257" s="58"/>
      <c r="G257" s="58"/>
      <c r="H257" s="58"/>
      <c r="I257" s="58"/>
      <c r="J257" s="58"/>
      <c r="K257" s="748"/>
      <c r="L257" s="748"/>
      <c r="M257" s="909"/>
      <c r="N257" s="752">
        <f>$Q$16</f>
        <v>44926</v>
      </c>
      <c r="O257" s="750">
        <f>O$126</f>
        <v>45291</v>
      </c>
      <c r="P257" s="750">
        <f t="shared" ref="P257" si="87">EDATE(O257,12)</f>
        <v>45657</v>
      </c>
      <c r="Q257" s="750">
        <f t="shared" ref="Q257" si="88">EDATE(P257,12)</f>
        <v>46022</v>
      </c>
      <c r="R257" s="750">
        <f t="shared" ref="R257" si="89">EDATE(Q257,12)</f>
        <v>46387</v>
      </c>
      <c r="S257" s="750">
        <f t="shared" ref="S257" si="90">EDATE(R257,12)</f>
        <v>46752</v>
      </c>
      <c r="T257" s="750">
        <f t="shared" ref="T257" si="91">EDATE(S257,12)</f>
        <v>47118</v>
      </c>
      <c r="U257" s="750">
        <f t="shared" ref="U257" si="92">EDATE(T257,12)</f>
        <v>47483</v>
      </c>
      <c r="V257" s="750">
        <f t="shared" ref="V257" si="93">EDATE(U257,12)</f>
        <v>47848</v>
      </c>
      <c r="W257" s="750">
        <f t="shared" ref="W257" si="94">EDATE(V257,12)</f>
        <v>48213</v>
      </c>
    </row>
    <row r="258" spans="2:32" ht="7.5" customHeight="1" outlineLevel="4">
      <c r="B258" s="517"/>
      <c r="C258" s="241"/>
      <c r="D258" s="1213"/>
      <c r="E258" s="58"/>
      <c r="F258" s="58"/>
      <c r="G258" s="58"/>
      <c r="H258" s="58"/>
      <c r="I258" s="58"/>
      <c r="J258" s="58"/>
      <c r="K258" s="58"/>
      <c r="L258" s="58"/>
      <c r="M258" s="105"/>
      <c r="N258" s="720"/>
      <c r="O258" s="747"/>
      <c r="P258" s="747"/>
      <c r="Q258" s="747"/>
      <c r="R258" s="747"/>
      <c r="S258" s="747"/>
      <c r="T258" s="747"/>
      <c r="U258" s="747"/>
      <c r="V258" s="747"/>
      <c r="W258" s="747"/>
    </row>
    <row r="259" spans="2:32" outlineLevel="4">
      <c r="B259" s="517"/>
      <c r="C259" s="1235" t="s">
        <v>711</v>
      </c>
      <c r="D259" s="1213"/>
      <c r="E259" s="58"/>
      <c r="F259" s="58"/>
      <c r="G259" s="58"/>
      <c r="H259" s="58"/>
      <c r="I259" s="58"/>
      <c r="J259" s="58"/>
      <c r="K259" s="58"/>
      <c r="M259" s="105"/>
    </row>
    <row r="260" spans="2:32" outlineLevel="4">
      <c r="B260" s="517"/>
      <c r="C260" s="225" t="str">
        <f>_xlfn.CONCAT($K$125," ",TEXT($K$126,"mmm-yy")," Sales")</f>
        <v>LTM Apr-22 Sales</v>
      </c>
      <c r="D260" s="1213"/>
      <c r="E260" s="58"/>
      <c r="F260" s="428">
        <f>K144</f>
        <v>2769.9409999999998</v>
      </c>
      <c r="G260" s="58"/>
      <c r="H260" s="58"/>
      <c r="I260" s="58"/>
      <c r="J260" s="58"/>
      <c r="K260" s="57" t="s">
        <v>714</v>
      </c>
      <c r="M260" s="105"/>
      <c r="N260" s="428">
        <f t="shared" ref="N260:W260" ca="1" si="95">N$144/N$122</f>
        <v>2835.7270987499996</v>
      </c>
      <c r="O260" s="428">
        <f t="shared" ca="1" si="95"/>
        <v>2903.0756173453124</v>
      </c>
      <c r="P260" s="428">
        <f t="shared" ca="1" si="95"/>
        <v>2972.0236632572633</v>
      </c>
      <c r="Q260" s="428">
        <f t="shared" ca="1" si="95"/>
        <v>3042.6092252596231</v>
      </c>
      <c r="R260" s="428">
        <f t="shared" ca="1" si="95"/>
        <v>3114.871194359539</v>
      </c>
      <c r="S260" s="428">
        <f t="shared" ca="1" si="95"/>
        <v>3188.8493852255779</v>
      </c>
      <c r="T260" s="428">
        <f t="shared" ca="1" si="95"/>
        <v>3264.5845581246849</v>
      </c>
      <c r="U260" s="428">
        <f t="shared" ca="1" si="95"/>
        <v>3342.1184413801461</v>
      </c>
      <c r="V260" s="428">
        <f t="shared" ca="1" si="95"/>
        <v>3421.4937543629244</v>
      </c>
      <c r="W260" s="428">
        <f t="shared" ca="1" si="95"/>
        <v>3502.7542310290437</v>
      </c>
    </row>
    <row r="261" spans="2:32" outlineLevel="4">
      <c r="B261" s="517"/>
      <c r="C261" s="499" t="s">
        <v>707</v>
      </c>
      <c r="D261" s="1213"/>
      <c r="E261" s="58"/>
      <c r="F261" s="1219">
        <f>SUM($G$211:$G$214)</f>
        <v>215.94449846473441</v>
      </c>
      <c r="G261" s="58"/>
      <c r="H261" s="58"/>
      <c r="I261" s="58"/>
      <c r="J261" s="58"/>
      <c r="K261" s="57" t="s">
        <v>713</v>
      </c>
      <c r="M261" s="105"/>
      <c r="N261" s="1219">
        <f t="shared" ref="N261:W261" ca="1" si="96">N$260/$F$262</f>
        <v>221.07318030327184</v>
      </c>
      <c r="O261" s="1219">
        <f t="shared" ca="1" si="96"/>
        <v>226.32366833547457</v>
      </c>
      <c r="P261" s="1219">
        <f t="shared" ca="1" si="96"/>
        <v>231.69885545844207</v>
      </c>
      <c r="Q261" s="1219">
        <f t="shared" ca="1" si="96"/>
        <v>237.20170327558006</v>
      </c>
      <c r="R261" s="1219">
        <f t="shared" ca="1" si="96"/>
        <v>242.83524372837505</v>
      </c>
      <c r="S261" s="1219">
        <f t="shared" ca="1" si="96"/>
        <v>248.60258076692395</v>
      </c>
      <c r="T261" s="1219">
        <f t="shared" ca="1" si="96"/>
        <v>254.50689206013837</v>
      </c>
      <c r="U261" s="1219">
        <f t="shared" ca="1" si="96"/>
        <v>260.55143074656667</v>
      </c>
      <c r="V261" s="1219">
        <f t="shared" ca="1" si="96"/>
        <v>266.73952722679758</v>
      </c>
      <c r="W261" s="1219">
        <f t="shared" ca="1" si="96"/>
        <v>273.07459099843402</v>
      </c>
    </row>
    <row r="262" spans="2:32" outlineLevel="4">
      <c r="B262" s="517"/>
      <c r="C262" s="1207" t="s">
        <v>706</v>
      </c>
      <c r="D262" s="1247"/>
      <c r="E262" s="59"/>
      <c r="F262" s="1248">
        <f>$F$260/SUM($G$211:$G$214)</f>
        <v>12.827096868375904</v>
      </c>
      <c r="G262" s="58"/>
      <c r="H262" s="58"/>
      <c r="I262" s="58"/>
      <c r="J262" s="58"/>
      <c r="K262" s="59" t="s">
        <v>712</v>
      </c>
      <c r="L262" s="59"/>
      <c r="M262" s="1236"/>
      <c r="N262" s="1282">
        <f ca="1">IF((N$261-$F$261)&lt;0,"NM",(N$261-$F$261))</f>
        <v>5.1286818385374318</v>
      </c>
      <c r="O262" s="1283">
        <f ca="1">IF((O$261-N$261)&lt;0,"NM",(O$261-N$261))</f>
        <v>5.2504880322027248</v>
      </c>
      <c r="P262" s="1283">
        <f t="shared" ref="P262:W262" ca="1" si="97">IF((P$261-O$261)&lt;0,"NM",(P$261-O$261))</f>
        <v>5.3751871229675032</v>
      </c>
      <c r="Q262" s="1283">
        <f t="shared" ca="1" si="97"/>
        <v>5.5028478171379902</v>
      </c>
      <c r="R262" s="1283">
        <f t="shared" ca="1" si="97"/>
        <v>5.6335404527949891</v>
      </c>
      <c r="S262" s="1283">
        <f t="shared" ca="1" si="97"/>
        <v>5.7673370385489022</v>
      </c>
      <c r="T262" s="1283">
        <f t="shared" ca="1" si="97"/>
        <v>5.9043112932144197</v>
      </c>
      <c r="U262" s="1283">
        <f t="shared" ca="1" si="97"/>
        <v>6.0445386864282966</v>
      </c>
      <c r="V262" s="1283">
        <f t="shared" ca="1" si="97"/>
        <v>6.1880964802309109</v>
      </c>
      <c r="W262" s="1283">
        <f t="shared" ca="1" si="97"/>
        <v>6.3350637716364417</v>
      </c>
      <c r="X262" s="501"/>
      <c r="Z262" s="57" t="s">
        <v>823</v>
      </c>
      <c r="AF262" s="604" t="s">
        <v>556</v>
      </c>
    </row>
    <row r="263" spans="2:32" outlineLevel="4">
      <c r="B263" s="517"/>
      <c r="G263" s="58"/>
      <c r="H263" s="58"/>
      <c r="I263" s="58"/>
      <c r="J263" s="58"/>
      <c r="K263" s="58"/>
      <c r="M263" s="105"/>
    </row>
    <row r="264" spans="2:32" outlineLevel="4">
      <c r="B264" s="517"/>
      <c r="C264" s="241"/>
      <c r="D264" s="1213"/>
      <c r="E264" s="58"/>
      <c r="F264" s="58"/>
      <c r="G264" s="58"/>
      <c r="H264" s="58"/>
      <c r="I264" s="58"/>
      <c r="J264" s="58"/>
      <c r="K264" s="58"/>
      <c r="M264" s="105"/>
    </row>
    <row r="265" spans="2:32" ht="16" outlineLevel="4">
      <c r="B265" s="517"/>
      <c r="C265" s="1278" t="s">
        <v>645</v>
      </c>
      <c r="D265" s="1279"/>
      <c r="E265" s="1280"/>
      <c r="F265" s="1280"/>
      <c r="G265" s="1280"/>
      <c r="H265" s="58"/>
      <c r="I265" s="58"/>
      <c r="J265" s="58"/>
      <c r="K265" s="58"/>
      <c r="N265" s="1278" t="s">
        <v>722</v>
      </c>
      <c r="O265" s="1278"/>
      <c r="P265" s="1278"/>
      <c r="Q265" s="1278"/>
      <c r="R265" s="1278"/>
      <c r="S265" s="1278"/>
      <c r="T265" s="1278"/>
      <c r="U265" s="1278"/>
      <c r="V265" s="1278"/>
      <c r="W265" s="1278"/>
    </row>
    <row r="266" spans="2:32" outlineLevel="4">
      <c r="B266" s="14"/>
      <c r="C266" s="1239" t="s">
        <v>693</v>
      </c>
      <c r="D266" s="1240">
        <v>3</v>
      </c>
      <c r="E266" s="1240">
        <v>5</v>
      </c>
      <c r="F266" s="1240">
        <v>7</v>
      </c>
      <c r="G266" s="1241" t="s">
        <v>26</v>
      </c>
      <c r="H266" s="58"/>
      <c r="I266" s="58"/>
      <c r="J266" s="58"/>
      <c r="K266" s="58"/>
      <c r="M266" s="105"/>
    </row>
    <row r="267" spans="2:32" ht="5" customHeight="1" outlineLevel="4">
      <c r="B267" s="14"/>
      <c r="H267" s="58"/>
      <c r="I267" s="58"/>
      <c r="J267" s="58"/>
      <c r="K267" s="58"/>
      <c r="M267" s="105"/>
      <c r="N267" s="1087"/>
      <c r="O267" s="1087"/>
      <c r="P267" s="1087"/>
      <c r="Q267" s="1087"/>
      <c r="R267" s="1087"/>
      <c r="S267" s="1087"/>
      <c r="T267" s="1087"/>
      <c r="U267" s="1087"/>
      <c r="V267" s="1087"/>
      <c r="W267" s="1087"/>
    </row>
    <row r="268" spans="2:32" outlineLevel="4">
      <c r="B268" s="14"/>
      <c r="C268" s="1251">
        <v>44926</v>
      </c>
      <c r="D268" s="1249">
        <f>SUMIFS('OpCo Capex'!$H$6:$H$40,'OpCo Capex'!$B$6:$B$40,"Growth",'OpCo Capex'!$G$6:$G$40,D$266,'OpCo Capex'!$F$6:$F$40,YEAR(HoldCo!$C268))/1000</f>
        <v>0</v>
      </c>
      <c r="E268" s="1249">
        <f>SUMIFS('OpCo Capex'!$H$6:$H$40,'OpCo Capex'!$B$6:$B$40,"Growth",'OpCo Capex'!$G$6:$G$40,E$266,'OpCo Capex'!$F$6:$F$40,YEAR(HoldCo!$C268))/1000</f>
        <v>0</v>
      </c>
      <c r="F268" s="1249">
        <f>SUMIFS('OpCo Capex'!$H$6:$H$40,'OpCo Capex'!$B$6:$B$40,"Growth",'OpCo Capex'!$G$6:$G$40,F$266,'OpCo Capex'!$F$6:$F$40,YEAR(HoldCo!$C268))/1000</f>
        <v>0</v>
      </c>
      <c r="G268" s="1222">
        <f>SUM($D268:$F268)</f>
        <v>0</v>
      </c>
      <c r="H268" s="58"/>
      <c r="I268" s="58"/>
      <c r="J268" s="58"/>
      <c r="K268" s="58"/>
      <c r="M268" s="105"/>
      <c r="N268" s="1206">
        <f>$G268</f>
        <v>0</v>
      </c>
      <c r="O268" s="1206"/>
      <c r="P268" s="1206"/>
      <c r="Q268" s="1206"/>
      <c r="R268" s="1206"/>
      <c r="S268" s="1206"/>
      <c r="T268" s="1206"/>
      <c r="U268" s="1206"/>
      <c r="V268" s="1206"/>
      <c r="W268" s="1206"/>
    </row>
    <row r="269" spans="2:32" outlineLevel="4">
      <c r="B269" s="14"/>
      <c r="C269" s="1251">
        <v>45291</v>
      </c>
      <c r="D269" s="1249">
        <f>SUMIFS('OpCo Capex'!$H$6:$H$40,'OpCo Capex'!$B$6:$B$40,"Growth",'OpCo Capex'!$G$6:$G$40,D$266,'OpCo Capex'!$F$6:$F$40,YEAR(HoldCo!$C269))/1000</f>
        <v>0</v>
      </c>
      <c r="E269" s="1249">
        <f>SUMIFS('OpCo Capex'!$H$6:$H$40,'OpCo Capex'!$B$6:$B$40,"Growth",'OpCo Capex'!$G$6:$G$40,E$266,'OpCo Capex'!$F$6:$F$40,YEAR(HoldCo!$C269))/1000</f>
        <v>0</v>
      </c>
      <c r="F269" s="1249">
        <f>SUMIFS('OpCo Capex'!$H$6:$H$40,'OpCo Capex'!$B$6:$B$40,"Growth",'OpCo Capex'!$G$6:$G$40,F$266,'OpCo Capex'!$F$6:$F$40,YEAR(HoldCo!$C269))/1000</f>
        <v>0</v>
      </c>
      <c r="G269" s="1222">
        <f t="shared" ref="G269:G277" si="98">SUM($D269:$F269)</f>
        <v>0</v>
      </c>
      <c r="H269" s="58"/>
      <c r="I269" s="58"/>
      <c r="J269" s="58"/>
      <c r="K269" s="58"/>
      <c r="M269" s="105"/>
      <c r="N269" s="1220"/>
      <c r="O269" s="1206">
        <f>$G269</f>
        <v>0</v>
      </c>
      <c r="P269" s="1206"/>
      <c r="Q269" s="1206"/>
      <c r="R269" s="1206"/>
      <c r="S269" s="1206"/>
      <c r="T269" s="1206"/>
      <c r="U269" s="1206"/>
      <c r="V269" s="1206"/>
      <c r="W269" s="1206"/>
    </row>
    <row r="270" spans="2:32" outlineLevel="4">
      <c r="B270" s="14"/>
      <c r="C270" s="1251">
        <v>45657</v>
      </c>
      <c r="D270" s="1249">
        <f>SUMIFS('OpCo Capex'!$H$6:$H$40,'OpCo Capex'!$B$6:$B$40,"Growth",'OpCo Capex'!$G$6:$G$40,D$266,'OpCo Capex'!$F$6:$F$40,YEAR(HoldCo!$C270))/1000</f>
        <v>0</v>
      </c>
      <c r="E270" s="1249">
        <f>SUMIFS('OpCo Capex'!$H$6:$H$40,'OpCo Capex'!$B$6:$B$40,"Growth",'OpCo Capex'!$G$6:$G$40,E$266,'OpCo Capex'!$F$6:$F$40,YEAR(HoldCo!$C270))/1000</f>
        <v>0</v>
      </c>
      <c r="F270" s="1249">
        <f>SUMIFS('OpCo Capex'!$H$6:$H$40,'OpCo Capex'!$B$6:$B$40,"Growth",'OpCo Capex'!$G$6:$G$40,F$266,'OpCo Capex'!$F$6:$F$40,YEAR(HoldCo!$C270))/1000</f>
        <v>0</v>
      </c>
      <c r="G270" s="1222">
        <f t="shared" si="98"/>
        <v>0</v>
      </c>
      <c r="H270" s="58"/>
      <c r="I270" s="58"/>
      <c r="J270" s="58"/>
      <c r="K270" s="58"/>
      <c r="M270" s="105"/>
      <c r="N270" s="1220"/>
      <c r="O270" s="1220"/>
      <c r="P270" s="1206">
        <f>$G270</f>
        <v>0</v>
      </c>
      <c r="Q270" s="1206"/>
      <c r="R270" s="1206"/>
      <c r="S270" s="1206"/>
      <c r="T270" s="1206"/>
      <c r="U270" s="1206"/>
      <c r="V270" s="1206"/>
      <c r="W270" s="1206"/>
    </row>
    <row r="271" spans="2:32" outlineLevel="4">
      <c r="B271" s="14"/>
      <c r="C271" s="1251">
        <v>46022</v>
      </c>
      <c r="D271" s="1249">
        <f>SUMIFS('OpCo Capex'!$H$6:$H$40,'OpCo Capex'!$B$6:$B$40,"Growth",'OpCo Capex'!$G$6:$G$40,D$266,'OpCo Capex'!$F$6:$F$40,YEAR(HoldCo!$C271))/1000</f>
        <v>0</v>
      </c>
      <c r="E271" s="1249">
        <f>SUMIFS('OpCo Capex'!$H$6:$H$40,'OpCo Capex'!$B$6:$B$40,"Growth",'OpCo Capex'!$G$6:$G$40,E$266,'OpCo Capex'!$F$6:$F$40,YEAR(HoldCo!$C271))/1000</f>
        <v>0</v>
      </c>
      <c r="F271" s="1249">
        <f>SUMIFS('OpCo Capex'!$H$6:$H$40,'OpCo Capex'!$B$6:$B$40,"Growth",'OpCo Capex'!$G$6:$G$40,F$266,'OpCo Capex'!$F$6:$F$40,YEAR(HoldCo!$C271))/1000</f>
        <v>0</v>
      </c>
      <c r="G271" s="1222">
        <f t="shared" si="98"/>
        <v>0</v>
      </c>
      <c r="H271" s="58"/>
      <c r="I271" s="58"/>
      <c r="J271" s="58"/>
      <c r="K271" s="58"/>
      <c r="M271" s="105"/>
      <c r="N271" s="1220"/>
      <c r="O271" s="1220"/>
      <c r="P271" s="1220"/>
      <c r="Q271" s="1206">
        <f>$G271</f>
        <v>0</v>
      </c>
      <c r="R271" s="1206"/>
      <c r="S271" s="1206"/>
      <c r="T271" s="1206"/>
      <c r="U271" s="1206"/>
      <c r="V271" s="1206"/>
      <c r="W271" s="1206"/>
    </row>
    <row r="272" spans="2:32" outlineLevel="4">
      <c r="B272" s="14"/>
      <c r="C272" s="1251">
        <v>46387</v>
      </c>
      <c r="D272" s="1249">
        <f>SUMIFS('OpCo Capex'!$H$6:$H$40,'OpCo Capex'!$B$6:$B$40,"Growth",'OpCo Capex'!$G$6:$G$40,D$266,'OpCo Capex'!$F$6:$F$40,YEAR(HoldCo!$C272))/1000</f>
        <v>0</v>
      </c>
      <c r="E272" s="1249">
        <f>SUMIFS('OpCo Capex'!$H$6:$H$40,'OpCo Capex'!$B$6:$B$40,"Growth",'OpCo Capex'!$G$6:$G$40,E$266,'OpCo Capex'!$F$6:$F$40,YEAR(HoldCo!$C272))/1000</f>
        <v>0</v>
      </c>
      <c r="F272" s="1249">
        <f>SUMIFS('OpCo Capex'!$H$6:$H$40,'OpCo Capex'!$B$6:$B$40,"Growth",'OpCo Capex'!$G$6:$G$40,F$266,'OpCo Capex'!$F$6:$F$40,YEAR(HoldCo!$C272))/1000</f>
        <v>170</v>
      </c>
      <c r="G272" s="1222">
        <f t="shared" si="98"/>
        <v>170</v>
      </c>
      <c r="H272" s="58"/>
      <c r="I272" s="58"/>
      <c r="J272" s="58"/>
      <c r="K272" s="58"/>
      <c r="M272" s="105"/>
      <c r="N272" s="1220"/>
      <c r="O272" s="1220"/>
      <c r="P272" s="1220"/>
      <c r="Q272" s="1220"/>
      <c r="R272" s="1206">
        <f>$G272</f>
        <v>170</v>
      </c>
      <c r="S272" s="1206"/>
      <c r="T272" s="1206"/>
      <c r="U272" s="1206"/>
      <c r="V272" s="1206"/>
      <c r="W272" s="1206"/>
    </row>
    <row r="273" spans="1:41" outlineLevel="4">
      <c r="B273" s="14"/>
      <c r="C273" s="1251">
        <v>46752</v>
      </c>
      <c r="D273" s="1249">
        <f>SUMIFS('OpCo Capex'!$H$6:$H$40,'OpCo Capex'!$B$6:$B$40,"Growth",'OpCo Capex'!$G$6:$G$40,D$266,'OpCo Capex'!$F$6:$F$40,YEAR(HoldCo!$C273))/1000</f>
        <v>0</v>
      </c>
      <c r="E273" s="1249">
        <f>SUMIFS('OpCo Capex'!$H$6:$H$40,'OpCo Capex'!$B$6:$B$40,"Growth",'OpCo Capex'!$G$6:$G$40,E$266,'OpCo Capex'!$F$6:$F$40,YEAR(HoldCo!$C273))/1000</f>
        <v>45</v>
      </c>
      <c r="F273" s="1249">
        <f>SUMIFS('OpCo Capex'!$H$6:$H$40,'OpCo Capex'!$B$6:$B$40,"Growth",'OpCo Capex'!$G$6:$G$40,F$266,'OpCo Capex'!$F$6:$F$40,YEAR(HoldCo!$C273))/1000</f>
        <v>0</v>
      </c>
      <c r="G273" s="1222">
        <f t="shared" si="98"/>
        <v>45</v>
      </c>
      <c r="H273" s="58"/>
      <c r="I273" s="58"/>
      <c r="J273" s="58"/>
      <c r="K273" s="58"/>
      <c r="M273" s="105"/>
      <c r="N273" s="1220"/>
      <c r="O273" s="1220"/>
      <c r="P273" s="1220"/>
      <c r="Q273" s="1220"/>
      <c r="R273" s="1220"/>
      <c r="S273" s="1206">
        <f>$G273</f>
        <v>45</v>
      </c>
      <c r="T273" s="1206"/>
      <c r="U273" s="1206"/>
      <c r="V273" s="1206"/>
      <c r="W273" s="1206"/>
    </row>
    <row r="274" spans="1:41" outlineLevel="4">
      <c r="B274" s="14"/>
      <c r="C274" s="1251">
        <v>47118</v>
      </c>
      <c r="D274" s="1249">
        <f>SUMIFS('OpCo Capex'!$H$6:$H$40,'OpCo Capex'!$B$6:$B$40,"Growth",'OpCo Capex'!$G$6:$G$40,D$266,'OpCo Capex'!$F$6:$F$40,YEAR(HoldCo!$C274))/1000</f>
        <v>0</v>
      </c>
      <c r="E274" s="1249">
        <f>SUMIFS('OpCo Capex'!$H$6:$H$40,'OpCo Capex'!$B$6:$B$40,"Growth",'OpCo Capex'!$G$6:$G$40,E$266,'OpCo Capex'!$F$6:$F$40,YEAR(HoldCo!$C274))/1000</f>
        <v>0</v>
      </c>
      <c r="F274" s="1249">
        <f>SUMIFS('OpCo Capex'!$H$6:$H$40,'OpCo Capex'!$B$6:$B$40,"Growth",'OpCo Capex'!$G$6:$G$40,F$266,'OpCo Capex'!$F$6:$F$40,YEAR(HoldCo!$C274))/1000</f>
        <v>0</v>
      </c>
      <c r="G274" s="1222">
        <f t="shared" si="98"/>
        <v>0</v>
      </c>
      <c r="H274" s="58"/>
      <c r="I274" s="58"/>
      <c r="J274" s="58"/>
      <c r="K274" s="58"/>
      <c r="M274" s="105"/>
      <c r="N274" s="1220"/>
      <c r="O274" s="1220"/>
      <c r="P274" s="1220"/>
      <c r="Q274" s="1220"/>
      <c r="R274" s="1220"/>
      <c r="S274" s="1220"/>
      <c r="T274" s="1206">
        <f>$G274</f>
        <v>0</v>
      </c>
      <c r="U274" s="1206"/>
      <c r="V274" s="1206"/>
      <c r="W274" s="1206"/>
    </row>
    <row r="275" spans="1:41" outlineLevel="4">
      <c r="B275" s="14"/>
      <c r="C275" s="1251">
        <v>47483</v>
      </c>
      <c r="D275" s="1249">
        <f>SUMIFS('OpCo Capex'!$H$6:$H$40,'OpCo Capex'!$B$6:$B$40,"Growth",'OpCo Capex'!$G$6:$G$40,D$266,'OpCo Capex'!$F$6:$F$40,YEAR(HoldCo!$C275))/1000</f>
        <v>0</v>
      </c>
      <c r="E275" s="1249">
        <f>SUMIFS('OpCo Capex'!$H$6:$H$40,'OpCo Capex'!$B$6:$B$40,"Growth",'OpCo Capex'!$G$6:$G$40,E$266,'OpCo Capex'!$F$6:$F$40,YEAR(HoldCo!$C275))/1000</f>
        <v>0</v>
      </c>
      <c r="F275" s="1249">
        <f>SUMIFS('OpCo Capex'!$H$6:$H$40,'OpCo Capex'!$B$6:$B$40,"Growth",'OpCo Capex'!$G$6:$G$40,F$266,'OpCo Capex'!$F$6:$F$40,YEAR(HoldCo!$C275))/1000</f>
        <v>0</v>
      </c>
      <c r="G275" s="1222">
        <f t="shared" si="98"/>
        <v>0</v>
      </c>
      <c r="H275" s="58"/>
      <c r="I275" s="58"/>
      <c r="J275" s="58"/>
      <c r="K275" s="58"/>
      <c r="M275" s="105"/>
      <c r="N275" s="1220"/>
      <c r="O275" s="1220"/>
      <c r="P275" s="1220"/>
      <c r="Q275" s="1220"/>
      <c r="R275" s="1220"/>
      <c r="S275" s="1220"/>
      <c r="T275" s="1220"/>
      <c r="U275" s="1206">
        <f>$G275</f>
        <v>0</v>
      </c>
      <c r="V275" s="1206"/>
      <c r="W275" s="1206"/>
    </row>
    <row r="276" spans="1:41" outlineLevel="4">
      <c r="B276" s="14"/>
      <c r="C276" s="1251">
        <v>47848</v>
      </c>
      <c r="D276" s="1249">
        <f>SUMIFS('OpCo Capex'!$H$6:$H$40,'OpCo Capex'!$B$6:$B$40,"Growth",'OpCo Capex'!$G$6:$G$40,D$266,'OpCo Capex'!$F$6:$F$40,YEAR(HoldCo!$C276))/1000</f>
        <v>0</v>
      </c>
      <c r="E276" s="1249">
        <f>SUMIFS('OpCo Capex'!$H$6:$H$40,'OpCo Capex'!$B$6:$B$40,"Growth",'OpCo Capex'!$G$6:$G$40,E$266,'OpCo Capex'!$F$6:$F$40,YEAR(HoldCo!$C276))/1000</f>
        <v>0</v>
      </c>
      <c r="F276" s="1249">
        <f>SUMIFS('OpCo Capex'!$H$6:$H$40,'OpCo Capex'!$B$6:$B$40,"Growth",'OpCo Capex'!$G$6:$G$40,F$266,'OpCo Capex'!$F$6:$F$40,YEAR(HoldCo!$C276))/1000</f>
        <v>0</v>
      </c>
      <c r="G276" s="1222">
        <f t="shared" si="98"/>
        <v>0</v>
      </c>
      <c r="H276" s="58"/>
      <c r="I276" s="58"/>
      <c r="J276" s="58"/>
      <c r="K276" s="58"/>
      <c r="M276" s="105"/>
      <c r="N276" s="1244"/>
      <c r="O276" s="1244"/>
      <c r="P276" s="1244"/>
      <c r="Q276" s="1244"/>
      <c r="R276" s="1244"/>
      <c r="S276" s="1244"/>
      <c r="T276" s="1244"/>
      <c r="U276" s="1244"/>
      <c r="V276" s="1206">
        <f>$G276</f>
        <v>0</v>
      </c>
      <c r="W276" s="1245"/>
    </row>
    <row r="277" spans="1:41" outlineLevel="4">
      <c r="B277" s="14"/>
      <c r="C277" s="1251">
        <v>48213</v>
      </c>
      <c r="D277" s="1249">
        <f>SUMIFS('OpCo Capex'!$H$6:$H$40,'OpCo Capex'!$B$6:$B$40,"Growth",'OpCo Capex'!$G$6:$G$40,D$266,'OpCo Capex'!$F$6:$F$40,YEAR(HoldCo!$C277))/1000</f>
        <v>0</v>
      </c>
      <c r="E277" s="1249">
        <f>SUMIFS('OpCo Capex'!$H$6:$H$40,'OpCo Capex'!$B$6:$B$40,"Growth",'OpCo Capex'!$G$6:$G$40,E$266,'OpCo Capex'!$F$6:$F$40,YEAR(HoldCo!$C277))/1000</f>
        <v>0</v>
      </c>
      <c r="F277" s="1249">
        <f>SUMIFS('OpCo Capex'!$H$6:$H$40,'OpCo Capex'!$B$6:$B$40,"Growth",'OpCo Capex'!$G$6:$G$40,F$266,'OpCo Capex'!$F$6:$F$40,YEAR(HoldCo!$C277))/1000</f>
        <v>0</v>
      </c>
      <c r="G277" s="1222">
        <f t="shared" si="98"/>
        <v>0</v>
      </c>
      <c r="H277" s="58"/>
      <c r="I277" s="58"/>
      <c r="J277" s="58"/>
      <c r="K277" s="58"/>
      <c r="M277"/>
      <c r="N277" s="1246"/>
      <c r="O277" s="1246"/>
      <c r="P277" s="1246"/>
      <c r="Q277" s="1246"/>
      <c r="R277" s="1246"/>
      <c r="S277" s="1246"/>
      <c r="T277" s="1246"/>
      <c r="U277" s="1246"/>
      <c r="V277" s="1246"/>
      <c r="W277" s="1206">
        <f>$G277</f>
        <v>0</v>
      </c>
    </row>
    <row r="278" spans="1:41" outlineLevel="4">
      <c r="B278" s="14"/>
      <c r="C278" s="252"/>
      <c r="D278" s="226"/>
      <c r="E278" s="59"/>
      <c r="F278" s="59"/>
      <c r="G278" s="1221"/>
      <c r="H278" s="58"/>
      <c r="I278" s="58"/>
      <c r="J278" s="58"/>
      <c r="K278" s="58"/>
      <c r="M278"/>
      <c r="N278" s="1243">
        <f>SUM(N$268:N$277)</f>
        <v>0</v>
      </c>
      <c r="O278" s="1243">
        <f t="shared" ref="O278:W278" si="99">SUM(O$268:O$277)</f>
        <v>0</v>
      </c>
      <c r="P278" s="1243">
        <f t="shared" si="99"/>
        <v>0</v>
      </c>
      <c r="Q278" s="1243">
        <f t="shared" si="99"/>
        <v>0</v>
      </c>
      <c r="R278" s="1243">
        <f t="shared" si="99"/>
        <v>170</v>
      </c>
      <c r="S278" s="1243">
        <f t="shared" si="99"/>
        <v>45</v>
      </c>
      <c r="T278" s="1243">
        <f t="shared" si="99"/>
        <v>0</v>
      </c>
      <c r="U278" s="1243">
        <f t="shared" si="99"/>
        <v>0</v>
      </c>
      <c r="V278" s="1243">
        <f t="shared" si="99"/>
        <v>0</v>
      </c>
      <c r="W278" s="1243">
        <f t="shared" si="99"/>
        <v>0</v>
      </c>
    </row>
    <row r="279" spans="1:41" outlineLevel="4">
      <c r="B279" s="14"/>
      <c r="C279" s="250"/>
      <c r="D279" s="94"/>
      <c r="E279" s="58"/>
      <c r="F279" s="58"/>
      <c r="G279" s="1206"/>
      <c r="H279" s="58"/>
      <c r="I279" s="58"/>
      <c r="J279" s="58"/>
      <c r="K279" s="58"/>
      <c r="M279" s="517"/>
      <c r="N279" s="1277"/>
      <c r="O279" s="1277"/>
      <c r="P279" s="1277"/>
      <c r="Q279" s="1277"/>
      <c r="R279" s="1277"/>
      <c r="S279" s="1277"/>
      <c r="T279" s="1277"/>
      <c r="U279" s="1277"/>
      <c r="V279" s="1277"/>
      <c r="W279" s="1277"/>
    </row>
    <row r="280" spans="1:41" outlineLevel="4">
      <c r="B280" s="14"/>
      <c r="C280" s="250"/>
      <c r="D280" s="94"/>
      <c r="E280" s="58"/>
      <c r="F280" s="58"/>
      <c r="G280" s="1206"/>
      <c r="H280" s="58"/>
      <c r="I280" s="58"/>
      <c r="J280" s="58"/>
      <c r="K280" s="58"/>
      <c r="M280"/>
      <c r="N280" s="1277"/>
      <c r="O280" s="1277"/>
      <c r="P280" s="1277"/>
      <c r="Q280" s="1277"/>
      <c r="R280" s="1277"/>
      <c r="S280" s="1277"/>
      <c r="T280" s="1277"/>
      <c r="U280" s="1277"/>
      <c r="V280" s="1277"/>
      <c r="W280" s="1277"/>
    </row>
    <row r="281" spans="1:41" ht="13.5" customHeight="1" outlineLevel="4">
      <c r="B281" s="14"/>
      <c r="C281" s="250"/>
      <c r="D281" s="94"/>
      <c r="E281" s="58"/>
      <c r="F281" s="58"/>
      <c r="G281" s="58"/>
      <c r="H281" s="58"/>
      <c r="I281" s="58"/>
      <c r="J281" s="58"/>
      <c r="K281" s="58"/>
      <c r="M281" s="105"/>
      <c r="N281" s="327"/>
      <c r="O281" s="327"/>
      <c r="P281" s="327"/>
      <c r="Q281" s="327"/>
      <c r="R281" s="327"/>
      <c r="S281" s="327"/>
      <c r="T281" s="327"/>
      <c r="U281" s="327"/>
      <c r="V281" s="327"/>
      <c r="W281" s="327"/>
    </row>
    <row r="282" spans="1:41" s="517" customFormat="1" outlineLevel="2" collapsed="1">
      <c r="A282" s="380"/>
      <c r="C282" s="1237" t="s">
        <v>700</v>
      </c>
      <c r="D282" s="1238"/>
      <c r="E282" s="1238"/>
      <c r="F282" s="1238"/>
      <c r="G282" s="1238"/>
      <c r="H282" s="1238"/>
      <c r="I282" s="853"/>
      <c r="J282" s="853"/>
      <c r="K282" s="853"/>
      <c r="L282" s="853"/>
      <c r="M282" s="853"/>
      <c r="N282" s="853"/>
      <c r="O282" s="853"/>
      <c r="P282" s="854"/>
      <c r="Q282" s="854"/>
      <c r="R282" s="854"/>
      <c r="S282" s="854"/>
      <c r="T282" s="854"/>
      <c r="U282" s="854"/>
      <c r="V282" s="854"/>
      <c r="W282" s="854"/>
      <c r="X282"/>
      <c r="Y282"/>
      <c r="Z282"/>
      <c r="AA282"/>
      <c r="AB282"/>
      <c r="AD282" s="174"/>
      <c r="AE282" s="174"/>
      <c r="AF282" s="174"/>
      <c r="AG282" s="174"/>
      <c r="AH282" s="174"/>
      <c r="AI282" s="174"/>
      <c r="AJ282" s="174"/>
      <c r="AK282" s="174"/>
      <c r="AL282" s="174"/>
      <c r="AM282" s="174"/>
      <c r="AN282" s="174"/>
      <c r="AO282" s="174"/>
    </row>
    <row r="283" spans="1:41" hidden="1" outlineLevel="3">
      <c r="B283" s="517"/>
      <c r="C283" s="250"/>
      <c r="D283" s="94"/>
      <c r="E283" s="58"/>
      <c r="F283" s="58"/>
      <c r="G283" s="58"/>
      <c r="H283" s="58"/>
      <c r="I283" s="58"/>
      <c r="J283" s="58"/>
      <c r="K283" s="58"/>
      <c r="M283" s="105"/>
      <c r="N283" s="327"/>
      <c r="O283" s="327"/>
      <c r="P283" s="327"/>
      <c r="Q283" s="327"/>
      <c r="R283" s="327"/>
      <c r="S283" s="327"/>
      <c r="T283" s="327"/>
      <c r="U283" s="327"/>
      <c r="V283" s="327"/>
      <c r="W283" s="327"/>
      <c r="X283"/>
      <c r="Y283"/>
      <c r="Z283"/>
      <c r="AA283"/>
      <c r="AB283"/>
    </row>
    <row r="284" spans="1:41" ht="16" hidden="1" outlineLevel="3">
      <c r="B284" s="517"/>
      <c r="C284" s="1255">
        <v>3</v>
      </c>
      <c r="D284" s="1254"/>
      <c r="E284" s="58"/>
      <c r="F284" s="58"/>
      <c r="G284" s="58"/>
      <c r="H284" s="58"/>
      <c r="I284" s="58"/>
      <c r="J284" s="58"/>
      <c r="K284" s="58"/>
      <c r="M284" s="105"/>
      <c r="N284" s="1278" t="str">
        <f>_xlfn.CONCAT(C284,"-Year Property Depreciation Waterfall")</f>
        <v>3-Year Property Depreciation Waterfall</v>
      </c>
      <c r="O284" s="1281"/>
      <c r="P284" s="1281"/>
      <c r="Q284" s="1281"/>
      <c r="R284" s="1281"/>
      <c r="S284" s="1281"/>
      <c r="T284" s="1281"/>
      <c r="U284" s="1281"/>
      <c r="V284" s="1281"/>
      <c r="W284" s="1281"/>
      <c r="X284" s="517"/>
      <c r="Y284" s="517"/>
      <c r="Z284" s="517"/>
      <c r="AA284" s="517"/>
      <c r="AB284" s="517"/>
    </row>
    <row r="285" spans="1:41" ht="6.5" hidden="1" customHeight="1" outlineLevel="3">
      <c r="B285" s="517"/>
      <c r="C285" s="1250"/>
      <c r="D285" s="94"/>
      <c r="E285" s="58"/>
      <c r="F285" s="58"/>
      <c r="G285" s="58"/>
      <c r="H285" s="58"/>
      <c r="I285" s="58"/>
      <c r="J285" s="58"/>
      <c r="K285" s="58"/>
      <c r="M285" s="105"/>
      <c r="N285" s="327"/>
      <c r="O285" s="327"/>
      <c r="P285" s="327"/>
      <c r="Q285" s="327"/>
      <c r="R285" s="327"/>
      <c r="S285" s="327"/>
      <c r="T285" s="327"/>
      <c r="U285" s="327"/>
      <c r="V285" s="327"/>
      <c r="W285" s="327"/>
      <c r="X285" s="517"/>
      <c r="Y285" s="517"/>
      <c r="Z285" s="517"/>
      <c r="AA285" s="517"/>
      <c r="AB285" s="517"/>
    </row>
    <row r="286" spans="1:41" hidden="1" outlineLevel="3">
      <c r="B286" s="517"/>
      <c r="C286" s="1252">
        <v>44926</v>
      </c>
      <c r="D286" s="1206">
        <f>_xlfn.XLOOKUP(C286,$C$268:$C$277,$D$268:$D$277,0)</f>
        <v>0</v>
      </c>
      <c r="E286" s="1206"/>
      <c r="F286" s="1206"/>
      <c r="G286" s="58"/>
      <c r="H286" s="58"/>
      <c r="I286" s="58"/>
      <c r="J286" s="58"/>
      <c r="K286" s="58"/>
      <c r="M286" s="105"/>
      <c r="N286" s="307">
        <f>PRODUCT($D286,INDEX($D$355:$I$375,MATCH($N$190,$C$355:$C$375,0),MATCH($C$284,$D$353:$I$353,0)),$N$195)</f>
        <v>0</v>
      </c>
      <c r="O286" s="301">
        <f>PRODUCT($D286,INDEX($D$355:$I$375,MATCH((COUNTA($N286:N286)+1),$C$355:$C$375,0),MATCH($C$284,$D$353:$I$353,0)))</f>
        <v>0</v>
      </c>
      <c r="P286" s="301">
        <f>PRODUCT($D286,INDEX($D$355:$I$375,MATCH((COUNTA($N286:O286)+1),$C$355:$C$375,0),MATCH($C$284,$D$353:$I$353,0)))</f>
        <v>0</v>
      </c>
      <c r="Q286" s="301">
        <f>PRODUCT($D286,INDEX($D$355:$I$375,MATCH((COUNTA($N286:P286)+1),$C$355:$C$375,0),MATCH($C$284,$D$353:$I$353,0)))</f>
        <v>0</v>
      </c>
      <c r="R286" s="301">
        <f>PRODUCT($D286,INDEX($D$355:$I$375,MATCH((COUNTA($N286:Q286)+1),$C$355:$C$375,0),MATCH($C$284,$D$353:$I$353,0)))</f>
        <v>0</v>
      </c>
      <c r="S286" s="301">
        <f>PRODUCT($D286,INDEX($D$355:$I$375,MATCH((COUNTA($N286:R286)+1),$C$355:$C$375,0),MATCH($C$284,$D$353:$I$353,0)))</f>
        <v>0</v>
      </c>
      <c r="T286" s="301">
        <f>PRODUCT($D286,INDEX($D$355:$I$375,MATCH((COUNTA($N286:S286)+1),$C$355:$C$375,0),MATCH($C$284,$D$353:$I$353,0)))</f>
        <v>0</v>
      </c>
      <c r="U286" s="301">
        <f>PRODUCT($D286,INDEX($D$355:$I$375,MATCH((COUNTA($N286:T286)+1),$C$355:$C$375,0),MATCH($C$284,$D$353:$I$353,0)))</f>
        <v>0</v>
      </c>
      <c r="V286" s="301">
        <f>PRODUCT($D286,INDEX($D$355:$I$375,MATCH((COUNTA($N286:U286)+1),$C$355:$C$375,0),MATCH($C$284,$D$353:$I$353,0)))</f>
        <v>0</v>
      </c>
      <c r="W286" s="301">
        <f>PRODUCT($D286,INDEX($D$355:$I$375,MATCH((COUNTA($N286:V286)+1),$C$355:$C$375,0),MATCH($C$284,$D$353:$I$353,0)))</f>
        <v>0</v>
      </c>
      <c r="X286" s="517"/>
      <c r="Y286" s="517"/>
      <c r="Z286" s="517"/>
      <c r="AA286" s="517"/>
      <c r="AB286" s="517"/>
    </row>
    <row r="287" spans="1:41" hidden="1" outlineLevel="3">
      <c r="B287" s="517"/>
      <c r="C287" s="1252">
        <v>45291</v>
      </c>
      <c r="D287" s="1206">
        <f t="shared" ref="D287:D295" si="100">_xlfn.XLOOKUP(C287,$C$268:$C$277,$D$268:$D$277,0)</f>
        <v>0</v>
      </c>
      <c r="E287" s="1206"/>
      <c r="F287" s="1206"/>
      <c r="G287" s="58"/>
      <c r="H287" s="58"/>
      <c r="I287" s="58"/>
      <c r="J287" s="58"/>
      <c r="K287" s="58"/>
      <c r="M287" s="105"/>
      <c r="N287" s="306"/>
      <c r="O287" s="301">
        <f>PRODUCT($D287,INDEX($D$355:$I$375,MATCH((COUNTA($N287:N287)+1),$C$355:$C$375,0),MATCH($C$284,$D$353:$I$353,0)))</f>
        <v>0</v>
      </c>
      <c r="P287" s="301">
        <f>PRODUCT($D287,INDEX($D$355:$I$375,MATCH((COUNTA($N287:O287)+1),$C$355:$C$375,0),MATCH($C$284,$D$353:$I$353,0)))</f>
        <v>0</v>
      </c>
      <c r="Q287" s="301">
        <f>PRODUCT($D287,INDEX($D$355:$I$375,MATCH((COUNTA($N287:P287)+1),$C$355:$C$375,0),MATCH($C$284,$D$353:$I$353,0)))</f>
        <v>0</v>
      </c>
      <c r="R287" s="301">
        <f>PRODUCT($D287,INDEX($D$355:$I$375,MATCH((COUNTA($N287:Q287)+1),$C$355:$C$375,0),MATCH($C$284,$D$353:$I$353,0)))</f>
        <v>0</v>
      </c>
      <c r="S287" s="301">
        <f>PRODUCT($D287,INDEX($D$355:$I$375,MATCH((COUNTA($N287:R287)+1),$C$355:$C$375,0),MATCH($C$284,$D$353:$I$353,0)))</f>
        <v>0</v>
      </c>
      <c r="T287" s="301">
        <f>PRODUCT($D287,INDEX($D$355:$I$375,MATCH((COUNTA($N287:S287)+1),$C$355:$C$375,0),MATCH($C$284,$D$353:$I$353,0)))</f>
        <v>0</v>
      </c>
      <c r="U287" s="301">
        <f>PRODUCT($D287,INDEX($D$355:$I$375,MATCH((COUNTA($N287:T287)+1),$C$355:$C$375,0),MATCH($C$284,$D$353:$I$353,0)))</f>
        <v>0</v>
      </c>
      <c r="V287" s="301">
        <f>PRODUCT($D287,INDEX($D$355:$I$375,MATCH((COUNTA($N287:U287)+1),$C$355:$C$375,0),MATCH($C$284,$D$353:$I$353,0)))</f>
        <v>0</v>
      </c>
      <c r="W287" s="301">
        <f>PRODUCT($D287,INDEX($D$355:$I$375,MATCH((COUNTA($N287:V287)+1),$C$355:$C$375,0),MATCH($C$284,$D$353:$I$353,0)))</f>
        <v>0</v>
      </c>
      <c r="X287" s="517"/>
      <c r="Y287" s="517"/>
      <c r="Z287" s="517"/>
      <c r="AA287" s="517"/>
      <c r="AB287" s="517"/>
    </row>
    <row r="288" spans="1:41" hidden="1" outlineLevel="3">
      <c r="B288" s="517"/>
      <c r="C288" s="1252">
        <v>45657</v>
      </c>
      <c r="D288" s="1206">
        <f t="shared" si="100"/>
        <v>0</v>
      </c>
      <c r="E288" s="1206"/>
      <c r="F288" s="1206"/>
      <c r="G288" s="58"/>
      <c r="H288" s="58"/>
      <c r="I288" s="58"/>
      <c r="J288" s="58"/>
      <c r="K288" s="58"/>
      <c r="M288" s="105"/>
      <c r="N288" s="306"/>
      <c r="O288" s="306"/>
      <c r="P288" s="301">
        <f>PRODUCT($D288,INDEX($D$355:$I$375,MATCH((COUNTA($N288:O288)+1),$C$355:$C$375,0),MATCH($C$284,$D$353:$I$353,0)))</f>
        <v>0</v>
      </c>
      <c r="Q288" s="301">
        <f>PRODUCT($D288,INDEX($D$355:$I$375,MATCH((COUNTA($N288:P288)+1),$C$355:$C$375,0),MATCH($C$284,$D$353:$I$353,0)))</f>
        <v>0</v>
      </c>
      <c r="R288" s="301">
        <f>PRODUCT($D288,INDEX($D$355:$I$375,MATCH((COUNTA($N288:Q288)+1),$C$355:$C$375,0),MATCH($C$284,$D$353:$I$353,0)))</f>
        <v>0</v>
      </c>
      <c r="S288" s="301">
        <f>PRODUCT($D288,INDEX($D$355:$I$375,MATCH((COUNTA($N288:R288)+1),$C$355:$C$375,0),MATCH($C$284,$D$353:$I$353,0)))</f>
        <v>0</v>
      </c>
      <c r="T288" s="301">
        <f>PRODUCT($D288,INDEX($D$355:$I$375,MATCH((COUNTA($N288:S288)+1),$C$355:$C$375,0),MATCH($C$284,$D$353:$I$353,0)))</f>
        <v>0</v>
      </c>
      <c r="U288" s="301">
        <f>PRODUCT($D288,INDEX($D$355:$I$375,MATCH((COUNTA($N288:T288)+1),$C$355:$C$375,0),MATCH($C$284,$D$353:$I$353,0)))</f>
        <v>0</v>
      </c>
      <c r="V288" s="301">
        <f>PRODUCT($D288,INDEX($D$355:$I$375,MATCH((COUNTA($N288:U288)+1),$C$355:$C$375,0),MATCH($C$284,$D$353:$I$353,0)))</f>
        <v>0</v>
      </c>
      <c r="W288" s="301">
        <f>PRODUCT($D288,INDEX($D$355:$I$375,MATCH((COUNTA($N288:V288)+1),$C$355:$C$375,0),MATCH($C$284,$D$353:$I$353,0)))</f>
        <v>0</v>
      </c>
      <c r="X288" s="517"/>
      <c r="Y288" s="517"/>
      <c r="Z288" s="517"/>
      <c r="AA288" s="517"/>
      <c r="AB288" s="517"/>
    </row>
    <row r="289" spans="2:28" hidden="1" outlineLevel="3">
      <c r="B289" s="517"/>
      <c r="C289" s="1252">
        <v>46022</v>
      </c>
      <c r="D289" s="1206">
        <f t="shared" si="100"/>
        <v>0</v>
      </c>
      <c r="E289" s="1206"/>
      <c r="F289" s="1206"/>
      <c r="G289" s="58"/>
      <c r="H289" s="58"/>
      <c r="I289" s="58"/>
      <c r="J289" s="58"/>
      <c r="K289" s="58"/>
      <c r="M289" s="105"/>
      <c r="N289" s="306"/>
      <c r="O289" s="306"/>
      <c r="P289" s="306"/>
      <c r="Q289" s="301">
        <f>PRODUCT($D289,INDEX($D$355:$I$375,MATCH((COUNTA($N289:P289)+1),$C$355:$C$375,0),MATCH($C$284,$D$353:$I$353,0)))</f>
        <v>0</v>
      </c>
      <c r="R289" s="301">
        <f>PRODUCT($D289,INDEX($D$355:$I$375,MATCH((COUNTA($N289:Q289)+1),$C$355:$C$375,0),MATCH($C$284,$D$353:$I$353,0)))</f>
        <v>0</v>
      </c>
      <c r="S289" s="301">
        <f>PRODUCT($D289,INDEX($D$355:$I$375,MATCH((COUNTA($N289:R289)+1),$C$355:$C$375,0),MATCH($C$284,$D$353:$I$353,0)))</f>
        <v>0</v>
      </c>
      <c r="T289" s="301">
        <f>PRODUCT($D289,INDEX($D$355:$I$375,MATCH((COUNTA($N289:S289)+1),$C$355:$C$375,0),MATCH($C$284,$D$353:$I$353,0)))</f>
        <v>0</v>
      </c>
      <c r="U289" s="301">
        <f>PRODUCT($D289,INDEX($D$355:$I$375,MATCH((COUNTA($N289:T289)+1),$C$355:$C$375,0),MATCH($C$284,$D$353:$I$353,0)))</f>
        <v>0</v>
      </c>
      <c r="V289" s="301">
        <f>PRODUCT($D289,INDEX($D$355:$I$375,MATCH((COUNTA($N289:U289)+1),$C$355:$C$375,0),MATCH($C$284,$D$353:$I$353,0)))</f>
        <v>0</v>
      </c>
      <c r="W289" s="301">
        <f>PRODUCT($D289,INDEX($D$355:$I$375,MATCH((COUNTA($N289:V289)+1),$C$355:$C$375,0),MATCH($C$284,$D$353:$I$353,0)))</f>
        <v>0</v>
      </c>
      <c r="X289" s="517"/>
      <c r="Y289" s="517"/>
      <c r="Z289" s="517"/>
      <c r="AA289" s="517"/>
      <c r="AB289" s="517"/>
    </row>
    <row r="290" spans="2:28" hidden="1" outlineLevel="3">
      <c r="B290" s="517"/>
      <c r="C290" s="1252">
        <v>46387</v>
      </c>
      <c r="D290" s="1206">
        <f t="shared" si="100"/>
        <v>0</v>
      </c>
      <c r="E290" s="1206"/>
      <c r="F290" s="1206"/>
      <c r="G290" s="58"/>
      <c r="H290" s="58"/>
      <c r="I290" s="58"/>
      <c r="J290" s="58"/>
      <c r="K290" s="58"/>
      <c r="M290" s="105"/>
      <c r="N290" s="306"/>
      <c r="O290" s="306"/>
      <c r="P290" s="306"/>
      <c r="Q290" s="306"/>
      <c r="R290" s="301">
        <f>PRODUCT($D290,INDEX($D$355:$I$375,MATCH((COUNTA($N290:Q290)+1),$C$355:$C$375,0),MATCH($C$284,$D$353:$I$353,0)))</f>
        <v>0</v>
      </c>
      <c r="S290" s="301">
        <f>PRODUCT($D290,INDEX($D$355:$I$375,MATCH((COUNTA($N290:R290)+1),$C$355:$C$375,0),MATCH($C$284,$D$353:$I$353,0)))</f>
        <v>0</v>
      </c>
      <c r="T290" s="301">
        <f>PRODUCT($D290,INDEX($D$355:$I$375,MATCH((COUNTA($N290:S290)+1),$C$355:$C$375,0),MATCH($C$284,$D$353:$I$353,0)))</f>
        <v>0</v>
      </c>
      <c r="U290" s="301">
        <f>PRODUCT($D290,INDEX($D$355:$I$375,MATCH((COUNTA($N290:T290)+1),$C$355:$C$375,0),MATCH($C$284,$D$353:$I$353,0)))</f>
        <v>0</v>
      </c>
      <c r="V290" s="301">
        <f>PRODUCT($D290,INDEX($D$355:$I$375,MATCH((COUNTA($N290:U290)+1),$C$355:$C$375,0),MATCH($C$284,$D$353:$I$353,0)))</f>
        <v>0</v>
      </c>
      <c r="W290" s="301">
        <f>PRODUCT($D290,INDEX($D$355:$I$375,MATCH((COUNTA($N290:V290)+1),$C$355:$C$375,0),MATCH($C$284,$D$353:$I$353,0)))</f>
        <v>0</v>
      </c>
      <c r="X290" s="517"/>
      <c r="Y290" s="517"/>
      <c r="Z290" s="517"/>
      <c r="AA290" s="517"/>
      <c r="AB290" s="517"/>
    </row>
    <row r="291" spans="2:28" hidden="1" outlineLevel="3">
      <c r="B291" s="517"/>
      <c r="C291" s="1252">
        <v>46752</v>
      </c>
      <c r="D291" s="1206">
        <f t="shared" si="100"/>
        <v>0</v>
      </c>
      <c r="E291" s="1206"/>
      <c r="F291" s="1206"/>
      <c r="G291" s="58"/>
      <c r="H291" s="58"/>
      <c r="I291" s="58"/>
      <c r="J291" s="58"/>
      <c r="K291" s="58"/>
      <c r="M291" s="105"/>
      <c r="N291" s="306"/>
      <c r="O291" s="306"/>
      <c r="P291" s="306"/>
      <c r="Q291" s="306"/>
      <c r="R291" s="306"/>
      <c r="S291" s="301">
        <f>PRODUCT($D291,INDEX($D$355:$I$375,MATCH((COUNTA($N291:R291)+1),$C$355:$C$375,0),MATCH($C$284,$D$353:$I$353,0)))</f>
        <v>0</v>
      </c>
      <c r="T291" s="301">
        <f>PRODUCT($D291,INDEX($D$355:$I$375,MATCH((COUNTA($N291:S291)+1),$C$355:$C$375,0),MATCH($C$284,$D$353:$I$353,0)))</f>
        <v>0</v>
      </c>
      <c r="U291" s="301">
        <f>PRODUCT($D291,INDEX($D$355:$I$375,MATCH((COUNTA($N291:T291)+1),$C$355:$C$375,0),MATCH($C$284,$D$353:$I$353,0)))</f>
        <v>0</v>
      </c>
      <c r="V291" s="301">
        <f>PRODUCT($D291,INDEX($D$355:$I$375,MATCH((COUNTA($N291:U291)+1),$C$355:$C$375,0),MATCH($C$284,$D$353:$I$353,0)))</f>
        <v>0</v>
      </c>
      <c r="W291" s="301">
        <f>PRODUCT($D291,INDEX($D$355:$I$375,MATCH((COUNTA($N291:V291)+1),$C$355:$C$375,0),MATCH($C$284,$D$353:$I$353,0)))</f>
        <v>0</v>
      </c>
      <c r="X291" s="517"/>
      <c r="Y291" s="517"/>
      <c r="Z291" s="517"/>
      <c r="AA291" s="517"/>
      <c r="AB291" s="517"/>
    </row>
    <row r="292" spans="2:28" hidden="1" outlineLevel="3">
      <c r="B292" s="517"/>
      <c r="C292" s="1252">
        <v>47118</v>
      </c>
      <c r="D292" s="1206">
        <f t="shared" si="100"/>
        <v>0</v>
      </c>
      <c r="E292" s="1206"/>
      <c r="F292" s="1206"/>
      <c r="G292" s="58"/>
      <c r="H292" s="58"/>
      <c r="I292" s="58"/>
      <c r="J292" s="58"/>
      <c r="K292" s="58"/>
      <c r="M292" s="105"/>
      <c r="N292" s="306"/>
      <c r="O292" s="306"/>
      <c r="P292" s="306"/>
      <c r="Q292" s="306"/>
      <c r="R292" s="306"/>
      <c r="S292" s="306"/>
      <c r="T292" s="301">
        <f>PRODUCT($D292,INDEX($D$355:$I$375,MATCH((COUNTA($N292:S292)+1),$C$355:$C$375,0),MATCH($C$284,$D$353:$I$353,0)))</f>
        <v>0</v>
      </c>
      <c r="U292" s="301">
        <f>PRODUCT($D292,INDEX($D$355:$I$375,MATCH((COUNTA($N292:T292)+1),$C$355:$C$375,0),MATCH($C$284,$D$353:$I$353,0)))</f>
        <v>0</v>
      </c>
      <c r="V292" s="301">
        <f>PRODUCT($D292,INDEX($D$355:$I$375,MATCH((COUNTA($N292:U292)+1),$C$355:$C$375,0),MATCH($C$284,$D$353:$I$353,0)))</f>
        <v>0</v>
      </c>
      <c r="W292" s="301">
        <f>PRODUCT($D292,INDEX($D$355:$I$375,MATCH((COUNTA($N292:V292)+1),$C$355:$C$375,0),MATCH($C$284,$D$353:$I$353,0)))</f>
        <v>0</v>
      </c>
      <c r="X292" s="517"/>
      <c r="Y292" s="517"/>
      <c r="Z292" s="517"/>
      <c r="AA292" s="517"/>
      <c r="AB292" s="517"/>
    </row>
    <row r="293" spans="2:28" hidden="1" outlineLevel="3">
      <c r="B293" s="517"/>
      <c r="C293" s="1252">
        <v>47483</v>
      </c>
      <c r="D293" s="1206">
        <f t="shared" si="100"/>
        <v>0</v>
      </c>
      <c r="E293" s="1206"/>
      <c r="F293" s="1206"/>
      <c r="G293" s="58"/>
      <c r="H293" s="58"/>
      <c r="I293" s="58"/>
      <c r="J293" s="58"/>
      <c r="K293" s="58"/>
      <c r="M293" s="105"/>
      <c r="N293" s="306"/>
      <c r="O293" s="306"/>
      <c r="P293" s="306"/>
      <c r="Q293" s="306"/>
      <c r="R293" s="306"/>
      <c r="S293" s="306"/>
      <c r="T293" s="306"/>
      <c r="U293" s="301">
        <f>PRODUCT($D293,INDEX($D$355:$I$375,MATCH((COUNTA($N293:T293)+1),$C$355:$C$375,0),MATCH($C$284,$D$353:$I$353,0)))</f>
        <v>0</v>
      </c>
      <c r="V293" s="301">
        <f>PRODUCT($D293,INDEX($D$355:$I$375,MATCH((COUNTA($N293:U293)+1),$C$355:$C$375,0),MATCH($C$284,$D$353:$I$353,0)))</f>
        <v>0</v>
      </c>
      <c r="W293" s="301">
        <f>PRODUCT($D293,INDEX($D$355:$I$375,MATCH((COUNTA($N293:V293)+1),$C$355:$C$375,0),MATCH($C$284,$D$353:$I$353,0)))</f>
        <v>0</v>
      </c>
      <c r="X293" s="517"/>
      <c r="Y293" s="517"/>
      <c r="Z293" s="517"/>
      <c r="AA293" s="517"/>
      <c r="AB293" s="517"/>
    </row>
    <row r="294" spans="2:28" hidden="1" outlineLevel="3">
      <c r="B294" s="517"/>
      <c r="C294" s="1252">
        <v>47848</v>
      </c>
      <c r="D294" s="1206">
        <f t="shared" si="100"/>
        <v>0</v>
      </c>
      <c r="E294" s="1206"/>
      <c r="F294" s="1206"/>
      <c r="G294" s="58"/>
      <c r="H294" s="58"/>
      <c r="I294" s="58"/>
      <c r="J294" s="58"/>
      <c r="K294" s="58"/>
      <c r="M294" s="105"/>
      <c r="N294" s="306"/>
      <c r="O294" s="306"/>
      <c r="P294" s="306"/>
      <c r="Q294" s="306"/>
      <c r="R294" s="306"/>
      <c r="S294" s="306"/>
      <c r="T294" s="306"/>
      <c r="U294" s="306"/>
      <c r="V294" s="301">
        <f>PRODUCT($D294,INDEX($D$355:$I$375,MATCH((COUNTA($N294:U294)+1),$C$355:$C$375,0),MATCH($C$284,$D$353:$I$353,0)))</f>
        <v>0</v>
      </c>
      <c r="W294" s="301">
        <f>PRODUCT($D294,INDEX($D$355:$I$375,MATCH((COUNTA($N294:V294)+1),$C$355:$C$375,0),MATCH($C$284,$D$353:$I$353,0)))</f>
        <v>0</v>
      </c>
      <c r="X294" s="517"/>
      <c r="Y294" s="517"/>
      <c r="Z294" s="517"/>
      <c r="AA294" s="517"/>
      <c r="AB294" s="517"/>
    </row>
    <row r="295" spans="2:28" hidden="1" outlineLevel="3">
      <c r="B295" s="517"/>
      <c r="C295" s="1252">
        <v>48213</v>
      </c>
      <c r="D295" s="1206">
        <f t="shared" si="100"/>
        <v>0</v>
      </c>
      <c r="E295" s="1206"/>
      <c r="F295" s="1206"/>
      <c r="G295" s="58"/>
      <c r="H295" s="58"/>
      <c r="I295" s="58"/>
      <c r="J295" s="58"/>
      <c r="K295" s="58"/>
      <c r="M295" s="105"/>
      <c r="N295" s="306"/>
      <c r="O295" s="306"/>
      <c r="P295" s="306"/>
      <c r="Q295" s="306"/>
      <c r="R295" s="306"/>
      <c r="S295" s="306"/>
      <c r="T295" s="306"/>
      <c r="U295" s="306"/>
      <c r="V295" s="306"/>
      <c r="W295" s="301">
        <f>PRODUCT($D295,INDEX($D$355:$I$375,MATCH((COUNTA($N295:V295)+1),$C$355:$C$375,0),MATCH($C$284,$D$353:$I$353,0)))</f>
        <v>0</v>
      </c>
      <c r="X295" s="517"/>
      <c r="Y295" s="517"/>
      <c r="Z295" s="517"/>
      <c r="AA295" s="517"/>
      <c r="AB295" s="517"/>
    </row>
    <row r="296" spans="2:28" hidden="1" outlineLevel="3">
      <c r="B296" s="517"/>
      <c r="C296" s="250"/>
      <c r="D296" s="94"/>
      <c r="E296" s="58"/>
      <c r="F296" s="58"/>
      <c r="G296" s="58"/>
      <c r="H296" s="58"/>
      <c r="I296" s="58"/>
      <c r="J296" s="58"/>
      <c r="K296" s="58"/>
      <c r="M296" s="105"/>
      <c r="N296" s="300">
        <f>SUM(N$286:N$295)</f>
        <v>0</v>
      </c>
      <c r="O296" s="300">
        <f t="shared" ref="O296:W296" si="101">SUM(O$286:O$295)</f>
        <v>0</v>
      </c>
      <c r="P296" s="300">
        <f t="shared" si="101"/>
        <v>0</v>
      </c>
      <c r="Q296" s="300">
        <f t="shared" si="101"/>
        <v>0</v>
      </c>
      <c r="R296" s="300">
        <f t="shared" si="101"/>
        <v>0</v>
      </c>
      <c r="S296" s="300">
        <f t="shared" si="101"/>
        <v>0</v>
      </c>
      <c r="T296" s="300">
        <f t="shared" si="101"/>
        <v>0</v>
      </c>
      <c r="U296" s="300">
        <f t="shared" si="101"/>
        <v>0</v>
      </c>
      <c r="V296" s="300">
        <f t="shared" si="101"/>
        <v>0</v>
      </c>
      <c r="W296" s="300">
        <f t="shared" si="101"/>
        <v>0</v>
      </c>
      <c r="X296" s="517"/>
      <c r="Y296" s="517"/>
      <c r="Z296" s="517"/>
      <c r="AA296" s="517"/>
      <c r="AB296" s="517"/>
    </row>
    <row r="297" spans="2:28" hidden="1" outlineLevel="3">
      <c r="B297" s="517"/>
      <c r="C297" s="250"/>
      <c r="D297" s="94"/>
      <c r="E297" s="58"/>
      <c r="F297" s="58"/>
      <c r="G297" s="58"/>
      <c r="H297" s="58"/>
      <c r="I297" s="58"/>
      <c r="J297" s="58"/>
      <c r="K297" s="58"/>
      <c r="M297" s="105"/>
      <c r="N297" s="327"/>
      <c r="O297" s="327"/>
      <c r="P297" s="327"/>
      <c r="Q297" s="327"/>
      <c r="R297" s="327"/>
      <c r="S297" s="327"/>
      <c r="T297" s="327"/>
      <c r="U297" s="327"/>
      <c r="V297" s="327"/>
      <c r="W297" s="327"/>
      <c r="X297" s="517"/>
      <c r="Y297" s="517"/>
      <c r="Z297" s="517"/>
      <c r="AA297" s="517"/>
      <c r="AB297" s="517"/>
    </row>
    <row r="298" spans="2:28" ht="16" hidden="1" outlineLevel="3">
      <c r="B298" s="517"/>
      <c r="C298" s="1255">
        <v>5</v>
      </c>
      <c r="D298" s="1253"/>
      <c r="E298" s="58"/>
      <c r="F298" s="58"/>
      <c r="G298" s="58"/>
      <c r="H298" s="58"/>
      <c r="I298" s="58"/>
      <c r="J298" s="58"/>
      <c r="K298" s="58"/>
      <c r="M298" s="105"/>
      <c r="N298" s="1278" t="str">
        <f>_xlfn.CONCAT(C298,"-Year Property Depreciation Waterfall")</f>
        <v>5-Year Property Depreciation Waterfall</v>
      </c>
      <c r="O298" s="1281"/>
      <c r="P298" s="1281"/>
      <c r="Q298" s="1281"/>
      <c r="R298" s="1281"/>
      <c r="S298" s="1281"/>
      <c r="T298" s="1281"/>
      <c r="U298" s="1281"/>
      <c r="V298" s="1281"/>
      <c r="W298" s="1281"/>
      <c r="X298" s="517"/>
      <c r="Y298" s="517"/>
      <c r="Z298" s="517"/>
      <c r="AA298" s="517"/>
      <c r="AB298" s="517"/>
    </row>
    <row r="299" spans="2:28" ht="6.5" hidden="1" customHeight="1" outlineLevel="3">
      <c r="B299" s="517"/>
      <c r="C299" s="1250"/>
      <c r="D299" s="94"/>
      <c r="E299" s="58"/>
      <c r="F299" s="58"/>
      <c r="G299" s="58"/>
      <c r="H299" s="58"/>
      <c r="I299" s="58"/>
      <c r="J299" s="58"/>
      <c r="K299" s="58"/>
      <c r="M299" s="105"/>
      <c r="N299" s="327"/>
      <c r="O299" s="327"/>
      <c r="P299" s="327"/>
      <c r="Q299" s="327"/>
      <c r="R299" s="327"/>
      <c r="S299" s="327"/>
      <c r="T299" s="327"/>
      <c r="U299" s="327"/>
      <c r="V299" s="327"/>
      <c r="W299" s="327"/>
      <c r="X299" s="517"/>
      <c r="Y299" s="517"/>
      <c r="Z299" s="517"/>
      <c r="AA299" s="517"/>
      <c r="AB299" s="517"/>
    </row>
    <row r="300" spans="2:28" hidden="1" outlineLevel="3">
      <c r="B300" s="517"/>
      <c r="C300" s="1252">
        <v>44926</v>
      </c>
      <c r="D300" s="1206">
        <f>_xlfn.XLOOKUP(C300,$C$268:$C$277,$E$268:$E$277,0)</f>
        <v>0</v>
      </c>
      <c r="E300" s="58"/>
      <c r="F300" s="58"/>
      <c r="G300" s="58"/>
      <c r="H300" s="58"/>
      <c r="I300" s="58"/>
      <c r="J300" s="58"/>
      <c r="K300" s="58"/>
      <c r="M300" s="105"/>
      <c r="N300" s="307">
        <f>PRODUCT($D300,INDEX($D$355:$I$375,MATCH($N$190,$C$355:$C$375,0),MATCH($C$298,$D$353:$I$353,0)),$N$195)</f>
        <v>0</v>
      </c>
      <c r="O300" s="301">
        <f>PRODUCT($D300,INDEX($D$355:$I$375,MATCH((COUNTA($N300:N300)+1),$C$355:$C$375,0),MATCH($C$298,$D$353:$I$353,0)))</f>
        <v>0</v>
      </c>
      <c r="P300" s="301">
        <f>PRODUCT($D300,INDEX($D$355:$I$375,MATCH((COUNTA($N300:O300)+1),$C$355:$C$375,0),MATCH($C$298,$D$353:$I$353,0)))</f>
        <v>0</v>
      </c>
      <c r="Q300" s="301">
        <f>PRODUCT($D300,INDEX($D$355:$I$375,MATCH((COUNTA($N300:P300)+1),$C$355:$C$375,0),MATCH($C$298,$D$353:$I$353,0)))</f>
        <v>0</v>
      </c>
      <c r="R300" s="301">
        <f>PRODUCT($D300,INDEX($D$355:$I$375,MATCH((COUNTA($N300:Q300)+1),$C$355:$C$375,0),MATCH($C$298,$D$353:$I$353,0)))</f>
        <v>0</v>
      </c>
      <c r="S300" s="301">
        <f>PRODUCT($D300,INDEX($D$355:$I$375,MATCH((COUNTA($N300:R300)+1),$C$355:$C$375,0),MATCH($C$298,$D$353:$I$353,0)))</f>
        <v>0</v>
      </c>
      <c r="T300" s="301">
        <f>PRODUCT($D300,INDEX($D$355:$I$375,MATCH((COUNTA($N300:S300)+1),$C$355:$C$375,0),MATCH($C$298,$D$353:$I$353,0)))</f>
        <v>0</v>
      </c>
      <c r="U300" s="301">
        <f>PRODUCT($D300,INDEX($D$355:$I$375,MATCH((COUNTA($N300:T300)+1),$C$355:$C$375,0),MATCH($C$298,$D$353:$I$353,0)))</f>
        <v>0</v>
      </c>
      <c r="V300" s="301">
        <f>PRODUCT($D300,INDEX($D$355:$I$375,MATCH((COUNTA($N300:U300)+1),$C$355:$C$375,0),MATCH($C$298,$D$353:$I$353,0)))</f>
        <v>0</v>
      </c>
      <c r="W300" s="301">
        <f>PRODUCT($D300,INDEX($D$355:$I$375,MATCH((COUNTA($N300:V300)+1),$C$355:$C$375,0),MATCH($C$298,$D$353:$I$353,0)))</f>
        <v>0</v>
      </c>
      <c r="X300" s="517"/>
      <c r="Y300" s="517"/>
      <c r="Z300" s="517"/>
      <c r="AA300" s="517"/>
      <c r="AB300" s="517"/>
    </row>
    <row r="301" spans="2:28" hidden="1" outlineLevel="3">
      <c r="B301" s="517"/>
      <c r="C301" s="1252">
        <v>45291</v>
      </c>
      <c r="D301" s="1206">
        <f t="shared" ref="D301:D309" si="102">_xlfn.XLOOKUP(C301,$C$268:$C$277,$E$268:$E$277,0)</f>
        <v>0</v>
      </c>
      <c r="E301" s="58"/>
      <c r="F301" s="58"/>
      <c r="G301" s="58"/>
      <c r="H301" s="58"/>
      <c r="I301" s="58"/>
      <c r="J301" s="58"/>
      <c r="K301" s="58"/>
      <c r="M301" s="105"/>
      <c r="N301" s="306"/>
      <c r="O301" s="301">
        <f>PRODUCT($D301,INDEX($D$355:$I$375,MATCH((COUNTA($N301:N301)+1),$C$355:$C$375,0),MATCH($C$298,$D$353:$I$353,0)))</f>
        <v>0</v>
      </c>
      <c r="P301" s="301">
        <f>PRODUCT($D301,INDEX($D$355:$I$375,MATCH((COUNTA($N301:O301)+1),$C$355:$C$375,0),MATCH($C$298,$D$353:$I$353,0)))</f>
        <v>0</v>
      </c>
      <c r="Q301" s="301">
        <f>PRODUCT($D301,INDEX($D$355:$I$375,MATCH((COUNTA($N301:P301)+1),$C$355:$C$375,0),MATCH($C$298,$D$353:$I$353,0)))</f>
        <v>0</v>
      </c>
      <c r="R301" s="301">
        <f>PRODUCT($D301,INDEX($D$355:$I$375,MATCH((COUNTA($N301:Q301)+1),$C$355:$C$375,0),MATCH($C$298,$D$353:$I$353,0)))</f>
        <v>0</v>
      </c>
      <c r="S301" s="301">
        <f>PRODUCT($D301,INDEX($D$355:$I$375,MATCH((COUNTA($N301:R301)+1),$C$355:$C$375,0),MATCH($C$298,$D$353:$I$353,0)))</f>
        <v>0</v>
      </c>
      <c r="T301" s="301">
        <f>PRODUCT($D301,INDEX($D$355:$I$375,MATCH((COUNTA($N301:S301)+1),$C$355:$C$375,0),MATCH($C$298,$D$353:$I$353,0)))</f>
        <v>0</v>
      </c>
      <c r="U301" s="301">
        <f>PRODUCT($D301,INDEX($D$355:$I$375,MATCH((COUNTA($N301:T301)+1),$C$355:$C$375,0),MATCH($C$298,$D$353:$I$353,0)))</f>
        <v>0</v>
      </c>
      <c r="V301" s="301">
        <f>PRODUCT($D301,INDEX($D$355:$I$375,MATCH((COUNTA($N301:U301)+1),$C$355:$C$375,0),MATCH($C$298,$D$353:$I$353,0)))</f>
        <v>0</v>
      </c>
      <c r="W301" s="301">
        <f>PRODUCT($D301,INDEX($D$355:$I$375,MATCH((COUNTA($N301:V301)+1),$C$355:$C$375,0),MATCH($C$298,$D$353:$I$353,0)))</f>
        <v>0</v>
      </c>
      <c r="X301" s="517"/>
      <c r="Y301" s="517"/>
      <c r="Z301" s="517"/>
      <c r="AA301" s="517"/>
      <c r="AB301" s="517"/>
    </row>
    <row r="302" spans="2:28" hidden="1" outlineLevel="3">
      <c r="B302" s="517"/>
      <c r="C302" s="1252">
        <v>45657</v>
      </c>
      <c r="D302" s="1206">
        <f t="shared" si="102"/>
        <v>0</v>
      </c>
      <c r="E302" s="58"/>
      <c r="F302" s="58"/>
      <c r="G302" s="58"/>
      <c r="H302" s="58"/>
      <c r="I302" s="58"/>
      <c r="J302" s="58"/>
      <c r="K302" s="58"/>
      <c r="M302" s="105"/>
      <c r="N302" s="306"/>
      <c r="O302" s="306"/>
      <c r="P302" s="301">
        <f>PRODUCT($D302,INDEX($D$355:$I$375,MATCH((COUNTA($N302:O302)+1),$C$355:$C$375,0),MATCH($C$298,$D$353:$I$353,0)))</f>
        <v>0</v>
      </c>
      <c r="Q302" s="301">
        <f>PRODUCT($D302,INDEX($D$355:$I$375,MATCH((COUNTA($N302:P302)+1),$C$355:$C$375,0),MATCH($C$298,$D$353:$I$353,0)))</f>
        <v>0</v>
      </c>
      <c r="R302" s="301">
        <f>PRODUCT($D302,INDEX($D$355:$I$375,MATCH((COUNTA($N302:Q302)+1),$C$355:$C$375,0),MATCH($C$298,$D$353:$I$353,0)))</f>
        <v>0</v>
      </c>
      <c r="S302" s="301">
        <f>PRODUCT($D302,INDEX($D$355:$I$375,MATCH((COUNTA($N302:R302)+1),$C$355:$C$375,0),MATCH($C$298,$D$353:$I$353,0)))</f>
        <v>0</v>
      </c>
      <c r="T302" s="301">
        <f>PRODUCT($D302,INDEX($D$355:$I$375,MATCH((COUNTA($N302:S302)+1),$C$355:$C$375,0),MATCH($C$298,$D$353:$I$353,0)))</f>
        <v>0</v>
      </c>
      <c r="U302" s="301">
        <f>PRODUCT($D302,INDEX($D$355:$I$375,MATCH((COUNTA($N302:T302)+1),$C$355:$C$375,0),MATCH($C$298,$D$353:$I$353,0)))</f>
        <v>0</v>
      </c>
      <c r="V302" s="301">
        <f>PRODUCT($D302,INDEX($D$355:$I$375,MATCH((COUNTA($N302:U302)+1),$C$355:$C$375,0),MATCH($C$298,$D$353:$I$353,0)))</f>
        <v>0</v>
      </c>
      <c r="W302" s="301">
        <f>PRODUCT($D302,INDEX($D$355:$I$375,MATCH((COUNTA($N302:V302)+1),$C$355:$C$375,0),MATCH($C$298,$D$353:$I$353,0)))</f>
        <v>0</v>
      </c>
      <c r="X302" s="517"/>
      <c r="Y302" s="517"/>
      <c r="Z302" s="517"/>
      <c r="AA302" s="517"/>
      <c r="AB302" s="517"/>
    </row>
    <row r="303" spans="2:28" hidden="1" outlineLevel="3">
      <c r="B303" s="517"/>
      <c r="C303" s="1252">
        <v>46022</v>
      </c>
      <c r="D303" s="1206">
        <f t="shared" si="102"/>
        <v>0</v>
      </c>
      <c r="E303" s="58"/>
      <c r="F303" s="58"/>
      <c r="G303" s="58"/>
      <c r="H303" s="58"/>
      <c r="I303" s="58"/>
      <c r="J303" s="58"/>
      <c r="K303" s="58"/>
      <c r="M303" s="105"/>
      <c r="N303" s="306"/>
      <c r="O303" s="306"/>
      <c r="P303" s="306"/>
      <c r="Q303" s="301">
        <f>PRODUCT($D303,INDEX($D$355:$I$375,MATCH((COUNTA($N303:P303)+1),$C$355:$C$375,0),MATCH($C$298,$D$353:$I$353,0)))</f>
        <v>0</v>
      </c>
      <c r="R303" s="301">
        <f>PRODUCT($D303,INDEX($D$355:$I$375,MATCH((COUNTA($N303:Q303)+1),$C$355:$C$375,0),MATCH($C$298,$D$353:$I$353,0)))</f>
        <v>0</v>
      </c>
      <c r="S303" s="301">
        <f>PRODUCT($D303,INDEX($D$355:$I$375,MATCH((COUNTA($N303:R303)+1),$C$355:$C$375,0),MATCH($C$298,$D$353:$I$353,0)))</f>
        <v>0</v>
      </c>
      <c r="T303" s="301">
        <f>PRODUCT($D303,INDEX($D$355:$I$375,MATCH((COUNTA($N303:S303)+1),$C$355:$C$375,0),MATCH($C$298,$D$353:$I$353,0)))</f>
        <v>0</v>
      </c>
      <c r="U303" s="301">
        <f>PRODUCT($D303,INDEX($D$355:$I$375,MATCH((COUNTA($N303:T303)+1),$C$355:$C$375,0),MATCH($C$298,$D$353:$I$353,0)))</f>
        <v>0</v>
      </c>
      <c r="V303" s="301">
        <f>PRODUCT($D303,INDEX($D$355:$I$375,MATCH((COUNTA($N303:U303)+1),$C$355:$C$375,0),MATCH($C$298,$D$353:$I$353,0)))</f>
        <v>0</v>
      </c>
      <c r="W303" s="301">
        <f>PRODUCT($D303,INDEX($D$355:$I$375,MATCH((COUNTA($N303:V303)+1),$C$355:$C$375,0),MATCH($C$298,$D$353:$I$353,0)))</f>
        <v>0</v>
      </c>
      <c r="X303" s="517"/>
      <c r="Y303" s="517"/>
      <c r="Z303" s="517"/>
      <c r="AA303" s="517"/>
      <c r="AB303" s="517"/>
    </row>
    <row r="304" spans="2:28" hidden="1" outlineLevel="3">
      <c r="B304" s="517"/>
      <c r="C304" s="1252">
        <v>46387</v>
      </c>
      <c r="D304" s="1206">
        <f t="shared" si="102"/>
        <v>0</v>
      </c>
      <c r="E304" s="58"/>
      <c r="F304" s="58"/>
      <c r="G304" s="58"/>
      <c r="H304" s="58"/>
      <c r="I304" s="58"/>
      <c r="J304" s="58"/>
      <c r="K304" s="58"/>
      <c r="M304" s="105"/>
      <c r="N304" s="306"/>
      <c r="O304" s="306"/>
      <c r="P304" s="306"/>
      <c r="Q304" s="306"/>
      <c r="R304" s="301">
        <f>PRODUCT($D304,INDEX($D$355:$I$375,MATCH((COUNTA($N304:Q304)+1),$C$355:$C$375,0),MATCH($C$298,$D$353:$I$353,0)))</f>
        <v>0</v>
      </c>
      <c r="S304" s="301">
        <f>PRODUCT($D304,INDEX($D$355:$I$375,MATCH((COUNTA($N304:R304)+1),$C$355:$C$375,0),MATCH($C$298,$D$353:$I$353,0)))</f>
        <v>0</v>
      </c>
      <c r="T304" s="301">
        <f>PRODUCT($D304,INDEX($D$355:$I$375,MATCH((COUNTA($N304:S304)+1),$C$355:$C$375,0),MATCH($C$298,$D$353:$I$353,0)))</f>
        <v>0</v>
      </c>
      <c r="U304" s="301">
        <f>PRODUCT($D304,INDEX($D$355:$I$375,MATCH((COUNTA($N304:T304)+1),$C$355:$C$375,0),MATCH($C$298,$D$353:$I$353,0)))</f>
        <v>0</v>
      </c>
      <c r="V304" s="301">
        <f>PRODUCT($D304,INDEX($D$355:$I$375,MATCH((COUNTA($N304:U304)+1),$C$355:$C$375,0),MATCH($C$298,$D$353:$I$353,0)))</f>
        <v>0</v>
      </c>
      <c r="W304" s="301">
        <f>PRODUCT($D304,INDEX($D$355:$I$375,MATCH((COUNTA($N304:V304)+1),$C$355:$C$375,0),MATCH($C$298,$D$353:$I$353,0)))</f>
        <v>0</v>
      </c>
      <c r="X304" s="517"/>
      <c r="Y304" s="517"/>
      <c r="Z304" s="517"/>
      <c r="AA304" s="517"/>
      <c r="AB304" s="517"/>
    </row>
    <row r="305" spans="2:28" hidden="1" outlineLevel="3">
      <c r="B305" s="517"/>
      <c r="C305" s="1252">
        <v>46752</v>
      </c>
      <c r="D305" s="1206">
        <f t="shared" si="102"/>
        <v>45</v>
      </c>
      <c r="E305" s="58"/>
      <c r="F305" s="58"/>
      <c r="G305" s="58"/>
      <c r="H305" s="58"/>
      <c r="I305" s="58"/>
      <c r="J305" s="58"/>
      <c r="K305" s="58"/>
      <c r="M305" s="105"/>
      <c r="N305" s="306"/>
      <c r="O305" s="306"/>
      <c r="P305" s="306"/>
      <c r="Q305" s="306"/>
      <c r="R305" s="306"/>
      <c r="S305" s="301">
        <f>PRODUCT($D305,INDEX($D$355:$I$375,MATCH((COUNTA($N305:R305)+1),$C$355:$C$375,0),MATCH($C$298,$D$353:$I$353,0)))</f>
        <v>9</v>
      </c>
      <c r="T305" s="301">
        <f>PRODUCT($D305,INDEX($D$355:$I$375,MATCH((COUNTA($N305:S305)+1),$C$355:$C$375,0),MATCH($C$298,$D$353:$I$353,0)))</f>
        <v>14.4</v>
      </c>
      <c r="U305" s="301">
        <f>PRODUCT($D305,INDEX($D$355:$I$375,MATCH((COUNTA($N305:T305)+1),$C$355:$C$375,0),MATCH($C$298,$D$353:$I$353,0)))</f>
        <v>8.64</v>
      </c>
      <c r="V305" s="301">
        <f>PRODUCT($D305,INDEX($D$355:$I$375,MATCH((COUNTA($N305:U305)+1),$C$355:$C$375,0),MATCH($C$298,$D$353:$I$353,0)))</f>
        <v>5.1840000000000002</v>
      </c>
      <c r="W305" s="301">
        <f>PRODUCT($D305,INDEX($D$355:$I$375,MATCH((COUNTA($N305:V305)+1),$C$355:$C$375,0),MATCH($C$298,$D$353:$I$353,0)))</f>
        <v>5.1840000000000002</v>
      </c>
      <c r="X305" s="517"/>
      <c r="Y305" s="517"/>
      <c r="Z305" s="517"/>
      <c r="AA305" s="517"/>
      <c r="AB305" s="517"/>
    </row>
    <row r="306" spans="2:28" hidden="1" outlineLevel="3">
      <c r="B306" s="517"/>
      <c r="C306" s="1252">
        <v>47118</v>
      </c>
      <c r="D306" s="1206">
        <f t="shared" si="102"/>
        <v>0</v>
      </c>
      <c r="E306" s="58"/>
      <c r="F306" s="58"/>
      <c r="G306" s="58"/>
      <c r="H306" s="58"/>
      <c r="I306" s="58"/>
      <c r="J306" s="58"/>
      <c r="K306" s="58"/>
      <c r="M306" s="105"/>
      <c r="N306" s="306"/>
      <c r="O306" s="306"/>
      <c r="P306" s="306"/>
      <c r="Q306" s="306"/>
      <c r="R306" s="306"/>
      <c r="S306" s="306"/>
      <c r="T306" s="301">
        <f>PRODUCT($D306,INDEX($D$355:$I$375,MATCH((COUNTA($N306:S306)+1),$C$355:$C$375,0),MATCH($C$298,$D$353:$I$353,0)))</f>
        <v>0</v>
      </c>
      <c r="U306" s="301">
        <f>PRODUCT($D306,INDEX($D$355:$I$375,MATCH((COUNTA($N306:T306)+1),$C$355:$C$375,0),MATCH($C$298,$D$353:$I$353,0)))</f>
        <v>0</v>
      </c>
      <c r="V306" s="301">
        <f>PRODUCT($D306,INDEX($D$355:$I$375,MATCH((COUNTA($N306:U306)+1),$C$355:$C$375,0),MATCH($C$298,$D$353:$I$353,0)))</f>
        <v>0</v>
      </c>
      <c r="W306" s="301">
        <f>PRODUCT($D306,INDEX($D$355:$I$375,MATCH((COUNTA($N306:V306)+1),$C$355:$C$375,0),MATCH($C$298,$D$353:$I$353,0)))</f>
        <v>0</v>
      </c>
      <c r="X306" s="517"/>
      <c r="Y306" s="517"/>
      <c r="Z306" s="517"/>
      <c r="AA306" s="517"/>
      <c r="AB306" s="517"/>
    </row>
    <row r="307" spans="2:28" hidden="1" outlineLevel="3">
      <c r="B307" s="517"/>
      <c r="C307" s="1252">
        <v>47483</v>
      </c>
      <c r="D307" s="1206">
        <f t="shared" si="102"/>
        <v>0</v>
      </c>
      <c r="E307" s="58"/>
      <c r="F307" s="58"/>
      <c r="G307" s="58"/>
      <c r="H307" s="58"/>
      <c r="I307" s="58"/>
      <c r="J307" s="58"/>
      <c r="K307" s="58"/>
      <c r="M307" s="105"/>
      <c r="N307" s="306"/>
      <c r="O307" s="306"/>
      <c r="P307" s="306"/>
      <c r="Q307" s="306"/>
      <c r="R307" s="306"/>
      <c r="S307" s="306"/>
      <c r="T307" s="306"/>
      <c r="U307" s="301">
        <f>PRODUCT($D307,INDEX($D$355:$I$375,MATCH((COUNTA($N307:T307)+1),$C$355:$C$375,0),MATCH($C$298,$D$353:$I$353,0)))</f>
        <v>0</v>
      </c>
      <c r="V307" s="301">
        <f>PRODUCT($D307,INDEX($D$355:$I$375,MATCH((COUNTA($N307:U307)+1),$C$355:$C$375,0),MATCH($C$298,$D$353:$I$353,0)))</f>
        <v>0</v>
      </c>
      <c r="W307" s="301">
        <f>PRODUCT($D307,INDEX($D$355:$I$375,MATCH((COUNTA($N307:V307)+1),$C$355:$C$375,0),MATCH($C$298,$D$353:$I$353,0)))</f>
        <v>0</v>
      </c>
      <c r="X307" s="517"/>
      <c r="Y307" s="517"/>
      <c r="Z307" s="517"/>
      <c r="AA307" s="517"/>
      <c r="AB307" s="517"/>
    </row>
    <row r="308" spans="2:28" hidden="1" outlineLevel="3">
      <c r="B308" s="517"/>
      <c r="C308" s="1252">
        <v>47848</v>
      </c>
      <c r="D308" s="1206">
        <f t="shared" si="102"/>
        <v>0</v>
      </c>
      <c r="E308" s="58"/>
      <c r="F308" s="58"/>
      <c r="G308" s="58"/>
      <c r="H308" s="58"/>
      <c r="I308" s="58"/>
      <c r="J308" s="58"/>
      <c r="K308" s="58"/>
      <c r="M308" s="105"/>
      <c r="N308" s="306"/>
      <c r="O308" s="306"/>
      <c r="P308" s="306"/>
      <c r="Q308" s="306"/>
      <c r="R308" s="306"/>
      <c r="S308" s="306"/>
      <c r="T308" s="306"/>
      <c r="U308" s="306"/>
      <c r="V308" s="301">
        <f>PRODUCT($D308,INDEX($D$355:$I$375,MATCH((COUNTA($N308:U308)+1),$C$355:$C$375,0),MATCH($C$298,$D$353:$I$353,0)))</f>
        <v>0</v>
      </c>
      <c r="W308" s="301">
        <f>PRODUCT($D308,INDEX($D$355:$I$375,MATCH((COUNTA($N308:V308)+1),$C$355:$C$375,0),MATCH($C$298,$D$353:$I$353,0)))</f>
        <v>0</v>
      </c>
      <c r="X308" s="517"/>
      <c r="Y308" s="517"/>
      <c r="Z308" s="517"/>
      <c r="AA308" s="517"/>
      <c r="AB308" s="517"/>
    </row>
    <row r="309" spans="2:28" hidden="1" outlineLevel="3">
      <c r="B309" s="517"/>
      <c r="C309" s="1252">
        <v>48213</v>
      </c>
      <c r="D309" s="1206">
        <f t="shared" si="102"/>
        <v>0</v>
      </c>
      <c r="E309" s="58"/>
      <c r="F309" s="58"/>
      <c r="G309" s="58"/>
      <c r="H309" s="58"/>
      <c r="I309" s="58"/>
      <c r="J309" s="58"/>
      <c r="K309" s="58"/>
      <c r="M309" s="105"/>
      <c r="N309" s="306"/>
      <c r="O309" s="306"/>
      <c r="P309" s="306"/>
      <c r="Q309" s="306"/>
      <c r="R309" s="306"/>
      <c r="S309" s="306"/>
      <c r="T309" s="306"/>
      <c r="U309" s="306"/>
      <c r="V309" s="306"/>
      <c r="W309" s="301">
        <f>PRODUCT($D309,INDEX($D$355:$I$375,MATCH((COUNTA($N309:V309)+1),$C$355:$C$375,0),MATCH($C$298,$D$353:$I$353,0)))</f>
        <v>0</v>
      </c>
      <c r="X309" s="517"/>
      <c r="Y309" s="517"/>
      <c r="Z309" s="517"/>
      <c r="AA309" s="517"/>
      <c r="AB309" s="517"/>
    </row>
    <row r="310" spans="2:28" hidden="1" outlineLevel="3">
      <c r="B310" s="517"/>
      <c r="C310" s="250"/>
      <c r="D310" s="94"/>
      <c r="E310" s="58"/>
      <c r="F310" s="58"/>
      <c r="G310" s="58"/>
      <c r="H310" s="58"/>
      <c r="I310" s="58"/>
      <c r="J310" s="58"/>
      <c r="K310" s="58"/>
      <c r="M310" s="105"/>
      <c r="N310" s="300">
        <f>SUM(N$300:N$309)</f>
        <v>0</v>
      </c>
      <c r="O310" s="300">
        <f t="shared" ref="O310:W310" si="103">SUM(O$300:O$309)</f>
        <v>0</v>
      </c>
      <c r="P310" s="300">
        <f t="shared" si="103"/>
        <v>0</v>
      </c>
      <c r="Q310" s="300">
        <f t="shared" si="103"/>
        <v>0</v>
      </c>
      <c r="R310" s="300">
        <f t="shared" si="103"/>
        <v>0</v>
      </c>
      <c r="S310" s="300">
        <f t="shared" si="103"/>
        <v>9</v>
      </c>
      <c r="T310" s="300">
        <f t="shared" si="103"/>
        <v>14.4</v>
      </c>
      <c r="U310" s="300">
        <f t="shared" si="103"/>
        <v>8.64</v>
      </c>
      <c r="V310" s="300">
        <f t="shared" si="103"/>
        <v>5.1840000000000002</v>
      </c>
      <c r="W310" s="300">
        <f t="shared" si="103"/>
        <v>5.1840000000000002</v>
      </c>
      <c r="X310" s="517"/>
      <c r="Y310" s="517"/>
      <c r="Z310" s="517"/>
      <c r="AA310" s="517"/>
      <c r="AB310" s="517"/>
    </row>
    <row r="311" spans="2:28" hidden="1" outlineLevel="3">
      <c r="B311" s="517"/>
      <c r="C311" s="250"/>
      <c r="D311" s="94"/>
      <c r="E311" s="58"/>
      <c r="F311" s="58"/>
      <c r="G311" s="58"/>
      <c r="H311" s="58"/>
      <c r="I311" s="58"/>
      <c r="J311" s="58"/>
      <c r="K311" s="58"/>
      <c r="M311" s="105"/>
      <c r="N311" s="327"/>
      <c r="O311" s="327"/>
      <c r="P311" s="327"/>
      <c r="Q311" s="327"/>
      <c r="R311" s="327"/>
      <c r="S311" s="327"/>
      <c r="T311" s="327"/>
      <c r="U311" s="327"/>
      <c r="V311" s="327"/>
      <c r="W311" s="327"/>
      <c r="X311" s="517"/>
      <c r="Y311" s="517"/>
      <c r="Z311" s="517"/>
      <c r="AA311" s="517"/>
      <c r="AB311" s="517"/>
    </row>
    <row r="312" spans="2:28" ht="16" hidden="1" outlineLevel="3">
      <c r="B312" s="517"/>
      <c r="C312" s="1255">
        <v>7</v>
      </c>
      <c r="D312" s="1253"/>
      <c r="E312" s="58"/>
      <c r="F312" s="58"/>
      <c r="G312" s="58"/>
      <c r="H312" s="58"/>
      <c r="I312" s="58"/>
      <c r="J312" s="58"/>
      <c r="K312" s="58"/>
      <c r="M312" s="105"/>
      <c r="N312" s="1278" t="str">
        <f>_xlfn.CONCAT(C312,"-Year Property Depreciation Waterfall")</f>
        <v>7-Year Property Depreciation Waterfall</v>
      </c>
      <c r="O312" s="1281"/>
      <c r="P312" s="1281"/>
      <c r="Q312" s="1281"/>
      <c r="R312" s="1281"/>
      <c r="S312" s="1281"/>
      <c r="T312" s="1281"/>
      <c r="U312" s="1281"/>
      <c r="V312" s="1281"/>
      <c r="W312" s="1281"/>
      <c r="X312" s="517"/>
      <c r="Y312" s="517"/>
      <c r="Z312" s="517"/>
      <c r="AA312" s="517"/>
      <c r="AB312" s="517"/>
    </row>
    <row r="313" spans="2:28" ht="6.5" hidden="1" customHeight="1" outlineLevel="3">
      <c r="B313" s="517"/>
      <c r="C313" s="1250"/>
      <c r="D313" s="94"/>
      <c r="E313" s="58"/>
      <c r="F313" s="58"/>
      <c r="G313" s="58"/>
      <c r="H313" s="58"/>
      <c r="I313" s="58"/>
      <c r="J313" s="58"/>
      <c r="K313" s="58"/>
      <c r="M313" s="105"/>
      <c r="N313" s="327"/>
      <c r="O313" s="327"/>
      <c r="P313" s="327"/>
      <c r="Q313" s="327"/>
      <c r="R313" s="327"/>
      <c r="S313" s="327"/>
      <c r="T313" s="327"/>
      <c r="U313" s="327"/>
      <c r="V313" s="327"/>
      <c r="W313" s="327"/>
      <c r="X313" s="517"/>
      <c r="Y313" s="517"/>
      <c r="Z313" s="517"/>
      <c r="AA313" s="517"/>
      <c r="AB313" s="517"/>
    </row>
    <row r="314" spans="2:28" hidden="1" outlineLevel="3">
      <c r="B314" s="517"/>
      <c r="C314" s="1252">
        <v>44926</v>
      </c>
      <c r="D314" s="1206">
        <f>_xlfn.XLOOKUP(C314,$C$268:$C$277,$F$268:$F$277,0)</f>
        <v>0</v>
      </c>
      <c r="E314" s="58"/>
      <c r="F314" s="58"/>
      <c r="G314" s="58"/>
      <c r="H314" s="58"/>
      <c r="I314" s="58"/>
      <c r="J314" s="58"/>
      <c r="K314" s="58"/>
      <c r="M314" s="105"/>
      <c r="N314" s="307">
        <f>PRODUCT($D314,INDEX($D$355:$I$375,MATCH($N$190,$C$355:$C$375,0),MATCH($C$312,$D$353:$I$353,0)),$N$195)</f>
        <v>0</v>
      </c>
      <c r="O314" s="301">
        <f>PRODUCT($D314,INDEX($D$355:$I$375,MATCH((COUNTA($N314:N314)+1),$C$355:$C$375,0),MATCH($C$312,$D$353:$I$353,0)))</f>
        <v>0</v>
      </c>
      <c r="P314" s="301">
        <f>PRODUCT($D314,INDEX($D$355:$I$375,MATCH((COUNTA($N314:O314)+1),$C$355:$C$375,0),MATCH($C$312,$D$353:$I$353,0)))</f>
        <v>0</v>
      </c>
      <c r="Q314" s="301">
        <f>PRODUCT($D314,INDEX($D$355:$I$375,MATCH((COUNTA($N314:P314)+1),$C$355:$C$375,0),MATCH($C$312,$D$353:$I$353,0)))</f>
        <v>0</v>
      </c>
      <c r="R314" s="301">
        <f>PRODUCT($D314,INDEX($D$355:$I$375,MATCH((COUNTA($N314:Q314)+1),$C$355:$C$375,0),MATCH($C$312,$D$353:$I$353,0)))</f>
        <v>0</v>
      </c>
      <c r="S314" s="301">
        <f>PRODUCT($D314,INDEX($D$355:$I$375,MATCH((COUNTA($N314:R314)+1),$C$355:$C$375,0),MATCH($C$312,$D$353:$I$353,0)))</f>
        <v>0</v>
      </c>
      <c r="T314" s="301">
        <f>PRODUCT($D314,INDEX($D$355:$I$375,MATCH((COUNTA($N314:S314)+1),$C$355:$C$375,0),MATCH($C$312,$D$353:$I$353,0)))</f>
        <v>0</v>
      </c>
      <c r="U314" s="301">
        <f>PRODUCT($D314,INDEX($D$355:$I$375,MATCH((COUNTA($N314:T314)+1),$C$355:$C$375,0),MATCH($C$312,$D$353:$I$353,0)))</f>
        <v>0</v>
      </c>
      <c r="V314" s="301">
        <f>PRODUCT($D314,INDEX($D$355:$I$375,MATCH((COUNTA($N314:U314)+1),$C$355:$C$375,0),MATCH($C$312,$D$353:$I$353,0)))</f>
        <v>0</v>
      </c>
      <c r="W314" s="301">
        <f>PRODUCT($D314,INDEX($D$355:$I$375,MATCH((COUNTA($N314:V314)+1),$C$355:$C$375,0),MATCH($C$312,$D$353:$I$353,0)))</f>
        <v>0</v>
      </c>
      <c r="X314" s="517"/>
      <c r="Y314" s="517"/>
      <c r="Z314" s="517"/>
      <c r="AA314" s="517"/>
      <c r="AB314" s="517"/>
    </row>
    <row r="315" spans="2:28" hidden="1" outlineLevel="3">
      <c r="B315" s="517"/>
      <c r="C315" s="1252">
        <v>45291</v>
      </c>
      <c r="D315" s="1206">
        <f t="shared" ref="D315:D323" si="104">_xlfn.XLOOKUP(C315,$C$268:$C$277,$F$268:$F$277,0)</f>
        <v>0</v>
      </c>
      <c r="E315" s="58"/>
      <c r="F315" s="58"/>
      <c r="G315" s="58"/>
      <c r="H315" s="58"/>
      <c r="I315" s="58"/>
      <c r="J315" s="58"/>
      <c r="K315" s="58"/>
      <c r="M315" s="105"/>
      <c r="N315" s="306"/>
      <c r="O315" s="301">
        <f>PRODUCT($D315,INDEX($D$355:$I$375,MATCH((COUNTA($N315:N315)+1),$C$355:$C$375,0),MATCH($C$312,$D$353:$I$353,0)))</f>
        <v>0</v>
      </c>
      <c r="P315" s="301">
        <f>PRODUCT($D315,INDEX($D$355:$I$375,MATCH((COUNTA($N315:O315)+1),$C$355:$C$375,0),MATCH($C$312,$D$353:$I$353,0)))</f>
        <v>0</v>
      </c>
      <c r="Q315" s="301">
        <f>PRODUCT($D315,INDEX($D$355:$I$375,MATCH((COUNTA($N315:P315)+1),$C$355:$C$375,0),MATCH($C$312,$D$353:$I$353,0)))</f>
        <v>0</v>
      </c>
      <c r="R315" s="301">
        <f>PRODUCT($D315,INDEX($D$355:$I$375,MATCH((COUNTA($N315:Q315)+1),$C$355:$C$375,0),MATCH($C$312,$D$353:$I$353,0)))</f>
        <v>0</v>
      </c>
      <c r="S315" s="301">
        <f>PRODUCT($D315,INDEX($D$355:$I$375,MATCH((COUNTA($N315:R315)+1),$C$355:$C$375,0),MATCH($C$312,$D$353:$I$353,0)))</f>
        <v>0</v>
      </c>
      <c r="T315" s="301">
        <f>PRODUCT($D315,INDEX($D$355:$I$375,MATCH((COUNTA($N315:S315)+1),$C$355:$C$375,0),MATCH($C$312,$D$353:$I$353,0)))</f>
        <v>0</v>
      </c>
      <c r="U315" s="301">
        <f>PRODUCT($D315,INDEX($D$355:$I$375,MATCH((COUNTA($N315:T315)+1),$C$355:$C$375,0),MATCH($C$312,$D$353:$I$353,0)))</f>
        <v>0</v>
      </c>
      <c r="V315" s="301">
        <f>PRODUCT($D315,INDEX($D$355:$I$375,MATCH((COUNTA($N315:U315)+1),$C$355:$C$375,0),MATCH($C$312,$D$353:$I$353,0)))</f>
        <v>0</v>
      </c>
      <c r="W315" s="301">
        <f>PRODUCT($D315,INDEX($D$355:$I$375,MATCH((COUNTA($N315:V315)+1),$C$355:$C$375,0),MATCH($C$312,$D$353:$I$353,0)))</f>
        <v>0</v>
      </c>
      <c r="X315" s="517"/>
      <c r="Y315" s="517"/>
      <c r="Z315" s="517"/>
      <c r="AA315" s="517"/>
      <c r="AB315" s="517"/>
    </row>
    <row r="316" spans="2:28" hidden="1" outlineLevel="3">
      <c r="B316" s="517"/>
      <c r="C316" s="1252">
        <v>45657</v>
      </c>
      <c r="D316" s="1206">
        <f t="shared" si="104"/>
        <v>0</v>
      </c>
      <c r="E316" s="58"/>
      <c r="F316" s="58"/>
      <c r="G316" s="58"/>
      <c r="H316" s="58"/>
      <c r="I316" s="58"/>
      <c r="J316" s="58"/>
      <c r="K316" s="58"/>
      <c r="M316" s="105"/>
      <c r="N316" s="306"/>
      <c r="O316" s="306"/>
      <c r="P316" s="301">
        <f>PRODUCT($D316,INDEX($D$355:$I$375,MATCH((COUNTA($N316:O316)+1),$C$355:$C$375,0),MATCH($C$312,$D$353:$I$353,0)))</f>
        <v>0</v>
      </c>
      <c r="Q316" s="301">
        <f>PRODUCT($D316,INDEX($D$355:$I$375,MATCH((COUNTA($N316:P316)+1),$C$355:$C$375,0),MATCH($C$312,$D$353:$I$353,0)))</f>
        <v>0</v>
      </c>
      <c r="R316" s="301">
        <f>PRODUCT($D316,INDEX($D$355:$I$375,MATCH((COUNTA($N316:Q316)+1),$C$355:$C$375,0),MATCH($C$312,$D$353:$I$353,0)))</f>
        <v>0</v>
      </c>
      <c r="S316" s="301">
        <f>PRODUCT($D316,INDEX($D$355:$I$375,MATCH((COUNTA($N316:R316)+1),$C$355:$C$375,0),MATCH($C$312,$D$353:$I$353,0)))</f>
        <v>0</v>
      </c>
      <c r="T316" s="301">
        <f>PRODUCT($D316,INDEX($D$355:$I$375,MATCH((COUNTA($N316:S316)+1),$C$355:$C$375,0),MATCH($C$312,$D$353:$I$353,0)))</f>
        <v>0</v>
      </c>
      <c r="U316" s="301">
        <f>PRODUCT($D316,INDEX($D$355:$I$375,MATCH((COUNTA($N316:T316)+1),$C$355:$C$375,0),MATCH($C$312,$D$353:$I$353,0)))</f>
        <v>0</v>
      </c>
      <c r="V316" s="301">
        <f>PRODUCT($D316,INDEX($D$355:$I$375,MATCH((COUNTA($N316:U316)+1),$C$355:$C$375,0),MATCH($C$312,$D$353:$I$353,0)))</f>
        <v>0</v>
      </c>
      <c r="W316" s="301">
        <f>PRODUCT($D316,INDEX($D$355:$I$375,MATCH((COUNTA($N316:V316)+1),$C$355:$C$375,0),MATCH($C$312,$D$353:$I$353,0)))</f>
        <v>0</v>
      </c>
      <c r="X316" s="517"/>
      <c r="Y316" s="517"/>
      <c r="Z316" s="517"/>
      <c r="AA316" s="517"/>
      <c r="AB316" s="517"/>
    </row>
    <row r="317" spans="2:28" hidden="1" outlineLevel="3">
      <c r="B317" s="517"/>
      <c r="C317" s="1252">
        <v>46022</v>
      </c>
      <c r="D317" s="1206">
        <f t="shared" si="104"/>
        <v>0</v>
      </c>
      <c r="E317" s="58"/>
      <c r="F317" s="58"/>
      <c r="G317" s="58"/>
      <c r="H317" s="58"/>
      <c r="I317" s="58"/>
      <c r="J317" s="58"/>
      <c r="K317" s="58"/>
      <c r="M317" s="105"/>
      <c r="N317" s="306"/>
      <c r="O317" s="306"/>
      <c r="P317" s="306"/>
      <c r="Q317" s="301">
        <f>PRODUCT($D317,INDEX($D$355:$I$375,MATCH((COUNTA($N317:P317)+1),$C$355:$C$375,0),MATCH($C$312,$D$353:$I$353,0)))</f>
        <v>0</v>
      </c>
      <c r="R317" s="301">
        <f>PRODUCT($D317,INDEX($D$355:$I$375,MATCH((COUNTA($N317:Q317)+1),$C$355:$C$375,0),MATCH($C$312,$D$353:$I$353,0)))</f>
        <v>0</v>
      </c>
      <c r="S317" s="301">
        <f>PRODUCT($D317,INDEX($D$355:$I$375,MATCH((COUNTA($N317:R317)+1),$C$355:$C$375,0),MATCH($C$312,$D$353:$I$353,0)))</f>
        <v>0</v>
      </c>
      <c r="T317" s="301">
        <f>PRODUCT($D317,INDEX($D$355:$I$375,MATCH((COUNTA($N317:S317)+1),$C$355:$C$375,0),MATCH($C$312,$D$353:$I$353,0)))</f>
        <v>0</v>
      </c>
      <c r="U317" s="301">
        <f>PRODUCT($D317,INDEX($D$355:$I$375,MATCH((COUNTA($N317:T317)+1),$C$355:$C$375,0),MATCH($C$312,$D$353:$I$353,0)))</f>
        <v>0</v>
      </c>
      <c r="V317" s="301">
        <f>PRODUCT($D317,INDEX($D$355:$I$375,MATCH((COUNTA($N317:U317)+1),$C$355:$C$375,0),MATCH($C$312,$D$353:$I$353,0)))</f>
        <v>0</v>
      </c>
      <c r="W317" s="301">
        <f>PRODUCT($D317,INDEX($D$355:$I$375,MATCH((COUNTA($N317:V317)+1),$C$355:$C$375,0),MATCH($C$312,$D$353:$I$353,0)))</f>
        <v>0</v>
      </c>
      <c r="X317" s="517"/>
      <c r="Y317" s="517"/>
      <c r="Z317" s="517"/>
      <c r="AA317" s="517"/>
      <c r="AB317" s="517"/>
    </row>
    <row r="318" spans="2:28" hidden="1" outlineLevel="3">
      <c r="B318" s="517"/>
      <c r="C318" s="1252">
        <v>46387</v>
      </c>
      <c r="D318" s="1206">
        <f t="shared" si="104"/>
        <v>170</v>
      </c>
      <c r="E318" s="58"/>
      <c r="F318" s="58"/>
      <c r="G318" s="58"/>
      <c r="H318" s="58"/>
      <c r="I318" s="58"/>
      <c r="J318" s="58"/>
      <c r="K318" s="58"/>
      <c r="M318" s="105"/>
      <c r="N318" s="306"/>
      <c r="O318" s="306"/>
      <c r="P318" s="306"/>
      <c r="Q318" s="306"/>
      <c r="R318" s="301">
        <f>PRODUCT($D318,INDEX($D$355:$I$375,MATCH((COUNTA($N318:Q318)+1),$C$355:$C$375,0),MATCH($C$312,$D$353:$I$353,0)))</f>
        <v>24.292999999999999</v>
      </c>
      <c r="S318" s="301">
        <f>PRODUCT($D318,INDEX($D$355:$I$375,MATCH((COUNTA($N318:R318)+1),$C$355:$C$375,0),MATCH($C$312,$D$353:$I$353,0)))</f>
        <v>41.633000000000003</v>
      </c>
      <c r="T318" s="301">
        <f>PRODUCT($D318,INDEX($D$355:$I$375,MATCH((COUNTA($N318:S318)+1),$C$355:$C$375,0),MATCH($C$312,$D$353:$I$353,0)))</f>
        <v>29.733000000000001</v>
      </c>
      <c r="U318" s="301">
        <f>PRODUCT($D318,INDEX($D$355:$I$375,MATCH((COUNTA($N318:T318)+1),$C$355:$C$375,0),MATCH($C$312,$D$353:$I$353,0)))</f>
        <v>21.233000000000001</v>
      </c>
      <c r="V318" s="301">
        <f>PRODUCT($D318,INDEX($D$355:$I$375,MATCH((COUNTA($N318:U318)+1),$C$355:$C$375,0),MATCH($C$312,$D$353:$I$353,0)))</f>
        <v>15.181000000000001</v>
      </c>
      <c r="W318" s="301">
        <f>PRODUCT($D318,INDEX($D$355:$I$375,MATCH((COUNTA($N318:V318)+1),$C$355:$C$375,0),MATCH($C$312,$D$353:$I$353,0)))</f>
        <v>15.164</v>
      </c>
      <c r="X318" s="517"/>
      <c r="Y318" s="517"/>
      <c r="Z318" s="517"/>
      <c r="AA318" s="517"/>
      <c r="AB318" s="517"/>
    </row>
    <row r="319" spans="2:28" hidden="1" outlineLevel="3">
      <c r="B319" s="517"/>
      <c r="C319" s="1252">
        <v>46752</v>
      </c>
      <c r="D319" s="1206">
        <f t="shared" si="104"/>
        <v>0</v>
      </c>
      <c r="E319" s="58"/>
      <c r="F319" s="58"/>
      <c r="G319" s="58"/>
      <c r="H319" s="58"/>
      <c r="I319" s="58"/>
      <c r="J319" s="58"/>
      <c r="K319" s="58"/>
      <c r="M319" s="105"/>
      <c r="N319" s="306"/>
      <c r="O319" s="306"/>
      <c r="P319" s="306"/>
      <c r="Q319" s="306"/>
      <c r="R319" s="306"/>
      <c r="S319" s="301">
        <f>PRODUCT($D319,INDEX($D$355:$I$375,MATCH((COUNTA($N319:R319)+1),$C$355:$C$375,0),MATCH($C$312,$D$353:$I$353,0)))</f>
        <v>0</v>
      </c>
      <c r="T319" s="301">
        <f>PRODUCT($D319,INDEX($D$355:$I$375,MATCH((COUNTA($N319:S319)+1),$C$355:$C$375,0),MATCH($C$312,$D$353:$I$353,0)))</f>
        <v>0</v>
      </c>
      <c r="U319" s="301">
        <f>PRODUCT($D319,INDEX($D$355:$I$375,MATCH((COUNTA($N319:T319)+1),$C$355:$C$375,0),MATCH($C$312,$D$353:$I$353,0)))</f>
        <v>0</v>
      </c>
      <c r="V319" s="301">
        <f>PRODUCT($D319,INDEX($D$355:$I$375,MATCH((COUNTA($N319:U319)+1),$C$355:$C$375,0),MATCH($C$312,$D$353:$I$353,0)))</f>
        <v>0</v>
      </c>
      <c r="W319" s="301">
        <f>PRODUCT($D319,INDEX($D$355:$I$375,MATCH((COUNTA($N319:V319)+1),$C$355:$C$375,0),MATCH($C$312,$D$353:$I$353,0)))</f>
        <v>0</v>
      </c>
      <c r="X319" s="517"/>
      <c r="Y319" s="517"/>
      <c r="Z319" s="517"/>
      <c r="AA319" s="517"/>
      <c r="AB319" s="517"/>
    </row>
    <row r="320" spans="2:28" hidden="1" outlineLevel="3">
      <c r="B320" s="517"/>
      <c r="C320" s="1252">
        <v>47118</v>
      </c>
      <c r="D320" s="1206">
        <f t="shared" si="104"/>
        <v>0</v>
      </c>
      <c r="E320" s="58"/>
      <c r="F320" s="58"/>
      <c r="G320" s="58"/>
      <c r="H320" s="58"/>
      <c r="I320" s="58"/>
      <c r="J320" s="58"/>
      <c r="K320" s="58"/>
      <c r="M320" s="105"/>
      <c r="N320" s="306"/>
      <c r="O320" s="306"/>
      <c r="P320" s="306"/>
      <c r="Q320" s="306"/>
      <c r="R320" s="306"/>
      <c r="S320" s="306"/>
      <c r="T320" s="301">
        <f>PRODUCT($D320,INDEX($D$355:$I$375,MATCH((COUNTA($N320:S320)+1),$C$355:$C$375,0),MATCH($C$312,$D$353:$I$353,0)))</f>
        <v>0</v>
      </c>
      <c r="U320" s="301">
        <f>PRODUCT($D320,INDEX($D$355:$I$375,MATCH((COUNTA($N320:T320)+1),$C$355:$C$375,0),MATCH($C$312,$D$353:$I$353,0)))</f>
        <v>0</v>
      </c>
      <c r="V320" s="301">
        <f>PRODUCT($D320,INDEX($D$355:$I$375,MATCH((COUNTA($N320:U320)+1),$C$355:$C$375,0),MATCH($C$312,$D$353:$I$353,0)))</f>
        <v>0</v>
      </c>
      <c r="W320" s="301">
        <f>PRODUCT($D320,INDEX($D$355:$I$375,MATCH((COUNTA($N320:V320)+1),$C$355:$C$375,0),MATCH($C$312,$D$353:$I$353,0)))</f>
        <v>0</v>
      </c>
      <c r="X320" s="517"/>
      <c r="Y320" s="517"/>
      <c r="Z320" s="517"/>
      <c r="AA320" s="517"/>
      <c r="AB320" s="517"/>
    </row>
    <row r="321" spans="1:28" hidden="1" outlineLevel="3">
      <c r="B321" s="517"/>
      <c r="C321" s="1252">
        <v>47483</v>
      </c>
      <c r="D321" s="1206">
        <f t="shared" si="104"/>
        <v>0</v>
      </c>
      <c r="E321" s="58"/>
      <c r="F321" s="58"/>
      <c r="G321" s="58"/>
      <c r="H321" s="58"/>
      <c r="I321" s="58"/>
      <c r="J321" s="58"/>
      <c r="K321" s="58"/>
      <c r="M321" s="105"/>
      <c r="N321" s="306"/>
      <c r="O321" s="306"/>
      <c r="P321" s="306"/>
      <c r="Q321" s="306"/>
      <c r="R321" s="306"/>
      <c r="S321" s="306"/>
      <c r="T321" s="306"/>
      <c r="U321" s="301">
        <f>PRODUCT($D321,INDEX($D$355:$I$375,MATCH((COUNTA($N321:T321)+1),$C$355:$C$375,0),MATCH($C$312,$D$353:$I$353,0)))</f>
        <v>0</v>
      </c>
      <c r="V321" s="301">
        <f>PRODUCT($D321,INDEX($D$355:$I$375,MATCH((COUNTA($N321:U321)+1),$C$355:$C$375,0),MATCH($C$312,$D$353:$I$353,0)))</f>
        <v>0</v>
      </c>
      <c r="W321" s="301">
        <f>PRODUCT($D321,INDEX($D$355:$I$375,MATCH((COUNTA($N321:V321)+1),$C$355:$C$375,0),MATCH($C$312,$D$353:$I$353,0)))</f>
        <v>0</v>
      </c>
      <c r="X321" s="517"/>
      <c r="Y321" s="517"/>
      <c r="Z321" s="517"/>
      <c r="AA321" s="517"/>
      <c r="AB321" s="517"/>
    </row>
    <row r="322" spans="1:28" hidden="1" outlineLevel="3">
      <c r="B322" s="517"/>
      <c r="C322" s="1252">
        <v>47848</v>
      </c>
      <c r="D322" s="1206">
        <f t="shared" si="104"/>
        <v>0</v>
      </c>
      <c r="E322" s="58"/>
      <c r="F322" s="58"/>
      <c r="G322" s="58"/>
      <c r="H322" s="58"/>
      <c r="I322" s="58"/>
      <c r="J322" s="58"/>
      <c r="K322" s="58"/>
      <c r="M322" s="105"/>
      <c r="N322" s="306"/>
      <c r="O322" s="306"/>
      <c r="P322" s="306"/>
      <c r="Q322" s="306"/>
      <c r="R322" s="306"/>
      <c r="S322" s="306"/>
      <c r="T322" s="306"/>
      <c r="U322" s="306"/>
      <c r="V322" s="301">
        <f>PRODUCT($D322,INDEX($D$355:$I$375,MATCH((COUNTA($N322:U322)+1),$C$355:$C$375,0),MATCH($C$312,$D$353:$I$353,0)))</f>
        <v>0</v>
      </c>
      <c r="W322" s="301">
        <f>PRODUCT($D322,INDEX($D$355:$I$375,MATCH((COUNTA($N322:V322)+1),$C$355:$C$375,0),MATCH($C$312,$D$353:$I$353,0)))</f>
        <v>0</v>
      </c>
      <c r="X322" s="517"/>
      <c r="Y322" s="517"/>
      <c r="Z322" s="517"/>
      <c r="AA322" s="517"/>
      <c r="AB322" s="517"/>
    </row>
    <row r="323" spans="1:28" hidden="1" outlineLevel="3">
      <c r="B323" s="517"/>
      <c r="C323" s="1252">
        <v>48213</v>
      </c>
      <c r="D323" s="1206">
        <f t="shared" si="104"/>
        <v>0</v>
      </c>
      <c r="E323" s="58"/>
      <c r="F323" s="58"/>
      <c r="G323" s="58"/>
      <c r="H323" s="58"/>
      <c r="I323" s="58"/>
      <c r="J323" s="58"/>
      <c r="K323" s="58"/>
      <c r="M323" s="105"/>
      <c r="N323" s="306"/>
      <c r="O323" s="306"/>
      <c r="P323" s="306"/>
      <c r="Q323" s="306"/>
      <c r="R323" s="306"/>
      <c r="S323" s="306"/>
      <c r="T323" s="306"/>
      <c r="U323" s="306"/>
      <c r="V323" s="306"/>
      <c r="W323" s="301">
        <f>PRODUCT($D323,INDEX($D$355:$I$375,MATCH((COUNTA($N323:V323)+1),$C$355:$C$375,0),MATCH($C$312,$D$353:$I$353,0)))</f>
        <v>0</v>
      </c>
    </row>
    <row r="324" spans="1:28" hidden="1" outlineLevel="3">
      <c r="B324" s="517"/>
      <c r="C324" s="250"/>
      <c r="D324" s="94"/>
      <c r="E324" s="58"/>
      <c r="F324" s="58"/>
      <c r="G324" s="58"/>
      <c r="H324" s="58"/>
      <c r="I324" s="58"/>
      <c r="J324" s="58"/>
      <c r="K324" s="58"/>
      <c r="M324" s="105"/>
      <c r="N324" s="300">
        <f>SUM(N$314:N$323)</f>
        <v>0</v>
      </c>
      <c r="O324" s="300">
        <f t="shared" ref="O324:W324" si="105">SUM(O$314:O$323)</f>
        <v>0</v>
      </c>
      <c r="P324" s="300">
        <f t="shared" si="105"/>
        <v>0</v>
      </c>
      <c r="Q324" s="300">
        <f t="shared" si="105"/>
        <v>0</v>
      </c>
      <c r="R324" s="300">
        <f t="shared" si="105"/>
        <v>24.292999999999999</v>
      </c>
      <c r="S324" s="300">
        <f t="shared" si="105"/>
        <v>41.633000000000003</v>
      </c>
      <c r="T324" s="300">
        <f t="shared" si="105"/>
        <v>29.733000000000001</v>
      </c>
      <c r="U324" s="300">
        <f t="shared" si="105"/>
        <v>21.233000000000001</v>
      </c>
      <c r="V324" s="300">
        <f t="shared" si="105"/>
        <v>15.181000000000001</v>
      </c>
      <c r="W324" s="300">
        <f t="shared" si="105"/>
        <v>15.164</v>
      </c>
    </row>
    <row r="325" spans="1:28" ht="15" hidden="1" outlineLevel="3" thickBot="1">
      <c r="B325" s="517"/>
      <c r="C325" s="1257"/>
      <c r="D325" s="1258"/>
      <c r="E325" s="748"/>
      <c r="F325" s="748"/>
      <c r="G325" s="58"/>
      <c r="H325" s="58"/>
      <c r="I325" s="58"/>
      <c r="J325" s="58"/>
      <c r="K325" s="58"/>
      <c r="M325" s="105"/>
      <c r="N325" s="1256"/>
      <c r="O325" s="1256"/>
      <c r="P325" s="1256"/>
      <c r="Q325" s="1256"/>
      <c r="R325" s="1256"/>
      <c r="S325" s="1256"/>
      <c r="T325" s="1256"/>
      <c r="U325" s="1256"/>
      <c r="V325" s="1256"/>
      <c r="W325" s="1256"/>
    </row>
    <row r="326" spans="1:28" hidden="1" outlineLevel="3">
      <c r="B326" s="517"/>
      <c r="C326" s="250" t="s">
        <v>716</v>
      </c>
      <c r="D326" s="94"/>
      <c r="E326" s="58"/>
      <c r="F326" s="58"/>
      <c r="G326" s="58"/>
      <c r="H326" s="58"/>
      <c r="I326" s="58"/>
      <c r="J326" s="58"/>
      <c r="K326" s="58"/>
      <c r="M326" s="105"/>
      <c r="N326" s="327">
        <f t="shared" ref="N326:W326" si="106">SUM(N$296,N$310,N$324)</f>
        <v>0</v>
      </c>
      <c r="O326" s="327">
        <f t="shared" si="106"/>
        <v>0</v>
      </c>
      <c r="P326" s="327">
        <f t="shared" si="106"/>
        <v>0</v>
      </c>
      <c r="Q326" s="327">
        <f t="shared" si="106"/>
        <v>0</v>
      </c>
      <c r="R326" s="327">
        <f t="shared" si="106"/>
        <v>24.292999999999999</v>
      </c>
      <c r="S326" s="327">
        <f t="shared" si="106"/>
        <v>50.633000000000003</v>
      </c>
      <c r="T326" s="327">
        <f t="shared" si="106"/>
        <v>44.133000000000003</v>
      </c>
      <c r="U326" s="327">
        <f t="shared" si="106"/>
        <v>29.873000000000001</v>
      </c>
      <c r="V326" s="327">
        <f t="shared" si="106"/>
        <v>20.365000000000002</v>
      </c>
      <c r="W326" s="327">
        <f t="shared" si="106"/>
        <v>20.347999999999999</v>
      </c>
    </row>
    <row r="327" spans="1:28" hidden="1" outlineLevel="3">
      <c r="B327" s="517"/>
      <c r="C327" s="250"/>
      <c r="D327" s="94"/>
      <c r="E327" s="58"/>
      <c r="F327" s="58"/>
      <c r="G327" s="58"/>
      <c r="H327" s="58"/>
      <c r="I327" s="58"/>
      <c r="J327" s="58"/>
      <c r="K327" s="58"/>
      <c r="M327" s="105"/>
      <c r="N327" s="1087"/>
      <c r="O327" s="1087"/>
      <c r="P327" s="1087"/>
      <c r="Q327" s="1087"/>
      <c r="R327" s="1087"/>
      <c r="S327" s="1087"/>
      <c r="T327" s="1087"/>
      <c r="U327" s="1087"/>
      <c r="V327" s="1087"/>
      <c r="W327" s="1087"/>
    </row>
    <row r="328" spans="1:28" ht="4.5" customHeight="1" outlineLevel="1">
      <c r="B328" s="58"/>
      <c r="C328" s="73"/>
      <c r="D328" s="58"/>
      <c r="E328" s="58"/>
      <c r="F328" s="58"/>
      <c r="G328" s="58"/>
      <c r="H328" s="58"/>
      <c r="I328" s="58"/>
      <c r="J328" s="58"/>
      <c r="K328" s="58"/>
      <c r="M328" s="105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</row>
    <row r="329" spans="1:28" outlineLevel="1">
      <c r="B329" s="58"/>
      <c r="C329" s="868" t="s">
        <v>65</v>
      </c>
      <c r="D329" s="389"/>
      <c r="E329" s="389"/>
      <c r="F329" s="389"/>
      <c r="G329" s="389"/>
      <c r="H329" s="389"/>
      <c r="I329" s="389"/>
      <c r="J329" s="389"/>
      <c r="K329" s="389"/>
      <c r="L329" s="389"/>
      <c r="M329" s="389"/>
      <c r="N329" s="389"/>
      <c r="O329" s="389"/>
      <c r="P329" s="389"/>
      <c r="Q329" s="389"/>
      <c r="R329" s="389"/>
      <c r="S329" s="389"/>
      <c r="T329" s="389"/>
      <c r="U329" s="389"/>
      <c r="V329" s="389"/>
      <c r="W329" s="392"/>
    </row>
    <row r="330" spans="1:28" ht="5" customHeight="1" outlineLevel="2">
      <c r="B330" s="58"/>
      <c r="C330" s="73"/>
      <c r="D330" s="58"/>
      <c r="E330" s="58"/>
      <c r="F330" s="58"/>
      <c r="G330" s="58"/>
      <c r="H330" s="58"/>
      <c r="I330" s="58"/>
      <c r="J330" s="58"/>
      <c r="K330" s="58"/>
      <c r="M330" s="105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</row>
    <row r="331" spans="1:28" s="58" customFormat="1" ht="16" outlineLevel="2">
      <c r="A331" s="52"/>
      <c r="C331" s="241" t="str">
        <f>units</f>
        <v>($ '000)</v>
      </c>
      <c r="D331"/>
      <c r="E331"/>
      <c r="F331"/>
      <c r="G331"/>
      <c r="H331"/>
      <c r="I331"/>
      <c r="J331"/>
      <c r="K331"/>
      <c r="M331"/>
      <c r="N331" s="743" t="s">
        <v>180</v>
      </c>
      <c r="O331" s="740" t="str">
        <f>$O$124</f>
        <v>Fiscal Years Ending December 31</v>
      </c>
      <c r="P331" s="79"/>
      <c r="Q331" s="79"/>
      <c r="R331" s="79"/>
      <c r="S331" s="79"/>
      <c r="T331" s="76"/>
      <c r="U331" s="76"/>
      <c r="V331" s="76"/>
      <c r="W331" s="76"/>
    </row>
    <row r="332" spans="1:28" outlineLevel="2">
      <c r="B332" s="58"/>
      <c r="C332"/>
      <c r="D332"/>
      <c r="E332"/>
      <c r="F332"/>
      <c r="G332"/>
      <c r="H332"/>
      <c r="I332"/>
      <c r="J332"/>
      <c r="K332"/>
      <c r="L332" s="58"/>
      <c r="M332"/>
      <c r="N332" s="1088">
        <f>$Q$16</f>
        <v>44926</v>
      </c>
      <c r="O332" s="1072">
        <f>O$126</f>
        <v>45291</v>
      </c>
      <c r="P332" s="1072">
        <f t="shared" ref="P332:W332" si="107">EDATE(O332,12)</f>
        <v>45657</v>
      </c>
      <c r="Q332" s="1072">
        <f t="shared" si="107"/>
        <v>46022</v>
      </c>
      <c r="R332" s="1072">
        <f t="shared" si="107"/>
        <v>46387</v>
      </c>
      <c r="S332" s="1072">
        <f t="shared" si="107"/>
        <v>46752</v>
      </c>
      <c r="T332" s="1072">
        <f t="shared" si="107"/>
        <v>47118</v>
      </c>
      <c r="U332" s="1072">
        <f t="shared" si="107"/>
        <v>47483</v>
      </c>
      <c r="V332" s="1072">
        <f t="shared" si="107"/>
        <v>47848</v>
      </c>
      <c r="W332" s="1072">
        <f t="shared" si="107"/>
        <v>48213</v>
      </c>
    </row>
    <row r="333" spans="1:28" outlineLevel="2">
      <c r="B333" s="517"/>
      <c r="C333" s="293" t="s">
        <v>476</v>
      </c>
      <c r="D333" s="517"/>
      <c r="E333" s="517"/>
      <c r="F333" s="468"/>
      <c r="G333" s="58"/>
      <c r="H333" s="58"/>
      <c r="I333" s="58"/>
      <c r="J333" s="58"/>
      <c r="K333" s="58"/>
      <c r="M333" s="105"/>
      <c r="N333" s="1087"/>
      <c r="O333" s="1087"/>
      <c r="P333" s="1087"/>
      <c r="Q333" s="1087"/>
      <c r="R333" s="1087"/>
      <c r="S333" s="1087"/>
      <c r="T333" s="1087"/>
      <c r="U333" s="1087"/>
      <c r="V333" s="1087"/>
      <c r="W333" s="1087"/>
    </row>
    <row r="334" spans="1:28" outlineLevel="2">
      <c r="B334" s="517"/>
      <c r="C334" s="499" t="s">
        <v>611</v>
      </c>
      <c r="D334" s="517"/>
      <c r="E334" s="517"/>
      <c r="F334" s="468"/>
      <c r="G334" s="58"/>
      <c r="H334" s="58"/>
      <c r="I334" s="58"/>
      <c r="J334" s="58"/>
      <c r="K334" s="58"/>
      <c r="M334" s="105"/>
      <c r="N334" s="1089">
        <f>INDEX('PropCo Capex'!$H$18:$Q$19,MATCH($C334,'PropCo Capex'!$B$18:$B$19,0),MATCH(N$332,'PropCo Capex'!$H$15:$Q$15,0))</f>
        <v>0</v>
      </c>
      <c r="O334" s="1496">
        <f>INDEX('PropCo Capex'!$H$18:$Q$19,MATCH($C334,'PropCo Capex'!$B$18:$B$19,0),MATCH(O$332,'PropCo Capex'!$H$15:$Q$15,0))</f>
        <v>504.803</v>
      </c>
      <c r="P334" s="1089">
        <f>INDEX('PropCo Capex'!$H$18:$Q$19,MATCH($C334,'PropCo Capex'!$B$18:$B$19,0),MATCH(P$332,'PropCo Capex'!$H$15:$Q$15,0))</f>
        <v>0</v>
      </c>
      <c r="Q334" s="1089">
        <f>INDEX('PropCo Capex'!$H$18:$Q$19,MATCH($C334,'PropCo Capex'!$B$18:$B$19,0),MATCH(Q$332,'PropCo Capex'!$H$15:$Q$15,0))</f>
        <v>0</v>
      </c>
      <c r="R334" s="1089">
        <f>INDEX('PropCo Capex'!$H$18:$Q$19,MATCH($C334,'PropCo Capex'!$B$18:$B$19,0),MATCH(R$332,'PropCo Capex'!$H$15:$Q$15,0))</f>
        <v>0</v>
      </c>
      <c r="S334" s="1089">
        <f>INDEX('PropCo Capex'!$H$18:$Q$19,MATCH($C334,'PropCo Capex'!$B$18:$B$19,0),MATCH(S$332,'PropCo Capex'!$H$15:$Q$15,0))</f>
        <v>0</v>
      </c>
      <c r="T334" s="1089">
        <f>INDEX('PropCo Capex'!$H$18:$Q$19,MATCH($C334,'PropCo Capex'!$B$18:$B$19,0),MATCH(T$332,'PropCo Capex'!$H$15:$Q$15,0))</f>
        <v>0</v>
      </c>
      <c r="U334" s="1089">
        <f>INDEX('PropCo Capex'!$H$18:$Q$19,MATCH($C334,'PropCo Capex'!$B$18:$B$19,0),MATCH(U$332,'PropCo Capex'!$H$15:$Q$15,0))</f>
        <v>0</v>
      </c>
      <c r="V334" s="1089">
        <f>INDEX('PropCo Capex'!$H$18:$Q$19,MATCH($C334,'PropCo Capex'!$B$18:$B$19,0),MATCH(V$332,'PropCo Capex'!$H$15:$Q$15,0))</f>
        <v>0</v>
      </c>
      <c r="W334" s="1089">
        <f>INDEX('PropCo Capex'!$H$18:$Q$19,MATCH($C334,'PropCo Capex'!$B$18:$B$19,0),MATCH(W$332,'PropCo Capex'!$H$15:$Q$15,0))</f>
        <v>0</v>
      </c>
    </row>
    <row r="335" spans="1:28" outlineLevel="2">
      <c r="B335" s="517"/>
      <c r="C335" s="499" t="s">
        <v>612</v>
      </c>
      <c r="D335" s="517"/>
      <c r="E335" s="517"/>
      <c r="F335" s="468"/>
      <c r="G335" s="58"/>
      <c r="H335" s="58"/>
      <c r="I335" s="58"/>
      <c r="J335" s="58"/>
      <c r="K335" s="58"/>
      <c r="M335" s="105"/>
      <c r="N335" s="1089">
        <f>IF(operating_case="Downside",0,INDEX('PropCo Capex'!$H$18:$Q$19,MATCH($C335,'PropCo Capex'!$B$18:$B$19,0),MATCH(N$332,'PropCo Capex'!$H$15:$Q$15,0)))</f>
        <v>0</v>
      </c>
      <c r="O335" s="1497">
        <f>IF(operating_case="Downside",0,INDEX('PropCo Capex'!$H$18:$Q$19,MATCH($C335,'PropCo Capex'!$B$18:$B$19,0),MATCH(O$332,'PropCo Capex'!$H$15:$Q$15,0)))</f>
        <v>0</v>
      </c>
      <c r="P335" s="1089">
        <f>IF(operating_case="Downside",0,INDEX('PropCo Capex'!$H$18:$Q$19,MATCH($C335,'PropCo Capex'!$B$18:$B$19,0),MATCH(P$332,'PropCo Capex'!$H$15:$Q$15,0)))</f>
        <v>13.5</v>
      </c>
      <c r="Q335" s="1089">
        <f>IF(operating_case="Downside",0,INDEX('PropCo Capex'!$H$18:$Q$19,MATCH($C335,'PropCo Capex'!$B$18:$B$19,0),MATCH(Q$332,'PropCo Capex'!$H$15:$Q$15,0)))</f>
        <v>32.799999999999997</v>
      </c>
      <c r="R335" s="1089">
        <f>IF(operating_case="Downside",0,INDEX('PropCo Capex'!$H$18:$Q$19,MATCH($C335,'PropCo Capex'!$B$18:$B$19,0),MATCH(R$332,'PropCo Capex'!$H$15:$Q$15,0)))</f>
        <v>0.8</v>
      </c>
      <c r="S335" s="1089">
        <f>IF(operating_case="Downside",0,INDEX('PropCo Capex'!$H$18:$Q$19,MATCH($C335,'PropCo Capex'!$B$18:$B$19,0),MATCH(S$332,'PropCo Capex'!$H$15:$Q$15,0)))</f>
        <v>12.18</v>
      </c>
      <c r="T335" s="1089">
        <f>IF(operating_case="Downside",0,INDEX('PropCo Capex'!$H$18:$Q$19,MATCH($C335,'PropCo Capex'!$B$18:$B$19,0),MATCH(T$332,'PropCo Capex'!$H$15:$Q$15,0)))</f>
        <v>63</v>
      </c>
      <c r="U335" s="1089">
        <f>IF(operating_case="Downside",0,INDEX('PropCo Capex'!$H$18:$Q$19,MATCH($C335,'PropCo Capex'!$B$18:$B$19,0),MATCH(U$332,'PropCo Capex'!$H$15:$Q$15,0)))</f>
        <v>14.25</v>
      </c>
      <c r="V335" s="1089">
        <f>IF(operating_case="Downside",0,INDEX('PropCo Capex'!$H$18:$Q$19,MATCH($C335,'PropCo Capex'!$B$18:$B$19,0),MATCH(V$332,'PropCo Capex'!$H$15:$Q$15,0)))</f>
        <v>0</v>
      </c>
      <c r="W335" s="1089">
        <f>IF(operating_case="Downside",0,INDEX('PropCo Capex'!$H$18:$Q$19,MATCH($C335,'PropCo Capex'!$B$18:$B$19,0),MATCH(W$332,'PropCo Capex'!$H$15:$Q$15,0)))</f>
        <v>0</v>
      </c>
    </row>
    <row r="336" spans="1:28" outlineLevel="2">
      <c r="B336" s="517"/>
      <c r="C336" s="615" t="s">
        <v>26</v>
      </c>
      <c r="D336" s="7"/>
      <c r="E336" s="7"/>
      <c r="F336" s="510"/>
      <c r="G336" s="58"/>
      <c r="H336" s="58"/>
      <c r="I336" s="58"/>
      <c r="J336" s="58"/>
      <c r="K336" s="58"/>
      <c r="M336" s="105"/>
      <c r="N336" s="300">
        <f>SUM(N$334:N$335)</f>
        <v>0</v>
      </c>
      <c r="O336" s="1498">
        <f t="shared" ref="O336:W336" si="108">SUM(O$334:O$335)</f>
        <v>504.803</v>
      </c>
      <c r="P336" s="300">
        <f t="shared" si="108"/>
        <v>13.5</v>
      </c>
      <c r="Q336" s="300">
        <f t="shared" si="108"/>
        <v>32.799999999999997</v>
      </c>
      <c r="R336" s="300">
        <f t="shared" si="108"/>
        <v>0.8</v>
      </c>
      <c r="S336" s="300">
        <f t="shared" si="108"/>
        <v>12.18</v>
      </c>
      <c r="T336" s="300">
        <f t="shared" si="108"/>
        <v>63</v>
      </c>
      <c r="U336" s="300">
        <f t="shared" si="108"/>
        <v>14.25</v>
      </c>
      <c r="V336" s="300">
        <f t="shared" si="108"/>
        <v>0</v>
      </c>
      <c r="W336" s="300">
        <f t="shared" si="108"/>
        <v>0</v>
      </c>
    </row>
    <row r="337" spans="2:25" outlineLevel="2">
      <c r="B337" s="517"/>
      <c r="C337" s="517"/>
      <c r="D337" s="517"/>
      <c r="E337" s="517"/>
      <c r="F337" s="468"/>
      <c r="G337" s="58"/>
      <c r="H337" s="58"/>
      <c r="I337" s="58"/>
      <c r="J337" s="58"/>
      <c r="K337" s="58"/>
      <c r="M337" s="105"/>
      <c r="N337" s="1087"/>
      <c r="O337" s="1087"/>
      <c r="P337" s="1087"/>
      <c r="Q337" s="1087"/>
      <c r="R337" s="1087"/>
      <c r="S337" s="1087"/>
      <c r="T337" s="1087"/>
      <c r="U337" s="1087"/>
      <c r="V337" s="1087"/>
      <c r="W337" s="1087"/>
    </row>
    <row r="338" spans="2:25" outlineLevel="2">
      <c r="B338" s="517"/>
      <c r="C338" s="293" t="s">
        <v>38</v>
      </c>
      <c r="D338" s="1"/>
      <c r="E338" s="1"/>
      <c r="F338" s="13"/>
      <c r="G338" s="58"/>
      <c r="H338" s="58"/>
      <c r="I338" s="58"/>
      <c r="J338" s="58"/>
      <c r="K338" s="58"/>
      <c r="M338" s="105"/>
      <c r="N338" s="1087"/>
      <c r="O338" s="1087"/>
      <c r="P338" s="1087"/>
      <c r="Q338" s="1087"/>
      <c r="R338" s="1087"/>
      <c r="S338" s="1087"/>
      <c r="T338" s="1087"/>
      <c r="U338" s="1087"/>
      <c r="V338" s="1087"/>
      <c r="W338" s="1087"/>
    </row>
    <row r="339" spans="2:25" outlineLevel="2">
      <c r="B339" s="517"/>
      <c r="C339" s="499" t="s">
        <v>611</v>
      </c>
      <c r="D339" s="1"/>
      <c r="E339" s="1"/>
      <c r="F339" s="13"/>
      <c r="G339" s="58"/>
      <c r="H339" s="58"/>
      <c r="I339" s="58"/>
      <c r="J339" s="58"/>
      <c r="K339" s="58"/>
      <c r="M339" s="105"/>
      <c r="N339" s="1089">
        <f>INDEX('PropCo Capex'!$H$23:$Q$24,MATCH(HoldCo!$C339,'PropCo Capex'!$B$23:$B$24,0),MATCH(HoldCo!N$332,'PropCo Capex'!$H$15:$Q$15,0))</f>
        <v>0</v>
      </c>
      <c r="O339" s="1089">
        <f>INDEX('PropCo Capex'!$H$23:$Q$24,MATCH(HoldCo!$C339,'PropCo Capex'!$B$23:$B$24,0),MATCH(HoldCo!O$332,'PropCo Capex'!$H$15:$Q$15,0))</f>
        <v>17.8337602</v>
      </c>
      <c r="P339" s="1089">
        <f>INDEX('PropCo Capex'!$H$23:$Q$24,MATCH(HoldCo!$C339,'PropCo Capex'!$B$23:$B$24,0),MATCH(HoldCo!P$332,'PropCo Capex'!$H$15:$Q$15,0))</f>
        <v>33.722225800000004</v>
      </c>
      <c r="Q339" s="1089">
        <f>INDEX('PropCo Capex'!$H$23:$Q$24,MATCH(HoldCo!$C339,'PropCo Capex'!$B$23:$B$24,0),MATCH(HoldCo!Q$332,'PropCo Capex'!$H$15:$Q$15,0))</f>
        <v>30.876187300000005</v>
      </c>
      <c r="R339" s="1089">
        <f>INDEX('PropCo Capex'!$H$23:$Q$24,MATCH(HoldCo!$C339,'PropCo Capex'!$B$23:$B$24,0),MATCH(HoldCo!R$332,'PropCo Capex'!$H$15:$Q$15,0))</f>
        <v>28.329731799999998</v>
      </c>
      <c r="S339" s="1089">
        <f>INDEX('PropCo Capex'!$H$23:$Q$24,MATCH(HoldCo!$C339,'PropCo Capex'!$B$23:$B$24,0),MATCH(HoldCo!S$332,'PropCo Capex'!$H$15:$Q$15,0))</f>
        <v>26.022942700000002</v>
      </c>
      <c r="T339" s="1089">
        <f>INDEX('PropCo Capex'!$H$23:$Q$24,MATCH(HoldCo!$C339,'PropCo Capex'!$B$23:$B$24,0),MATCH(HoldCo!T$332,'PropCo Capex'!$H$15:$Q$15,0))</f>
        <v>23.925861699999999</v>
      </c>
      <c r="U339" s="1089">
        <f>INDEX('PropCo Capex'!$H$23:$Q$24,MATCH(HoldCo!$C339,'PropCo Capex'!$B$23:$B$24,0),MATCH(HoldCo!U$332,'PropCo Capex'!$H$15:$Q$15,0))</f>
        <v>22.937237799999998</v>
      </c>
      <c r="V339" s="1089">
        <f>INDEX('PropCo Capex'!$H$23:$Q$24,MATCH(HoldCo!$C339,'PropCo Capex'!$B$23:$B$24,0),MATCH(HoldCo!V$332,'PropCo Capex'!$H$15:$Q$15,0))</f>
        <v>22.937237799999998</v>
      </c>
      <c r="W339" s="1089">
        <f>INDEX('PropCo Capex'!$H$23:$Q$24,MATCH(HoldCo!$C339,'PropCo Capex'!$B$23:$B$24,0),MATCH(HoldCo!W$332,'PropCo Capex'!$H$15:$Q$15,0))</f>
        <v>22.967196100000002</v>
      </c>
    </row>
    <row r="340" spans="2:25" outlineLevel="2">
      <c r="B340" s="517"/>
      <c r="C340" s="499" t="s">
        <v>612</v>
      </c>
      <c r="D340" s="1"/>
      <c r="E340" s="1"/>
      <c r="F340" s="13"/>
      <c r="G340" s="58"/>
      <c r="H340" s="58"/>
      <c r="I340" s="58"/>
      <c r="J340" s="58"/>
      <c r="K340" s="58"/>
      <c r="M340" s="105"/>
      <c r="N340" s="1089">
        <f>INDEX('PropCo Capex'!$H$23:$Q$24,MATCH(HoldCo!$C340,'PropCo Capex'!$B$23:$B$24,0),MATCH(HoldCo!N$332,'PropCo Capex'!$H$15:$Q$15,0))</f>
        <v>0</v>
      </c>
      <c r="O340" s="1089">
        <f>INDEX('PropCo Capex'!$H$23:$Q$24,MATCH(HoldCo!$C340,'PropCo Capex'!$B$23:$B$24,0),MATCH(HoldCo!O$332,'PropCo Capex'!$H$15:$Q$15,0))</f>
        <v>0</v>
      </c>
      <c r="P340" s="1089">
        <f>INDEX('PropCo Capex'!$H$23:$Q$24,MATCH(HoldCo!$C340,'PropCo Capex'!$B$23:$B$24,0),MATCH(HoldCo!P$332,'PropCo Capex'!$H$15:$Q$15,0))</f>
        <v>0.67500000000000004</v>
      </c>
      <c r="Q340" s="1089">
        <f>INDEX('PropCo Capex'!$H$23:$Q$24,MATCH(HoldCo!$C340,'PropCo Capex'!$B$23:$B$24,0),MATCH(HoldCo!Q$332,'PropCo Capex'!$H$15:$Q$15,0))</f>
        <v>2.9224999999999999</v>
      </c>
      <c r="R340" s="1089">
        <f>INDEX('PropCo Capex'!$H$23:$Q$24,MATCH(HoldCo!$C340,'PropCo Capex'!$B$23:$B$24,0),MATCH(HoldCo!R$332,'PropCo Capex'!$H$15:$Q$15,0))</f>
        <v>4.3102499999999999</v>
      </c>
      <c r="S340" s="1089">
        <f>INDEX('PropCo Capex'!$H$23:$Q$24,MATCH(HoldCo!$C340,'PropCo Capex'!$B$23:$B$24,0),MATCH(HoldCo!S$332,'PropCo Capex'!$H$15:$Q$15,0))</f>
        <v>4.5289000000000001</v>
      </c>
      <c r="T340" s="1089">
        <f>INDEX('PropCo Capex'!$H$23:$Q$24,MATCH(HoldCo!$C340,'PropCo Capex'!$B$23:$B$24,0),MATCH(HoldCo!T$332,'PropCo Capex'!$H$15:$Q$15,0))</f>
        <v>7.8366500000000006</v>
      </c>
      <c r="U340" s="1089">
        <f>INDEX('PropCo Capex'!$H$23:$Q$24,MATCH(HoldCo!$C340,'PropCo Capex'!$B$23:$B$24,0),MATCH(HoldCo!U$332,'PropCo Capex'!$H$15:$Q$15,0))</f>
        <v>10.914580000000001</v>
      </c>
      <c r="V340" s="1089">
        <f>INDEX('PropCo Capex'!$H$23:$Q$24,MATCH(HoldCo!$C340,'PropCo Capex'!$B$23:$B$24,0),MATCH(HoldCo!V$332,'PropCo Capex'!$H$15:$Q$15,0))</f>
        <v>10.573490000000001</v>
      </c>
      <c r="W340" s="1089">
        <f>INDEX('PropCo Capex'!$H$23:$Q$24,MATCH(HoldCo!$C340,'PropCo Capex'!$B$23:$B$24,0),MATCH(HoldCo!W$332,'PropCo Capex'!$H$15:$Q$15,0))</f>
        <v>9.6949889999999996</v>
      </c>
    </row>
    <row r="341" spans="2:25" outlineLevel="2">
      <c r="B341" s="517"/>
      <c r="C341" s="615" t="s">
        <v>26</v>
      </c>
      <c r="D341" s="7"/>
      <c r="E341" s="7"/>
      <c r="F341" s="510"/>
      <c r="G341" s="58"/>
      <c r="H341" s="58"/>
      <c r="I341" s="58"/>
      <c r="J341" s="58"/>
      <c r="K341" s="58"/>
      <c r="M341" s="105"/>
      <c r="N341" s="300">
        <f>SUM(N$339:N$340)</f>
        <v>0</v>
      </c>
      <c r="O341" s="300">
        <f t="shared" ref="O341:W341" si="109">SUM(O$339:O$340)</f>
        <v>17.8337602</v>
      </c>
      <c r="P341" s="300">
        <f t="shared" si="109"/>
        <v>34.397225800000001</v>
      </c>
      <c r="Q341" s="300">
        <f t="shared" si="109"/>
        <v>33.798687300000005</v>
      </c>
      <c r="R341" s="300">
        <f t="shared" si="109"/>
        <v>32.639981800000001</v>
      </c>
      <c r="S341" s="300">
        <f t="shared" si="109"/>
        <v>30.551842700000002</v>
      </c>
      <c r="T341" s="300">
        <f t="shared" si="109"/>
        <v>31.762511699999997</v>
      </c>
      <c r="U341" s="300">
        <f t="shared" si="109"/>
        <v>33.851817799999999</v>
      </c>
      <c r="V341" s="300">
        <f t="shared" si="109"/>
        <v>33.510727799999998</v>
      </c>
      <c r="W341" s="300">
        <f t="shared" si="109"/>
        <v>32.662185100000002</v>
      </c>
    </row>
    <row r="342" spans="2:25" outlineLevel="2">
      <c r="B342" s="517"/>
      <c r="C342" s="1003"/>
      <c r="D342" s="379"/>
      <c r="E342" s="379"/>
      <c r="F342" s="445"/>
      <c r="G342" s="58"/>
      <c r="H342" s="58"/>
      <c r="I342" s="58"/>
      <c r="J342" s="58"/>
      <c r="K342" s="58"/>
      <c r="M342" s="105"/>
      <c r="N342" s="1087"/>
      <c r="O342" s="1087"/>
      <c r="P342" s="1087"/>
      <c r="Q342" s="1087"/>
      <c r="R342" s="1087"/>
      <c r="S342" s="1087"/>
      <c r="T342" s="1087"/>
      <c r="U342" s="1087"/>
      <c r="V342" s="1087"/>
      <c r="W342" s="1087"/>
    </row>
    <row r="343" spans="2:25" ht="5.5" customHeight="1" outlineLevel="1">
      <c r="B343" s="58"/>
      <c r="C343" s="73"/>
      <c r="D343" s="58"/>
      <c r="E343" s="58"/>
      <c r="F343" s="58"/>
      <c r="G343" s="58"/>
      <c r="H343" s="58"/>
      <c r="I343" s="58"/>
      <c r="J343" s="58"/>
      <c r="K343" s="58"/>
      <c r="M343" s="105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</row>
    <row r="344" spans="2:25" outlineLevel="1">
      <c r="B344" s="58"/>
      <c r="C344" s="868" t="s">
        <v>540</v>
      </c>
      <c r="D344" s="389"/>
      <c r="E344" s="389"/>
      <c r="F344" s="389"/>
      <c r="G344" s="389"/>
      <c r="H344" s="389"/>
      <c r="I344" s="389"/>
      <c r="J344" s="389"/>
      <c r="K344" s="389"/>
      <c r="L344" s="389"/>
      <c r="M344" s="389"/>
      <c r="N344" s="389"/>
      <c r="O344" s="389"/>
      <c r="P344" s="389"/>
      <c r="Q344" s="389"/>
      <c r="R344" s="389"/>
      <c r="S344" s="389"/>
      <c r="T344" s="389"/>
      <c r="U344" s="389"/>
      <c r="V344" s="389"/>
      <c r="W344" s="392"/>
    </row>
    <row r="345" spans="2:25" ht="4" customHeight="1" outlineLevel="2">
      <c r="B345" s="58"/>
      <c r="C345" s="73"/>
      <c r="D345" s="58"/>
      <c r="E345" s="58"/>
      <c r="F345" s="58"/>
      <c r="G345" s="58"/>
      <c r="H345" s="58"/>
      <c r="I345" s="58"/>
      <c r="J345" s="58"/>
      <c r="K345" s="58"/>
      <c r="M345" s="105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</row>
    <row r="346" spans="2:25" outlineLevel="2">
      <c r="B346" s="58"/>
      <c r="C346" s="1042" t="s">
        <v>686</v>
      </c>
      <c r="D346" s="58"/>
      <c r="E346" s="58"/>
      <c r="F346" s="58"/>
      <c r="G346" s="58"/>
      <c r="H346" s="58"/>
      <c r="I346" s="58"/>
      <c r="J346" s="58"/>
      <c r="K346" s="58"/>
      <c r="M346" s="105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</row>
    <row r="347" spans="2:25" outlineLevel="2">
      <c r="B347" s="58"/>
      <c r="C347" s="1042"/>
      <c r="D347" s="58"/>
      <c r="E347" s="58"/>
      <c r="F347" s="58"/>
      <c r="G347" s="58"/>
      <c r="H347" s="58"/>
      <c r="I347" s="58"/>
      <c r="J347" s="58"/>
      <c r="K347" s="58"/>
      <c r="M347" s="105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</row>
    <row r="348" spans="2:25" outlineLevel="2">
      <c r="B348" s="58"/>
      <c r="C348" s="1193" t="s">
        <v>615</v>
      </c>
      <c r="D348" s="1194"/>
      <c r="E348" s="1195"/>
      <c r="F348" s="1195"/>
      <c r="G348" s="1195"/>
      <c r="H348" s="1195"/>
      <c r="I348" s="1195"/>
      <c r="J348" s="912"/>
      <c r="K348" s="1193" t="s">
        <v>618</v>
      </c>
      <c r="L348" s="1194"/>
      <c r="M348" s="1199"/>
      <c r="N348" s="1200"/>
      <c r="O348" s="1201"/>
      <c r="P348" s="1195"/>
      <c r="Q348" s="1195"/>
      <c r="R348" s="1195"/>
      <c r="S348" s="1194"/>
      <c r="T348" s="1194"/>
      <c r="U348" s="1194"/>
      <c r="V348" s="1194"/>
      <c r="W348" s="1200"/>
      <c r="Y348" s="914"/>
    </row>
    <row r="349" spans="2:25" outlineLevel="2">
      <c r="B349" s="58"/>
      <c r="C349" s="1197" t="s">
        <v>616</v>
      </c>
      <c r="D349" s="1198"/>
      <c r="E349" s="1198"/>
      <c r="F349" s="1198"/>
      <c r="G349" s="1198"/>
      <c r="H349" s="1198"/>
      <c r="I349" s="1198"/>
      <c r="J349" s="1058"/>
      <c r="K349" s="1084" t="s">
        <v>622</v>
      </c>
      <c r="L349" s="1084"/>
      <c r="M349" s="1084"/>
      <c r="N349" s="1084"/>
      <c r="O349" s="1084"/>
      <c r="P349" s="1084"/>
      <c r="Q349" s="1084"/>
      <c r="R349" s="1084"/>
      <c r="S349" s="1084"/>
      <c r="T349" s="1084"/>
      <c r="U349" s="1084"/>
      <c r="V349" s="1084"/>
      <c r="W349" s="1084"/>
      <c r="Y349" s="914"/>
    </row>
    <row r="350" spans="2:25" outlineLevel="2">
      <c r="B350" s="58"/>
      <c r="C350" s="1196" t="s">
        <v>617</v>
      </c>
      <c r="D350" s="1194"/>
      <c r="E350" s="1195"/>
      <c r="F350" s="1195"/>
      <c r="G350" s="1195"/>
      <c r="H350" s="1195"/>
      <c r="I350" s="1195"/>
      <c r="J350" s="1058"/>
      <c r="K350" s="1085" t="s">
        <v>621</v>
      </c>
      <c r="L350" s="1086"/>
      <c r="M350" s="1086"/>
      <c r="N350" s="1086"/>
      <c r="O350" s="1086"/>
      <c r="P350" s="1086"/>
      <c r="Q350" s="1086"/>
      <c r="R350" s="1086"/>
      <c r="S350" s="1086"/>
      <c r="T350" s="1086"/>
      <c r="U350" s="1086"/>
      <c r="V350" s="1086"/>
      <c r="W350" s="1086"/>
      <c r="Y350" s="914"/>
    </row>
    <row r="351" spans="2:25" outlineLevel="2">
      <c r="B351" s="58"/>
      <c r="C351" s="912"/>
      <c r="D351" s="912"/>
      <c r="E351" s="912"/>
      <c r="F351" s="1045"/>
      <c r="G351" s="912"/>
      <c r="H351" s="912"/>
      <c r="I351" s="912"/>
      <c r="J351" s="912"/>
      <c r="K351" s="912"/>
      <c r="L351" s="914"/>
      <c r="M351" s="915"/>
      <c r="N351" s="916"/>
      <c r="O351" s="1051"/>
      <c r="P351" s="912"/>
      <c r="Q351" s="912"/>
      <c r="R351" s="912"/>
      <c r="S351" s="914"/>
      <c r="T351" s="914"/>
      <c r="U351" s="914"/>
      <c r="V351" s="914"/>
      <c r="W351" s="916"/>
      <c r="Y351" s="914"/>
    </row>
    <row r="352" spans="2:25" ht="16" outlineLevel="2">
      <c r="B352" s="58"/>
      <c r="C352" s="1146" t="s">
        <v>152</v>
      </c>
      <c r="D352" s="1025" t="s">
        <v>619</v>
      </c>
      <c r="E352" s="1026"/>
      <c r="F352" s="1026"/>
      <c r="G352" s="1026"/>
      <c r="H352" s="1026"/>
      <c r="I352" s="1056"/>
      <c r="K352" s="1146" t="s">
        <v>152</v>
      </c>
      <c r="L352" s="1026" t="s">
        <v>620</v>
      </c>
      <c r="M352" s="1026"/>
      <c r="N352" s="1026"/>
      <c r="O352" s="1026"/>
      <c r="P352" s="1026"/>
      <c r="Q352" s="1027"/>
      <c r="R352" s="1059"/>
      <c r="S352" s="1059"/>
      <c r="T352" s="1059"/>
      <c r="U352" s="1059"/>
      <c r="V352" s="1060"/>
      <c r="W352" s="1061"/>
      <c r="Y352" s="58"/>
    </row>
    <row r="353" spans="2:25" outlineLevel="2">
      <c r="B353" s="58"/>
      <c r="C353" s="1147"/>
      <c r="D353" s="1052">
        <v>3</v>
      </c>
      <c r="E353" s="1053">
        <v>5</v>
      </c>
      <c r="F353" s="1053">
        <v>7</v>
      </c>
      <c r="G353" s="1053">
        <v>10</v>
      </c>
      <c r="H353" s="1053">
        <v>15</v>
      </c>
      <c r="I353" s="1054">
        <v>20</v>
      </c>
      <c r="K353" s="1147"/>
      <c r="L353" s="1057">
        <v>1</v>
      </c>
      <c r="M353" s="1057">
        <v>2</v>
      </c>
      <c r="N353" s="1057">
        <v>3</v>
      </c>
      <c r="O353" s="1057">
        <v>4</v>
      </c>
      <c r="P353" s="1057">
        <v>5</v>
      </c>
      <c r="Q353" s="1057">
        <v>6</v>
      </c>
      <c r="R353" s="1057">
        <v>7</v>
      </c>
      <c r="S353" s="1057">
        <v>8</v>
      </c>
      <c r="T353" s="1057">
        <v>9</v>
      </c>
      <c r="U353" s="1057">
        <v>10</v>
      </c>
      <c r="V353" s="1057">
        <v>11</v>
      </c>
      <c r="W353" s="1062">
        <v>12</v>
      </c>
      <c r="Y353" s="58"/>
    </row>
    <row r="354" spans="2:25" outlineLevel="2">
      <c r="B354" s="58"/>
      <c r="C354" s="1028"/>
      <c r="D354" s="1028"/>
      <c r="E354" s="1030"/>
      <c r="F354" s="1030"/>
      <c r="G354" s="1030"/>
      <c r="H354" s="1030"/>
      <c r="I354" s="1031"/>
      <c r="K354" s="1065"/>
      <c r="L354" s="1029"/>
      <c r="M354" s="1030"/>
      <c r="N354" s="1030"/>
      <c r="O354" s="1030"/>
      <c r="P354" s="1030"/>
      <c r="Q354" s="1030"/>
      <c r="R354" s="58"/>
      <c r="S354" s="58"/>
      <c r="T354" s="58"/>
      <c r="U354" s="58"/>
      <c r="V354" s="158"/>
      <c r="W354" s="1063"/>
      <c r="Y354" s="58"/>
    </row>
    <row r="355" spans="2:25" outlineLevel="2">
      <c r="B355" s="58"/>
      <c r="C355" s="1032">
        <v>1</v>
      </c>
      <c r="D355" s="1043">
        <v>0.33329999999999999</v>
      </c>
      <c r="E355" s="1034">
        <v>0.2</v>
      </c>
      <c r="F355" s="1033">
        <v>0.1429</v>
      </c>
      <c r="G355" s="1033">
        <v>0.1</v>
      </c>
      <c r="H355" s="1033">
        <v>0.05</v>
      </c>
      <c r="I355" s="1035">
        <v>3.7499999999999999E-2</v>
      </c>
      <c r="K355" s="1066">
        <v>1</v>
      </c>
      <c r="L355" s="1033">
        <v>2.461E-2</v>
      </c>
      <c r="M355" s="1033">
        <v>2.247E-2</v>
      </c>
      <c r="N355" s="1033">
        <v>2.0330000000000001E-2</v>
      </c>
      <c r="O355" s="1033">
        <v>1.8190000000000001E-2</v>
      </c>
      <c r="P355" s="1033">
        <v>1.6049999999999998E-2</v>
      </c>
      <c r="Q355" s="1033">
        <v>1.391E-2</v>
      </c>
      <c r="R355" s="1033">
        <v>1.1769999999999999E-2</v>
      </c>
      <c r="S355" s="1033">
        <v>9.6299999999999997E-3</v>
      </c>
      <c r="T355" s="1033">
        <v>7.4900000000000001E-3</v>
      </c>
      <c r="U355" s="1033">
        <v>5.3499999999999997E-3</v>
      </c>
      <c r="V355" s="1033">
        <v>3.2100000000000002E-3</v>
      </c>
      <c r="W355" s="1035">
        <v>1.07E-3</v>
      </c>
      <c r="Y355" s="58"/>
    </row>
    <row r="356" spans="2:25" outlineLevel="2">
      <c r="B356" s="58"/>
      <c r="C356" s="1032">
        <v>2</v>
      </c>
      <c r="D356" s="1043">
        <v>0.44450000000000001</v>
      </c>
      <c r="E356" s="1033">
        <v>0.32</v>
      </c>
      <c r="F356" s="1033">
        <v>0.24490000000000001</v>
      </c>
      <c r="G356" s="1033">
        <v>0.18</v>
      </c>
      <c r="H356" s="1033">
        <v>9.5000000000000001E-2</v>
      </c>
      <c r="I356" s="1035">
        <v>7.2190000000000004E-2</v>
      </c>
      <c r="K356" s="1066">
        <v>2</v>
      </c>
      <c r="L356" s="1033">
        <v>2.564E-2</v>
      </c>
      <c r="M356" s="1033">
        <v>2.564E-2</v>
      </c>
      <c r="N356" s="1033">
        <v>2.564E-2</v>
      </c>
      <c r="O356" s="1033">
        <v>2.564E-2</v>
      </c>
      <c r="P356" s="1033">
        <v>2.564E-2</v>
      </c>
      <c r="Q356" s="1033">
        <v>2.564E-2</v>
      </c>
      <c r="R356" s="1033">
        <v>2.564E-2</v>
      </c>
      <c r="S356" s="1033">
        <v>2.564E-2</v>
      </c>
      <c r="T356" s="1033">
        <v>2.564E-2</v>
      </c>
      <c r="U356" s="1033">
        <v>2.564E-2</v>
      </c>
      <c r="V356" s="1033">
        <v>2.564E-2</v>
      </c>
      <c r="W356" s="1035">
        <v>2.564E-2</v>
      </c>
      <c r="Y356" s="58"/>
    </row>
    <row r="357" spans="2:25" outlineLevel="2">
      <c r="B357" s="58"/>
      <c r="C357" s="1032">
        <v>3</v>
      </c>
      <c r="D357" s="1043">
        <v>0.14810000000000001</v>
      </c>
      <c r="E357" s="1033">
        <v>0.192</v>
      </c>
      <c r="F357" s="1033">
        <v>0.1749</v>
      </c>
      <c r="G357" s="1033">
        <v>0.14399999999999999</v>
      </c>
      <c r="H357" s="1033">
        <v>8.5500000000000007E-2</v>
      </c>
      <c r="I357" s="1035">
        <v>6.6769999999999996E-2</v>
      </c>
      <c r="K357" s="1066">
        <v>3</v>
      </c>
      <c r="L357" s="1033">
        <v>2.564E-2</v>
      </c>
      <c r="M357" s="1033">
        <v>2.564E-2</v>
      </c>
      <c r="N357" s="1033">
        <v>2.564E-2</v>
      </c>
      <c r="O357" s="1033">
        <v>2.564E-2</v>
      </c>
      <c r="P357" s="1033">
        <v>2.564E-2</v>
      </c>
      <c r="Q357" s="1033">
        <v>2.564E-2</v>
      </c>
      <c r="R357" s="1033">
        <v>2.564E-2</v>
      </c>
      <c r="S357" s="1033">
        <v>2.564E-2</v>
      </c>
      <c r="T357" s="1033">
        <v>2.564E-2</v>
      </c>
      <c r="U357" s="1033">
        <v>2.564E-2</v>
      </c>
      <c r="V357" s="1033">
        <v>2.564E-2</v>
      </c>
      <c r="W357" s="1035">
        <v>2.564E-2</v>
      </c>
      <c r="Y357" s="58"/>
    </row>
    <row r="358" spans="2:25" outlineLevel="2">
      <c r="B358" s="58"/>
      <c r="C358" s="1032">
        <v>4</v>
      </c>
      <c r="D358" s="1043">
        <v>7.4099999999999999E-2</v>
      </c>
      <c r="E358" s="1033">
        <v>0.1152</v>
      </c>
      <c r="F358" s="1033">
        <v>0.1249</v>
      </c>
      <c r="G358" s="1033">
        <v>0.1152</v>
      </c>
      <c r="H358" s="1033">
        <v>7.6999999999999999E-2</v>
      </c>
      <c r="I358" s="1035">
        <v>6.1769999999999999E-2</v>
      </c>
      <c r="K358" s="1066">
        <v>4</v>
      </c>
      <c r="L358" s="1033">
        <v>2.564E-2</v>
      </c>
      <c r="M358" s="1033">
        <v>2.564E-2</v>
      </c>
      <c r="N358" s="1033">
        <v>2.564E-2</v>
      </c>
      <c r="O358" s="1033">
        <v>2.564E-2</v>
      </c>
      <c r="P358" s="1033">
        <v>2.564E-2</v>
      </c>
      <c r="Q358" s="1033">
        <v>2.564E-2</v>
      </c>
      <c r="R358" s="1033">
        <v>2.564E-2</v>
      </c>
      <c r="S358" s="1033">
        <v>2.564E-2</v>
      </c>
      <c r="T358" s="1033">
        <v>2.564E-2</v>
      </c>
      <c r="U358" s="1033">
        <v>2.564E-2</v>
      </c>
      <c r="V358" s="1033">
        <v>2.564E-2</v>
      </c>
      <c r="W358" s="1035">
        <v>2.564E-2</v>
      </c>
      <c r="Y358" s="517"/>
    </row>
    <row r="359" spans="2:25" outlineLevel="2">
      <c r="B359" s="58"/>
      <c r="C359" s="1032">
        <v>5</v>
      </c>
      <c r="D359" s="1044">
        <v>0</v>
      </c>
      <c r="E359" s="1033">
        <v>0.1152</v>
      </c>
      <c r="F359" s="1033">
        <v>8.9300000000000004E-2</v>
      </c>
      <c r="G359" s="1033">
        <v>9.2200000000000004E-2</v>
      </c>
      <c r="H359" s="1033">
        <v>6.93E-2</v>
      </c>
      <c r="I359" s="1035">
        <v>5.713E-2</v>
      </c>
      <c r="K359" s="1066">
        <v>5</v>
      </c>
      <c r="L359" s="1033">
        <v>2.564E-2</v>
      </c>
      <c r="M359" s="1033">
        <v>2.564E-2</v>
      </c>
      <c r="N359" s="1033">
        <v>2.564E-2</v>
      </c>
      <c r="O359" s="1033">
        <v>2.564E-2</v>
      </c>
      <c r="P359" s="1033">
        <v>2.564E-2</v>
      </c>
      <c r="Q359" s="1033">
        <v>2.564E-2</v>
      </c>
      <c r="R359" s="1033">
        <v>2.564E-2</v>
      </c>
      <c r="S359" s="1033">
        <v>2.564E-2</v>
      </c>
      <c r="T359" s="1033">
        <v>2.564E-2</v>
      </c>
      <c r="U359" s="1033">
        <v>2.564E-2</v>
      </c>
      <c r="V359" s="1033">
        <v>2.564E-2</v>
      </c>
      <c r="W359" s="1035">
        <v>2.564E-2</v>
      </c>
      <c r="Y359" s="517"/>
    </row>
    <row r="360" spans="2:25" outlineLevel="2">
      <c r="B360" s="58"/>
      <c r="C360" s="1032">
        <v>6</v>
      </c>
      <c r="D360" s="1044">
        <v>0</v>
      </c>
      <c r="E360" s="1038">
        <v>5.7599999999999998E-2</v>
      </c>
      <c r="F360" s="1038">
        <v>8.9200000000000002E-2</v>
      </c>
      <c r="G360" s="1038">
        <v>7.3700000000000002E-2</v>
      </c>
      <c r="H360" s="1038">
        <v>6.2300000000000001E-2</v>
      </c>
      <c r="I360" s="1039">
        <v>5.2850000000000001E-2</v>
      </c>
      <c r="K360" s="1066">
        <v>6</v>
      </c>
      <c r="L360" s="1033">
        <v>2.564E-2</v>
      </c>
      <c r="M360" s="1033">
        <v>2.564E-2</v>
      </c>
      <c r="N360" s="1033">
        <v>2.564E-2</v>
      </c>
      <c r="O360" s="1033">
        <v>2.564E-2</v>
      </c>
      <c r="P360" s="1033">
        <v>2.564E-2</v>
      </c>
      <c r="Q360" s="1033">
        <v>2.564E-2</v>
      </c>
      <c r="R360" s="1033">
        <v>2.564E-2</v>
      </c>
      <c r="S360" s="1033">
        <v>2.564E-2</v>
      </c>
      <c r="T360" s="1033">
        <v>2.564E-2</v>
      </c>
      <c r="U360" s="1033">
        <v>2.564E-2</v>
      </c>
      <c r="V360" s="1033">
        <v>2.564E-2</v>
      </c>
      <c r="W360" s="1035">
        <v>2.564E-2</v>
      </c>
      <c r="Y360" s="517"/>
    </row>
    <row r="361" spans="2:25" outlineLevel="2">
      <c r="B361" s="58"/>
      <c r="C361" s="1032">
        <v>7</v>
      </c>
      <c r="D361" s="1044">
        <v>0</v>
      </c>
      <c r="E361" s="1036">
        <v>0</v>
      </c>
      <c r="F361" s="1038">
        <v>8.9300000000000004E-2</v>
      </c>
      <c r="G361" s="1038">
        <v>6.5500000000000003E-2</v>
      </c>
      <c r="H361" s="1038">
        <v>5.8999999999999997E-2</v>
      </c>
      <c r="I361" s="1039">
        <v>4.888E-2</v>
      </c>
      <c r="K361" s="1066">
        <v>7</v>
      </c>
      <c r="L361" s="1033">
        <v>2.564E-2</v>
      </c>
      <c r="M361" s="1033">
        <v>2.564E-2</v>
      </c>
      <c r="N361" s="1033">
        <v>2.564E-2</v>
      </c>
      <c r="O361" s="1033">
        <v>2.564E-2</v>
      </c>
      <c r="P361" s="1033">
        <v>2.564E-2</v>
      </c>
      <c r="Q361" s="1033">
        <v>2.564E-2</v>
      </c>
      <c r="R361" s="1033">
        <v>2.564E-2</v>
      </c>
      <c r="S361" s="1033">
        <v>2.564E-2</v>
      </c>
      <c r="T361" s="1033">
        <v>2.564E-2</v>
      </c>
      <c r="U361" s="1033">
        <v>2.564E-2</v>
      </c>
      <c r="V361" s="1033">
        <v>2.564E-2</v>
      </c>
      <c r="W361" s="1035">
        <v>2.564E-2</v>
      </c>
      <c r="Y361" s="58"/>
    </row>
    <row r="362" spans="2:25" outlineLevel="2">
      <c r="B362" s="58"/>
      <c r="C362" s="1032">
        <v>8</v>
      </c>
      <c r="D362" s="1044">
        <v>0</v>
      </c>
      <c r="E362" s="1036">
        <v>0</v>
      </c>
      <c r="F362" s="1038">
        <v>4.4600000000000001E-2</v>
      </c>
      <c r="G362" s="1038">
        <v>6.5500000000000003E-2</v>
      </c>
      <c r="H362" s="1038">
        <v>5.8999999999999997E-2</v>
      </c>
      <c r="I362" s="1039">
        <v>4.5220000000000003E-2</v>
      </c>
      <c r="K362" s="1066">
        <v>8</v>
      </c>
      <c r="L362" s="1033">
        <v>2.564E-2</v>
      </c>
      <c r="M362" s="1033">
        <v>2.564E-2</v>
      </c>
      <c r="N362" s="1033">
        <v>2.564E-2</v>
      </c>
      <c r="O362" s="1033">
        <v>2.564E-2</v>
      </c>
      <c r="P362" s="1033">
        <v>2.564E-2</v>
      </c>
      <c r="Q362" s="1033">
        <v>2.564E-2</v>
      </c>
      <c r="R362" s="1033">
        <v>2.564E-2</v>
      </c>
      <c r="S362" s="1033">
        <v>2.564E-2</v>
      </c>
      <c r="T362" s="1033">
        <v>2.564E-2</v>
      </c>
      <c r="U362" s="1033">
        <v>2.564E-2</v>
      </c>
      <c r="V362" s="1033">
        <v>2.564E-2</v>
      </c>
      <c r="W362" s="1035">
        <v>2.564E-2</v>
      </c>
      <c r="Y362" s="58"/>
    </row>
    <row r="363" spans="2:25" outlineLevel="2">
      <c r="B363" s="58"/>
      <c r="C363" s="1032">
        <v>9</v>
      </c>
      <c r="D363" s="1044">
        <v>0</v>
      </c>
      <c r="E363" s="1036">
        <v>0</v>
      </c>
      <c r="F363" s="1036">
        <v>0</v>
      </c>
      <c r="G363" s="1038">
        <v>6.5600000000000006E-2</v>
      </c>
      <c r="H363" s="1038">
        <v>5.91E-2</v>
      </c>
      <c r="I363" s="1039">
        <v>4.462E-2</v>
      </c>
      <c r="K363" s="1066">
        <v>9</v>
      </c>
      <c r="L363" s="1033">
        <v>2.564E-2</v>
      </c>
      <c r="M363" s="1033">
        <v>2.564E-2</v>
      </c>
      <c r="N363" s="1033">
        <v>2.564E-2</v>
      </c>
      <c r="O363" s="1033">
        <v>2.564E-2</v>
      </c>
      <c r="P363" s="1033">
        <v>2.564E-2</v>
      </c>
      <c r="Q363" s="1033">
        <v>2.564E-2</v>
      </c>
      <c r="R363" s="1033">
        <v>2.564E-2</v>
      </c>
      <c r="S363" s="1033">
        <v>2.564E-2</v>
      </c>
      <c r="T363" s="1033">
        <v>2.564E-2</v>
      </c>
      <c r="U363" s="1033">
        <v>2.564E-2</v>
      </c>
      <c r="V363" s="1033">
        <v>2.564E-2</v>
      </c>
      <c r="W363" s="1035">
        <v>2.564E-2</v>
      </c>
      <c r="Y363" s="58"/>
    </row>
    <row r="364" spans="2:25" outlineLevel="2">
      <c r="B364" s="58"/>
      <c r="C364" s="1032">
        <v>10</v>
      </c>
      <c r="D364" s="1044">
        <v>0</v>
      </c>
      <c r="E364" s="1036">
        <v>0</v>
      </c>
      <c r="F364" s="1036">
        <v>0</v>
      </c>
      <c r="G364" s="1038">
        <v>6.5500000000000003E-2</v>
      </c>
      <c r="H364" s="1038">
        <v>5.8999999999999997E-2</v>
      </c>
      <c r="I364" s="1039">
        <v>4.4609999999999997E-2</v>
      </c>
      <c r="K364" s="1066">
        <v>10</v>
      </c>
      <c r="L364" s="1033">
        <v>2.564E-2</v>
      </c>
      <c r="M364" s="1033">
        <v>2.564E-2</v>
      </c>
      <c r="N364" s="1033">
        <v>2.564E-2</v>
      </c>
      <c r="O364" s="1033">
        <v>2.564E-2</v>
      </c>
      <c r="P364" s="1033">
        <v>2.564E-2</v>
      </c>
      <c r="Q364" s="1033">
        <v>2.564E-2</v>
      </c>
      <c r="R364" s="1033">
        <v>2.564E-2</v>
      </c>
      <c r="S364" s="1033">
        <v>2.564E-2</v>
      </c>
      <c r="T364" s="1033">
        <v>2.564E-2</v>
      </c>
      <c r="U364" s="1033">
        <v>2.564E-2</v>
      </c>
      <c r="V364" s="1033">
        <v>2.564E-2</v>
      </c>
      <c r="W364" s="1035">
        <v>2.564E-2</v>
      </c>
      <c r="Y364" s="58"/>
    </row>
    <row r="365" spans="2:25" outlineLevel="2">
      <c r="B365" s="58"/>
      <c r="C365" s="1032">
        <v>11</v>
      </c>
      <c r="D365" s="1044">
        <v>0</v>
      </c>
      <c r="E365" s="1036">
        <v>0</v>
      </c>
      <c r="F365" s="1036">
        <v>0</v>
      </c>
      <c r="G365" s="1038">
        <v>3.2800000000000003E-2</v>
      </c>
      <c r="H365" s="1038">
        <v>5.91E-2</v>
      </c>
      <c r="I365" s="1039">
        <v>4.462E-2</v>
      </c>
      <c r="K365" s="1066">
        <v>11</v>
      </c>
      <c r="L365" s="1033">
        <v>2.564E-2</v>
      </c>
      <c r="M365" s="1033">
        <v>2.564E-2</v>
      </c>
      <c r="N365" s="1033">
        <v>2.564E-2</v>
      </c>
      <c r="O365" s="1033">
        <v>2.564E-2</v>
      </c>
      <c r="P365" s="1033">
        <v>2.564E-2</v>
      </c>
      <c r="Q365" s="1033">
        <v>2.564E-2</v>
      </c>
      <c r="R365" s="1033">
        <v>2.564E-2</v>
      </c>
      <c r="S365" s="1033">
        <v>2.564E-2</v>
      </c>
      <c r="T365" s="1033">
        <v>2.564E-2</v>
      </c>
      <c r="U365" s="1033">
        <v>2.564E-2</v>
      </c>
      <c r="V365" s="1033">
        <v>2.564E-2</v>
      </c>
      <c r="W365" s="1035">
        <v>2.564E-2</v>
      </c>
      <c r="Y365" s="58"/>
    </row>
    <row r="366" spans="2:25" outlineLevel="2">
      <c r="B366" s="58"/>
      <c r="C366" s="1032">
        <v>12</v>
      </c>
      <c r="D366" s="1044">
        <v>0</v>
      </c>
      <c r="E366" s="1036">
        <v>0</v>
      </c>
      <c r="F366" s="1036">
        <v>0</v>
      </c>
      <c r="G366" s="1036">
        <v>0</v>
      </c>
      <c r="H366" s="1038">
        <v>5.8999999999999997E-2</v>
      </c>
      <c r="I366" s="1039">
        <v>4.4609999999999997E-2</v>
      </c>
      <c r="K366" s="1066">
        <v>12</v>
      </c>
      <c r="L366" s="1033">
        <v>2.564E-2</v>
      </c>
      <c r="M366" s="1033">
        <v>2.564E-2</v>
      </c>
      <c r="N366" s="1033">
        <v>2.564E-2</v>
      </c>
      <c r="O366" s="1033">
        <v>2.564E-2</v>
      </c>
      <c r="P366" s="1033">
        <v>2.564E-2</v>
      </c>
      <c r="Q366" s="1033">
        <v>2.564E-2</v>
      </c>
      <c r="R366" s="1033">
        <v>2.564E-2</v>
      </c>
      <c r="S366" s="1033">
        <v>2.564E-2</v>
      </c>
      <c r="T366" s="1033">
        <v>2.564E-2</v>
      </c>
      <c r="U366" s="1033">
        <v>2.564E-2</v>
      </c>
      <c r="V366" s="1033">
        <v>2.564E-2</v>
      </c>
      <c r="W366" s="1035">
        <v>2.564E-2</v>
      </c>
      <c r="Y366" s="58"/>
    </row>
    <row r="367" spans="2:25" outlineLevel="2">
      <c r="B367" s="58"/>
      <c r="C367" s="1032">
        <v>13</v>
      </c>
      <c r="D367" s="1044">
        <v>0</v>
      </c>
      <c r="E367" s="1036">
        <v>0</v>
      </c>
      <c r="F367" s="1036">
        <v>0</v>
      </c>
      <c r="G367" s="1036">
        <v>0</v>
      </c>
      <c r="H367" s="1038">
        <v>5.91E-2</v>
      </c>
      <c r="I367" s="1039">
        <v>4.462E-2</v>
      </c>
      <c r="K367" s="1066">
        <v>13</v>
      </c>
      <c r="L367" s="1033">
        <v>2.564E-2</v>
      </c>
      <c r="M367" s="1033">
        <v>2.564E-2</v>
      </c>
      <c r="N367" s="1033">
        <v>2.564E-2</v>
      </c>
      <c r="O367" s="1033">
        <v>2.564E-2</v>
      </c>
      <c r="P367" s="1033">
        <v>2.564E-2</v>
      </c>
      <c r="Q367" s="1033">
        <v>2.564E-2</v>
      </c>
      <c r="R367" s="1033">
        <v>2.564E-2</v>
      </c>
      <c r="S367" s="1033">
        <v>2.564E-2</v>
      </c>
      <c r="T367" s="1033">
        <v>2.564E-2</v>
      </c>
      <c r="U367" s="1033">
        <v>2.564E-2</v>
      </c>
      <c r="V367" s="1033">
        <v>2.564E-2</v>
      </c>
      <c r="W367" s="1035">
        <v>2.564E-2</v>
      </c>
    </row>
    <row r="368" spans="2:25" outlineLevel="2">
      <c r="B368" s="58"/>
      <c r="C368" s="1032">
        <v>14</v>
      </c>
      <c r="D368" s="1044">
        <v>0</v>
      </c>
      <c r="E368" s="1036">
        <v>0</v>
      </c>
      <c r="F368" s="1036">
        <v>0</v>
      </c>
      <c r="G368" s="1036">
        <v>0</v>
      </c>
      <c r="H368" s="1038">
        <v>5.8999999999999997E-2</v>
      </c>
      <c r="I368" s="1039">
        <v>4.4609999999999997E-2</v>
      </c>
      <c r="K368" s="1066">
        <v>14</v>
      </c>
      <c r="L368" s="1033">
        <v>2.564E-2</v>
      </c>
      <c r="M368" s="1033">
        <v>2.564E-2</v>
      </c>
      <c r="N368" s="1033">
        <v>2.564E-2</v>
      </c>
      <c r="O368" s="1033">
        <v>2.564E-2</v>
      </c>
      <c r="P368" s="1033">
        <v>2.564E-2</v>
      </c>
      <c r="Q368" s="1033">
        <v>2.564E-2</v>
      </c>
      <c r="R368" s="1033">
        <v>2.564E-2</v>
      </c>
      <c r="S368" s="1033">
        <v>2.564E-2</v>
      </c>
      <c r="T368" s="1033">
        <v>2.564E-2</v>
      </c>
      <c r="U368" s="1033">
        <v>2.564E-2</v>
      </c>
      <c r="V368" s="1033">
        <v>2.564E-2</v>
      </c>
      <c r="W368" s="1035">
        <v>2.564E-2</v>
      </c>
    </row>
    <row r="369" spans="2:25" outlineLevel="2">
      <c r="B369" s="58"/>
      <c r="C369" s="1032">
        <v>15</v>
      </c>
      <c r="D369" s="1044">
        <v>0</v>
      </c>
      <c r="E369" s="1036">
        <v>0</v>
      </c>
      <c r="F369" s="1036">
        <v>0</v>
      </c>
      <c r="G369" s="1036">
        <v>0</v>
      </c>
      <c r="H369" s="1038">
        <v>5.91E-2</v>
      </c>
      <c r="I369" s="1039">
        <v>4.462E-2</v>
      </c>
      <c r="K369" s="1066">
        <v>15</v>
      </c>
      <c r="L369" s="1033">
        <v>2.564E-2</v>
      </c>
      <c r="M369" s="1033">
        <v>2.564E-2</v>
      </c>
      <c r="N369" s="1033">
        <v>2.564E-2</v>
      </c>
      <c r="O369" s="1033">
        <v>2.564E-2</v>
      </c>
      <c r="P369" s="1033">
        <v>2.564E-2</v>
      </c>
      <c r="Q369" s="1033">
        <v>2.564E-2</v>
      </c>
      <c r="R369" s="1033">
        <v>2.564E-2</v>
      </c>
      <c r="S369" s="1033">
        <v>2.564E-2</v>
      </c>
      <c r="T369" s="1033">
        <v>2.564E-2</v>
      </c>
      <c r="U369" s="1033">
        <v>2.564E-2</v>
      </c>
      <c r="V369" s="1033">
        <v>2.564E-2</v>
      </c>
      <c r="W369" s="1035">
        <v>2.564E-2</v>
      </c>
    </row>
    <row r="370" spans="2:25" outlineLevel="2">
      <c r="B370" s="58"/>
      <c r="C370" s="1032">
        <v>16</v>
      </c>
      <c r="D370" s="1044">
        <v>0</v>
      </c>
      <c r="E370" s="1036">
        <v>0</v>
      </c>
      <c r="F370" s="1036">
        <v>0</v>
      </c>
      <c r="G370" s="1036">
        <v>0</v>
      </c>
      <c r="H370" s="1038">
        <v>2.9499999999999998E-2</v>
      </c>
      <c r="I370" s="1039">
        <v>4.4609999999999997E-2</v>
      </c>
      <c r="K370" s="1066">
        <v>16</v>
      </c>
      <c r="L370" s="1033">
        <v>2.564E-2</v>
      </c>
      <c r="M370" s="1033">
        <v>2.564E-2</v>
      </c>
      <c r="N370" s="1033">
        <v>2.564E-2</v>
      </c>
      <c r="O370" s="1033">
        <v>2.564E-2</v>
      </c>
      <c r="P370" s="1033">
        <v>2.564E-2</v>
      </c>
      <c r="Q370" s="1033">
        <v>2.564E-2</v>
      </c>
      <c r="R370" s="1033">
        <v>2.564E-2</v>
      </c>
      <c r="S370" s="1033">
        <v>2.564E-2</v>
      </c>
      <c r="T370" s="1033">
        <v>2.564E-2</v>
      </c>
      <c r="U370" s="1033">
        <v>2.564E-2</v>
      </c>
      <c r="V370" s="1033">
        <v>2.564E-2</v>
      </c>
      <c r="W370" s="1035">
        <v>2.564E-2</v>
      </c>
    </row>
    <row r="371" spans="2:25" outlineLevel="2">
      <c r="B371" s="58"/>
      <c r="C371" s="1032">
        <v>17</v>
      </c>
      <c r="D371" s="1044">
        <v>0</v>
      </c>
      <c r="E371" s="1036">
        <v>0</v>
      </c>
      <c r="F371" s="1036">
        <v>0</v>
      </c>
      <c r="G371" s="1036">
        <v>0</v>
      </c>
      <c r="H371" s="1036">
        <v>0</v>
      </c>
      <c r="I371" s="1039">
        <v>4.462E-2</v>
      </c>
      <c r="K371" s="1066">
        <v>17</v>
      </c>
      <c r="L371" s="1033">
        <v>2.564E-2</v>
      </c>
      <c r="M371" s="1033">
        <v>2.564E-2</v>
      </c>
      <c r="N371" s="1033">
        <v>2.564E-2</v>
      </c>
      <c r="O371" s="1033">
        <v>2.564E-2</v>
      </c>
      <c r="P371" s="1033">
        <v>2.564E-2</v>
      </c>
      <c r="Q371" s="1033">
        <v>2.564E-2</v>
      </c>
      <c r="R371" s="1033">
        <v>2.564E-2</v>
      </c>
      <c r="S371" s="1033">
        <v>2.564E-2</v>
      </c>
      <c r="T371" s="1033">
        <v>2.564E-2</v>
      </c>
      <c r="U371" s="1033">
        <v>2.564E-2</v>
      </c>
      <c r="V371" s="1033">
        <v>2.564E-2</v>
      </c>
      <c r="W371" s="1035">
        <v>2.564E-2</v>
      </c>
    </row>
    <row r="372" spans="2:25" outlineLevel="2">
      <c r="B372" s="58"/>
      <c r="C372" s="1032">
        <v>18</v>
      </c>
      <c r="D372" s="1044">
        <v>0</v>
      </c>
      <c r="E372" s="1036">
        <v>0</v>
      </c>
      <c r="F372" s="1036">
        <v>0</v>
      </c>
      <c r="G372" s="1036">
        <v>0</v>
      </c>
      <c r="H372" s="1036">
        <v>0</v>
      </c>
      <c r="I372" s="1039">
        <v>4.4609999999999997E-2</v>
      </c>
      <c r="K372" s="1066">
        <v>18</v>
      </c>
      <c r="L372" s="1033">
        <v>2.564E-2</v>
      </c>
      <c r="M372" s="1033">
        <v>2.564E-2</v>
      </c>
      <c r="N372" s="1033">
        <v>2.564E-2</v>
      </c>
      <c r="O372" s="1033">
        <v>2.564E-2</v>
      </c>
      <c r="P372" s="1033">
        <v>2.564E-2</v>
      </c>
      <c r="Q372" s="1033">
        <v>2.564E-2</v>
      </c>
      <c r="R372" s="1033">
        <v>2.564E-2</v>
      </c>
      <c r="S372" s="1033">
        <v>2.564E-2</v>
      </c>
      <c r="T372" s="1033">
        <v>2.564E-2</v>
      </c>
      <c r="U372" s="1033">
        <v>2.564E-2</v>
      </c>
      <c r="V372" s="1033">
        <v>2.564E-2</v>
      </c>
      <c r="W372" s="1035">
        <v>2.564E-2</v>
      </c>
    </row>
    <row r="373" spans="2:25" outlineLevel="2">
      <c r="B373" s="58"/>
      <c r="C373" s="1032">
        <v>19</v>
      </c>
      <c r="D373" s="1044">
        <v>0</v>
      </c>
      <c r="E373" s="1036">
        <v>0</v>
      </c>
      <c r="F373" s="1036">
        <v>0</v>
      </c>
      <c r="G373" s="1036">
        <v>0</v>
      </c>
      <c r="H373" s="1036">
        <v>0</v>
      </c>
      <c r="I373" s="1039">
        <v>4.462E-2</v>
      </c>
      <c r="K373" s="1066">
        <v>19</v>
      </c>
      <c r="L373" s="1033">
        <v>2.564E-2</v>
      </c>
      <c r="M373" s="1033">
        <v>2.564E-2</v>
      </c>
      <c r="N373" s="1033">
        <v>2.564E-2</v>
      </c>
      <c r="O373" s="1033">
        <v>2.564E-2</v>
      </c>
      <c r="P373" s="1033">
        <v>2.564E-2</v>
      </c>
      <c r="Q373" s="1033">
        <v>2.564E-2</v>
      </c>
      <c r="R373" s="1033">
        <v>2.564E-2</v>
      </c>
      <c r="S373" s="1033">
        <v>2.564E-2</v>
      </c>
      <c r="T373" s="1033">
        <v>2.564E-2</v>
      </c>
      <c r="U373" s="1033">
        <v>2.564E-2</v>
      </c>
      <c r="V373" s="1033">
        <v>2.564E-2</v>
      </c>
      <c r="W373" s="1035">
        <v>2.564E-2</v>
      </c>
    </row>
    <row r="374" spans="2:25" outlineLevel="2">
      <c r="B374" s="58"/>
      <c r="C374" s="1032">
        <v>20</v>
      </c>
      <c r="D374" s="1044">
        <v>0</v>
      </c>
      <c r="E374" s="1036">
        <v>0</v>
      </c>
      <c r="F374" s="1036">
        <v>0</v>
      </c>
      <c r="G374" s="1036">
        <v>0</v>
      </c>
      <c r="H374" s="1036">
        <v>0</v>
      </c>
      <c r="I374" s="1039">
        <v>4.4609999999999997E-2</v>
      </c>
      <c r="K374" s="1066">
        <v>20</v>
      </c>
      <c r="L374" s="1033">
        <v>2.564E-2</v>
      </c>
      <c r="M374" s="1033">
        <v>2.564E-2</v>
      </c>
      <c r="N374" s="1033">
        <v>2.564E-2</v>
      </c>
      <c r="O374" s="1033">
        <v>2.564E-2</v>
      </c>
      <c r="P374" s="1033">
        <v>2.564E-2</v>
      </c>
      <c r="Q374" s="1033">
        <v>2.564E-2</v>
      </c>
      <c r="R374" s="1033">
        <v>2.564E-2</v>
      </c>
      <c r="S374" s="1033">
        <v>2.564E-2</v>
      </c>
      <c r="T374" s="1033">
        <v>2.564E-2</v>
      </c>
      <c r="U374" s="1033">
        <v>2.564E-2</v>
      </c>
      <c r="V374" s="1033">
        <v>2.564E-2</v>
      </c>
      <c r="W374" s="1035">
        <v>2.564E-2</v>
      </c>
    </row>
    <row r="375" spans="2:25" outlineLevel="2">
      <c r="B375" s="58"/>
      <c r="C375" s="1032">
        <v>21</v>
      </c>
      <c r="D375" s="1044">
        <v>0</v>
      </c>
      <c r="E375" s="1137">
        <v>0</v>
      </c>
      <c r="F375" s="1137">
        <v>0</v>
      </c>
      <c r="G375" s="1137">
        <v>0</v>
      </c>
      <c r="H375" s="1137">
        <v>0</v>
      </c>
      <c r="I375" s="1039">
        <v>2.231E-2</v>
      </c>
      <c r="J375" s="517"/>
      <c r="K375" s="1066">
        <v>21</v>
      </c>
      <c r="L375" s="1033">
        <v>2.564E-2</v>
      </c>
      <c r="M375" s="1033">
        <v>2.564E-2</v>
      </c>
      <c r="N375" s="1033">
        <v>2.564E-2</v>
      </c>
      <c r="O375" s="1033">
        <v>2.564E-2</v>
      </c>
      <c r="P375" s="1033">
        <v>2.564E-2</v>
      </c>
      <c r="Q375" s="1033">
        <v>2.564E-2</v>
      </c>
      <c r="R375" s="1033">
        <v>2.564E-2</v>
      </c>
      <c r="S375" s="1033">
        <v>2.564E-2</v>
      </c>
      <c r="T375" s="1033">
        <v>2.564E-2</v>
      </c>
      <c r="U375" s="1033">
        <v>2.564E-2</v>
      </c>
      <c r="V375" s="1033">
        <v>2.564E-2</v>
      </c>
      <c r="W375" s="1035">
        <v>2.564E-2</v>
      </c>
      <c r="Y375" s="517"/>
    </row>
    <row r="376" spans="2:25" outlineLevel="2">
      <c r="B376" s="58"/>
      <c r="C376" s="1055" t="s">
        <v>26</v>
      </c>
      <c r="D376" s="1040">
        <f t="shared" ref="D376:I376" si="110">SUM(D355:D375)</f>
        <v>1</v>
      </c>
      <c r="E376" s="1202">
        <f t="shared" si="110"/>
        <v>0.99999999999999989</v>
      </c>
      <c r="F376" s="1202">
        <f t="shared" si="110"/>
        <v>1.0000000000000002</v>
      </c>
      <c r="G376" s="1202">
        <f t="shared" si="110"/>
        <v>1</v>
      </c>
      <c r="H376" s="1202">
        <f t="shared" si="110"/>
        <v>1.0000000000000002</v>
      </c>
      <c r="I376" s="1041">
        <f t="shared" si="110"/>
        <v>1.0000000000000002</v>
      </c>
      <c r="J376" s="517"/>
      <c r="K376" s="1066">
        <v>22</v>
      </c>
      <c r="L376" s="1033">
        <v>2.564E-2</v>
      </c>
      <c r="M376" s="1033">
        <v>2.564E-2</v>
      </c>
      <c r="N376" s="1033">
        <v>2.564E-2</v>
      </c>
      <c r="O376" s="1033">
        <v>2.564E-2</v>
      </c>
      <c r="P376" s="1033">
        <v>2.564E-2</v>
      </c>
      <c r="Q376" s="1033">
        <v>2.564E-2</v>
      </c>
      <c r="R376" s="1033">
        <v>2.564E-2</v>
      </c>
      <c r="S376" s="1033">
        <v>2.564E-2</v>
      </c>
      <c r="T376" s="1033">
        <v>2.564E-2</v>
      </c>
      <c r="U376" s="1033">
        <v>2.564E-2</v>
      </c>
      <c r="V376" s="1033">
        <v>2.564E-2</v>
      </c>
      <c r="W376" s="1035">
        <v>2.564E-2</v>
      </c>
      <c r="Y376" s="517"/>
    </row>
    <row r="377" spans="2:25" outlineLevel="2">
      <c r="B377" s="58"/>
      <c r="C377" s="517"/>
      <c r="D377" s="517"/>
      <c r="E377" s="468"/>
      <c r="F377" s="517"/>
      <c r="G377" s="380"/>
      <c r="H377" s="517"/>
      <c r="I377" s="517"/>
      <c r="J377" s="517"/>
      <c r="K377" s="1066">
        <v>23</v>
      </c>
      <c r="L377" s="1033">
        <v>2.564E-2</v>
      </c>
      <c r="M377" s="1033">
        <v>2.564E-2</v>
      </c>
      <c r="N377" s="1033">
        <v>2.564E-2</v>
      </c>
      <c r="O377" s="1033">
        <v>2.564E-2</v>
      </c>
      <c r="P377" s="1033">
        <v>2.564E-2</v>
      </c>
      <c r="Q377" s="1033">
        <v>2.564E-2</v>
      </c>
      <c r="R377" s="1033">
        <v>2.564E-2</v>
      </c>
      <c r="S377" s="1033">
        <v>2.564E-2</v>
      </c>
      <c r="T377" s="1033">
        <v>2.564E-2</v>
      </c>
      <c r="U377" s="1033">
        <v>2.564E-2</v>
      </c>
      <c r="V377" s="1033">
        <v>2.564E-2</v>
      </c>
      <c r="W377" s="1035">
        <v>2.564E-2</v>
      </c>
      <c r="Y377" s="517"/>
    </row>
    <row r="378" spans="2:25" outlineLevel="2">
      <c r="B378" s="58"/>
      <c r="C378"/>
      <c r="D378"/>
      <c r="E378"/>
      <c r="F378"/>
      <c r="G378"/>
      <c r="H378"/>
      <c r="I378"/>
      <c r="J378" s="517"/>
      <c r="K378" s="1066">
        <v>24</v>
      </c>
      <c r="L378" s="1033">
        <v>2.564E-2</v>
      </c>
      <c r="M378" s="1033">
        <v>2.564E-2</v>
      </c>
      <c r="N378" s="1033">
        <v>2.564E-2</v>
      </c>
      <c r="O378" s="1033">
        <v>2.564E-2</v>
      </c>
      <c r="P378" s="1033">
        <v>2.564E-2</v>
      </c>
      <c r="Q378" s="1033">
        <v>2.564E-2</v>
      </c>
      <c r="R378" s="1033">
        <v>2.564E-2</v>
      </c>
      <c r="S378" s="1033">
        <v>2.564E-2</v>
      </c>
      <c r="T378" s="1033">
        <v>2.564E-2</v>
      </c>
      <c r="U378" s="1033">
        <v>2.564E-2</v>
      </c>
      <c r="V378" s="1033">
        <v>2.564E-2</v>
      </c>
      <c r="W378" s="1035">
        <v>2.564E-2</v>
      </c>
      <c r="Y378" s="517"/>
    </row>
    <row r="379" spans="2:25" outlineLevel="2">
      <c r="B379" s="58"/>
      <c r="C379"/>
      <c r="D379"/>
      <c r="E379"/>
      <c r="F379"/>
      <c r="G379"/>
      <c r="H379"/>
      <c r="I379"/>
      <c r="J379" s="517"/>
      <c r="K379" s="1066">
        <v>25</v>
      </c>
      <c r="L379" s="1033">
        <v>2.564E-2</v>
      </c>
      <c r="M379" s="1033">
        <v>2.564E-2</v>
      </c>
      <c r="N379" s="1033">
        <v>2.564E-2</v>
      </c>
      <c r="O379" s="1033">
        <v>2.564E-2</v>
      </c>
      <c r="P379" s="1033">
        <v>2.564E-2</v>
      </c>
      <c r="Q379" s="1033">
        <v>2.564E-2</v>
      </c>
      <c r="R379" s="1033">
        <v>2.564E-2</v>
      </c>
      <c r="S379" s="1033">
        <v>2.564E-2</v>
      </c>
      <c r="T379" s="1033">
        <v>2.564E-2</v>
      </c>
      <c r="U379" s="1033">
        <v>2.564E-2</v>
      </c>
      <c r="V379" s="1033">
        <v>2.564E-2</v>
      </c>
      <c r="W379" s="1035">
        <v>2.564E-2</v>
      </c>
      <c r="Y379" s="517"/>
    </row>
    <row r="380" spans="2:25" outlineLevel="2">
      <c r="B380" s="58"/>
      <c r="C380"/>
      <c r="D380"/>
      <c r="E380"/>
      <c r="F380"/>
      <c r="G380"/>
      <c r="H380"/>
      <c r="I380"/>
      <c r="J380" s="517"/>
      <c r="K380" s="1066">
        <v>26</v>
      </c>
      <c r="L380" s="1033">
        <v>2.564E-2</v>
      </c>
      <c r="M380" s="1033">
        <v>2.564E-2</v>
      </c>
      <c r="N380" s="1033">
        <v>2.564E-2</v>
      </c>
      <c r="O380" s="1033">
        <v>2.564E-2</v>
      </c>
      <c r="P380" s="1033">
        <v>2.564E-2</v>
      </c>
      <c r="Q380" s="1033">
        <v>2.564E-2</v>
      </c>
      <c r="R380" s="1033">
        <v>2.564E-2</v>
      </c>
      <c r="S380" s="1033">
        <v>2.564E-2</v>
      </c>
      <c r="T380" s="1033">
        <v>2.564E-2</v>
      </c>
      <c r="U380" s="1033">
        <v>2.564E-2</v>
      </c>
      <c r="V380" s="1033">
        <v>2.564E-2</v>
      </c>
      <c r="W380" s="1035">
        <v>2.564E-2</v>
      </c>
      <c r="Y380" s="517"/>
    </row>
    <row r="381" spans="2:25" outlineLevel="2">
      <c r="B381" s="58"/>
      <c r="C381"/>
      <c r="D381"/>
      <c r="E381"/>
      <c r="F381"/>
      <c r="G381"/>
      <c r="H381"/>
      <c r="I381"/>
      <c r="J381" s="517"/>
      <c r="K381" s="1066">
        <v>27</v>
      </c>
      <c r="L381" s="1033">
        <v>2.564E-2</v>
      </c>
      <c r="M381" s="1033">
        <v>2.564E-2</v>
      </c>
      <c r="N381" s="1033">
        <v>2.564E-2</v>
      </c>
      <c r="O381" s="1033">
        <v>2.564E-2</v>
      </c>
      <c r="P381" s="1033">
        <v>2.564E-2</v>
      </c>
      <c r="Q381" s="1033">
        <v>2.564E-2</v>
      </c>
      <c r="R381" s="1033">
        <v>2.564E-2</v>
      </c>
      <c r="S381" s="1033">
        <v>2.564E-2</v>
      </c>
      <c r="T381" s="1033">
        <v>2.564E-2</v>
      </c>
      <c r="U381" s="1033">
        <v>2.564E-2</v>
      </c>
      <c r="V381" s="1033">
        <v>2.564E-2</v>
      </c>
      <c r="W381" s="1035">
        <v>2.564E-2</v>
      </c>
      <c r="Y381" s="517"/>
    </row>
    <row r="382" spans="2:25" outlineLevel="2">
      <c r="B382" s="58"/>
      <c r="C382"/>
      <c r="D382"/>
      <c r="E382"/>
      <c r="F382"/>
      <c r="G382"/>
      <c r="H382"/>
      <c r="I382"/>
      <c r="J382" s="517"/>
      <c r="K382" s="1066">
        <v>28</v>
      </c>
      <c r="L382" s="1033">
        <v>2.564E-2</v>
      </c>
      <c r="M382" s="1033">
        <v>2.564E-2</v>
      </c>
      <c r="N382" s="1033">
        <v>2.564E-2</v>
      </c>
      <c r="O382" s="1033">
        <v>2.564E-2</v>
      </c>
      <c r="P382" s="1033">
        <v>2.564E-2</v>
      </c>
      <c r="Q382" s="1033">
        <v>2.564E-2</v>
      </c>
      <c r="R382" s="1033">
        <v>2.564E-2</v>
      </c>
      <c r="S382" s="1033">
        <v>2.564E-2</v>
      </c>
      <c r="T382" s="1033">
        <v>2.564E-2</v>
      </c>
      <c r="U382" s="1033">
        <v>2.564E-2</v>
      </c>
      <c r="V382" s="1033">
        <v>2.564E-2</v>
      </c>
      <c r="W382" s="1035">
        <v>2.564E-2</v>
      </c>
      <c r="Y382" s="517"/>
    </row>
    <row r="383" spans="2:25" outlineLevel="2">
      <c r="B383" s="58"/>
      <c r="C383"/>
      <c r="D383"/>
      <c r="E383"/>
      <c r="F383"/>
      <c r="G383"/>
      <c r="H383"/>
      <c r="I383"/>
      <c r="J383" s="517"/>
      <c r="K383" s="1066">
        <v>29</v>
      </c>
      <c r="L383" s="1033">
        <v>2.564E-2</v>
      </c>
      <c r="M383" s="1033">
        <v>2.564E-2</v>
      </c>
      <c r="N383" s="1033">
        <v>2.564E-2</v>
      </c>
      <c r="O383" s="1033">
        <v>2.564E-2</v>
      </c>
      <c r="P383" s="1033">
        <v>2.564E-2</v>
      </c>
      <c r="Q383" s="1033">
        <v>2.564E-2</v>
      </c>
      <c r="R383" s="1033">
        <v>2.564E-2</v>
      </c>
      <c r="S383" s="1033">
        <v>2.564E-2</v>
      </c>
      <c r="T383" s="1033">
        <v>2.564E-2</v>
      </c>
      <c r="U383" s="1033">
        <v>2.564E-2</v>
      </c>
      <c r="V383" s="1033">
        <v>2.564E-2</v>
      </c>
      <c r="W383" s="1035">
        <v>2.564E-2</v>
      </c>
      <c r="Y383" s="517"/>
    </row>
    <row r="384" spans="2:25" outlineLevel="2">
      <c r="B384" s="58"/>
      <c r="C384"/>
      <c r="D384"/>
      <c r="E384"/>
      <c r="F384"/>
      <c r="G384"/>
      <c r="H384"/>
      <c r="I384"/>
      <c r="J384" s="517"/>
      <c r="K384" s="1066">
        <v>30</v>
      </c>
      <c r="L384" s="1033">
        <v>2.564E-2</v>
      </c>
      <c r="M384" s="1033">
        <v>2.564E-2</v>
      </c>
      <c r="N384" s="1033">
        <v>2.564E-2</v>
      </c>
      <c r="O384" s="1033">
        <v>2.564E-2</v>
      </c>
      <c r="P384" s="1033">
        <v>2.564E-2</v>
      </c>
      <c r="Q384" s="1033">
        <v>2.564E-2</v>
      </c>
      <c r="R384" s="1033">
        <v>2.564E-2</v>
      </c>
      <c r="S384" s="1033">
        <v>2.564E-2</v>
      </c>
      <c r="T384" s="1033">
        <v>2.564E-2</v>
      </c>
      <c r="U384" s="1033">
        <v>2.564E-2</v>
      </c>
      <c r="V384" s="1033">
        <v>2.564E-2</v>
      </c>
      <c r="W384" s="1035">
        <v>2.564E-2</v>
      </c>
      <c r="Y384" s="517"/>
    </row>
    <row r="385" spans="1:25" outlineLevel="2">
      <c r="B385" s="58"/>
      <c r="C385"/>
      <c r="D385"/>
      <c r="E385"/>
      <c r="F385"/>
      <c r="G385"/>
      <c r="H385"/>
      <c r="I385"/>
      <c r="J385" s="517"/>
      <c r="K385" s="1066">
        <v>31</v>
      </c>
      <c r="L385" s="1033">
        <v>2.564E-2</v>
      </c>
      <c r="M385" s="1033">
        <v>2.564E-2</v>
      </c>
      <c r="N385" s="1033">
        <v>2.564E-2</v>
      </c>
      <c r="O385" s="1033">
        <v>2.564E-2</v>
      </c>
      <c r="P385" s="1033">
        <v>2.564E-2</v>
      </c>
      <c r="Q385" s="1033">
        <v>2.564E-2</v>
      </c>
      <c r="R385" s="1033">
        <v>2.564E-2</v>
      </c>
      <c r="S385" s="1033">
        <v>2.564E-2</v>
      </c>
      <c r="T385" s="1033">
        <v>2.564E-2</v>
      </c>
      <c r="U385" s="1033">
        <v>2.564E-2</v>
      </c>
      <c r="V385" s="1033">
        <v>2.564E-2</v>
      </c>
      <c r="W385" s="1035">
        <v>2.564E-2</v>
      </c>
      <c r="Y385" s="517"/>
    </row>
    <row r="386" spans="1:25" outlineLevel="2">
      <c r="B386" s="58"/>
      <c r="C386"/>
      <c r="D386"/>
      <c r="E386"/>
      <c r="F386"/>
      <c r="G386"/>
      <c r="H386"/>
      <c r="I386"/>
      <c r="J386" s="517"/>
      <c r="K386" s="1066">
        <v>32</v>
      </c>
      <c r="L386" s="1033">
        <v>2.564E-2</v>
      </c>
      <c r="M386" s="1033">
        <v>2.564E-2</v>
      </c>
      <c r="N386" s="1033">
        <v>2.564E-2</v>
      </c>
      <c r="O386" s="1033">
        <v>2.564E-2</v>
      </c>
      <c r="P386" s="1033">
        <v>2.564E-2</v>
      </c>
      <c r="Q386" s="1033">
        <v>2.564E-2</v>
      </c>
      <c r="R386" s="1033">
        <v>2.564E-2</v>
      </c>
      <c r="S386" s="1033">
        <v>2.564E-2</v>
      </c>
      <c r="T386" s="1033">
        <v>2.564E-2</v>
      </c>
      <c r="U386" s="1033">
        <v>2.564E-2</v>
      </c>
      <c r="V386" s="1033">
        <v>2.564E-2</v>
      </c>
      <c r="W386" s="1035">
        <v>2.564E-2</v>
      </c>
      <c r="Y386" s="517"/>
    </row>
    <row r="387" spans="1:25" outlineLevel="2">
      <c r="B387" s="58"/>
      <c r="C387"/>
      <c r="D387"/>
      <c r="E387"/>
      <c r="F387"/>
      <c r="G387"/>
      <c r="H387"/>
      <c r="I387"/>
      <c r="J387" s="517"/>
      <c r="K387" s="1066">
        <v>33</v>
      </c>
      <c r="L387" s="1033">
        <v>2.564E-2</v>
      </c>
      <c r="M387" s="1033">
        <v>2.564E-2</v>
      </c>
      <c r="N387" s="1033">
        <v>2.564E-2</v>
      </c>
      <c r="O387" s="1033">
        <v>2.564E-2</v>
      </c>
      <c r="P387" s="1033">
        <v>2.564E-2</v>
      </c>
      <c r="Q387" s="1033">
        <v>2.564E-2</v>
      </c>
      <c r="R387" s="1033">
        <v>2.564E-2</v>
      </c>
      <c r="S387" s="1033">
        <v>2.564E-2</v>
      </c>
      <c r="T387" s="1033">
        <v>2.564E-2</v>
      </c>
      <c r="U387" s="1033">
        <v>2.564E-2</v>
      </c>
      <c r="V387" s="1033">
        <v>2.564E-2</v>
      </c>
      <c r="W387" s="1035">
        <v>2.564E-2</v>
      </c>
      <c r="Y387" s="517"/>
    </row>
    <row r="388" spans="1:25" outlineLevel="2">
      <c r="B388" s="58"/>
      <c r="C388"/>
      <c r="D388"/>
      <c r="E388"/>
      <c r="F388"/>
      <c r="G388"/>
      <c r="H388"/>
      <c r="I388"/>
      <c r="J388" s="517"/>
      <c r="K388" s="1066">
        <v>34</v>
      </c>
      <c r="L388" s="1033">
        <v>2.564E-2</v>
      </c>
      <c r="M388" s="1033">
        <v>2.564E-2</v>
      </c>
      <c r="N388" s="1033">
        <v>2.564E-2</v>
      </c>
      <c r="O388" s="1033">
        <v>2.564E-2</v>
      </c>
      <c r="P388" s="1033">
        <v>2.564E-2</v>
      </c>
      <c r="Q388" s="1033">
        <v>2.564E-2</v>
      </c>
      <c r="R388" s="1033">
        <v>2.564E-2</v>
      </c>
      <c r="S388" s="1033">
        <v>2.564E-2</v>
      </c>
      <c r="T388" s="1033">
        <v>2.564E-2</v>
      </c>
      <c r="U388" s="1033">
        <v>2.564E-2</v>
      </c>
      <c r="V388" s="1033">
        <v>2.564E-2</v>
      </c>
      <c r="W388" s="1035">
        <v>2.564E-2</v>
      </c>
      <c r="Y388" s="517"/>
    </row>
    <row r="389" spans="1:25" outlineLevel="2">
      <c r="B389" s="58"/>
      <c r="C389"/>
      <c r="D389"/>
      <c r="E389"/>
      <c r="F389"/>
      <c r="G389"/>
      <c r="H389"/>
      <c r="I389"/>
      <c r="J389" s="517"/>
      <c r="K389" s="1066">
        <v>35</v>
      </c>
      <c r="L389" s="1033">
        <v>2.564E-2</v>
      </c>
      <c r="M389" s="1033">
        <v>2.564E-2</v>
      </c>
      <c r="N389" s="1033">
        <v>2.564E-2</v>
      </c>
      <c r="O389" s="1033">
        <v>2.564E-2</v>
      </c>
      <c r="P389" s="1033">
        <v>2.564E-2</v>
      </c>
      <c r="Q389" s="1033">
        <v>2.564E-2</v>
      </c>
      <c r="R389" s="1033">
        <v>2.564E-2</v>
      </c>
      <c r="S389" s="1033">
        <v>2.564E-2</v>
      </c>
      <c r="T389" s="1033">
        <v>2.564E-2</v>
      </c>
      <c r="U389" s="1033">
        <v>2.564E-2</v>
      </c>
      <c r="V389" s="1033">
        <v>2.564E-2</v>
      </c>
      <c r="W389" s="1035">
        <v>2.564E-2</v>
      </c>
      <c r="Y389" s="517"/>
    </row>
    <row r="390" spans="1:25" outlineLevel="2">
      <c r="B390" s="58"/>
      <c r="C390"/>
      <c r="D390"/>
      <c r="E390"/>
      <c r="F390"/>
      <c r="G390"/>
      <c r="H390"/>
      <c r="I390"/>
      <c r="J390" s="517"/>
      <c r="K390" s="1066">
        <v>36</v>
      </c>
      <c r="L390" s="1033">
        <v>2.564E-2</v>
      </c>
      <c r="M390" s="1033">
        <v>2.564E-2</v>
      </c>
      <c r="N390" s="1033">
        <v>2.564E-2</v>
      </c>
      <c r="O390" s="1033">
        <v>2.564E-2</v>
      </c>
      <c r="P390" s="1033">
        <v>2.564E-2</v>
      </c>
      <c r="Q390" s="1033">
        <v>2.564E-2</v>
      </c>
      <c r="R390" s="1033">
        <v>2.564E-2</v>
      </c>
      <c r="S390" s="1033">
        <v>2.564E-2</v>
      </c>
      <c r="T390" s="1033">
        <v>2.564E-2</v>
      </c>
      <c r="U390" s="1033">
        <v>2.564E-2</v>
      </c>
      <c r="V390" s="1033">
        <v>2.564E-2</v>
      </c>
      <c r="W390" s="1035">
        <v>2.564E-2</v>
      </c>
      <c r="Y390" s="517"/>
    </row>
    <row r="391" spans="1:25" outlineLevel="2">
      <c r="B391" s="58"/>
      <c r="C391"/>
      <c r="D391"/>
      <c r="E391"/>
      <c r="F391"/>
      <c r="G391"/>
      <c r="H391"/>
      <c r="I391"/>
      <c r="J391" s="517"/>
      <c r="K391" s="1066">
        <v>37</v>
      </c>
      <c r="L391" s="1033">
        <v>2.564E-2</v>
      </c>
      <c r="M391" s="1033">
        <v>2.564E-2</v>
      </c>
      <c r="N391" s="1033">
        <v>2.564E-2</v>
      </c>
      <c r="O391" s="1033">
        <v>2.564E-2</v>
      </c>
      <c r="P391" s="1033">
        <v>2.564E-2</v>
      </c>
      <c r="Q391" s="1033">
        <v>2.564E-2</v>
      </c>
      <c r="R391" s="1033">
        <v>2.564E-2</v>
      </c>
      <c r="S391" s="1033">
        <v>2.564E-2</v>
      </c>
      <c r="T391" s="1033">
        <v>2.564E-2</v>
      </c>
      <c r="U391" s="1033">
        <v>2.564E-2</v>
      </c>
      <c r="V391" s="1033">
        <v>2.564E-2</v>
      </c>
      <c r="W391" s="1035">
        <v>2.564E-2</v>
      </c>
      <c r="Y391" s="517"/>
    </row>
    <row r="392" spans="1:25" outlineLevel="2">
      <c r="B392" s="58"/>
      <c r="C392"/>
      <c r="D392"/>
      <c r="E392"/>
      <c r="F392"/>
      <c r="G392"/>
      <c r="H392"/>
      <c r="I392"/>
      <c r="J392" s="517"/>
      <c r="K392" s="1066">
        <v>38</v>
      </c>
      <c r="L392" s="1033">
        <v>2.564E-2</v>
      </c>
      <c r="M392" s="1033">
        <v>2.564E-2</v>
      </c>
      <c r="N392" s="1033">
        <v>2.564E-2</v>
      </c>
      <c r="O392" s="1033">
        <v>2.564E-2</v>
      </c>
      <c r="P392" s="1033">
        <v>2.564E-2</v>
      </c>
      <c r="Q392" s="1033">
        <v>2.564E-2</v>
      </c>
      <c r="R392" s="1033">
        <v>2.564E-2</v>
      </c>
      <c r="S392" s="1033">
        <v>2.564E-2</v>
      </c>
      <c r="T392" s="1033">
        <v>2.564E-2</v>
      </c>
      <c r="U392" s="1033">
        <v>2.564E-2</v>
      </c>
      <c r="V392" s="1033">
        <v>2.564E-2</v>
      </c>
      <c r="W392" s="1035">
        <v>2.564E-2</v>
      </c>
      <c r="Y392" s="517"/>
    </row>
    <row r="393" spans="1:25" outlineLevel="2">
      <c r="B393" s="58"/>
      <c r="C393"/>
      <c r="D393"/>
      <c r="E393"/>
      <c r="F393"/>
      <c r="G393"/>
      <c r="H393"/>
      <c r="I393"/>
      <c r="J393" s="517"/>
      <c r="K393" s="1066">
        <v>39</v>
      </c>
      <c r="L393" s="1033">
        <v>2.564E-2</v>
      </c>
      <c r="M393" s="1033">
        <v>2.564E-2</v>
      </c>
      <c r="N393" s="1033">
        <v>2.564E-2</v>
      </c>
      <c r="O393" s="1033">
        <v>2.564E-2</v>
      </c>
      <c r="P393" s="1033">
        <v>2.564E-2</v>
      </c>
      <c r="Q393" s="1033">
        <v>2.564E-2</v>
      </c>
      <c r="R393" s="1033">
        <v>2.564E-2</v>
      </c>
      <c r="S393" s="1033">
        <v>2.564E-2</v>
      </c>
      <c r="T393" s="1033">
        <v>2.564E-2</v>
      </c>
      <c r="U393" s="1033">
        <v>2.564E-2</v>
      </c>
      <c r="V393" s="1033">
        <v>2.564E-2</v>
      </c>
      <c r="W393" s="1035">
        <v>2.564E-2</v>
      </c>
      <c r="Y393" s="517"/>
    </row>
    <row r="394" spans="1:25" outlineLevel="2">
      <c r="B394" s="58"/>
      <c r="C394"/>
      <c r="D394"/>
      <c r="E394"/>
      <c r="F394"/>
      <c r="G394"/>
      <c r="H394"/>
      <c r="I394"/>
      <c r="J394" s="517"/>
      <c r="K394" s="1067">
        <v>40</v>
      </c>
      <c r="L394" s="1064">
        <v>1.07E-3</v>
      </c>
      <c r="M394" s="1064">
        <v>3.2100000000000002E-3</v>
      </c>
      <c r="N394" s="1064">
        <v>5.3500000000000006E-3</v>
      </c>
      <c r="O394" s="1064">
        <v>7.4900000000000001E-3</v>
      </c>
      <c r="P394" s="1064">
        <v>9.6299999999999997E-3</v>
      </c>
      <c r="Q394" s="1064">
        <v>1.1770000000000001E-2</v>
      </c>
      <c r="R394" s="1064">
        <v>1.391E-2</v>
      </c>
      <c r="S394" s="1064">
        <v>1.6049999999999998E-2</v>
      </c>
      <c r="T394" s="1064">
        <v>1.8189999999999998E-2</v>
      </c>
      <c r="U394" s="1064">
        <v>2.0330000000000001E-2</v>
      </c>
      <c r="V394" s="1064">
        <v>2.247E-2</v>
      </c>
      <c r="W394" s="1037">
        <v>2.461E-2</v>
      </c>
      <c r="Y394" s="517"/>
    </row>
    <row r="395" spans="1:25" outlineLevel="2">
      <c r="B395" s="58"/>
      <c r="C395"/>
      <c r="D395"/>
      <c r="E395"/>
      <c r="F395"/>
      <c r="G395"/>
      <c r="H395"/>
      <c r="I395"/>
      <c r="J395" s="517"/>
      <c r="K395" s="1055" t="s">
        <v>26</v>
      </c>
      <c r="L395" s="1040">
        <f>SUM(L355:L394)</f>
        <v>0.99999999999999989</v>
      </c>
      <c r="M395" s="1040">
        <f t="shared" ref="M395:W395" si="111">SUM(M355:M394)</f>
        <v>1</v>
      </c>
      <c r="N395" s="1040">
        <f t="shared" si="111"/>
        <v>0.99999999999999989</v>
      </c>
      <c r="O395" s="1040">
        <f t="shared" si="111"/>
        <v>0.99999999999999989</v>
      </c>
      <c r="P395" s="1040">
        <f t="shared" si="111"/>
        <v>0.99999999999999989</v>
      </c>
      <c r="Q395" s="1040">
        <f t="shared" si="111"/>
        <v>0.99999999999999989</v>
      </c>
      <c r="R395" s="1040">
        <f t="shared" si="111"/>
        <v>0.99999999999999989</v>
      </c>
      <c r="S395" s="1040">
        <f t="shared" si="111"/>
        <v>0.99999999999999989</v>
      </c>
      <c r="T395" s="1040">
        <f t="shared" si="111"/>
        <v>1</v>
      </c>
      <c r="U395" s="1040">
        <f t="shared" si="111"/>
        <v>0.99999999999999989</v>
      </c>
      <c r="V395" s="1040">
        <f t="shared" si="111"/>
        <v>0.99999999999999989</v>
      </c>
      <c r="W395" s="1040">
        <f t="shared" si="111"/>
        <v>0.99999999999999989</v>
      </c>
      <c r="Y395" s="517"/>
    </row>
    <row r="396" spans="1:25" outlineLevel="2">
      <c r="B396" s="58"/>
      <c r="C396"/>
      <c r="D396"/>
      <c r="E396"/>
      <c r="F396"/>
      <c r="G396"/>
      <c r="H396"/>
      <c r="I396"/>
      <c r="J396" s="517"/>
      <c r="K396" s="517"/>
      <c r="L396" s="517"/>
      <c r="M396" s="517"/>
      <c r="N396" s="517"/>
      <c r="O396" s="517"/>
      <c r="P396" s="517"/>
      <c r="Q396" s="517"/>
      <c r="R396" s="517"/>
      <c r="S396" s="517"/>
      <c r="T396" s="517"/>
      <c r="U396" s="517"/>
      <c r="V396" s="517"/>
      <c r="W396" s="517"/>
      <c r="X396" s="517"/>
      <c r="Y396" s="517"/>
    </row>
    <row r="397" spans="1:25" ht="14.5" customHeight="1">
      <c r="B397" s="58"/>
      <c r="C397" s="517"/>
      <c r="D397" s="517"/>
      <c r="E397" s="517"/>
      <c r="F397" s="517"/>
      <c r="G397" s="58"/>
      <c r="H397" s="58"/>
      <c r="I397" s="58"/>
      <c r="J397" s="52"/>
      <c r="K397" s="65"/>
      <c r="M397" s="298"/>
      <c r="N397" s="298"/>
      <c r="O397" s="298"/>
      <c r="P397" s="298"/>
      <c r="Q397" s="298"/>
      <c r="R397" s="298"/>
      <c r="S397" s="298"/>
      <c r="T397" s="298"/>
      <c r="U397" s="298"/>
      <c r="V397" s="298"/>
      <c r="W397" s="298"/>
    </row>
    <row r="398" spans="1:25" s="58" customFormat="1">
      <c r="A398" s="52" t="s">
        <v>63</v>
      </c>
      <c r="C398" s="518" t="s">
        <v>536</v>
      </c>
      <c r="D398" s="247"/>
      <c r="E398" s="247"/>
      <c r="F398" s="247"/>
      <c r="G398" s="247"/>
      <c r="H398" s="247"/>
      <c r="I398" s="247"/>
      <c r="J398" s="247"/>
      <c r="K398" s="247"/>
      <c r="L398" s="247"/>
      <c r="M398" s="247"/>
      <c r="N398" s="247"/>
      <c r="O398" s="247"/>
      <c r="P398" s="247"/>
      <c r="Q398" s="247"/>
      <c r="R398" s="247"/>
      <c r="S398" s="247"/>
      <c r="T398" s="247"/>
      <c r="U398" s="247"/>
      <c r="V398" s="247"/>
      <c r="W398" s="247"/>
    </row>
    <row r="399" spans="1:25" ht="7.5" customHeight="1" outlineLevel="1">
      <c r="B399" s="58"/>
      <c r="D399" s="517"/>
      <c r="E399" s="517"/>
      <c r="F399" s="517"/>
      <c r="G399" s="58"/>
      <c r="H399" s="58"/>
      <c r="I399" s="58"/>
      <c r="J399" s="52"/>
      <c r="K399" s="65"/>
      <c r="M399" s="298"/>
      <c r="N399" s="298"/>
      <c r="O399" s="298"/>
      <c r="P399" s="298"/>
      <c r="Q399" s="298"/>
      <c r="R399" s="298"/>
      <c r="S399" s="298"/>
      <c r="T399" s="298"/>
      <c r="U399" s="298"/>
      <c r="V399" s="298"/>
      <c r="W399" s="298"/>
    </row>
    <row r="400" spans="1:25" outlineLevel="1">
      <c r="B400" s="58"/>
      <c r="C400" s="224" t="s">
        <v>226</v>
      </c>
      <c r="D400" s="58"/>
      <c r="E400" s="58"/>
      <c r="F400"/>
      <c r="G400" s="58"/>
      <c r="H400" s="58"/>
      <c r="I400" s="58"/>
      <c r="K400" s="170"/>
      <c r="M400" s="304"/>
      <c r="N400" s="298"/>
      <c r="O400" s="298"/>
      <c r="P400" s="298"/>
      <c r="Q400" s="298"/>
      <c r="R400" s="298"/>
      <c r="S400" s="298"/>
      <c r="T400" s="298"/>
      <c r="U400" s="298"/>
      <c r="V400" s="298"/>
      <c r="W400" s="298"/>
    </row>
    <row r="401" spans="2:23" outlineLevel="1">
      <c r="B401" s="58"/>
      <c r="C401" s="225" t="s">
        <v>105</v>
      </c>
      <c r="D401" s="58"/>
      <c r="E401" s="58"/>
      <c r="F401"/>
      <c r="G401" s="65"/>
      <c r="H401" s="65"/>
      <c r="I401" s="52"/>
      <c r="K401" s="3"/>
      <c r="L401"/>
      <c r="M401" s="304"/>
      <c r="N401" s="298">
        <f t="shared" ref="N401:W401" ca="1" si="112">M$403</f>
        <v>8.2933648571283118</v>
      </c>
      <c r="O401" s="298">
        <f t="shared" ca="1" si="112"/>
        <v>7.6</v>
      </c>
      <c r="P401" s="298">
        <f t="shared" ca="1" si="112"/>
        <v>5.9</v>
      </c>
      <c r="Q401" s="298">
        <f t="shared" ca="1" si="112"/>
        <v>4.2</v>
      </c>
      <c r="R401" s="298">
        <f t="shared" ca="1" si="112"/>
        <v>2.5</v>
      </c>
      <c r="S401" s="298">
        <f t="shared" ca="1" si="112"/>
        <v>0.8</v>
      </c>
      <c r="T401" s="301">
        <f t="shared" ca="1" si="112"/>
        <v>0</v>
      </c>
      <c r="U401" s="298">
        <f t="shared" ca="1" si="112"/>
        <v>0</v>
      </c>
      <c r="V401" s="298">
        <f t="shared" ca="1" si="112"/>
        <v>0</v>
      </c>
      <c r="W401" s="298">
        <f t="shared" ca="1" si="112"/>
        <v>0</v>
      </c>
    </row>
    <row r="402" spans="2:23" outlineLevel="1">
      <c r="B402" s="58"/>
      <c r="C402" s="1019" t="s">
        <v>192</v>
      </c>
      <c r="D402" s="676"/>
      <c r="E402" s="408"/>
      <c r="F402"/>
      <c r="G402" s="65"/>
      <c r="H402" s="65"/>
      <c r="I402" s="65"/>
      <c r="K402" s="3"/>
      <c r="L402" s="3"/>
      <c r="M402" s="679"/>
      <c r="N402" s="435">
        <f t="shared" ref="N402:W402" ca="1" si="113">-MIN(N$401,PRODUCT($J$57,N$122))</f>
        <v>-0.6800559182845215</v>
      </c>
      <c r="O402" s="435">
        <f t="shared" ca="1" si="113"/>
        <v>-1.6586729714256623</v>
      </c>
      <c r="P402" s="435">
        <f t="shared" ca="1" si="113"/>
        <v>-1.6586729714256623</v>
      </c>
      <c r="Q402" s="435">
        <f t="shared" ca="1" si="113"/>
        <v>-1.6586729714256623</v>
      </c>
      <c r="R402" s="435">
        <f t="shared" ca="1" si="113"/>
        <v>-1.6586729714256623</v>
      </c>
      <c r="S402" s="435">
        <f t="shared" ca="1" si="113"/>
        <v>-0.8</v>
      </c>
      <c r="T402" s="435">
        <f t="shared" ca="1" si="113"/>
        <v>0</v>
      </c>
      <c r="U402" s="435">
        <f t="shared" ca="1" si="113"/>
        <v>0</v>
      </c>
      <c r="V402" s="435">
        <f t="shared" ca="1" si="113"/>
        <v>0</v>
      </c>
      <c r="W402" s="435">
        <f t="shared" ca="1" si="113"/>
        <v>0</v>
      </c>
    </row>
    <row r="403" spans="2:23" outlineLevel="1">
      <c r="B403" s="58"/>
      <c r="C403" s="1021" t="s">
        <v>106</v>
      </c>
      <c r="D403" s="59"/>
      <c r="E403" s="59"/>
      <c r="F403" s="65"/>
      <c r="G403" s="65"/>
      <c r="H403" s="65"/>
      <c r="I403" s="65"/>
      <c r="J403" s="97"/>
      <c r="K403" s="3"/>
      <c r="M403" s="308">
        <f ca="1">$R$881</f>
        <v>8.2933648571283118</v>
      </c>
      <c r="N403" s="310">
        <f ca="1">ROUND((SUM(N$401:N$402)),1)</f>
        <v>7.6</v>
      </c>
      <c r="O403" s="310">
        <f ca="1">ROUND((SUM(O$401:O$402)),1)</f>
        <v>5.9</v>
      </c>
      <c r="P403" s="310">
        <f ca="1">ROUND((SUM(P$401:P$402)),1)</f>
        <v>4.2</v>
      </c>
      <c r="Q403" s="310">
        <f ca="1">ROUND((SUM(Q$401:Q$402)),1)</f>
        <v>2.5</v>
      </c>
      <c r="R403" s="310">
        <f ca="1">ROUND((SUM(R$401:R$402)),1)</f>
        <v>0.8</v>
      </c>
      <c r="S403" s="310">
        <f ca="1">(SUM(S$401:S$402))</f>
        <v>0</v>
      </c>
      <c r="T403" s="310">
        <f ca="1">ROUND((SUM(T$401:T$402)),1)</f>
        <v>0</v>
      </c>
      <c r="U403" s="310">
        <f ca="1">ROUND((SUM(U$401:U$402)),1)</f>
        <v>0</v>
      </c>
      <c r="V403" s="310">
        <f ca="1">ROUND((SUM(V$401:V$402)),1)</f>
        <v>0</v>
      </c>
      <c r="W403" s="310">
        <f ca="1">ROUND((SUM(W$401:W$402)),1)</f>
        <v>0</v>
      </c>
    </row>
    <row r="404" spans="2:23" outlineLevel="1">
      <c r="B404" s="58"/>
      <c r="C404" s="517"/>
      <c r="D404" s="517"/>
      <c r="E404" s="517"/>
      <c r="F404" s="517"/>
      <c r="G404" s="58"/>
      <c r="H404" s="58"/>
      <c r="I404" s="58"/>
      <c r="J404" s="52"/>
      <c r="K404" s="65"/>
      <c r="M404" s="298"/>
      <c r="N404" s="298"/>
      <c r="O404" s="298"/>
      <c r="P404" s="298"/>
      <c r="Q404" s="298"/>
      <c r="R404" s="298"/>
      <c r="S404" s="298"/>
      <c r="T404" s="298"/>
      <c r="U404" s="298"/>
      <c r="V404" s="298"/>
      <c r="W404" s="298"/>
    </row>
    <row r="405" spans="2:23" outlineLevel="1">
      <c r="C405" s="224" t="s">
        <v>267</v>
      </c>
      <c r="D405" s="65"/>
      <c r="E405" s="65"/>
      <c r="F405"/>
      <c r="M405" s="304"/>
      <c r="N405" s="309"/>
      <c r="O405" s="309"/>
      <c r="P405" s="309"/>
      <c r="Q405" s="309"/>
      <c r="R405" s="309"/>
      <c r="S405" s="309"/>
      <c r="T405" s="309"/>
      <c r="U405" s="309"/>
      <c r="V405" s="309"/>
      <c r="W405" s="309"/>
    </row>
    <row r="406" spans="2:23" outlineLevel="1">
      <c r="C406" s="279" t="s">
        <v>105</v>
      </c>
      <c r="D406" s="65"/>
      <c r="E406" s="65"/>
      <c r="F406"/>
      <c r="M406" s="301"/>
      <c r="N406" s="298">
        <f>M$408</f>
        <v>50.283356096757231</v>
      </c>
      <c r="O406" s="298">
        <f t="shared" ref="O406:W406" si="114">N$408</f>
        <v>48.908944363445869</v>
      </c>
      <c r="P406" s="298">
        <f t="shared" si="114"/>
        <v>45.556720623662052</v>
      </c>
      <c r="Q406" s="298">
        <f t="shared" si="114"/>
        <v>42.204496883878235</v>
      </c>
      <c r="R406" s="298">
        <f t="shared" si="114"/>
        <v>38.852273144094418</v>
      </c>
      <c r="S406" s="298">
        <f t="shared" si="114"/>
        <v>35.500049404310602</v>
      </c>
      <c r="T406" s="298">
        <f t="shared" si="114"/>
        <v>32.147825664526785</v>
      </c>
      <c r="U406" s="298">
        <f t="shared" si="114"/>
        <v>28.795601924742968</v>
      </c>
      <c r="V406" s="298">
        <f t="shared" si="114"/>
        <v>25.443378184959151</v>
      </c>
      <c r="W406" s="298">
        <f t="shared" si="114"/>
        <v>22.091154445175334</v>
      </c>
    </row>
    <row r="407" spans="2:23" outlineLevel="1">
      <c r="C407" s="1023" t="s">
        <v>192</v>
      </c>
      <c r="D407" s="678"/>
      <c r="E407" s="678"/>
      <c r="F407"/>
      <c r="M407" s="679"/>
      <c r="N407" s="681">
        <f t="shared" ref="N407:W407" si="115">-MIN(N$406,($M$408/$E$44)*N$122)</f>
        <v>-1.3744117333113643</v>
      </c>
      <c r="O407" s="681">
        <f t="shared" si="115"/>
        <v>-3.3522237397838155</v>
      </c>
      <c r="P407" s="681">
        <f t="shared" si="115"/>
        <v>-3.3522237397838155</v>
      </c>
      <c r="Q407" s="681">
        <f t="shared" si="115"/>
        <v>-3.3522237397838155</v>
      </c>
      <c r="R407" s="681">
        <f t="shared" si="115"/>
        <v>-3.3522237397838155</v>
      </c>
      <c r="S407" s="681">
        <f t="shared" si="115"/>
        <v>-3.3522237397838155</v>
      </c>
      <c r="T407" s="681">
        <f t="shared" si="115"/>
        <v>-3.3522237397838155</v>
      </c>
      <c r="U407" s="681">
        <f t="shared" si="115"/>
        <v>-3.3522237397838155</v>
      </c>
      <c r="V407" s="681">
        <f t="shared" si="115"/>
        <v>-3.3522237397838155</v>
      </c>
      <c r="W407" s="681">
        <f t="shared" si="115"/>
        <v>-3.3522237397838155</v>
      </c>
    </row>
    <row r="408" spans="2:23" outlineLevel="1">
      <c r="C408" s="1024" t="s">
        <v>106</v>
      </c>
      <c r="D408" s="70"/>
      <c r="E408" s="70"/>
      <c r="F408"/>
      <c r="M408" s="308">
        <f>$G$44+$L$44</f>
        <v>50.283356096757231</v>
      </c>
      <c r="N408" s="310">
        <f>SUM(N$406:N$407)</f>
        <v>48.908944363445869</v>
      </c>
      <c r="O408" s="310">
        <f t="shared" ref="O408:W408" si="116">SUM(O$406:O$407)</f>
        <v>45.556720623662052</v>
      </c>
      <c r="P408" s="310">
        <f t="shared" si="116"/>
        <v>42.204496883878235</v>
      </c>
      <c r="Q408" s="310">
        <f t="shared" si="116"/>
        <v>38.852273144094418</v>
      </c>
      <c r="R408" s="310">
        <f t="shared" si="116"/>
        <v>35.500049404310602</v>
      </c>
      <c r="S408" s="310">
        <f t="shared" si="116"/>
        <v>32.147825664526785</v>
      </c>
      <c r="T408" s="310">
        <f t="shared" si="116"/>
        <v>28.795601924742968</v>
      </c>
      <c r="U408" s="310">
        <f t="shared" si="116"/>
        <v>25.443378184959151</v>
      </c>
      <c r="V408" s="310">
        <f t="shared" si="116"/>
        <v>22.091154445175334</v>
      </c>
      <c r="W408" s="310">
        <f t="shared" si="116"/>
        <v>18.738930705391518</v>
      </c>
    </row>
    <row r="409" spans="2:23" outlineLevel="1">
      <c r="B409" s="58"/>
      <c r="C409" s="58"/>
      <c r="D409" s="58"/>
      <c r="E409" s="58"/>
      <c r="F409"/>
      <c r="G409" s="65"/>
      <c r="H409" s="65"/>
      <c r="I409" s="65"/>
      <c r="J409" s="97"/>
      <c r="K409" s="65"/>
      <c r="M409" s="309"/>
      <c r="N409" s="309"/>
      <c r="O409" s="309"/>
      <c r="P409" s="309"/>
      <c r="Q409" s="309"/>
      <c r="R409" s="309"/>
      <c r="S409" s="309"/>
      <c r="T409" s="309"/>
      <c r="U409" s="309"/>
      <c r="V409" s="309"/>
      <c r="W409" s="309"/>
    </row>
    <row r="410" spans="2:23" outlineLevel="1">
      <c r="B410" s="58"/>
      <c r="C410" s="224" t="s">
        <v>276</v>
      </c>
      <c r="D410" s="65"/>
      <c r="E410" s="65"/>
      <c r="F410"/>
      <c r="G410" s="65"/>
      <c r="H410" s="65"/>
      <c r="I410" s="65"/>
      <c r="J410" s="97"/>
      <c r="K410" s="65"/>
      <c r="M410" s="309"/>
      <c r="N410" s="309"/>
      <c r="O410" s="309"/>
      <c r="P410" s="309"/>
      <c r="Q410" s="309"/>
      <c r="R410" s="309"/>
      <c r="S410" s="309"/>
      <c r="T410" s="309"/>
      <c r="U410" s="309"/>
      <c r="V410" s="309"/>
      <c r="W410" s="309"/>
    </row>
    <row r="411" spans="2:23" outlineLevel="1">
      <c r="B411" s="58"/>
      <c r="C411" s="279" t="s">
        <v>105</v>
      </c>
      <c r="D411" s="65"/>
      <c r="E411" s="65"/>
      <c r="F411"/>
      <c r="G411" s="65"/>
      <c r="H411" s="65"/>
      <c r="I411" s="65"/>
      <c r="J411" s="97"/>
      <c r="K411" s="65"/>
      <c r="M411" s="301"/>
      <c r="N411" s="298">
        <f>M$413</f>
        <v>4.486839252227707</v>
      </c>
      <c r="O411" s="298">
        <f t="shared" ref="O411:W411" si="117">N$413</f>
        <v>4.3641989793334828</v>
      </c>
      <c r="P411" s="298">
        <f t="shared" si="117"/>
        <v>4.065076362518302</v>
      </c>
      <c r="Q411" s="298">
        <f t="shared" si="117"/>
        <v>3.7659537457031216</v>
      </c>
      <c r="R411" s="298">
        <f t="shared" si="117"/>
        <v>3.4668311288879412</v>
      </c>
      <c r="S411" s="298">
        <f t="shared" si="117"/>
        <v>3.1677085120727608</v>
      </c>
      <c r="T411" s="298">
        <f t="shared" si="117"/>
        <v>2.8685858952575805</v>
      </c>
      <c r="U411" s="298">
        <f t="shared" si="117"/>
        <v>2.5694632784424001</v>
      </c>
      <c r="V411" s="298">
        <f t="shared" si="117"/>
        <v>2.2703406616272197</v>
      </c>
      <c r="W411" s="298">
        <f t="shared" si="117"/>
        <v>1.9712180448120393</v>
      </c>
    </row>
    <row r="412" spans="2:23" outlineLevel="1">
      <c r="B412" s="58"/>
      <c r="C412" s="1023" t="s">
        <v>192</v>
      </c>
      <c r="D412" s="678"/>
      <c r="E412" s="678"/>
      <c r="F412"/>
      <c r="G412" s="65"/>
      <c r="H412" s="65"/>
      <c r="I412" s="65"/>
      <c r="J412" s="97"/>
      <c r="K412" s="65"/>
      <c r="M412" s="679"/>
      <c r="N412" s="681">
        <f t="shared" ref="N412:W412" si="118">-MIN(N$411,($M$413/$E$45)*N$122)</f>
        <v>-0.122640272894224</v>
      </c>
      <c r="O412" s="681">
        <f t="shared" si="118"/>
        <v>-0.29912261681518049</v>
      </c>
      <c r="P412" s="681">
        <f t="shared" si="118"/>
        <v>-0.29912261681518049</v>
      </c>
      <c r="Q412" s="681">
        <f t="shared" si="118"/>
        <v>-0.29912261681518049</v>
      </c>
      <c r="R412" s="681">
        <f t="shared" si="118"/>
        <v>-0.29912261681518049</v>
      </c>
      <c r="S412" s="681">
        <f t="shared" si="118"/>
        <v>-0.29912261681518049</v>
      </c>
      <c r="T412" s="681">
        <f t="shared" si="118"/>
        <v>-0.29912261681518049</v>
      </c>
      <c r="U412" s="681">
        <f t="shared" si="118"/>
        <v>-0.29912261681518049</v>
      </c>
      <c r="V412" s="681">
        <f t="shared" si="118"/>
        <v>-0.29912261681518049</v>
      </c>
      <c r="W412" s="681">
        <f t="shared" si="118"/>
        <v>-0.29912261681518049</v>
      </c>
    </row>
    <row r="413" spans="2:23" outlineLevel="1">
      <c r="B413" s="58"/>
      <c r="C413" s="1024" t="s">
        <v>106</v>
      </c>
      <c r="D413" s="70"/>
      <c r="E413" s="70"/>
      <c r="F413"/>
      <c r="G413" s="65"/>
      <c r="H413" s="65"/>
      <c r="I413" s="65"/>
      <c r="J413" s="97"/>
      <c r="K413" s="65"/>
      <c r="M413" s="308">
        <f>$G$45+$L$45</f>
        <v>4.486839252227707</v>
      </c>
      <c r="N413" s="310">
        <f>SUM(N$411:N$412)</f>
        <v>4.3641989793334828</v>
      </c>
      <c r="O413" s="310">
        <f t="shared" ref="O413:W413" si="119">SUM(O$411:O$412)</f>
        <v>4.065076362518302</v>
      </c>
      <c r="P413" s="310">
        <f t="shared" si="119"/>
        <v>3.7659537457031216</v>
      </c>
      <c r="Q413" s="310">
        <f t="shared" si="119"/>
        <v>3.4668311288879412</v>
      </c>
      <c r="R413" s="310">
        <f t="shared" si="119"/>
        <v>3.1677085120727608</v>
      </c>
      <c r="S413" s="310">
        <f t="shared" si="119"/>
        <v>2.8685858952575805</v>
      </c>
      <c r="T413" s="310">
        <f t="shared" si="119"/>
        <v>2.5694632784424001</v>
      </c>
      <c r="U413" s="310">
        <f t="shared" si="119"/>
        <v>2.2703406616272197</v>
      </c>
      <c r="V413" s="310">
        <f t="shared" si="119"/>
        <v>1.9712180448120393</v>
      </c>
      <c r="W413" s="310">
        <f t="shared" si="119"/>
        <v>1.672095427996859</v>
      </c>
    </row>
    <row r="414" spans="2:23" outlineLevel="1">
      <c r="B414" s="58"/>
      <c r="C414" s="94"/>
      <c r="D414" s="58"/>
      <c r="E414" s="58"/>
      <c r="F414" s="65"/>
      <c r="G414" s="65"/>
      <c r="H414" s="65"/>
      <c r="I414" s="65"/>
      <c r="J414" s="97"/>
      <c r="K414" s="3"/>
      <c r="M414" s="304"/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</row>
    <row r="415" spans="2:23" outlineLevel="1">
      <c r="B415" s="58"/>
      <c r="C415" s="223" t="s">
        <v>4</v>
      </c>
      <c r="D415" s="58"/>
      <c r="E415" s="58"/>
      <c r="F415" s="58"/>
      <c r="G415" s="58"/>
      <c r="H415" s="58"/>
      <c r="I415" s="58"/>
      <c r="J415" s="52"/>
      <c r="K415" s="65"/>
      <c r="M415" s="298"/>
      <c r="N415" s="298"/>
      <c r="O415" s="298"/>
      <c r="P415" s="298"/>
      <c r="Q415" s="298"/>
      <c r="R415" s="298"/>
      <c r="S415" s="298"/>
      <c r="T415" s="298"/>
      <c r="U415" s="298"/>
      <c r="V415" s="298"/>
      <c r="W415" s="298"/>
    </row>
    <row r="416" spans="2:23" outlineLevel="1">
      <c r="B416" s="58"/>
      <c r="C416" s="225" t="s">
        <v>105</v>
      </c>
      <c r="D416" s="58"/>
      <c r="E416" s="58"/>
      <c r="F416" s="65"/>
      <c r="G416" s="65"/>
      <c r="H416" s="65"/>
      <c r="I416" s="65"/>
      <c r="J416" s="97"/>
      <c r="K416" s="65"/>
      <c r="M416" s="301"/>
      <c r="N416" s="298">
        <f t="shared" ref="N416:W416" si="120">M418</f>
        <v>147.5166060415354</v>
      </c>
      <c r="O416" s="298">
        <f t="shared" si="120"/>
        <v>143.4844854764001</v>
      </c>
      <c r="P416" s="298">
        <f t="shared" si="120"/>
        <v>133.65004507363108</v>
      </c>
      <c r="Q416" s="298">
        <f t="shared" si="120"/>
        <v>123.81560467086206</v>
      </c>
      <c r="R416" s="298">
        <f t="shared" si="120"/>
        <v>113.98116426809304</v>
      </c>
      <c r="S416" s="298">
        <f t="shared" si="120"/>
        <v>104.14672386532402</v>
      </c>
      <c r="T416" s="298">
        <f t="shared" si="120"/>
        <v>94.312283462555001</v>
      </c>
      <c r="U416" s="298">
        <f t="shared" si="120"/>
        <v>84.477843059785982</v>
      </c>
      <c r="V416" s="298">
        <f t="shared" si="120"/>
        <v>74.643402657016964</v>
      </c>
      <c r="W416" s="298">
        <f t="shared" si="120"/>
        <v>64.808962254247945</v>
      </c>
    </row>
    <row r="417" spans="1:23" outlineLevel="1">
      <c r="B417" s="58"/>
      <c r="C417" s="1019" t="s">
        <v>192</v>
      </c>
      <c r="D417" s="408"/>
      <c r="E417" s="687"/>
      <c r="F417" s="65"/>
      <c r="G417" s="65"/>
      <c r="H417" s="65"/>
      <c r="I417" s="65"/>
      <c r="J417" s="97"/>
      <c r="K417" s="65"/>
      <c r="M417" s="679"/>
      <c r="N417" s="682">
        <f t="shared" ref="N417:W417" si="121">-(MIN(N$416,(PRODUCT(($Q$43/$V$32),N$122))))</f>
        <v>-4.0321205651353003</v>
      </c>
      <c r="O417" s="682">
        <f t="shared" si="121"/>
        <v>-9.834440402769026</v>
      </c>
      <c r="P417" s="682">
        <f t="shared" si="121"/>
        <v>-9.834440402769026</v>
      </c>
      <c r="Q417" s="682">
        <f t="shared" si="121"/>
        <v>-9.834440402769026</v>
      </c>
      <c r="R417" s="682">
        <f t="shared" si="121"/>
        <v>-9.834440402769026</v>
      </c>
      <c r="S417" s="682">
        <f t="shared" si="121"/>
        <v>-9.834440402769026</v>
      </c>
      <c r="T417" s="682">
        <f t="shared" si="121"/>
        <v>-9.834440402769026</v>
      </c>
      <c r="U417" s="682">
        <f t="shared" si="121"/>
        <v>-9.834440402769026</v>
      </c>
      <c r="V417" s="682">
        <f t="shared" si="121"/>
        <v>-9.834440402769026</v>
      </c>
      <c r="W417" s="682">
        <f t="shared" si="121"/>
        <v>-9.834440402769026</v>
      </c>
    </row>
    <row r="418" spans="1:23" outlineLevel="1">
      <c r="B418" s="58"/>
      <c r="C418" s="1021" t="s">
        <v>106</v>
      </c>
      <c r="D418" s="59"/>
      <c r="E418" s="59"/>
      <c r="F418" s="65"/>
      <c r="G418" s="65"/>
      <c r="H418" s="65"/>
      <c r="I418" s="65"/>
      <c r="J418" s="97"/>
      <c r="K418" s="65"/>
      <c r="M418" s="308">
        <f>$Q$43</f>
        <v>147.5166060415354</v>
      </c>
      <c r="N418" s="310">
        <f t="shared" ref="N418:V418" si="122">MAX((SUM(N$416:N$417)),0)</f>
        <v>143.4844854764001</v>
      </c>
      <c r="O418" s="310">
        <f t="shared" si="122"/>
        <v>133.65004507363108</v>
      </c>
      <c r="P418" s="310">
        <f t="shared" si="122"/>
        <v>123.81560467086206</v>
      </c>
      <c r="Q418" s="310">
        <f t="shared" si="122"/>
        <v>113.98116426809304</v>
      </c>
      <c r="R418" s="310">
        <f t="shared" si="122"/>
        <v>104.14672386532402</v>
      </c>
      <c r="S418" s="310">
        <f t="shared" si="122"/>
        <v>94.312283462555001</v>
      </c>
      <c r="T418" s="310">
        <f t="shared" si="122"/>
        <v>84.477843059785982</v>
      </c>
      <c r="U418" s="310">
        <f t="shared" si="122"/>
        <v>74.643402657016964</v>
      </c>
      <c r="V418" s="310">
        <f t="shared" si="122"/>
        <v>64.808962254247945</v>
      </c>
      <c r="W418" s="310">
        <f>MAX((SUM(W$416:W$417)),0)</f>
        <v>54.974521851478919</v>
      </c>
    </row>
    <row r="419" spans="1:23" ht="15" outlineLevel="1" thickBot="1">
      <c r="B419" s="58"/>
      <c r="C419" s="58"/>
      <c r="D419" s="58"/>
      <c r="E419" s="58"/>
      <c r="F419" s="65"/>
      <c r="G419" s="65"/>
      <c r="H419" s="65"/>
      <c r="I419" s="65"/>
      <c r="J419" s="97"/>
      <c r="K419" s="65"/>
      <c r="L419" s="3"/>
      <c r="M419" s="311"/>
      <c r="N419" s="311"/>
      <c r="O419" s="298"/>
      <c r="P419" s="298"/>
      <c r="Q419" s="298"/>
      <c r="R419" s="298"/>
      <c r="S419" s="298"/>
      <c r="T419" s="298"/>
      <c r="U419" s="298"/>
      <c r="V419" s="298"/>
      <c r="W419" s="298"/>
    </row>
    <row r="420" spans="1:23" ht="3" customHeight="1" outlineLevel="1">
      <c r="B420" s="58"/>
      <c r="C420" s="246"/>
      <c r="D420" s="246"/>
      <c r="E420" s="246"/>
      <c r="F420" s="246"/>
      <c r="G420" s="246"/>
      <c r="H420" s="246"/>
      <c r="I420" s="246"/>
      <c r="J420" s="246"/>
      <c r="K420" s="246"/>
      <c r="L420" s="246"/>
      <c r="M420" s="312"/>
      <c r="N420" s="312"/>
      <c r="O420" s="312"/>
      <c r="P420" s="312"/>
      <c r="Q420" s="312"/>
      <c r="R420" s="312"/>
      <c r="S420" s="312"/>
      <c r="T420" s="312"/>
      <c r="U420" s="312"/>
      <c r="V420" s="312"/>
      <c r="W420" s="312"/>
    </row>
    <row r="421" spans="1:23" s="54" customFormat="1" outlineLevel="1">
      <c r="A421" s="36"/>
      <c r="B421" s="18"/>
      <c r="C421" s="18" t="s">
        <v>109</v>
      </c>
      <c r="D421" s="18"/>
      <c r="E421" s="18"/>
      <c r="F421" s="18"/>
      <c r="G421" s="18"/>
      <c r="H421" s="18"/>
      <c r="I421" s="18"/>
      <c r="J421" s="18"/>
      <c r="K421" s="18"/>
      <c r="M421" s="1022"/>
      <c r="N421" s="327">
        <f ca="1">-SUM(N$407,N$412,N$402,N$417)</f>
        <v>6.20922848962541</v>
      </c>
      <c r="O421" s="327">
        <f t="shared" ref="O421:W421" ca="1" si="123">-SUM(O$407,O$412,O$402,O$417)</f>
        <v>15.144459730793685</v>
      </c>
      <c r="P421" s="327">
        <f t="shared" ca="1" si="123"/>
        <v>15.144459730793685</v>
      </c>
      <c r="Q421" s="327">
        <f t="shared" ca="1" si="123"/>
        <v>15.144459730793685</v>
      </c>
      <c r="R421" s="327">
        <f t="shared" ca="1" si="123"/>
        <v>15.144459730793685</v>
      </c>
      <c r="S421" s="327">
        <f t="shared" ca="1" si="123"/>
        <v>14.285786759368023</v>
      </c>
      <c r="T421" s="327">
        <f t="shared" ca="1" si="123"/>
        <v>13.485786759368022</v>
      </c>
      <c r="U421" s="327">
        <f t="shared" ca="1" si="123"/>
        <v>13.485786759368022</v>
      </c>
      <c r="V421" s="327">
        <f t="shared" ca="1" si="123"/>
        <v>13.485786759368022</v>
      </c>
      <c r="W421" s="327">
        <f t="shared" ca="1" si="123"/>
        <v>13.485786759368022</v>
      </c>
    </row>
    <row r="422" spans="1:23" s="54" customFormat="1" outlineLevel="1">
      <c r="A422" s="36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M422" s="1022"/>
      <c r="N422" s="327"/>
      <c r="O422" s="327"/>
      <c r="P422" s="327"/>
      <c r="Q422" s="327"/>
      <c r="R422" s="327"/>
      <c r="S422" s="327"/>
      <c r="T422" s="327"/>
      <c r="U422" s="327"/>
      <c r="V422" s="327"/>
      <c r="W422" s="327"/>
    </row>
    <row r="423" spans="1:23" ht="4.5" customHeight="1">
      <c r="B423" s="58"/>
      <c r="C423" s="73"/>
      <c r="D423" s="58"/>
      <c r="E423" s="58"/>
      <c r="F423" s="58"/>
      <c r="G423" s="58"/>
      <c r="H423" s="58"/>
      <c r="I423" s="58"/>
      <c r="J423" s="58"/>
      <c r="K423" s="58"/>
      <c r="M423" s="58"/>
      <c r="N423" s="58"/>
      <c r="O423" s="58"/>
      <c r="P423" s="58"/>
      <c r="Q423" s="58"/>
      <c r="R423" s="58"/>
      <c r="S423" s="58"/>
    </row>
    <row r="424" spans="1:23" s="58" customFormat="1">
      <c r="A424" s="52" t="s">
        <v>63</v>
      </c>
      <c r="C424" s="518" t="s">
        <v>170</v>
      </c>
      <c r="D424" s="247"/>
      <c r="E424" s="247"/>
      <c r="F424" s="247"/>
      <c r="G424" s="247"/>
      <c r="H424" s="247"/>
      <c r="I424" s="247"/>
      <c r="J424" s="247"/>
      <c r="K424" s="247"/>
      <c r="L424" s="247"/>
      <c r="M424" s="247"/>
      <c r="N424" s="247"/>
      <c r="O424" s="247"/>
      <c r="P424" s="247"/>
      <c r="Q424" s="247"/>
      <c r="R424" s="247"/>
      <c r="S424" s="247"/>
      <c r="T424" s="247"/>
      <c r="U424" s="247"/>
      <c r="V424" s="247"/>
      <c r="W424" s="247"/>
    </row>
    <row r="425" spans="1:23" ht="3.65" customHeight="1" outlineLevel="1">
      <c r="B425" s="58"/>
      <c r="C425" s="211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</row>
    <row r="426" spans="1:23" s="58" customFormat="1" ht="16" outlineLevel="1">
      <c r="A426" s="52"/>
      <c r="C426" s="241" t="str">
        <f>units</f>
        <v>($ '000)</v>
      </c>
      <c r="M426" s="36"/>
      <c r="N426" s="743" t="str">
        <f>$N$124</f>
        <v>4 Months</v>
      </c>
      <c r="O426" s="740" t="str">
        <f>"Fiscal Years Ending "&amp;TEXT($Q$16,"mmmm dd")</f>
        <v>Fiscal Years Ending December 31</v>
      </c>
      <c r="P426" s="739"/>
      <c r="Q426" s="739"/>
      <c r="R426" s="739"/>
      <c r="S426" s="739"/>
      <c r="T426" s="739"/>
      <c r="U426" s="739"/>
      <c r="V426" s="739"/>
      <c r="W426" s="739"/>
    </row>
    <row r="427" spans="1:23" outlineLevel="1"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M427" s="80"/>
      <c r="N427" s="785">
        <f>$N$125</f>
        <v>1</v>
      </c>
      <c r="O427" s="746">
        <f>O$125</f>
        <v>2</v>
      </c>
      <c r="P427" s="746">
        <f t="shared" ref="P427:W427" si="124">P$125</f>
        <v>3</v>
      </c>
      <c r="Q427" s="746">
        <f t="shared" si="124"/>
        <v>4</v>
      </c>
      <c r="R427" s="746">
        <f t="shared" si="124"/>
        <v>5</v>
      </c>
      <c r="S427" s="746">
        <f t="shared" si="124"/>
        <v>6</v>
      </c>
      <c r="T427" s="746">
        <f t="shared" si="124"/>
        <v>7</v>
      </c>
      <c r="U427" s="746">
        <f t="shared" si="124"/>
        <v>8</v>
      </c>
      <c r="V427" s="746">
        <f t="shared" si="124"/>
        <v>9</v>
      </c>
      <c r="W427" s="746">
        <f t="shared" si="124"/>
        <v>10</v>
      </c>
    </row>
    <row r="428" spans="1:23" s="58" customFormat="1" ht="15" outlineLevel="1" thickBot="1">
      <c r="A428"/>
      <c r="B428" s="748"/>
      <c r="C428" s="748"/>
      <c r="D428" s="748"/>
      <c r="E428" s="748"/>
      <c r="F428" s="748"/>
      <c r="G428" s="748"/>
      <c r="H428" s="748"/>
      <c r="I428" s="748"/>
      <c r="J428" s="748"/>
      <c r="K428" s="748"/>
      <c r="L428" s="748"/>
      <c r="M428" s="748"/>
      <c r="N428" s="749">
        <f>$N$126</f>
        <v>44926</v>
      </c>
      <c r="O428" s="750">
        <f>O$126</f>
        <v>45291</v>
      </c>
      <c r="P428" s="750">
        <f t="shared" ref="P428:W428" si="125">P$126</f>
        <v>45657</v>
      </c>
      <c r="Q428" s="750">
        <f t="shared" si="125"/>
        <v>46022</v>
      </c>
      <c r="R428" s="750">
        <f t="shared" si="125"/>
        <v>46387</v>
      </c>
      <c r="S428" s="750">
        <f t="shared" si="125"/>
        <v>46752</v>
      </c>
      <c r="T428" s="750">
        <f t="shared" si="125"/>
        <v>47118</v>
      </c>
      <c r="U428" s="750">
        <f t="shared" si="125"/>
        <v>47483</v>
      </c>
      <c r="V428" s="750">
        <f t="shared" si="125"/>
        <v>47848</v>
      </c>
      <c r="W428" s="750">
        <f t="shared" si="125"/>
        <v>48213</v>
      </c>
    </row>
    <row r="429" spans="1:23" s="58" customFormat="1" ht="7.5" customHeight="1" outlineLevel="1">
      <c r="A429"/>
    </row>
    <row r="430" spans="1:23" outlineLevel="1">
      <c r="A430"/>
      <c r="B430" s="58"/>
      <c r="C430" s="58" t="s">
        <v>43</v>
      </c>
      <c r="D430" s="58"/>
      <c r="E430" s="58"/>
      <c r="F430" s="58"/>
      <c r="G430" s="58"/>
      <c r="J430" s="58"/>
      <c r="K430" s="58"/>
      <c r="M430" s="58"/>
      <c r="N430" s="298">
        <f t="shared" ref="N430:W430" ca="1" si="126">N$163</f>
        <v>33.949197697596702</v>
      </c>
      <c r="O430" s="298">
        <f t="shared" ca="1" si="126"/>
        <v>-7.6724381345245263</v>
      </c>
      <c r="P430" s="298">
        <f ca="1">P$163</f>
        <v>-20.951759678023919</v>
      </c>
      <c r="Q430" s="298">
        <f t="shared" ca="1" si="126"/>
        <v>45.722982310453858</v>
      </c>
      <c r="R430" s="298">
        <f t="shared" ca="1" si="126"/>
        <v>-24.737609126698459</v>
      </c>
      <c r="S430" s="298">
        <f t="shared" ca="1" si="126"/>
        <v>116.64547213925226</v>
      </c>
      <c r="T430" s="298">
        <f t="shared" ca="1" si="126"/>
        <v>144.64151312587751</v>
      </c>
      <c r="U430" s="298">
        <f t="shared" ca="1" si="126"/>
        <v>137.78289460363527</v>
      </c>
      <c r="V430" s="298">
        <f t="shared" ca="1" si="126"/>
        <v>230.55968569833411</v>
      </c>
      <c r="W430" s="298">
        <f t="shared" ca="1" si="126"/>
        <v>282.6808931303238</v>
      </c>
    </row>
    <row r="431" spans="1:23" outlineLevel="1">
      <c r="B431" s="58"/>
      <c r="C431" s="65" t="s">
        <v>38</v>
      </c>
      <c r="D431" s="58"/>
      <c r="E431" s="58"/>
      <c r="F431" s="58"/>
      <c r="G431" s="58"/>
      <c r="J431" s="58"/>
      <c r="K431" s="58"/>
      <c r="M431" s="58"/>
      <c r="N431" s="298">
        <f ca="1">-N$154</f>
        <v>35.935779563076757</v>
      </c>
      <c r="O431" s="298">
        <f t="shared" ref="O431:W431" ca="1" si="127">-O$154</f>
        <v>138.97708921393956</v>
      </c>
      <c r="P431" s="298">
        <f t="shared" ca="1" si="127"/>
        <v>248.76493942704951</v>
      </c>
      <c r="Q431" s="298">
        <f t="shared" ca="1" si="127"/>
        <v>209.07506176655201</v>
      </c>
      <c r="R431" s="298">
        <f t="shared" ca="1" si="127"/>
        <v>208.34291249345273</v>
      </c>
      <c r="S431" s="298">
        <f t="shared" ca="1" si="127"/>
        <v>217.19519946354836</v>
      </c>
      <c r="T431" s="298">
        <f t="shared" ca="1" si="127"/>
        <v>218.86764060854097</v>
      </c>
      <c r="U431" s="298">
        <f t="shared" ca="1" si="127"/>
        <v>212.67091728618891</v>
      </c>
      <c r="V431" s="298">
        <f t="shared" ca="1" si="127"/>
        <v>179.78577729973443</v>
      </c>
      <c r="W431" s="298">
        <f t="shared" ca="1" si="127"/>
        <v>154.12295803722441</v>
      </c>
    </row>
    <row r="432" spans="1:23" outlineLevel="1">
      <c r="B432" s="58"/>
      <c r="C432" s="65" t="s">
        <v>39</v>
      </c>
      <c r="D432" s="58"/>
      <c r="E432" s="58"/>
      <c r="F432" s="58"/>
      <c r="G432" s="58"/>
      <c r="J432" s="58"/>
      <c r="K432" s="58"/>
      <c r="M432" s="58"/>
      <c r="N432" s="298">
        <f ca="1">-N$155</f>
        <v>6.20922848962541</v>
      </c>
      <c r="O432" s="298">
        <f t="shared" ref="O432:W432" ca="1" si="128">-O$155</f>
        <v>15.144459730793685</v>
      </c>
      <c r="P432" s="298">
        <f t="shared" ca="1" si="128"/>
        <v>15.144459730793685</v>
      </c>
      <c r="Q432" s="298">
        <f t="shared" ca="1" si="128"/>
        <v>15.144459730793685</v>
      </c>
      <c r="R432" s="298">
        <f t="shared" ca="1" si="128"/>
        <v>15.144459730793685</v>
      </c>
      <c r="S432" s="298">
        <f t="shared" ca="1" si="128"/>
        <v>14.285786759368023</v>
      </c>
      <c r="T432" s="298">
        <f t="shared" ca="1" si="128"/>
        <v>13.485786759368022</v>
      </c>
      <c r="U432" s="298">
        <f t="shared" ca="1" si="128"/>
        <v>13.485786759368022</v>
      </c>
      <c r="V432" s="298">
        <f t="shared" ca="1" si="128"/>
        <v>13.485786759368022</v>
      </c>
      <c r="W432" s="298">
        <f t="shared" ca="1" si="128"/>
        <v>13.485786759368022</v>
      </c>
    </row>
    <row r="433" spans="1:23" outlineLevel="1">
      <c r="B433" s="58"/>
      <c r="C433" s="58" t="s">
        <v>815</v>
      </c>
      <c r="D433" s="58"/>
      <c r="E433" s="58"/>
      <c r="F433" s="58"/>
      <c r="G433" s="58"/>
      <c r="J433" s="58"/>
      <c r="K433" s="58"/>
      <c r="M433" s="58"/>
      <c r="N433" s="298">
        <f t="shared" ref="N433:W433" ca="1" si="129">-N$182</f>
        <v>2.3196091734091056</v>
      </c>
      <c r="O433" s="298">
        <f t="shared" ca="1" si="129"/>
        <v>-9.3206588722605943</v>
      </c>
      <c r="P433" s="298">
        <f t="shared" ca="1" si="129"/>
        <v>-0.37971567488892788</v>
      </c>
      <c r="Q433" s="298">
        <f t="shared" ca="1" si="129"/>
        <v>-2.6790095202690054</v>
      </c>
      <c r="R433" s="298">
        <f t="shared" ca="1" si="129"/>
        <v>-7.3699482017205469</v>
      </c>
      <c r="S433" s="298">
        <f t="shared" ca="1" si="129"/>
        <v>-7.5425212344787838</v>
      </c>
      <c r="T433" s="298">
        <f t="shared" ca="1" si="129"/>
        <v>-7.7190275667406354</v>
      </c>
      <c r="U433" s="298">
        <f t="shared" ca="1" si="129"/>
        <v>-7.899559369118208</v>
      </c>
      <c r="V433" s="298">
        <f t="shared" ca="1" si="129"/>
        <v>-8.0842109350660962</v>
      </c>
      <c r="W433" s="298">
        <f t="shared" ca="1" si="129"/>
        <v>-8.2730787308054801</v>
      </c>
    </row>
    <row r="434" spans="1:23" outlineLevel="1">
      <c r="B434" s="58"/>
      <c r="C434" s="227" t="s">
        <v>816</v>
      </c>
      <c r="D434" s="58"/>
      <c r="E434" s="58"/>
      <c r="F434" s="58"/>
      <c r="G434" s="58"/>
      <c r="J434" s="58"/>
      <c r="K434" s="58"/>
      <c r="M434" s="58"/>
      <c r="N434" s="299">
        <v>0</v>
      </c>
      <c r="O434" s="299">
        <v>0</v>
      </c>
      <c r="P434" s="299">
        <v>0</v>
      </c>
      <c r="Q434" s="299">
        <v>0</v>
      </c>
      <c r="R434" s="299">
        <v>0</v>
      </c>
      <c r="S434" s="299">
        <v>0</v>
      </c>
      <c r="T434" s="299">
        <v>0</v>
      </c>
      <c r="U434" s="299">
        <v>0</v>
      </c>
      <c r="V434" s="299">
        <v>0</v>
      </c>
      <c r="W434" s="299">
        <v>0</v>
      </c>
    </row>
    <row r="435" spans="1:23" outlineLevel="1">
      <c r="B435" s="58"/>
      <c r="C435" s="60" t="s">
        <v>55</v>
      </c>
      <c r="D435" s="59"/>
      <c r="E435" s="59"/>
      <c r="F435" s="59"/>
      <c r="G435" s="58"/>
      <c r="J435" s="58"/>
      <c r="K435" s="58"/>
      <c r="L435" s="58"/>
      <c r="M435" s="58"/>
      <c r="N435" s="300">
        <f ca="1">SUM(N$430:N$434)</f>
        <v>78.413814923707974</v>
      </c>
      <c r="O435" s="300">
        <f t="shared" ref="O435:W435" ca="1" si="130">SUM(O$430:O$434)</f>
        <v>137.12845193794811</v>
      </c>
      <c r="P435" s="300">
        <f t="shared" ca="1" si="130"/>
        <v>242.57792380493038</v>
      </c>
      <c r="Q435" s="300">
        <f t="shared" ca="1" si="130"/>
        <v>267.26349428753053</v>
      </c>
      <c r="R435" s="300">
        <f t="shared" ca="1" si="130"/>
        <v>191.37981489582739</v>
      </c>
      <c r="S435" s="300">
        <f t="shared" ca="1" si="130"/>
        <v>340.58393712768986</v>
      </c>
      <c r="T435" s="300">
        <f t="shared" ca="1" si="130"/>
        <v>369.27591292704585</v>
      </c>
      <c r="U435" s="300">
        <f t="shared" ca="1" si="130"/>
        <v>356.04003928007398</v>
      </c>
      <c r="V435" s="300">
        <f t="shared" ca="1" si="130"/>
        <v>415.74703882237048</v>
      </c>
      <c r="W435" s="300">
        <f t="shared" ca="1" si="130"/>
        <v>442.01655919611073</v>
      </c>
    </row>
    <row r="436" spans="1:23" outlineLevel="1">
      <c r="B436" s="58"/>
      <c r="C436" s="58"/>
      <c r="D436" s="58"/>
      <c r="E436" s="58"/>
      <c r="F436" s="58"/>
      <c r="G436" s="58"/>
      <c r="L436" s="58"/>
      <c r="M436" s="58"/>
      <c r="N436" s="298"/>
      <c r="O436" s="298"/>
      <c r="P436" s="298"/>
      <c r="Q436" s="298"/>
      <c r="R436" s="298"/>
      <c r="S436" s="298"/>
      <c r="T436" s="298"/>
      <c r="U436" s="298"/>
      <c r="V436" s="298"/>
      <c r="W436" s="298"/>
    </row>
    <row r="437" spans="1:23" outlineLevel="1">
      <c r="B437" s="58"/>
      <c r="C437" s="65" t="s">
        <v>728</v>
      </c>
      <c r="D437" s="65"/>
      <c r="E437" s="58"/>
      <c r="F437" s="1450" t="s">
        <v>822</v>
      </c>
      <c r="L437" s="58"/>
      <c r="M437" s="58"/>
      <c r="N437" s="298">
        <f t="shared" ref="N437:W437" si="131">($F$437="ON")*-N$278</f>
        <v>0</v>
      </c>
      <c r="O437" s="298">
        <f t="shared" si="131"/>
        <v>0</v>
      </c>
      <c r="P437" s="298">
        <f t="shared" si="131"/>
        <v>0</v>
      </c>
      <c r="Q437" s="298">
        <f t="shared" si="131"/>
        <v>0</v>
      </c>
      <c r="R437" s="298">
        <f t="shared" si="131"/>
        <v>-170</v>
      </c>
      <c r="S437" s="298">
        <f t="shared" si="131"/>
        <v>-45</v>
      </c>
      <c r="T437" s="298">
        <f t="shared" si="131"/>
        <v>0</v>
      </c>
      <c r="U437" s="298">
        <f t="shared" si="131"/>
        <v>0</v>
      </c>
      <c r="V437" s="298">
        <f t="shared" si="131"/>
        <v>0</v>
      </c>
      <c r="W437" s="298">
        <f t="shared" si="131"/>
        <v>0</v>
      </c>
    </row>
    <row r="438" spans="1:23" s="51" customFormat="1" outlineLevel="1">
      <c r="A438" s="97"/>
      <c r="B438" s="65"/>
      <c r="C438" s="65" t="s">
        <v>729</v>
      </c>
      <c r="D438" s="65"/>
      <c r="E438" s="65"/>
      <c r="F438" s="65"/>
      <c r="G438" s="65"/>
      <c r="L438" s="65"/>
      <c r="M438" s="65"/>
      <c r="N438" s="301">
        <f ca="1">-N$229</f>
        <v>-29.066202762187494</v>
      </c>
      <c r="O438" s="301">
        <f t="shared" ref="O438:W438" ca="1" si="132">-O$229</f>
        <v>-72.576890433632812</v>
      </c>
      <c r="P438" s="301">
        <f t="shared" ca="1" si="132"/>
        <v>-74.30059158143159</v>
      </c>
      <c r="Q438" s="301">
        <f t="shared" ca="1" si="132"/>
        <v>-76.065230631490579</v>
      </c>
      <c r="R438" s="301">
        <f t="shared" ca="1" si="132"/>
        <v>-77.871779858988475</v>
      </c>
      <c r="S438" s="301">
        <f t="shared" ca="1" si="132"/>
        <v>-79.721234630639458</v>
      </c>
      <c r="T438" s="301">
        <f t="shared" ca="1" si="132"/>
        <v>-81.614613953117129</v>
      </c>
      <c r="U438" s="301">
        <f t="shared" ca="1" si="132"/>
        <v>-83.552961034503653</v>
      </c>
      <c r="V438" s="301">
        <f t="shared" ca="1" si="132"/>
        <v>-85.537343859073118</v>
      </c>
      <c r="W438" s="301">
        <f t="shared" ca="1" si="132"/>
        <v>-87.568855775726092</v>
      </c>
    </row>
    <row r="439" spans="1:23" s="51" customFormat="1" outlineLevel="1">
      <c r="A439" s="97"/>
      <c r="B439" s="65"/>
      <c r="C439" s="65" t="s">
        <v>727</v>
      </c>
      <c r="D439" s="65"/>
      <c r="E439" s="65"/>
      <c r="F439" s="65"/>
      <c r="G439" s="65"/>
      <c r="L439" s="65"/>
      <c r="M439" s="65"/>
      <c r="N439" s="1499">
        <v>0</v>
      </c>
      <c r="O439" s="1499">
        <v>0</v>
      </c>
      <c r="P439" s="301">
        <f>-P$336</f>
        <v>-13.5</v>
      </c>
      <c r="Q439" s="301">
        <f t="shared" ref="Q439:W439" si="133">-Q$336</f>
        <v>-32.799999999999997</v>
      </c>
      <c r="R439" s="301">
        <f t="shared" si="133"/>
        <v>-0.8</v>
      </c>
      <c r="S439" s="301">
        <f t="shared" si="133"/>
        <v>-12.18</v>
      </c>
      <c r="T439" s="301">
        <f t="shared" si="133"/>
        <v>-63</v>
      </c>
      <c r="U439" s="301">
        <f t="shared" si="133"/>
        <v>-14.25</v>
      </c>
      <c r="V439" s="301">
        <f t="shared" si="133"/>
        <v>0</v>
      </c>
      <c r="W439" s="301">
        <f t="shared" si="133"/>
        <v>0</v>
      </c>
    </row>
    <row r="440" spans="1:23" outlineLevel="1">
      <c r="B440" s="58"/>
      <c r="C440" s="58" t="s">
        <v>265</v>
      </c>
      <c r="D440" s="58"/>
      <c r="E440" s="58"/>
      <c r="F440" s="58"/>
      <c r="G440" s="58"/>
      <c r="L440" s="58"/>
      <c r="M440" s="58"/>
      <c r="N440" s="299">
        <v>0</v>
      </c>
      <c r="O440" s="299">
        <v>0</v>
      </c>
      <c r="P440" s="299">
        <v>0</v>
      </c>
      <c r="Q440" s="299">
        <v>0</v>
      </c>
      <c r="R440" s="299">
        <v>0</v>
      </c>
      <c r="S440" s="299">
        <v>0</v>
      </c>
      <c r="T440" s="299">
        <v>0</v>
      </c>
      <c r="U440" s="299">
        <v>0</v>
      </c>
      <c r="V440" s="299">
        <v>0</v>
      </c>
      <c r="W440" s="299">
        <v>0</v>
      </c>
    </row>
    <row r="441" spans="1:23" outlineLevel="1">
      <c r="B441" s="58"/>
      <c r="C441" s="60" t="s">
        <v>56</v>
      </c>
      <c r="D441" s="59"/>
      <c r="E441" s="59"/>
      <c r="F441" s="59"/>
      <c r="G441" s="58"/>
      <c r="L441" s="58"/>
      <c r="M441" s="58"/>
      <c r="N441" s="300">
        <f ca="1">SUM(N$437:N$440)</f>
        <v>-29.066202762187494</v>
      </c>
      <c r="O441" s="300">
        <f t="shared" ref="O441:W441" ca="1" si="134">SUM(O$437:O$440)</f>
        <v>-72.576890433632812</v>
      </c>
      <c r="P441" s="300">
        <f t="shared" ca="1" si="134"/>
        <v>-87.80059158143159</v>
      </c>
      <c r="Q441" s="300">
        <f t="shared" ca="1" si="134"/>
        <v>-108.86523063149058</v>
      </c>
      <c r="R441" s="300">
        <f t="shared" ca="1" si="134"/>
        <v>-248.67177985898849</v>
      </c>
      <c r="S441" s="300">
        <f t="shared" ca="1" si="134"/>
        <v>-136.90123463063946</v>
      </c>
      <c r="T441" s="300">
        <f t="shared" ca="1" si="134"/>
        <v>-144.61461395311713</v>
      </c>
      <c r="U441" s="300">
        <f t="shared" ca="1" si="134"/>
        <v>-97.802961034503653</v>
      </c>
      <c r="V441" s="300">
        <f t="shared" ca="1" si="134"/>
        <v>-85.537343859073118</v>
      </c>
      <c r="W441" s="300">
        <f t="shared" ca="1" si="134"/>
        <v>-87.568855775726092</v>
      </c>
    </row>
    <row r="442" spans="1:23" outlineLevel="1">
      <c r="B442" s="58"/>
      <c r="C442" s="58"/>
      <c r="D442" s="58"/>
      <c r="E442" s="58"/>
      <c r="F442" s="58"/>
      <c r="G442" s="58"/>
      <c r="L442" s="58"/>
      <c r="M442" s="58"/>
      <c r="N442" s="301"/>
      <c r="O442" s="301"/>
      <c r="P442" s="301"/>
      <c r="Q442" s="301"/>
      <c r="R442" s="301"/>
      <c r="S442" s="301"/>
      <c r="T442" s="301"/>
      <c r="U442" s="301"/>
      <c r="V442" s="301"/>
      <c r="W442" s="301"/>
    </row>
    <row r="443" spans="1:23" s="51" customFormat="1" outlineLevel="1">
      <c r="A443" s="97"/>
      <c r="B443" s="65"/>
      <c r="C443" s="1275" t="s">
        <v>89</v>
      </c>
      <c r="D443" s="1276"/>
      <c r="E443" s="98"/>
      <c r="F443" s="65"/>
      <c r="G443" s="65"/>
      <c r="L443" s="65"/>
      <c r="M443" s="65"/>
      <c r="N443" s="303">
        <f t="shared" ref="N443:W443" ca="1" si="135">SUM(N$435,N$441)</f>
        <v>49.34761216152048</v>
      </c>
      <c r="O443" s="303">
        <f t="shared" ca="1" si="135"/>
        <v>64.551561504315302</v>
      </c>
      <c r="P443" s="303">
        <f t="shared" ca="1" si="135"/>
        <v>154.77733222349877</v>
      </c>
      <c r="Q443" s="303">
        <f t="shared" ca="1" si="135"/>
        <v>158.39826365603994</v>
      </c>
      <c r="R443" s="303">
        <f t="shared" ca="1" si="135"/>
        <v>-57.291964963161092</v>
      </c>
      <c r="S443" s="303">
        <f t="shared" ca="1" si="135"/>
        <v>203.6827024970504</v>
      </c>
      <c r="T443" s="303">
        <f t="shared" ca="1" si="135"/>
        <v>224.66129897392872</v>
      </c>
      <c r="U443" s="303">
        <f t="shared" ca="1" si="135"/>
        <v>258.23707824557033</v>
      </c>
      <c r="V443" s="303">
        <f t="shared" ca="1" si="135"/>
        <v>330.20969496329735</v>
      </c>
      <c r="W443" s="303">
        <f t="shared" ca="1" si="135"/>
        <v>354.44770342038464</v>
      </c>
    </row>
    <row r="444" spans="1:23" outlineLevel="1">
      <c r="B444" s="58"/>
      <c r="C444" s="58" t="s">
        <v>380</v>
      </c>
      <c r="E444" s="60"/>
      <c r="F444" s="60"/>
      <c r="L444" s="51"/>
      <c r="M444" s="65"/>
      <c r="N444" s="952">
        <f t="shared" ref="N444:W444" ca="1" si="136">SUM(N$527,N$536,N$543:N$544,N$551:N$552)</f>
        <v>-22.668530609484055</v>
      </c>
      <c r="O444" s="952">
        <f t="shared" ca="1" si="136"/>
        <v>-83.670360272558483</v>
      </c>
      <c r="P444" s="952">
        <f t="shared" ca="1" si="136"/>
        <v>-122.44340902734095</v>
      </c>
      <c r="Q444" s="952">
        <f t="shared" ca="1" si="136"/>
        <v>-125.15141569766679</v>
      </c>
      <c r="R444" s="952">
        <f t="shared" ca="1" si="136"/>
        <v>-128.02817765876779</v>
      </c>
      <c r="S444" s="952">
        <f t="shared" ca="1" si="136"/>
        <v>-170.06537931101198</v>
      </c>
      <c r="T444" s="952">
        <f t="shared" ca="1" si="136"/>
        <v>-71.296072754785243</v>
      </c>
      <c r="U444" s="952">
        <f t="shared" ca="1" si="136"/>
        <v>-73.196379086278299</v>
      </c>
      <c r="V444" s="952">
        <f t="shared" ca="1" si="136"/>
        <v>-75.21610148553907</v>
      </c>
      <c r="W444" s="952">
        <f t="shared" ca="1" si="136"/>
        <v>-77.362744109663026</v>
      </c>
    </row>
    <row r="445" spans="1:23" outlineLevel="1">
      <c r="B445" s="58"/>
      <c r="C445" s="65" t="s">
        <v>202</v>
      </c>
      <c r="D445" s="65"/>
      <c r="E445" s="65"/>
      <c r="F445" s="51"/>
      <c r="L445" s="51"/>
      <c r="M445" s="102"/>
      <c r="N445" s="301">
        <f t="shared" ref="N445:W445" ca="1" si="137">-N$619</f>
        <v>0</v>
      </c>
      <c r="O445" s="301">
        <f t="shared" ca="1" si="137"/>
        <v>0</v>
      </c>
      <c r="P445" s="301">
        <f t="shared" ca="1" si="137"/>
        <v>0</v>
      </c>
      <c r="Q445" s="301">
        <f t="shared" ca="1" si="137"/>
        <v>0</v>
      </c>
      <c r="R445" s="301">
        <f t="shared" ca="1" si="137"/>
        <v>0</v>
      </c>
      <c r="S445" s="301">
        <f t="shared" ca="1" si="137"/>
        <v>0</v>
      </c>
      <c r="T445" s="301">
        <f t="shared" ca="1" si="137"/>
        <v>0</v>
      </c>
      <c r="U445" s="301">
        <f t="shared" ca="1" si="137"/>
        <v>0</v>
      </c>
      <c r="V445" s="301">
        <f t="shared" ca="1" si="137"/>
        <v>0</v>
      </c>
      <c r="W445" s="301">
        <f t="shared" ca="1" si="137"/>
        <v>0</v>
      </c>
    </row>
    <row r="446" spans="1:23" s="51" customFormat="1" outlineLevel="1">
      <c r="A446" s="97"/>
      <c r="B446" s="65"/>
      <c r="C446" s="90" t="s">
        <v>57</v>
      </c>
      <c r="D446" s="90"/>
      <c r="E446" s="90"/>
      <c r="F446" s="90"/>
      <c r="M446" s="65"/>
      <c r="N446" s="434">
        <f t="shared" ref="N446:W446" ca="1" si="138">SUM(N$443:N$445)</f>
        <v>26.679081552036426</v>
      </c>
      <c r="O446" s="434">
        <f t="shared" ca="1" si="138"/>
        <v>-19.118798768243181</v>
      </c>
      <c r="P446" s="434">
        <f t="shared" ca="1" si="138"/>
        <v>32.333923196157826</v>
      </c>
      <c r="Q446" s="434">
        <f t="shared" ca="1" si="138"/>
        <v>33.246847958373152</v>
      </c>
      <c r="R446" s="434">
        <f t="shared" ca="1" si="138"/>
        <v>-185.32014262192888</v>
      </c>
      <c r="S446" s="434">
        <f t="shared" ca="1" si="138"/>
        <v>33.617323186038419</v>
      </c>
      <c r="T446" s="434">
        <f t="shared" ca="1" si="138"/>
        <v>153.36522621914349</v>
      </c>
      <c r="U446" s="434">
        <f t="shared" ca="1" si="138"/>
        <v>185.04069915929205</v>
      </c>
      <c r="V446" s="434">
        <f t="shared" ca="1" si="138"/>
        <v>254.99359347775828</v>
      </c>
      <c r="W446" s="434">
        <f t="shared" ca="1" si="138"/>
        <v>277.08495931072162</v>
      </c>
    </row>
    <row r="447" spans="1:23" outlineLevel="1">
      <c r="B447" s="58"/>
      <c r="C447" s="678" t="s">
        <v>817</v>
      </c>
      <c r="D447" s="678"/>
      <c r="E447" s="678"/>
      <c r="F447" s="678"/>
      <c r="G447" s="58"/>
      <c r="L447" s="51"/>
      <c r="M447" s="65"/>
      <c r="N447" s="435">
        <f t="shared" ref="N447:W447" ca="1" si="139">N$483</f>
        <v>0</v>
      </c>
      <c r="O447" s="435">
        <f t="shared" ca="1" si="139"/>
        <v>0</v>
      </c>
      <c r="P447" s="435">
        <f t="shared" ca="1" si="139"/>
        <v>0</v>
      </c>
      <c r="Q447" s="435">
        <f t="shared" ca="1" si="139"/>
        <v>0</v>
      </c>
      <c r="R447" s="435">
        <f t="shared" ca="1" si="139"/>
        <v>112.17908868360468</v>
      </c>
      <c r="S447" s="435">
        <f t="shared" ca="1" si="139"/>
        <v>-33.617323186038021</v>
      </c>
      <c r="T447" s="435">
        <f t="shared" ca="1" si="139"/>
        <v>-78.561765497579046</v>
      </c>
      <c r="U447" s="435">
        <f t="shared" ca="1" si="139"/>
        <v>0</v>
      </c>
      <c r="V447" s="435">
        <f t="shared" ca="1" si="139"/>
        <v>0</v>
      </c>
      <c r="W447" s="435">
        <f t="shared" ca="1" si="139"/>
        <v>0</v>
      </c>
    </row>
    <row r="448" spans="1:23" outlineLevel="1">
      <c r="B448" s="58"/>
      <c r="C448" s="683" t="s">
        <v>58</v>
      </c>
      <c r="D448" s="684"/>
      <c r="E448" s="684"/>
      <c r="F448" s="684"/>
      <c r="M448" s="58"/>
      <c r="N448" s="685">
        <f t="shared" ref="N448:W448" ca="1" si="140">SUM(N$446:N$447)</f>
        <v>26.679081552036426</v>
      </c>
      <c r="O448" s="685">
        <f t="shared" ca="1" si="140"/>
        <v>-19.118798768243181</v>
      </c>
      <c r="P448" s="685">
        <f t="shared" ca="1" si="140"/>
        <v>32.333923196157826</v>
      </c>
      <c r="Q448" s="685">
        <f t="shared" ca="1" si="140"/>
        <v>33.246847958373152</v>
      </c>
      <c r="R448" s="685">
        <f t="shared" ca="1" si="140"/>
        <v>-73.141053938324205</v>
      </c>
      <c r="S448" s="685">
        <f t="shared" ca="1" si="140"/>
        <v>3.979039320256561E-13</v>
      </c>
      <c r="T448" s="685">
        <f t="shared" ca="1" si="140"/>
        <v>74.803460721564448</v>
      </c>
      <c r="U448" s="685">
        <f t="shared" ca="1" si="140"/>
        <v>185.04069915929205</v>
      </c>
      <c r="V448" s="685">
        <f t="shared" ca="1" si="140"/>
        <v>254.99359347775828</v>
      </c>
      <c r="W448" s="685">
        <f t="shared" ca="1" si="140"/>
        <v>277.08495931072162</v>
      </c>
    </row>
    <row r="449" spans="1:23" outlineLevel="1">
      <c r="B449" s="58"/>
      <c r="C449" s="408" t="s">
        <v>473</v>
      </c>
      <c r="D449" s="408"/>
      <c r="E449" s="408"/>
      <c r="F449" s="408"/>
      <c r="G449" s="58"/>
      <c r="H449" s="58"/>
      <c r="I449" s="58"/>
      <c r="J449" s="58"/>
      <c r="K449" s="58"/>
      <c r="L449" s="58"/>
      <c r="M449" s="58"/>
      <c r="N449" s="435">
        <f t="shared" ref="N449:W449" ca="1" si="141">SUM(N$528,N$537,N$545,N$553)</f>
        <v>0</v>
      </c>
      <c r="O449" s="435">
        <f t="shared" ca="1" si="141"/>
        <v>0</v>
      </c>
      <c r="P449" s="435">
        <f t="shared" ca="1" si="141"/>
        <v>0</v>
      </c>
      <c r="Q449" s="435">
        <f t="shared" ca="1" si="141"/>
        <v>0</v>
      </c>
      <c r="R449" s="435">
        <f t="shared" ca="1" si="141"/>
        <v>0</v>
      </c>
      <c r="S449" s="435">
        <f t="shared" ca="1" si="141"/>
        <v>0</v>
      </c>
      <c r="T449" s="435">
        <f t="shared" ca="1" si="141"/>
        <v>0</v>
      </c>
      <c r="U449" s="435">
        <f t="shared" ca="1" si="141"/>
        <v>0</v>
      </c>
      <c r="V449" s="435">
        <f t="shared" ca="1" si="141"/>
        <v>0</v>
      </c>
      <c r="W449" s="435">
        <f t="shared" ca="1" si="141"/>
        <v>0</v>
      </c>
    </row>
    <row r="450" spans="1:23" outlineLevel="1">
      <c r="B450" s="58"/>
      <c r="C450" s="329" t="s">
        <v>474</v>
      </c>
      <c r="D450" s="329"/>
      <c r="E450" s="329"/>
      <c r="F450" s="329"/>
      <c r="M450" s="58"/>
      <c r="N450" s="1465">
        <f t="shared" ref="N450:W450" ca="1" si="142">SUM(N$560,N$567)</f>
        <v>0</v>
      </c>
      <c r="O450" s="1465">
        <f t="shared" ca="1" si="142"/>
        <v>0</v>
      </c>
      <c r="P450" s="1465">
        <f t="shared" ca="1" si="142"/>
        <v>0</v>
      </c>
      <c r="Q450" s="1465">
        <f t="shared" ca="1" si="142"/>
        <v>0</v>
      </c>
      <c r="R450" s="1465">
        <f t="shared" ca="1" si="142"/>
        <v>0</v>
      </c>
      <c r="S450" s="1465">
        <f t="shared" ca="1" si="142"/>
        <v>0</v>
      </c>
      <c r="T450" s="1465">
        <f t="shared" ca="1" si="142"/>
        <v>0</v>
      </c>
      <c r="U450" s="1465">
        <f t="shared" ca="1" si="142"/>
        <v>0</v>
      </c>
      <c r="V450" s="1465">
        <f t="shared" ca="1" si="142"/>
        <v>0</v>
      </c>
      <c r="W450" s="1465">
        <f t="shared" ca="1" si="142"/>
        <v>0</v>
      </c>
    </row>
    <row r="451" spans="1:23" ht="15" outlineLevel="1" thickBot="1">
      <c r="B451" s="58"/>
      <c r="C451" s="1470" t="s">
        <v>59</v>
      </c>
      <c r="D451" s="1471"/>
      <c r="E451" s="1471"/>
      <c r="F451" s="1471"/>
      <c r="L451" s="51"/>
      <c r="M451" s="65"/>
      <c r="N451" s="1472">
        <f t="shared" ref="N451:W451" ca="1" si="143">SUM(N$448:N$450)</f>
        <v>26.679081552036426</v>
      </c>
      <c r="O451" s="1472">
        <f t="shared" ca="1" si="143"/>
        <v>-19.118798768243181</v>
      </c>
      <c r="P451" s="1472">
        <f t="shared" ca="1" si="143"/>
        <v>32.333923196157826</v>
      </c>
      <c r="Q451" s="1472">
        <f t="shared" ca="1" si="143"/>
        <v>33.246847958373152</v>
      </c>
      <c r="R451" s="1472">
        <f t="shared" ca="1" si="143"/>
        <v>-73.141053938324205</v>
      </c>
      <c r="S451" s="1472">
        <f t="shared" ca="1" si="143"/>
        <v>3.979039320256561E-13</v>
      </c>
      <c r="T451" s="1472">
        <f t="shared" ca="1" si="143"/>
        <v>74.803460721564448</v>
      </c>
      <c r="U451" s="1472">
        <f t="shared" ca="1" si="143"/>
        <v>185.04069915929205</v>
      </c>
      <c r="V451" s="1472">
        <f t="shared" ca="1" si="143"/>
        <v>254.99359347775828</v>
      </c>
      <c r="W451" s="1472">
        <f t="shared" ca="1" si="143"/>
        <v>277.08495931072162</v>
      </c>
    </row>
    <row r="452" spans="1:23" ht="15" outlineLevel="1" thickTop="1">
      <c r="B452" s="58"/>
      <c r="C452" s="98"/>
      <c r="D452" s="65"/>
      <c r="E452" s="65"/>
      <c r="F452" s="51"/>
      <c r="L452" s="51"/>
      <c r="M452" s="65"/>
      <c r="N452" s="303"/>
      <c r="O452" s="303"/>
      <c r="P452" s="303"/>
      <c r="Q452" s="303"/>
      <c r="R452" s="303"/>
      <c r="S452" s="303"/>
      <c r="T452" s="303"/>
      <c r="U452" s="303"/>
      <c r="V452" s="303"/>
      <c r="W452" s="303"/>
    </row>
    <row r="453" spans="1:23" ht="4.5" customHeight="1">
      <c r="B453" s="58"/>
      <c r="C453" s="73"/>
      <c r="D453" s="58"/>
      <c r="E453" s="58"/>
      <c r="G453" s="3"/>
      <c r="H453" s="3"/>
      <c r="I453" s="3"/>
      <c r="J453" s="3"/>
      <c r="K453" s="3"/>
      <c r="M453" s="58"/>
      <c r="N453" s="58"/>
      <c r="O453" s="58"/>
      <c r="P453" s="58"/>
      <c r="Q453" s="58"/>
      <c r="R453" s="58"/>
      <c r="S453" s="58"/>
    </row>
    <row r="454" spans="1:23" s="58" customFormat="1">
      <c r="A454" s="52" t="s">
        <v>63</v>
      </c>
      <c r="C454" s="518" t="s">
        <v>2</v>
      </c>
      <c r="D454" s="247"/>
      <c r="E454" s="247"/>
      <c r="F454" s="247"/>
      <c r="G454" s="247"/>
      <c r="H454" s="247"/>
      <c r="I454" s="247"/>
      <c r="J454" s="247"/>
      <c r="K454" s="247"/>
      <c r="L454" s="247"/>
      <c r="M454" s="247"/>
      <c r="N454" s="247"/>
      <c r="O454" s="247"/>
      <c r="P454" s="247"/>
      <c r="Q454" s="247"/>
      <c r="R454" s="247"/>
      <c r="S454" s="247"/>
      <c r="T454" s="247"/>
      <c r="U454" s="247"/>
      <c r="V454" s="247"/>
      <c r="W454" s="247"/>
    </row>
    <row r="455" spans="1:23" ht="3.65" customHeight="1" outlineLevel="1">
      <c r="B455" s="58"/>
      <c r="C455" s="211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</row>
    <row r="456" spans="1:23" ht="16" outlineLevel="1">
      <c r="B456" s="58"/>
      <c r="C456" s="241" t="str">
        <f>units</f>
        <v>($ '000)</v>
      </c>
      <c r="D456" s="58"/>
      <c r="E456" s="58"/>
      <c r="F456" s="58"/>
      <c r="G456" s="58"/>
      <c r="H456" s="58"/>
      <c r="I456" s="58"/>
      <c r="J456" s="58"/>
      <c r="K456" s="58"/>
      <c r="L456" s="58"/>
      <c r="M456" s="36"/>
      <c r="N456" s="743" t="str">
        <f>$N$124</f>
        <v>4 Months</v>
      </c>
      <c r="O456" s="740" t="str">
        <f>"Fiscal Years Ending "&amp;TEXT($Q$16,"mmmm dd")</f>
        <v>Fiscal Years Ending December 31</v>
      </c>
      <c r="P456" s="739"/>
      <c r="Q456" s="739"/>
      <c r="R456" s="739"/>
      <c r="S456" s="739"/>
      <c r="T456" s="739"/>
      <c r="U456" s="739"/>
      <c r="V456" s="739"/>
      <c r="W456" s="739"/>
    </row>
    <row r="457" spans="1:23" outlineLevel="1"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M457" s="80"/>
      <c r="N457" s="785">
        <f>$N$125</f>
        <v>1</v>
      </c>
      <c r="O457" s="746">
        <f>O$125</f>
        <v>2</v>
      </c>
      <c r="P457" s="746">
        <f t="shared" ref="P457:W457" si="144">P$125</f>
        <v>3</v>
      </c>
      <c r="Q457" s="746">
        <f t="shared" si="144"/>
        <v>4</v>
      </c>
      <c r="R457" s="746">
        <f t="shared" si="144"/>
        <v>5</v>
      </c>
      <c r="S457" s="746">
        <f t="shared" si="144"/>
        <v>6</v>
      </c>
      <c r="T457" s="746">
        <f t="shared" si="144"/>
        <v>7</v>
      </c>
      <c r="U457" s="746">
        <f t="shared" si="144"/>
        <v>8</v>
      </c>
      <c r="V457" s="746">
        <f t="shared" si="144"/>
        <v>9</v>
      </c>
      <c r="W457" s="746">
        <f t="shared" si="144"/>
        <v>10</v>
      </c>
    </row>
    <row r="458" spans="1:23" ht="15" outlineLevel="1" thickBot="1">
      <c r="B458" s="58"/>
      <c r="C458" s="748"/>
      <c r="D458" s="748"/>
      <c r="E458" s="748"/>
      <c r="F458" s="748"/>
      <c r="G458" s="748"/>
      <c r="H458" s="748"/>
      <c r="I458" s="748"/>
      <c r="J458" s="748"/>
      <c r="K458" s="748"/>
      <c r="L458" s="748"/>
      <c r="M458" s="748"/>
      <c r="N458" s="749">
        <f>$N$126</f>
        <v>44926</v>
      </c>
      <c r="O458" s="750">
        <f>O$126</f>
        <v>45291</v>
      </c>
      <c r="P458" s="750">
        <f t="shared" ref="P458:W458" si="145">P$126</f>
        <v>45657</v>
      </c>
      <c r="Q458" s="750">
        <f t="shared" si="145"/>
        <v>46022</v>
      </c>
      <c r="R458" s="750">
        <f t="shared" si="145"/>
        <v>46387</v>
      </c>
      <c r="S458" s="750">
        <f t="shared" si="145"/>
        <v>46752</v>
      </c>
      <c r="T458" s="750">
        <f t="shared" si="145"/>
        <v>47118</v>
      </c>
      <c r="U458" s="750">
        <f t="shared" si="145"/>
        <v>47483</v>
      </c>
      <c r="V458" s="750">
        <f t="shared" si="145"/>
        <v>47848</v>
      </c>
      <c r="W458" s="750">
        <f t="shared" si="145"/>
        <v>48213</v>
      </c>
    </row>
    <row r="459" spans="1:23" ht="10.5" customHeight="1" outlineLevel="1">
      <c r="B459" s="58"/>
      <c r="C459" s="73"/>
      <c r="D459" s="58"/>
      <c r="E459" s="58"/>
      <c r="F459" s="58"/>
      <c r="G459" s="58"/>
      <c r="H459" s="58"/>
      <c r="I459" s="58"/>
      <c r="J459" s="58"/>
      <c r="K459" s="58"/>
      <c r="L459" s="58"/>
      <c r="M459" s="721"/>
      <c r="N459" s="721"/>
      <c r="O459"/>
      <c r="P459"/>
      <c r="Q459"/>
      <c r="R459"/>
      <c r="S459"/>
      <c r="T459"/>
      <c r="U459"/>
      <c r="V459"/>
      <c r="W459"/>
    </row>
    <row r="460" spans="1:23" outlineLevel="1">
      <c r="B460" s="58"/>
      <c r="C460" s="186" t="s">
        <v>2</v>
      </c>
      <c r="D460" s="58"/>
      <c r="E460" s="58"/>
      <c r="F460" s="58"/>
      <c r="G460" s="58"/>
      <c r="H460" s="58"/>
      <c r="I460" s="58"/>
      <c r="J460" s="58"/>
      <c r="K460" s="58"/>
      <c r="M460" s="58"/>
      <c r="N460" s="58"/>
      <c r="O460"/>
      <c r="P460"/>
      <c r="Q460"/>
      <c r="R460"/>
      <c r="S460"/>
      <c r="T460"/>
      <c r="U460"/>
      <c r="V460"/>
      <c r="W460"/>
    </row>
    <row r="461" spans="1:23" outlineLevel="1">
      <c r="B461" s="58"/>
      <c r="C461" s="58" t="s">
        <v>105</v>
      </c>
      <c r="D461" s="58"/>
      <c r="E461" s="58"/>
      <c r="F461" s="58"/>
      <c r="G461" s="58"/>
      <c r="H461" s="58"/>
      <c r="I461" s="58"/>
      <c r="J461" s="58"/>
      <c r="K461" s="58"/>
      <c r="M461" s="727"/>
      <c r="N461" s="728">
        <f t="shared" ref="N461:W461" ca="1" si="146">M$463</f>
        <v>75</v>
      </c>
      <c r="O461" s="728">
        <f t="shared" ca="1" si="146"/>
        <v>101.67908155203642</v>
      </c>
      <c r="P461" s="728">
        <f t="shared" ca="1" si="146"/>
        <v>82.560282783793241</v>
      </c>
      <c r="Q461" s="728">
        <f t="shared" ca="1" si="146"/>
        <v>114.89420597995107</v>
      </c>
      <c r="R461" s="728">
        <f t="shared" ca="1" si="146"/>
        <v>148.14105393832421</v>
      </c>
      <c r="S461" s="728">
        <f t="shared" ca="1" si="146"/>
        <v>75</v>
      </c>
      <c r="T461" s="728">
        <f t="shared" ca="1" si="146"/>
        <v>75.000000000012506</v>
      </c>
      <c r="U461" s="728">
        <f t="shared" ca="1" si="146"/>
        <v>149.80346072173987</v>
      </c>
      <c r="V461" s="728">
        <f t="shared" ca="1" si="146"/>
        <v>334.84415988914213</v>
      </c>
      <c r="W461" s="728">
        <f t="shared" ca="1" si="146"/>
        <v>589.83775373957644</v>
      </c>
    </row>
    <row r="462" spans="1:23" outlineLevel="1">
      <c r="B462" s="58"/>
      <c r="C462" s="688" t="s">
        <v>818</v>
      </c>
      <c r="D462" s="687"/>
      <c r="E462" s="58"/>
      <c r="F462" s="58"/>
      <c r="G462" s="58"/>
      <c r="H462" s="58"/>
      <c r="I462" s="58"/>
      <c r="J462" s="58"/>
      <c r="K462" s="58"/>
      <c r="M462" s="690"/>
      <c r="N462" s="689">
        <f t="shared" ref="N462:W462" ca="1" si="147">N$451</f>
        <v>26.679081552036426</v>
      </c>
      <c r="O462" s="689">
        <f t="shared" ca="1" si="147"/>
        <v>-19.118798768243181</v>
      </c>
      <c r="P462" s="689">
        <f t="shared" ca="1" si="147"/>
        <v>32.333923196157826</v>
      </c>
      <c r="Q462" s="689">
        <f t="shared" ca="1" si="147"/>
        <v>33.246847958373152</v>
      </c>
      <c r="R462" s="689">
        <f t="shared" ca="1" si="147"/>
        <v>-73.141053938324205</v>
      </c>
      <c r="S462" s="689">
        <f t="shared" ca="1" si="147"/>
        <v>3.979039320256561E-13</v>
      </c>
      <c r="T462" s="689">
        <f t="shared" ca="1" si="147"/>
        <v>74.803460721564448</v>
      </c>
      <c r="U462" s="689">
        <f t="shared" ca="1" si="147"/>
        <v>185.04069915929205</v>
      </c>
      <c r="V462" s="689">
        <f t="shared" ca="1" si="147"/>
        <v>254.99359347775828</v>
      </c>
      <c r="W462" s="689">
        <f t="shared" ca="1" si="147"/>
        <v>277.08495931072162</v>
      </c>
    </row>
    <row r="463" spans="1:23" s="54" customFormat="1" outlineLevel="1">
      <c r="A463" s="36"/>
      <c r="B463" s="18"/>
      <c r="C463" s="60" t="s">
        <v>106</v>
      </c>
      <c r="D463" s="60"/>
      <c r="E463" s="18"/>
      <c r="F463" s="18"/>
      <c r="G463" s="18"/>
      <c r="H463" s="18"/>
      <c r="I463" s="18"/>
      <c r="J463" s="18"/>
      <c r="K463" s="18"/>
      <c r="M463" s="1500">
        <f ca="1">$R$860</f>
        <v>75</v>
      </c>
      <c r="N463" s="302">
        <f t="shared" ref="N463:W463" ca="1" si="148">SUM(N$461:N$462)</f>
        <v>101.67908155203642</v>
      </c>
      <c r="O463" s="302">
        <f t="shared" ca="1" si="148"/>
        <v>82.560282783793241</v>
      </c>
      <c r="P463" s="302">
        <f t="shared" ca="1" si="148"/>
        <v>114.89420597995107</v>
      </c>
      <c r="Q463" s="302">
        <f t="shared" ca="1" si="148"/>
        <v>148.14105393832421</v>
      </c>
      <c r="R463" s="302">
        <f t="shared" ca="1" si="148"/>
        <v>75</v>
      </c>
      <c r="S463" s="302">
        <f t="shared" ca="1" si="148"/>
        <v>75.000000000000398</v>
      </c>
      <c r="T463" s="302">
        <f t="shared" ca="1" si="148"/>
        <v>149.80346072157695</v>
      </c>
      <c r="U463" s="302">
        <f t="shared" ca="1" si="148"/>
        <v>334.84415988103194</v>
      </c>
      <c r="V463" s="302">
        <f t="shared" ca="1" si="148"/>
        <v>589.83775336690042</v>
      </c>
      <c r="W463" s="302">
        <f t="shared" ca="1" si="148"/>
        <v>866.92271305029806</v>
      </c>
    </row>
    <row r="464" spans="1:23" outlineLevel="1"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M464" s="298"/>
      <c r="N464" s="298"/>
      <c r="O464" s="298"/>
      <c r="P464" s="298"/>
      <c r="Q464" s="298"/>
      <c r="R464" s="298"/>
      <c r="S464" s="298"/>
      <c r="T464" s="298"/>
      <c r="U464" s="298"/>
      <c r="V464" s="298"/>
      <c r="W464" s="298"/>
    </row>
    <row r="465" spans="1:23" outlineLevel="1">
      <c r="B465" s="58"/>
      <c r="C465" s="58" t="s">
        <v>824</v>
      </c>
      <c r="D465" s="58"/>
      <c r="E465" s="58"/>
      <c r="F465" s="58"/>
      <c r="G465" s="58"/>
      <c r="H465" s="58"/>
      <c r="I465" s="58"/>
      <c r="J465" s="58"/>
      <c r="K465" s="58"/>
      <c r="L465" s="58"/>
      <c r="M465" s="314"/>
      <c r="N465" s="298">
        <f t="shared" ref="N465:W465" ca="1" si="149">N$461</f>
        <v>75</v>
      </c>
      <c r="O465" s="298">
        <f t="shared" ca="1" si="149"/>
        <v>101.67908155203642</v>
      </c>
      <c r="P465" s="298">
        <f t="shared" ca="1" si="149"/>
        <v>82.560282783793241</v>
      </c>
      <c r="Q465" s="298">
        <f t="shared" ca="1" si="149"/>
        <v>114.89420597995107</v>
      </c>
      <c r="R465" s="298">
        <f t="shared" ca="1" si="149"/>
        <v>148.14105393832421</v>
      </c>
      <c r="S465" s="298">
        <f t="shared" ca="1" si="149"/>
        <v>75</v>
      </c>
      <c r="T465" s="298">
        <f t="shared" ca="1" si="149"/>
        <v>75.000000000012506</v>
      </c>
      <c r="U465" s="298">
        <f t="shared" ca="1" si="149"/>
        <v>149.80346072173987</v>
      </c>
      <c r="V465" s="298">
        <f t="shared" ca="1" si="149"/>
        <v>334.84415988914213</v>
      </c>
      <c r="W465" s="298">
        <f t="shared" ca="1" si="149"/>
        <v>589.83775373957644</v>
      </c>
    </row>
    <row r="466" spans="1:23" outlineLevel="1">
      <c r="B466" s="58"/>
      <c r="C466" s="691" t="s">
        <v>198</v>
      </c>
      <c r="D466" s="692"/>
      <c r="E466" s="65"/>
      <c r="F466" s="65"/>
      <c r="G466" s="65"/>
      <c r="H466" s="65"/>
      <c r="I466" s="65"/>
      <c r="J466" s="65"/>
      <c r="K466" s="65"/>
      <c r="L466" s="51"/>
      <c r="M466" s="680"/>
      <c r="N466" s="681">
        <f t="shared" ref="N466:W466" si="150">-$Q$23</f>
        <v>-75</v>
      </c>
      <c r="O466" s="681">
        <f t="shared" si="150"/>
        <v>-75</v>
      </c>
      <c r="P466" s="681">
        <f t="shared" si="150"/>
        <v>-75</v>
      </c>
      <c r="Q466" s="681">
        <f t="shared" si="150"/>
        <v>-75</v>
      </c>
      <c r="R466" s="681">
        <f t="shared" si="150"/>
        <v>-75</v>
      </c>
      <c r="S466" s="681">
        <f t="shared" si="150"/>
        <v>-75</v>
      </c>
      <c r="T466" s="681">
        <f t="shared" si="150"/>
        <v>-75</v>
      </c>
      <c r="U466" s="681">
        <f t="shared" si="150"/>
        <v>-75</v>
      </c>
      <c r="V466" s="681">
        <f t="shared" si="150"/>
        <v>-75</v>
      </c>
      <c r="W466" s="681">
        <f t="shared" si="150"/>
        <v>-75</v>
      </c>
    </row>
    <row r="467" spans="1:23" outlineLevel="1">
      <c r="B467" s="58"/>
      <c r="C467" s="90" t="s">
        <v>825</v>
      </c>
      <c r="D467" s="60"/>
      <c r="E467" s="58"/>
      <c r="F467" s="58"/>
      <c r="G467" s="58"/>
      <c r="H467" s="58"/>
      <c r="I467" s="58"/>
      <c r="J467"/>
      <c r="K467" s="52"/>
      <c r="L467" s="58"/>
      <c r="M467" s="1501"/>
      <c r="N467" s="434">
        <f t="shared" ref="N467:W467" ca="1" si="151">SUM(N$465:N$466)</f>
        <v>0</v>
      </c>
      <c r="O467" s="434">
        <f t="shared" ca="1" si="151"/>
        <v>26.679081552036422</v>
      </c>
      <c r="P467" s="434">
        <f t="shared" ca="1" si="151"/>
        <v>7.5602827837932409</v>
      </c>
      <c r="Q467" s="434">
        <f t="shared" ca="1" si="151"/>
        <v>39.894205979951067</v>
      </c>
      <c r="R467" s="434">
        <f t="shared" ca="1" si="151"/>
        <v>73.141053938324205</v>
      </c>
      <c r="S467" s="434">
        <f t="shared" ca="1" si="151"/>
        <v>0</v>
      </c>
      <c r="T467" s="434">
        <f t="shared" ca="1" si="151"/>
        <v>1.2505552149377763E-11</v>
      </c>
      <c r="U467" s="434">
        <f t="shared" ca="1" si="151"/>
        <v>74.803460721739867</v>
      </c>
      <c r="V467" s="434">
        <f t="shared" ca="1" si="151"/>
        <v>259.84415988914213</v>
      </c>
      <c r="W467" s="434">
        <f t="shared" ca="1" si="151"/>
        <v>514.83775373957644</v>
      </c>
    </row>
    <row r="468" spans="1:23" outlineLevel="1">
      <c r="B468" s="58"/>
      <c r="E468" s="58"/>
      <c r="F468" s="58"/>
      <c r="J468"/>
      <c r="K468" s="146" t="s">
        <v>62</v>
      </c>
      <c r="M468" s="3"/>
    </row>
    <row r="469" spans="1:23" outlineLevel="1">
      <c r="B469" s="58"/>
      <c r="C469" s="57" t="s">
        <v>266</v>
      </c>
      <c r="E469" s="58"/>
      <c r="F469" s="58"/>
      <c r="J469"/>
      <c r="K469" s="1581">
        <v>5.0000000000000001E-3</v>
      </c>
      <c r="M469" s="1586">
        <f>$Q$24</f>
        <v>2.5000000000000001E-3</v>
      </c>
      <c r="N469" s="1587">
        <f t="shared" ref="N469:W469" si="152">SUM(M$469,$K$469)</f>
        <v>7.4999999999999997E-3</v>
      </c>
      <c r="O469" s="1587">
        <f t="shared" si="152"/>
        <v>1.2500000000000001E-2</v>
      </c>
      <c r="P469" s="1587">
        <f t="shared" si="152"/>
        <v>1.7500000000000002E-2</v>
      </c>
      <c r="Q469" s="1587">
        <f t="shared" si="152"/>
        <v>2.2500000000000003E-2</v>
      </c>
      <c r="R469" s="1587">
        <f t="shared" si="152"/>
        <v>2.7500000000000004E-2</v>
      </c>
      <c r="S469" s="1587">
        <f t="shared" si="152"/>
        <v>3.2500000000000001E-2</v>
      </c>
      <c r="T469" s="1587">
        <f t="shared" si="152"/>
        <v>3.7499999999999999E-2</v>
      </c>
      <c r="U469" s="1587">
        <f t="shared" si="152"/>
        <v>4.2499999999999996E-2</v>
      </c>
      <c r="V469" s="1587">
        <f t="shared" si="152"/>
        <v>4.7499999999999994E-2</v>
      </c>
      <c r="W469" s="1587">
        <f t="shared" si="152"/>
        <v>5.2499999999999991E-2</v>
      </c>
    </row>
    <row r="470" spans="1:23" outlineLevel="1">
      <c r="A470" s="58"/>
      <c r="C470" s="51" t="s">
        <v>45</v>
      </c>
      <c r="D470" s="51"/>
      <c r="E470" s="51"/>
      <c r="F470" s="51"/>
      <c r="G470" s="51"/>
      <c r="H470" s="51"/>
      <c r="I470" s="51"/>
      <c r="J470" s="181"/>
      <c r="K470" s="181"/>
      <c r="L470" s="51"/>
      <c r="M470" s="163"/>
      <c r="N470" s="102">
        <f t="shared" ref="N470:W470" ca="1" si="153">MAX((IF(circuit_breaker="Off",PRODUCT((AVERAGE(M$467:N$467)),AVERAGE(M$469:N$469),N$122),0)),0)</f>
        <v>0</v>
      </c>
      <c r="O470" s="102">
        <f t="shared" ca="1" si="153"/>
        <v>0.13339540776018211</v>
      </c>
      <c r="P470" s="102">
        <f t="shared" ca="1" si="153"/>
        <v>0.25679523251872249</v>
      </c>
      <c r="Q470" s="102">
        <f t="shared" ca="1" si="153"/>
        <v>0.47454488763744318</v>
      </c>
      <c r="R470" s="102">
        <f t="shared" ca="1" si="153"/>
        <v>1.4129407489784409</v>
      </c>
      <c r="S470" s="102">
        <f t="shared" ca="1" si="153"/>
        <v>1.0971158090748632</v>
      </c>
      <c r="T470" s="102">
        <f t="shared" ca="1" si="153"/>
        <v>2.1884716261411089E-13</v>
      </c>
      <c r="U470" s="102">
        <f t="shared" ca="1" si="153"/>
        <v>1.4960692144350471</v>
      </c>
      <c r="V470" s="102">
        <f t="shared" ca="1" si="153"/>
        <v>7.5295714637448441</v>
      </c>
      <c r="W470" s="102">
        <f t="shared" ca="1" si="153"/>
        <v>19.367047840717959</v>
      </c>
    </row>
    <row r="471" spans="1:23" ht="14.5" customHeight="1">
      <c r="A471" s="58"/>
    </row>
    <row r="472" spans="1:23" s="58" customFormat="1">
      <c r="A472" s="52" t="s">
        <v>63</v>
      </c>
      <c r="C472" s="518" t="s">
        <v>7</v>
      </c>
      <c r="D472" s="247"/>
      <c r="E472" s="247"/>
      <c r="F472" s="247"/>
      <c r="G472" s="247"/>
      <c r="H472" s="247"/>
      <c r="I472" s="247"/>
      <c r="J472" s="247"/>
      <c r="K472" s="247"/>
      <c r="L472" s="247"/>
      <c r="M472" s="247"/>
      <c r="N472" s="247"/>
      <c r="O472" s="247"/>
      <c r="P472" s="247"/>
      <c r="Q472" s="247"/>
      <c r="R472" s="247"/>
      <c r="S472" s="247"/>
      <c r="T472" s="247"/>
      <c r="U472" s="247"/>
      <c r="V472" s="247"/>
      <c r="W472" s="247"/>
    </row>
    <row r="473" spans="1:23" ht="3.65" customHeight="1" outlineLevel="1">
      <c r="B473" s="58"/>
      <c r="C473" s="211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96"/>
      <c r="O473" s="96"/>
      <c r="P473" s="96"/>
      <c r="Q473" s="96"/>
      <c r="R473" s="96"/>
      <c r="S473" s="96"/>
      <c r="T473" s="59"/>
      <c r="U473" s="59"/>
      <c r="V473" s="59"/>
      <c r="W473" s="59"/>
    </row>
    <row r="474" spans="1:23" ht="16" outlineLevel="1">
      <c r="B474" s="58"/>
      <c r="C474" s="241" t="str">
        <f>units</f>
        <v>($ '000)</v>
      </c>
      <c r="D474" s="58"/>
      <c r="E474" s="58"/>
      <c r="F474" s="58"/>
      <c r="G474" s="58"/>
      <c r="H474" s="58"/>
      <c r="I474" s="58"/>
      <c r="J474" s="58"/>
      <c r="K474" s="58"/>
      <c r="L474" s="58"/>
      <c r="M474" s="743" t="s">
        <v>50</v>
      </c>
      <c r="N474" s="743" t="s">
        <v>180</v>
      </c>
      <c r="O474" s="740" t="str">
        <f>$O$124</f>
        <v>Fiscal Years Ending December 31</v>
      </c>
      <c r="P474" s="79"/>
      <c r="Q474" s="79"/>
      <c r="R474" s="79"/>
      <c r="S474" s="79"/>
      <c r="T474" s="76"/>
      <c r="U474" s="76"/>
      <c r="V474" s="76"/>
      <c r="W474" s="76"/>
    </row>
    <row r="475" spans="1:23" ht="15" outlineLevel="1" thickBot="1">
      <c r="A475"/>
      <c r="B475" s="748"/>
      <c r="C475" s="753"/>
      <c r="D475" s="748"/>
      <c r="E475" s="748"/>
      <c r="F475" s="748"/>
      <c r="G475" s="748"/>
      <c r="H475" s="748"/>
      <c r="I475" s="748"/>
      <c r="J475" s="748"/>
      <c r="K475" s="748"/>
      <c r="L475" s="748"/>
      <c r="M475" s="752">
        <f>$Q$15</f>
        <v>44775</v>
      </c>
      <c r="N475" s="752">
        <f>$Q$16</f>
        <v>44926</v>
      </c>
      <c r="O475" s="750">
        <f>O$126</f>
        <v>45291</v>
      </c>
      <c r="P475" s="750">
        <f t="shared" ref="P475:W475" si="154">EDATE(O475,12)</f>
        <v>45657</v>
      </c>
      <c r="Q475" s="750">
        <f t="shared" si="154"/>
        <v>46022</v>
      </c>
      <c r="R475" s="750">
        <f t="shared" si="154"/>
        <v>46387</v>
      </c>
      <c r="S475" s="750">
        <f t="shared" si="154"/>
        <v>46752</v>
      </c>
      <c r="T475" s="750">
        <f t="shared" si="154"/>
        <v>47118</v>
      </c>
      <c r="U475" s="750">
        <f t="shared" si="154"/>
        <v>47483</v>
      </c>
      <c r="V475" s="750">
        <f t="shared" si="154"/>
        <v>47848</v>
      </c>
      <c r="W475" s="750">
        <f t="shared" si="154"/>
        <v>48213</v>
      </c>
    </row>
    <row r="476" spans="1:23" s="3" customFormat="1" ht="7" customHeight="1" outlineLevel="1">
      <c r="A476"/>
    </row>
    <row r="477" spans="1:23" outlineLevel="1">
      <c r="A477"/>
      <c r="B477" s="58"/>
      <c r="C477" s="65" t="s">
        <v>475</v>
      </c>
      <c r="D477" s="58"/>
      <c r="E477" s="58"/>
      <c r="F477" s="58"/>
      <c r="G477" s="58"/>
      <c r="H477" s="58"/>
      <c r="I477" s="58"/>
      <c r="J477" s="58"/>
      <c r="K477" s="58"/>
      <c r="L477" s="58"/>
      <c r="M477" s="298"/>
      <c r="N477" s="298">
        <f t="shared" ref="N477:W477" ca="1" si="155">N$467</f>
        <v>0</v>
      </c>
      <c r="O477" s="298">
        <f t="shared" ca="1" si="155"/>
        <v>26.679081552036422</v>
      </c>
      <c r="P477" s="298">
        <f t="shared" ca="1" si="155"/>
        <v>7.5602827837932409</v>
      </c>
      <c r="Q477" s="298">
        <f t="shared" ca="1" si="155"/>
        <v>39.894205979951067</v>
      </c>
      <c r="R477" s="298">
        <f t="shared" ca="1" si="155"/>
        <v>73.141053938324205</v>
      </c>
      <c r="S477" s="298">
        <f t="shared" ca="1" si="155"/>
        <v>0</v>
      </c>
      <c r="T477" s="298">
        <f t="shared" ca="1" si="155"/>
        <v>1.2505552149377763E-11</v>
      </c>
      <c r="U477" s="298">
        <f t="shared" ca="1" si="155"/>
        <v>74.803460721739867</v>
      </c>
      <c r="V477" s="298">
        <f t="shared" ca="1" si="155"/>
        <v>259.84415988914213</v>
      </c>
      <c r="W477" s="298">
        <f t="shared" ca="1" si="155"/>
        <v>514.83775373957644</v>
      </c>
    </row>
    <row r="478" spans="1:23" outlineLevel="1">
      <c r="B478" s="58"/>
      <c r="C478" s="1473" t="s">
        <v>110</v>
      </c>
      <c r="D478" s="687"/>
      <c r="E478" s="687"/>
      <c r="F478" s="687"/>
      <c r="G478" s="58"/>
      <c r="H478" s="58"/>
      <c r="I478" s="58"/>
      <c r="J478" s="58"/>
      <c r="K478" s="58"/>
      <c r="L478" s="58"/>
      <c r="M478" s="679"/>
      <c r="N478" s="682">
        <f t="shared" ref="N478:W478" ca="1" si="156">N$446</f>
        <v>26.679081552036426</v>
      </c>
      <c r="O478" s="682">
        <f t="shared" ca="1" si="156"/>
        <v>-19.118798768243181</v>
      </c>
      <c r="P478" s="682">
        <f t="shared" ca="1" si="156"/>
        <v>32.333923196157826</v>
      </c>
      <c r="Q478" s="682">
        <f t="shared" ca="1" si="156"/>
        <v>33.246847958373152</v>
      </c>
      <c r="R478" s="682">
        <f t="shared" ca="1" si="156"/>
        <v>-185.32014262192888</v>
      </c>
      <c r="S478" s="682">
        <f t="shared" ca="1" si="156"/>
        <v>33.617323186038419</v>
      </c>
      <c r="T478" s="682">
        <f t="shared" ca="1" si="156"/>
        <v>153.36522621914349</v>
      </c>
      <c r="U478" s="682">
        <f t="shared" ca="1" si="156"/>
        <v>185.04069915929205</v>
      </c>
      <c r="V478" s="682">
        <f t="shared" ca="1" si="156"/>
        <v>254.99359347775828</v>
      </c>
      <c r="W478" s="682">
        <f t="shared" ca="1" si="156"/>
        <v>277.08495931072162</v>
      </c>
    </row>
    <row r="479" spans="1:23" outlineLevel="1">
      <c r="B479" s="58"/>
      <c r="C479" s="90" t="s">
        <v>813</v>
      </c>
      <c r="D479" s="60"/>
      <c r="E479" s="60"/>
      <c r="F479" s="60"/>
      <c r="G479" s="58"/>
      <c r="H479" s="58"/>
      <c r="I479" s="58"/>
      <c r="J479" s="58"/>
      <c r="K479" s="58"/>
      <c r="L479" s="58"/>
      <c r="M479" s="1502"/>
      <c r="N479" s="434">
        <f t="shared" ref="N479:W479" ca="1" si="157">SUM(N$477:N$478)</f>
        <v>26.679081552036426</v>
      </c>
      <c r="O479" s="434">
        <f t="shared" ca="1" si="157"/>
        <v>7.5602827837932409</v>
      </c>
      <c r="P479" s="434">
        <f t="shared" ca="1" si="157"/>
        <v>39.894205979951067</v>
      </c>
      <c r="Q479" s="434">
        <f t="shared" ca="1" si="157"/>
        <v>73.14105393832422</v>
      </c>
      <c r="R479" s="434">
        <f t="shared" ca="1" si="157"/>
        <v>-112.17908868360468</v>
      </c>
      <c r="S479" s="434">
        <f t="shared" ca="1" si="157"/>
        <v>33.617323186038419</v>
      </c>
      <c r="T479" s="434">
        <f t="shared" ca="1" si="157"/>
        <v>153.365226219156</v>
      </c>
      <c r="U479" s="434">
        <f t="shared" ca="1" si="157"/>
        <v>259.84415988103194</v>
      </c>
      <c r="V479" s="434">
        <f t="shared" ca="1" si="157"/>
        <v>514.83775336690042</v>
      </c>
      <c r="W479" s="434">
        <f t="shared" ca="1" si="157"/>
        <v>791.92271305029806</v>
      </c>
    </row>
    <row r="480" spans="1:23" outlineLevel="1">
      <c r="B480" s="58"/>
      <c r="C480" s="18"/>
      <c r="D480" s="58"/>
      <c r="E480" s="58"/>
      <c r="F480" s="58"/>
      <c r="G480" s="58"/>
      <c r="H480" s="58"/>
      <c r="I480" s="58"/>
      <c r="J480" s="58"/>
      <c r="K480" s="58"/>
      <c r="L480" s="58"/>
      <c r="M480" s="298"/>
      <c r="N480" s="298"/>
      <c r="O480" s="298"/>
      <c r="P480" s="298"/>
      <c r="Q480" s="298"/>
      <c r="R480" s="298"/>
      <c r="S480" s="298"/>
      <c r="T480" s="309"/>
      <c r="U480" s="309"/>
      <c r="V480" s="309"/>
      <c r="W480" s="309"/>
    </row>
    <row r="481" spans="1:24" outlineLevel="1">
      <c r="B481" s="58"/>
      <c r="C481" s="186" t="s">
        <v>7</v>
      </c>
      <c r="D481" s="3"/>
      <c r="E481" s="3"/>
      <c r="F481" s="3"/>
      <c r="G481" s="3"/>
      <c r="H481" s="58"/>
      <c r="I481" s="58"/>
      <c r="J481" s="58"/>
      <c r="K481" s="58"/>
      <c r="L481" s="58"/>
      <c r="M481" s="298"/>
      <c r="N481" s="298"/>
      <c r="O481" s="298"/>
      <c r="P481" s="298"/>
      <c r="Q481" s="301"/>
      <c r="R481" s="301"/>
      <c r="S481" s="301"/>
      <c r="T481" s="301"/>
      <c r="U481" s="301"/>
      <c r="V481" s="301"/>
      <c r="W481" s="301"/>
    </row>
    <row r="482" spans="1:24" outlineLevel="1">
      <c r="B482" s="58"/>
      <c r="C482" s="225" t="s">
        <v>105</v>
      </c>
      <c r="D482" s="58"/>
      <c r="E482" s="58"/>
      <c r="F482" s="58"/>
      <c r="G482" s="58"/>
      <c r="H482" s="58"/>
      <c r="I482"/>
      <c r="J482" s="58"/>
      <c r="K482" s="58"/>
      <c r="M482" s="301"/>
      <c r="N482" s="298">
        <f t="shared" ref="N482:W482" ca="1" si="158">M$484</f>
        <v>0</v>
      </c>
      <c r="O482" s="298">
        <f t="shared" ca="1" si="158"/>
        <v>0</v>
      </c>
      <c r="P482" s="298">
        <f t="shared" ca="1" si="158"/>
        <v>0</v>
      </c>
      <c r="Q482" s="298">
        <f t="shared" ca="1" si="158"/>
        <v>0</v>
      </c>
      <c r="R482" s="298">
        <f t="shared" ca="1" si="158"/>
        <v>0</v>
      </c>
      <c r="S482" s="298">
        <f t="shared" ca="1" si="158"/>
        <v>112.17908868360468</v>
      </c>
      <c r="T482" s="298">
        <f t="shared" ca="1" si="158"/>
        <v>78.561765497566654</v>
      </c>
      <c r="U482" s="298">
        <f t="shared" ca="1" si="158"/>
        <v>0</v>
      </c>
      <c r="V482" s="298">
        <f t="shared" ca="1" si="158"/>
        <v>0</v>
      </c>
      <c r="W482" s="298">
        <f t="shared" ca="1" si="158"/>
        <v>0</v>
      </c>
    </row>
    <row r="483" spans="1:24" outlineLevel="1">
      <c r="B483" s="58"/>
      <c r="C483" s="1474" t="s">
        <v>814</v>
      </c>
      <c r="D483" s="687"/>
      <c r="E483" s="687"/>
      <c r="F483" s="687"/>
      <c r="G483" s="58"/>
      <c r="H483" s="58"/>
      <c r="I483" s="58"/>
      <c r="J483" s="58"/>
      <c r="K483" s="58"/>
      <c r="M483" s="690"/>
      <c r="N483" s="689">
        <f t="shared" ref="N483:W483" ca="1" si="159">-MIN(N$479,N$482)</f>
        <v>0</v>
      </c>
      <c r="O483" s="689">
        <f t="shared" ca="1" si="159"/>
        <v>0</v>
      </c>
      <c r="P483" s="689">
        <f t="shared" ca="1" si="159"/>
        <v>0</v>
      </c>
      <c r="Q483" s="689">
        <f t="shared" ca="1" si="159"/>
        <v>0</v>
      </c>
      <c r="R483" s="689">
        <f t="shared" ca="1" si="159"/>
        <v>112.17908868360468</v>
      </c>
      <c r="S483" s="689">
        <f t="shared" ca="1" si="159"/>
        <v>-33.617323186038419</v>
      </c>
      <c r="T483" s="689">
        <f t="shared" ca="1" si="159"/>
        <v>-78.561765497566654</v>
      </c>
      <c r="U483" s="689">
        <f t="shared" ca="1" si="159"/>
        <v>0</v>
      </c>
      <c r="V483" s="689">
        <f t="shared" ca="1" si="159"/>
        <v>0</v>
      </c>
      <c r="W483" s="689">
        <f t="shared" ca="1" si="159"/>
        <v>0</v>
      </c>
    </row>
    <row r="484" spans="1:24" outlineLevel="1">
      <c r="B484" s="58"/>
      <c r="C484" s="1207" t="s">
        <v>106</v>
      </c>
      <c r="D484" s="60"/>
      <c r="E484" s="60"/>
      <c r="F484" s="60"/>
      <c r="G484" s="58"/>
      <c r="H484" s="58"/>
      <c r="I484" s="58"/>
      <c r="J484" s="58"/>
      <c r="K484" s="58"/>
      <c r="M484" s="308">
        <f ca="1">$E$23</f>
        <v>0</v>
      </c>
      <c r="N484" s="300">
        <f t="shared" ref="N484:W484" ca="1" si="160">SUM(N$482:N$483)</f>
        <v>0</v>
      </c>
      <c r="O484" s="300">
        <f t="shared" ca="1" si="160"/>
        <v>0</v>
      </c>
      <c r="P484" s="300">
        <f t="shared" ca="1" si="160"/>
        <v>0</v>
      </c>
      <c r="Q484" s="300">
        <f t="shared" ca="1" si="160"/>
        <v>0</v>
      </c>
      <c r="R484" s="300">
        <f t="shared" ca="1" si="160"/>
        <v>112.17908868360468</v>
      </c>
      <c r="S484" s="300">
        <f t="shared" ca="1" si="160"/>
        <v>78.561765497566256</v>
      </c>
      <c r="T484" s="300">
        <f t="shared" ca="1" si="160"/>
        <v>0</v>
      </c>
      <c r="U484" s="300">
        <f t="shared" ca="1" si="160"/>
        <v>0</v>
      </c>
      <c r="V484" s="300">
        <f t="shared" ca="1" si="160"/>
        <v>0</v>
      </c>
      <c r="W484" s="300">
        <f t="shared" ca="1" si="160"/>
        <v>0</v>
      </c>
    </row>
    <row r="485" spans="1:24" outlineLevel="1">
      <c r="B485" s="58"/>
      <c r="C485" s="229"/>
      <c r="D485" s="58"/>
      <c r="E485" s="58"/>
      <c r="F485" s="58"/>
      <c r="G485" s="58"/>
      <c r="H485" s="58"/>
      <c r="I485" s="58"/>
      <c r="J485" s="58"/>
      <c r="K485" s="58"/>
      <c r="M485" s="58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</row>
    <row r="486" spans="1:24" outlineLevel="1">
      <c r="B486" s="58"/>
      <c r="C486" s="58" t="s">
        <v>200</v>
      </c>
      <c r="D486" s="58"/>
      <c r="E486" s="58"/>
      <c r="F486" s="58"/>
      <c r="G486" s="58"/>
      <c r="H486" s="58"/>
      <c r="I486" s="58"/>
      <c r="J486" s="58"/>
      <c r="K486" s="58"/>
      <c r="M486" s="298">
        <f t="shared" ref="M486:W486" ca="1" si="161">MAX(0,SUM(revolver_commitment-M$484))</f>
        <v>300</v>
      </c>
      <c r="N486" s="298">
        <f t="shared" ca="1" si="161"/>
        <v>300</v>
      </c>
      <c r="O486" s="298">
        <f t="shared" ca="1" si="161"/>
        <v>300</v>
      </c>
      <c r="P486" s="298">
        <f t="shared" ca="1" si="161"/>
        <v>300</v>
      </c>
      <c r="Q486" s="298">
        <f t="shared" ca="1" si="161"/>
        <v>300</v>
      </c>
      <c r="R486" s="298">
        <f t="shared" ca="1" si="161"/>
        <v>187.82091131639532</v>
      </c>
      <c r="S486" s="298">
        <f t="shared" ca="1" si="161"/>
        <v>221.43823450243374</v>
      </c>
      <c r="T486" s="298">
        <f t="shared" ca="1" si="161"/>
        <v>300</v>
      </c>
      <c r="U486" s="298">
        <f t="shared" ca="1" si="161"/>
        <v>300</v>
      </c>
      <c r="V486" s="298">
        <f t="shared" ca="1" si="161"/>
        <v>300</v>
      </c>
      <c r="W486" s="298">
        <f t="shared" ca="1" si="161"/>
        <v>300</v>
      </c>
    </row>
    <row r="487" spans="1:24" s="285" customFormat="1" ht="13" outlineLevel="1">
      <c r="A487" s="284"/>
      <c r="B487" s="212"/>
      <c r="C487" s="822" t="s">
        <v>21</v>
      </c>
      <c r="D487" s="212"/>
      <c r="E487" s="212"/>
      <c r="F487" s="212"/>
      <c r="G487" s="212"/>
      <c r="H487" s="212"/>
      <c r="I487" s="212"/>
      <c r="J487" s="212"/>
      <c r="K487" s="212"/>
      <c r="M487" s="286" t="b">
        <f t="shared" ref="M487:W487" ca="1" si="162">M486&gt;0</f>
        <v>1</v>
      </c>
      <c r="N487" s="286" t="b">
        <f t="shared" ca="1" si="162"/>
        <v>1</v>
      </c>
      <c r="O487" s="286" t="b">
        <f t="shared" ca="1" si="162"/>
        <v>1</v>
      </c>
      <c r="P487" s="286" t="b">
        <f t="shared" ca="1" si="162"/>
        <v>1</v>
      </c>
      <c r="Q487" s="286" t="b">
        <f t="shared" ca="1" si="162"/>
        <v>1</v>
      </c>
      <c r="R487" s="286" t="b">
        <f t="shared" ca="1" si="162"/>
        <v>1</v>
      </c>
      <c r="S487" s="286" t="b">
        <f t="shared" ca="1" si="162"/>
        <v>1</v>
      </c>
      <c r="T487" s="286" t="b">
        <f t="shared" ca="1" si="162"/>
        <v>1</v>
      </c>
      <c r="U487" s="286" t="b">
        <f t="shared" ca="1" si="162"/>
        <v>1</v>
      </c>
      <c r="V487" s="286" t="b">
        <f t="shared" ca="1" si="162"/>
        <v>1</v>
      </c>
      <c r="W487" s="286" t="b">
        <f t="shared" ca="1" si="162"/>
        <v>1</v>
      </c>
    </row>
    <row r="488" spans="1:24" ht="4.5" customHeight="1">
      <c r="B488" s="58"/>
      <c r="C488" s="229"/>
      <c r="D488" s="58"/>
      <c r="E488" s="58"/>
      <c r="F488" s="58"/>
      <c r="G488" s="58"/>
      <c r="H488" s="58"/>
      <c r="I488" s="58"/>
      <c r="J488" s="58"/>
      <c r="K488" s="58"/>
      <c r="M488" s="68"/>
      <c r="N488" s="68"/>
      <c r="O488" s="68"/>
      <c r="P488" s="68"/>
      <c r="Q488" s="68"/>
      <c r="R488" s="68"/>
      <c r="S488" s="68"/>
      <c r="T488" s="164"/>
      <c r="U488" s="164"/>
      <c r="V488" s="164"/>
      <c r="W488" s="164"/>
    </row>
    <row r="489" spans="1:24" s="58" customFormat="1">
      <c r="A489" s="52" t="s">
        <v>63</v>
      </c>
      <c r="C489" s="518" t="s">
        <v>472</v>
      </c>
      <c r="D489" s="247"/>
      <c r="E489" s="247"/>
      <c r="F489" s="247"/>
      <c r="G489" s="247"/>
      <c r="H489" s="247"/>
      <c r="I489" s="247"/>
      <c r="J489" s="247"/>
      <c r="K489" s="247"/>
      <c r="L489" s="247"/>
      <c r="M489" s="247"/>
      <c r="N489" s="247"/>
      <c r="O489" s="247"/>
      <c r="P489" s="247"/>
      <c r="Q489" s="247"/>
      <c r="R489" s="247"/>
      <c r="S489" s="247"/>
      <c r="T489" s="247"/>
      <c r="U489" s="247"/>
      <c r="V489" s="247"/>
      <c r="W489" s="247"/>
    </row>
    <row r="490" spans="1:24" ht="6" customHeight="1" outlineLevel="1">
      <c r="B490" s="58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</row>
    <row r="491" spans="1:24" hidden="1" outlineLevel="1">
      <c r="B491" s="58"/>
      <c r="C491" s="391" t="s">
        <v>291</v>
      </c>
      <c r="D491" s="389"/>
      <c r="E491" s="389"/>
      <c r="F491" s="389"/>
      <c r="G491" s="389"/>
      <c r="H491" s="389"/>
      <c r="I491" s="389"/>
      <c r="J491" s="389"/>
      <c r="K491" s="389"/>
      <c r="L491" s="389"/>
      <c r="M491" s="389"/>
      <c r="N491" s="389"/>
      <c r="O491" s="389"/>
      <c r="P491" s="389"/>
      <c r="Q491" s="389"/>
      <c r="R491" s="389"/>
      <c r="S491" s="389"/>
      <c r="T491" s="389"/>
      <c r="U491" s="389"/>
      <c r="V491" s="389"/>
      <c r="W491" s="392"/>
      <c r="X491" s="3"/>
    </row>
    <row r="492" spans="1:24" ht="4" hidden="1" customHeight="1" outlineLevel="1"/>
    <row r="493" spans="1:24" ht="16" hidden="1" outlineLevel="1">
      <c r="M493"/>
      <c r="N493" s="743" t="str">
        <f>$N$124</f>
        <v>4 Months</v>
      </c>
      <c r="O493" s="740" t="str">
        <f>"Fiscal Years Ending "&amp;TEXT($Q$16,"mmmm dd")</f>
        <v>Fiscal Years Ending December 31</v>
      </c>
      <c r="P493" s="739"/>
      <c r="Q493" s="739"/>
      <c r="R493" s="739"/>
      <c r="S493" s="739"/>
      <c r="T493" s="739"/>
      <c r="U493" s="739"/>
      <c r="V493" s="739"/>
      <c r="W493" s="739"/>
    </row>
    <row r="494" spans="1:24" hidden="1" outlineLevel="1">
      <c r="M494"/>
      <c r="N494" s="785">
        <f>$N$125</f>
        <v>1</v>
      </c>
      <c r="O494" s="746">
        <f>O$125</f>
        <v>2</v>
      </c>
      <c r="P494" s="746">
        <f t="shared" ref="P494:W494" si="163">P$125</f>
        <v>3</v>
      </c>
      <c r="Q494" s="746">
        <f t="shared" si="163"/>
        <v>4</v>
      </c>
      <c r="R494" s="746">
        <f t="shared" si="163"/>
        <v>5</v>
      </c>
      <c r="S494" s="746">
        <f t="shared" si="163"/>
        <v>6</v>
      </c>
      <c r="T494" s="746">
        <f t="shared" si="163"/>
        <v>7</v>
      </c>
      <c r="U494" s="746">
        <f t="shared" si="163"/>
        <v>8</v>
      </c>
      <c r="V494" s="746">
        <f t="shared" si="163"/>
        <v>9</v>
      </c>
      <c r="W494" s="746">
        <f t="shared" si="163"/>
        <v>10</v>
      </c>
    </row>
    <row r="495" spans="1:24" ht="15" hidden="1" outlineLevel="1" thickBot="1">
      <c r="C495" s="748"/>
      <c r="D495" s="748"/>
      <c r="E495" s="748"/>
      <c r="F495" s="748"/>
      <c r="G495" s="748"/>
      <c r="H495" s="748"/>
      <c r="I495" s="748"/>
      <c r="J495" s="748"/>
      <c r="K495" s="748"/>
      <c r="L495" s="748"/>
      <c r="M495" s="754"/>
      <c r="N495" s="749">
        <f>$N$126</f>
        <v>44926</v>
      </c>
      <c r="O495" s="750">
        <f>O$126</f>
        <v>45291</v>
      </c>
      <c r="P495" s="750">
        <f t="shared" ref="P495:W495" si="164">P$126</f>
        <v>45657</v>
      </c>
      <c r="Q495" s="750">
        <f t="shared" si="164"/>
        <v>46022</v>
      </c>
      <c r="R495" s="750">
        <f t="shared" si="164"/>
        <v>46387</v>
      </c>
      <c r="S495" s="750">
        <f t="shared" si="164"/>
        <v>46752</v>
      </c>
      <c r="T495" s="750">
        <f t="shared" si="164"/>
        <v>47118</v>
      </c>
      <c r="U495" s="750">
        <f t="shared" si="164"/>
        <v>47483</v>
      </c>
      <c r="V495" s="750">
        <f t="shared" si="164"/>
        <v>47848</v>
      </c>
      <c r="W495" s="750">
        <f t="shared" si="164"/>
        <v>48213</v>
      </c>
    </row>
    <row r="496" spans="1:24" hidden="1" outlineLevel="1"/>
    <row r="497" spans="2:24" hidden="1" outlineLevel="1">
      <c r="C497" s="94" t="s">
        <v>140</v>
      </c>
      <c r="N497" s="221">
        <f ca="1">PRODUCT(N122,N79)</f>
        <v>4.1000000000000002E-2</v>
      </c>
      <c r="O497" s="1298">
        <f ca="1">IF(O$69&lt;=$E$73,MIN(O$79,$E$87-SUM($N497:N497)),$E$87-SUM($N497:N497))</f>
        <v>0.1</v>
      </c>
      <c r="P497" s="1298">
        <f ca="1">IF(P$69&lt;=$E$73,MIN(P$79,$E$87-SUM($N497:O497)),$E$87-SUM($N497:O497))</f>
        <v>0.14285714285714285</v>
      </c>
      <c r="Q497" s="1298">
        <f ca="1">IF(Q$69&lt;=$E$73,MIN(Q$79,$E$87-SUM($N497:P497)),$E$87-SUM($N497:P497))</f>
        <v>0.14285714285714285</v>
      </c>
      <c r="R497" s="1298">
        <f ca="1">IF(R$69&lt;=$E$73,MIN(R$79,$E$87-SUM($N497:Q497)),$E$87-SUM($N497:Q497))</f>
        <v>0.14285714285714285</v>
      </c>
      <c r="S497" s="1298">
        <f ca="1">IF(S$69&lt;=$E$73,MIN(S$79,$E$87-SUM($N497:R497)),$E$87-SUM($N497:R497))</f>
        <v>5.8999999999999941E-2</v>
      </c>
      <c r="T497" s="1298">
        <f ca="1">IF(T$69&lt;=$E$73,MIN(T$79,$E$87-SUM($N497:S497)),$E$87-SUM($N497:S497))</f>
        <v>0</v>
      </c>
      <c r="U497" s="1298">
        <f ca="1">IF(U$69&lt;=$E$73,MIN(U$79,$E$87-SUM($N497:T497)),$E$87-SUM($N497:T497))</f>
        <v>0</v>
      </c>
      <c r="V497" s="1298">
        <f ca="1">IF(V$69&lt;=$E$73,MIN(V$79,$E$87-SUM($N497:U497)),$E$87-SUM($N497:U497))</f>
        <v>0</v>
      </c>
      <c r="W497" s="1298">
        <f ca="1">IF(W$69&lt;=$E$73,MIN(W$79,$E$87-SUM($N497:V497)),$E$87-SUM($N497:V497))</f>
        <v>0</v>
      </c>
    </row>
    <row r="498" spans="2:24" hidden="1" outlineLevel="1">
      <c r="C498" s="94" t="s">
        <v>247</v>
      </c>
      <c r="N498" s="1297">
        <f ca="1">MIN((IF((AND(N91,N92)),PRODUCT(N$93:N$96),(PRODUCT(N$92,N$96)))),1-SUM($M498:M498))*N$92</f>
        <v>0</v>
      </c>
      <c r="O498" s="1298">
        <f ca="1">MIN((IF((AND(O91,O92)),PRODUCT(O$93:O$96),(PRODUCT(O$92,O$96)))),1-SUM($M498:N498))*O$92</f>
        <v>0</v>
      </c>
      <c r="P498" s="1298">
        <f ca="1">MIN((IF((AND(P91,P92)),PRODUCT(P$93:P$96),(PRODUCT(P$92,P$96)))),1-SUM($M498:O498))*P$92</f>
        <v>0</v>
      </c>
      <c r="Q498" s="1298">
        <f ca="1">MIN((IF((AND(Q91,Q92)),PRODUCT(Q$93:Q$96),(PRODUCT(Q$92,Q$96)))),1-SUM($M498:P498))*Q$92</f>
        <v>0</v>
      </c>
      <c r="R498" s="1298">
        <f ca="1">MIN((IF((AND(R91,R92)),PRODUCT(R$93:R$96),(PRODUCT(R$92,R$96)))),1-SUM($M498:Q498))*R$92</f>
        <v>0</v>
      </c>
      <c r="S498" s="1298">
        <f ca="1">MIN((IF((AND(S91,S92)),PRODUCT(S$93:S$96),(PRODUCT(S$92,S$96)))),1-SUM($M498:R498))*S$92</f>
        <v>8.2777777777777783E-2</v>
      </c>
      <c r="T498" s="1298">
        <f ca="1">MIN((IF((AND(T91,T92)),PRODUCT(T$93:T$96),(PRODUCT(T$92,T$96)))),1-SUM($M498:S498))*T$92</f>
        <v>0.2</v>
      </c>
      <c r="U498" s="1298">
        <f ca="1">MIN((IF((AND(U91,U92)),PRODUCT(U$93:U$96),(PRODUCT(U$92,U$96)))),1-SUM($M498:T498))*U$92</f>
        <v>0.2</v>
      </c>
      <c r="V498" s="1298">
        <f ca="1">MIN((IF((AND(V91,V92)),PRODUCT(V$93:V$96),(PRODUCT(V$92,V$96)))),1-SUM($M498:U498))*V$92</f>
        <v>0.2</v>
      </c>
      <c r="W498" s="1298">
        <f ca="1">MIN((IF((AND(W91,W92)),PRODUCT(W$93:W$96),(PRODUCT(W$92,W$96)))),1-SUM($M498:V498))*W$92</f>
        <v>0.2</v>
      </c>
    </row>
    <row r="499" spans="2:24" hidden="1" outlineLevel="1">
      <c r="C499" s="94" t="s">
        <v>139</v>
      </c>
      <c r="N499" s="1295">
        <f ca="1">INDEX(INDIRECT("'"&amp;$C499&amp;"'"&amp;"!$K$15:$T$17"),MATCH("Scheduled Am.",'CRE Loan'!$J$15:$J$17,0),MATCH(N$69,INDIRECT("'"&amp;$C499&amp;"'"&amp;"!$K$13:$T$13"),0))</f>
        <v>0</v>
      </c>
      <c r="O499" s="1296">
        <f ca="1">INDEX(INDIRECT("'"&amp;$C499&amp;"'"&amp;"!$K$15:$T$17"),MATCH("Scheduled Am.",'CRE Loan'!$J$15:$J$17,0),MATCH(O$69,INDIRECT("'"&amp;$C499&amp;"'"&amp;"!$K$13:$T$13"),0))</f>
        <v>2.4106199492234595E-2</v>
      </c>
      <c r="P499" s="1296">
        <f ca="1">INDEX(INDIRECT("'"&amp;$C499&amp;"'"&amp;"!$K$15:$T$17"),MATCH("Scheduled Am.",'CRE Loan'!$J$15:$J$17,0),MATCH(P$69,INDIRECT("'"&amp;$C499&amp;"'"&amp;"!$K$13:$T$13"),0))</f>
        <v>2.7880032284810431E-2</v>
      </c>
      <c r="Q499" s="1296">
        <f ca="1">INDEX(INDIRECT("'"&amp;$C499&amp;"'"&amp;"!$K$15:$T$17"),MATCH("Scheduled Am.",'CRE Loan'!$J$15:$J$17,0),MATCH(Q$69,INDIRECT("'"&amp;$C499&amp;"'"&amp;"!$K$13:$T$13"),0))</f>
        <v>2.9632025513224657E-2</v>
      </c>
      <c r="R499" s="1296">
        <f ca="1">INDEX(INDIRECT("'"&amp;$C499&amp;"'"&amp;"!$K$15:$T$17"),MATCH("Scheduled Am.",'CRE Loan'!$J$15:$J$17,0),MATCH(R$69,INDIRECT("'"&amp;$C499&amp;"'"&amp;"!$K$13:$T$13"),0))</f>
        <v>3.1494114750174766E-2</v>
      </c>
      <c r="S499" s="1296">
        <f ca="1">INDEX(INDIRECT("'"&amp;$C499&amp;"'"&amp;"!$K$15:$T$17"),MATCH("Scheduled Am.",'CRE Loan'!$J$15:$J$17,0),MATCH(S$69,INDIRECT("'"&amp;$C499&amp;"'"&amp;"!$K$13:$T$13"),0))</f>
        <v>3.3473218476222755E-2</v>
      </c>
      <c r="T499" s="1296">
        <f ca="1">INDEX(INDIRECT("'"&amp;$C499&amp;"'"&amp;"!$K$15:$T$17"),MATCH("Scheduled Am.",'CRE Loan'!$J$15:$J$17,0),MATCH(T$69,INDIRECT("'"&amp;$C499&amp;"'"&amp;"!$K$13:$T$13"),0))</f>
        <v>3.5576689932226874E-2</v>
      </c>
      <c r="U499" s="1296">
        <f ca="1">INDEX(INDIRECT("'"&amp;$C499&amp;"'"&amp;"!$K$15:$T$17"),MATCH("Scheduled Am.",'CRE Loan'!$J$15:$J$17,0),MATCH(U$69,INDIRECT("'"&amp;$C499&amp;"'"&amp;"!$K$13:$T$13"),0))</f>
        <v>3.781234443986576E-2</v>
      </c>
      <c r="V499" s="1296">
        <f ca="1">INDEX(INDIRECT("'"&amp;$C499&amp;"'"&amp;"!$K$15:$T$17"),MATCH("Scheduled Am.",'CRE Loan'!$J$15:$J$17,0),MATCH(V$69,INDIRECT("'"&amp;$C499&amp;"'"&amp;"!$K$13:$T$13"),0))</f>
        <v>4.018848843899607E-2</v>
      </c>
      <c r="W499" s="1296">
        <f ca="1">INDEX(INDIRECT("'"&amp;$C499&amp;"'"&amp;"!$K$15:$T$17"),MATCH("Scheduled Am.",'CRE Loan'!$J$15:$J$17,0),MATCH(W$69,INDIRECT("'"&amp;$C499&amp;"'"&amp;"!$K$13:$T$13"),0))</f>
        <v>4.2713950349730134E-2</v>
      </c>
    </row>
    <row r="500" spans="2:24" hidden="1" outlineLevel="1">
      <c r="C500" s="94" t="s">
        <v>90</v>
      </c>
      <c r="N500" s="1295">
        <f ca="1">INDEX(INDIRECT("'"&amp;$C500&amp;"'"&amp;"!$K$15:$T$17"),MATCH("Scheduled Am.",'CRE Loan'!$J$15:$J$17,0),MATCH(N$69,INDIRECT("'"&amp;$C500&amp;"'"&amp;"!$K$13:$T$13"),0))</f>
        <v>0</v>
      </c>
      <c r="O500" s="1296">
        <f ca="1">INDEX(INDIRECT("'"&amp;$C500&amp;"'"&amp;"!$K$15:$T$17"),MATCH("Scheduled Am.",'CRE Loan'!$J$15:$J$17,0),MATCH(O$69,INDIRECT("'"&amp;$C500&amp;"'"&amp;"!$K$13:$T$13"),0))</f>
        <v>4.8525608293065826E-2</v>
      </c>
      <c r="P500" s="1296">
        <f ca="1">INDEX(INDIRECT("'"&amp;$C500&amp;"'"&amp;"!$K$15:$T$17"),MATCH("Scheduled Am.",'CRE Loan'!$J$15:$J$17,0),MATCH(P$69,INDIRECT("'"&amp;$C500&amp;"'"&amp;"!$K$13:$T$13"),0))</f>
        <v>0.12151987648699514</v>
      </c>
      <c r="Q500" s="1296">
        <f ca="1">INDEX(INDIRECT("'"&amp;$C500&amp;"'"&amp;"!$K$15:$T$17"),MATCH("Scheduled Am.",'CRE Loan'!$J$15:$J$17,0),MATCH(Q$69,INDIRECT("'"&amp;$C500&amp;"'"&amp;"!$K$13:$T$13"),0))</f>
        <v>0.12901495656675721</v>
      </c>
      <c r="R500" s="1296">
        <f ca="1">INDEX(INDIRECT("'"&amp;$C500&amp;"'"&amp;"!$K$15:$T$17"),MATCH("Scheduled Am.",'CRE Loan'!$J$15:$J$17,0),MATCH(R$69,INDIRECT("'"&amp;$C500&amp;"'"&amp;"!$K$13:$T$13"),0))</f>
        <v>0.13697231678558827</v>
      </c>
      <c r="S500" s="1296">
        <f ca="1">INDEX(INDIRECT("'"&amp;$C500&amp;"'"&amp;"!$K$15:$T$17"),MATCH("Scheduled Am.",'CRE Loan'!$J$15:$J$17,0),MATCH(S$69,INDIRECT("'"&amp;$C500&amp;"'"&amp;"!$K$13:$T$13"),0))</f>
        <v>8.3769210199033814E-2</v>
      </c>
      <c r="T500" s="1296">
        <f ca="1">INDEX(INDIRECT("'"&amp;$C500&amp;"'"&amp;"!$K$15:$T$17"),MATCH("Scheduled Am.",'CRE Loan'!$J$15:$J$17,0),MATCH(T$69,INDIRECT("'"&amp;$C500&amp;"'"&amp;"!$K$13:$T$13"),0))</f>
        <v>0</v>
      </c>
      <c r="U500" s="1296">
        <f ca="1">INDEX(INDIRECT("'"&amp;$C500&amp;"'"&amp;"!$K$15:$T$17"),MATCH("Scheduled Am.",'CRE Loan'!$J$15:$J$17,0),MATCH(U$69,INDIRECT("'"&amp;$C500&amp;"'"&amp;"!$K$13:$T$13"),0))</f>
        <v>0</v>
      </c>
      <c r="V500" s="1296">
        <f ca="1">INDEX(INDIRECT("'"&amp;$C500&amp;"'"&amp;"!$K$15:$T$17"),MATCH("Scheduled Am.",'CRE Loan'!$J$15:$J$17,0),MATCH(V$69,INDIRECT("'"&amp;$C500&amp;"'"&amp;"!$K$13:$T$13"),0))</f>
        <v>0</v>
      </c>
      <c r="W500" s="1296">
        <f ca="1">INDEX(INDIRECT("'"&amp;$C500&amp;"'"&amp;"!$K$15:$T$17"),MATCH("Scheduled Am.",'CRE Loan'!$J$15:$J$17,0),MATCH(W$69,INDIRECT("'"&amp;$C500&amp;"'"&amp;"!$K$13:$T$13"),0))</f>
        <v>0</v>
      </c>
    </row>
    <row r="501" spans="2:24" hidden="1" outlineLevel="1">
      <c r="B501" s="58"/>
      <c r="C501" s="73"/>
      <c r="D501" s="58"/>
      <c r="E501" s="58"/>
      <c r="F501" s="58"/>
      <c r="G501" s="58"/>
      <c r="H501" s="58"/>
      <c r="I501" s="58"/>
      <c r="J501" s="58"/>
      <c r="K501" s="58"/>
      <c r="M501" s="58"/>
      <c r="N501" s="58"/>
      <c r="O501" s="58"/>
      <c r="P501" s="58"/>
      <c r="Q501" s="58"/>
      <c r="R501" s="58"/>
      <c r="S501" s="58"/>
      <c r="X501" s="3"/>
    </row>
    <row r="502" spans="2:24" hidden="1" outlineLevel="1">
      <c r="B502" s="58"/>
      <c r="C502" s="391" t="s">
        <v>181</v>
      </c>
      <c r="D502" s="389"/>
      <c r="E502" s="389"/>
      <c r="F502" s="389"/>
      <c r="G502" s="389"/>
      <c r="H502" s="389"/>
      <c r="I502" s="389"/>
      <c r="J502" s="389"/>
      <c r="K502" s="389"/>
      <c r="L502" s="389"/>
      <c r="M502" s="389"/>
      <c r="N502" s="389"/>
      <c r="O502" s="389"/>
      <c r="P502" s="389"/>
      <c r="Q502" s="389"/>
      <c r="R502" s="389"/>
      <c r="S502" s="389"/>
      <c r="T502" s="389"/>
      <c r="U502" s="389"/>
      <c r="V502" s="389"/>
      <c r="W502" s="392"/>
      <c r="X502" s="3"/>
    </row>
    <row r="503" spans="2:24" ht="6" hidden="1" customHeight="1" outlineLevel="1">
      <c r="B503" s="58"/>
      <c r="C503" s="73"/>
      <c r="D503" s="58"/>
      <c r="E503" s="58"/>
      <c r="F503" s="58"/>
      <c r="G503" s="58"/>
      <c r="H503" s="58"/>
      <c r="I503" s="58"/>
      <c r="J503" s="58"/>
      <c r="K503" s="58"/>
      <c r="M503" s="58"/>
      <c r="N503" s="58"/>
      <c r="O503" s="58"/>
      <c r="P503" s="58"/>
      <c r="Q503" s="58"/>
      <c r="R503" s="58"/>
      <c r="S503" s="58"/>
      <c r="X503" s="3"/>
    </row>
    <row r="504" spans="2:24" ht="16" hidden="1" outlineLevel="1">
      <c r="C504" s="241" t="str">
        <f>units</f>
        <v>($ '000)</v>
      </c>
      <c r="M504" s="517"/>
      <c r="N504" s="743" t="str">
        <f>$N$124</f>
        <v>4 Months</v>
      </c>
      <c r="O504" s="740" t="str">
        <f>"Fiscal Years Ending "&amp;TEXT($Q$16,"mmmm dd")</f>
        <v>Fiscal Years Ending December 31</v>
      </c>
      <c r="P504" s="739"/>
      <c r="Q504" s="739"/>
      <c r="R504" s="739"/>
      <c r="S504" s="739"/>
      <c r="T504" s="739"/>
      <c r="U504" s="739"/>
      <c r="V504" s="739"/>
      <c r="W504" s="739"/>
    </row>
    <row r="505" spans="2:24" hidden="1" outlineLevel="1">
      <c r="M505" s="517"/>
      <c r="N505" s="743">
        <v>1</v>
      </c>
      <c r="O505" s="746">
        <f>O$125</f>
        <v>2</v>
      </c>
      <c r="P505" s="746">
        <f t="shared" ref="P505:W505" si="165">P$125</f>
        <v>3</v>
      </c>
      <c r="Q505" s="746">
        <f t="shared" si="165"/>
        <v>4</v>
      </c>
      <c r="R505" s="746">
        <f t="shared" si="165"/>
        <v>5</v>
      </c>
      <c r="S505" s="746">
        <f t="shared" si="165"/>
        <v>6</v>
      </c>
      <c r="T505" s="746">
        <f t="shared" si="165"/>
        <v>7</v>
      </c>
      <c r="U505" s="746">
        <f t="shared" si="165"/>
        <v>8</v>
      </c>
      <c r="V505" s="746">
        <f t="shared" si="165"/>
        <v>9</v>
      </c>
      <c r="W505" s="746">
        <f t="shared" si="165"/>
        <v>10</v>
      </c>
    </row>
    <row r="506" spans="2:24" ht="15" hidden="1" outlineLevel="1" thickBot="1">
      <c r="C506" s="748"/>
      <c r="D506" s="748"/>
      <c r="E506" s="748"/>
      <c r="F506" s="748"/>
      <c r="G506" s="748"/>
      <c r="H506" s="748"/>
      <c r="I506" s="748"/>
      <c r="J506" s="748"/>
      <c r="K506" s="748"/>
      <c r="L506" s="748"/>
      <c r="M506" s="754"/>
      <c r="N506" s="749">
        <f>$N$126</f>
        <v>44926</v>
      </c>
      <c r="O506" s="750">
        <f>O$126</f>
        <v>45291</v>
      </c>
      <c r="P506" s="750">
        <f t="shared" ref="P506:W506" si="166">P$126</f>
        <v>45657</v>
      </c>
      <c r="Q506" s="750">
        <f t="shared" si="166"/>
        <v>46022</v>
      </c>
      <c r="R506" s="750">
        <f t="shared" si="166"/>
        <v>46387</v>
      </c>
      <c r="S506" s="750">
        <f t="shared" si="166"/>
        <v>46752</v>
      </c>
      <c r="T506" s="750">
        <f t="shared" si="166"/>
        <v>47118</v>
      </c>
      <c r="U506" s="750">
        <f t="shared" si="166"/>
        <v>47483</v>
      </c>
      <c r="V506" s="750">
        <f t="shared" si="166"/>
        <v>47848</v>
      </c>
      <c r="W506" s="750">
        <f t="shared" si="166"/>
        <v>48213</v>
      </c>
    </row>
    <row r="507" spans="2:24" hidden="1" outlineLevel="1">
      <c r="B507" s="58"/>
      <c r="C507" s="73"/>
      <c r="D507" s="58"/>
      <c r="E507" s="58"/>
      <c r="F507" s="58"/>
      <c r="G507" s="58"/>
      <c r="H507" s="58"/>
      <c r="I507" s="58"/>
      <c r="J507" s="58"/>
      <c r="K507" s="58"/>
      <c r="M507" s="58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3"/>
    </row>
    <row r="508" spans="2:24" hidden="1" outlineLevel="1">
      <c r="B508" s="58"/>
      <c r="C508" s="18" t="s">
        <v>292</v>
      </c>
      <c r="D508" s="58"/>
      <c r="E508" s="58"/>
      <c r="F508" s="58"/>
      <c r="H508" s="3"/>
      <c r="I508" s="3"/>
      <c r="J508" s="3"/>
      <c r="K508" s="58"/>
      <c r="M508" s="58"/>
      <c r="N508" s="1098">
        <f t="shared" ref="N508:W508" ca="1" si="167">IF(circuit_breaker="off",SUM(N$479,N$483),0)</f>
        <v>26.679081552036426</v>
      </c>
      <c r="O508" s="1098">
        <f t="shared" ca="1" si="167"/>
        <v>7.5602827837932409</v>
      </c>
      <c r="P508" s="1098">
        <f t="shared" ca="1" si="167"/>
        <v>39.894205979951067</v>
      </c>
      <c r="Q508" s="1098">
        <f t="shared" ca="1" si="167"/>
        <v>73.14105393832422</v>
      </c>
      <c r="R508" s="1098">
        <f t="shared" ca="1" si="167"/>
        <v>0</v>
      </c>
      <c r="S508" s="1098">
        <f t="shared" ca="1" si="167"/>
        <v>0</v>
      </c>
      <c r="T508" s="1098">
        <f t="shared" ca="1" si="167"/>
        <v>74.803460721589346</v>
      </c>
      <c r="U508" s="1098">
        <f t="shared" ca="1" si="167"/>
        <v>259.84415988103194</v>
      </c>
      <c r="V508" s="1098">
        <f t="shared" ca="1" si="167"/>
        <v>514.83775336690042</v>
      </c>
      <c r="W508" s="1098">
        <f t="shared" ca="1" si="167"/>
        <v>791.92271305029806</v>
      </c>
      <c r="X508" s="1"/>
    </row>
    <row r="509" spans="2:24" ht="3.65" hidden="1" customHeight="1" outlineLevel="1">
      <c r="B509" s="58"/>
      <c r="C509" s="59"/>
      <c r="D509" s="59"/>
      <c r="E509" s="59"/>
      <c r="F509" s="59"/>
      <c r="G509" s="58"/>
      <c r="H509" s="3"/>
      <c r="I509" s="3"/>
      <c r="J509" s="3"/>
      <c r="K509" s="58"/>
      <c r="M509" s="58"/>
      <c r="N509" s="1094"/>
      <c r="O509" s="1094"/>
      <c r="P509" s="1094"/>
      <c r="Q509" s="1094"/>
      <c r="R509" s="1094"/>
      <c r="S509" s="1094"/>
      <c r="T509" s="1094"/>
      <c r="U509" s="1094"/>
      <c r="V509" s="1094"/>
      <c r="W509" s="1094"/>
      <c r="X509" s="3"/>
    </row>
    <row r="510" spans="2:24" hidden="1" outlineLevel="1">
      <c r="B510" s="58"/>
      <c r="C510" s="73"/>
      <c r="D510" s="58"/>
      <c r="E510" s="251" t="s">
        <v>627</v>
      </c>
      <c r="F510" s="251" t="s">
        <v>628</v>
      </c>
      <c r="J510" s="3"/>
      <c r="K510" s="58"/>
      <c r="M510" s="58"/>
      <c r="N510" s="58"/>
      <c r="O510" s="58"/>
      <c r="P510" s="58"/>
      <c r="Q510" s="58"/>
      <c r="R510" s="58"/>
      <c r="S510" s="58"/>
      <c r="X510" s="3"/>
    </row>
    <row r="511" spans="2:24" ht="4" hidden="1" customHeight="1" outlineLevel="1">
      <c r="B511" s="58"/>
      <c r="C511" s="73"/>
      <c r="D511" s="58"/>
      <c r="E511" s="251"/>
      <c r="F511" s="251"/>
      <c r="J511" s="3"/>
      <c r="K511" s="58"/>
      <c r="M511" s="58"/>
      <c r="N511" s="58"/>
      <c r="O511" s="58"/>
      <c r="P511" s="58"/>
      <c r="Q511" s="58"/>
      <c r="R511" s="58"/>
      <c r="S511" s="58"/>
      <c r="X511" s="3"/>
    </row>
    <row r="512" spans="2:24" hidden="1" outlineLevel="1">
      <c r="B512" s="58"/>
      <c r="C512" s="58" t="str">
        <f>$C$24</f>
        <v>Term Loan</v>
      </c>
      <c r="D512" s="58"/>
      <c r="E512" s="1453">
        <v>0</v>
      </c>
      <c r="F512" s="1097">
        <v>0</v>
      </c>
      <c r="J512" s="3"/>
      <c r="K512" s="58"/>
      <c r="M512" s="58"/>
      <c r="N512" s="1096" cm="1">
        <f t="array" ref="N512">_xlfn.IFS(N$505&lt;$E512,0,$E512=0,0,N$505&gt;=$E512,PRODUCT($F512,N$122))</f>
        <v>0</v>
      </c>
      <c r="O512" s="1096" cm="1">
        <f t="array" ref="O512">_xlfn.IFS(O$505&lt;$E512,0,$E512=0,0,O$505&gt;=$E512,PRODUCT($F512,O$122))</f>
        <v>0</v>
      </c>
      <c r="P512" s="1096" cm="1">
        <f t="array" ref="P512">_xlfn.IFS(P$505&lt;$E512,0,$E512=0,0,P$505&gt;=$E512,PRODUCT($F512,P$122))</f>
        <v>0</v>
      </c>
      <c r="Q512" s="1096" cm="1">
        <f t="array" ref="Q512">_xlfn.IFS(Q$505&lt;$E512,0,$E512=0,0,Q$505&gt;=$E512,PRODUCT($F512,Q$122))</f>
        <v>0</v>
      </c>
      <c r="R512" s="1096" cm="1">
        <f t="array" ref="R512">_xlfn.IFS(R$505&lt;$E512,0,$E512=0,0,R$505&gt;=$E512,PRODUCT($F512,R$122))</f>
        <v>0</v>
      </c>
      <c r="S512" s="1096" cm="1">
        <f t="array" ref="S512">_xlfn.IFS(S$505&lt;$E512,0,$E512=0,0,S$505&gt;=$E512,PRODUCT($F512,S$122))</f>
        <v>0</v>
      </c>
      <c r="T512" s="1096" cm="1">
        <f t="array" ref="T512">_xlfn.IFS(T$505&lt;$E512,0,$E512=0,0,T$505&gt;=$E512,PRODUCT($F512,T$122))</f>
        <v>0</v>
      </c>
      <c r="U512" s="1096" cm="1">
        <f t="array" ref="U512">_xlfn.IFS(U$505&lt;$E512,0,$E512=0,0,U$505&gt;=$E512,PRODUCT($F512,U$122))</f>
        <v>0</v>
      </c>
      <c r="V512" s="1096" cm="1">
        <f t="array" ref="V512">_xlfn.IFS(V$505&lt;$E512,0,$E512=0,0,V$505&gt;=$E512,PRODUCT($F512,V$122))</f>
        <v>0</v>
      </c>
      <c r="W512" s="1096" cm="1">
        <f t="array" ref="W512">_xlfn.IFS(W$505&lt;$E512,0,$E512=0,0,W$505&gt;=$E512,PRODUCT($F512,W$122))</f>
        <v>0</v>
      </c>
      <c r="X512" s="1096"/>
    </row>
    <row r="513" spans="1:24" hidden="1" outlineLevel="1">
      <c r="B513" s="58"/>
      <c r="C513" s="94" t="s">
        <v>247</v>
      </c>
      <c r="D513" s="58"/>
      <c r="E513" s="1452">
        <v>0</v>
      </c>
      <c r="F513" s="1097">
        <v>0</v>
      </c>
      <c r="J513" s="3"/>
      <c r="K513" s="58"/>
      <c r="M513" s="58"/>
      <c r="N513" s="1096" cm="1">
        <f t="array" ref="N513">_xlfn.IFS(N$505&lt;$E513,0,$E513=0,0,N$505&gt;=$E513,PRODUCT($F513,N$122))</f>
        <v>0</v>
      </c>
      <c r="O513" s="1096" cm="1">
        <f t="array" ref="O513">_xlfn.IFS(O$505&lt;$E513,0,$E513=0,0,O$505&gt;=$E513,PRODUCT($F513,O$122))</f>
        <v>0</v>
      </c>
      <c r="P513" s="1096" cm="1">
        <f t="array" ref="P513">_xlfn.IFS(P$505&lt;$E513,0,$E513=0,0,P$505&gt;=$E513,PRODUCT($F513,P$122))</f>
        <v>0</v>
      </c>
      <c r="Q513" s="1096" cm="1">
        <f t="array" ref="Q513">_xlfn.IFS(Q$505&lt;$E513,0,$E513=0,0,Q$505&gt;=$E513,PRODUCT($F513,Q$122))</f>
        <v>0</v>
      </c>
      <c r="R513" s="1096" cm="1">
        <f t="array" ref="R513">_xlfn.IFS(R$505&lt;$E513,0,$E513=0,0,R$505&gt;=$E513,PRODUCT($F513,R$122))</f>
        <v>0</v>
      </c>
      <c r="S513" s="1096" cm="1">
        <f t="array" ref="S513">_xlfn.IFS(S$505&lt;$E513,0,$E513=0,0,S$505&gt;=$E513,PRODUCT($F513,S$122))</f>
        <v>0</v>
      </c>
      <c r="T513" s="1096" cm="1">
        <f t="array" ref="T513">_xlfn.IFS(T$505&lt;$E513,0,$E513=0,0,T$505&gt;=$E513,PRODUCT($F513,T$122))</f>
        <v>0</v>
      </c>
      <c r="U513" s="1096" cm="1">
        <f t="array" ref="U513">_xlfn.IFS(U$505&lt;$E513,0,$E513=0,0,U$505&gt;=$E513,PRODUCT($F513,U$122))</f>
        <v>0</v>
      </c>
      <c r="V513" s="1096" cm="1">
        <f t="array" ref="V513">_xlfn.IFS(V$505&lt;$E513,0,$E513=0,0,V$505&gt;=$E513,PRODUCT($F513,V$122))</f>
        <v>0</v>
      </c>
      <c r="W513" s="1096" cm="1">
        <f t="array" ref="W513">_xlfn.IFS(W$505&lt;$E513,0,$E513=0,0,W$505&gt;=$E513,PRODUCT($F513,W$122))</f>
        <v>0</v>
      </c>
      <c r="X513" s="1096"/>
    </row>
    <row r="514" spans="1:24" hidden="1" outlineLevel="1">
      <c r="B514" s="58"/>
      <c r="C514" s="58" t="str">
        <f>$C$25</f>
        <v>CRE Loan</v>
      </c>
      <c r="D514" s="58"/>
      <c r="E514" s="1452">
        <v>0</v>
      </c>
      <c r="F514" s="1097">
        <v>0</v>
      </c>
      <c r="J514" s="3"/>
      <c r="K514" s="58"/>
      <c r="M514" s="58"/>
      <c r="N514" s="1096" cm="1">
        <f t="array" ref="N514">_xlfn.IFS(N$505&lt;$E514,0,$E514=0,0,N$505&gt;=$E514,PRODUCT($F514,N$122))</f>
        <v>0</v>
      </c>
      <c r="O514" s="1096" cm="1">
        <f t="array" ref="O514">_xlfn.IFS(O$505&lt;$E514,0,$E514=0,0,O$505&gt;=$E514,PRODUCT($F514,O$122))</f>
        <v>0</v>
      </c>
      <c r="P514" s="1096" cm="1">
        <f t="array" ref="P514">_xlfn.IFS(P$505&lt;$E514,0,$E514=0,0,P$505&gt;=$E514,PRODUCT($F514,P$122))</f>
        <v>0</v>
      </c>
      <c r="Q514" s="1096" cm="1">
        <f t="array" ref="Q514">_xlfn.IFS(Q$505&lt;$E514,0,$E514=0,0,Q$505&gt;=$E514,PRODUCT($F514,Q$122))</f>
        <v>0</v>
      </c>
      <c r="R514" s="1096" cm="1">
        <f t="array" ref="R514">_xlfn.IFS(R$505&lt;$E514,0,$E514=0,0,R$505&gt;=$E514,PRODUCT($F514,R$122))</f>
        <v>0</v>
      </c>
      <c r="S514" s="1096" cm="1">
        <f t="array" ref="S514">_xlfn.IFS(S$505&lt;$E514,0,$E514=0,0,S$505&gt;=$E514,PRODUCT($F514,S$122))</f>
        <v>0</v>
      </c>
      <c r="T514" s="1096" cm="1">
        <f t="array" ref="T514">_xlfn.IFS(T$505&lt;$E514,0,$E514=0,0,T$505&gt;=$E514,PRODUCT($F514,T$122))</f>
        <v>0</v>
      </c>
      <c r="U514" s="1096" cm="1">
        <f t="array" ref="U514">_xlfn.IFS(U$505&lt;$E514,0,$E514=0,0,U$505&gt;=$E514,PRODUCT($F514,U$122))</f>
        <v>0</v>
      </c>
      <c r="V514" s="1096" cm="1">
        <f t="array" ref="V514">_xlfn.IFS(V$505&lt;$E514,0,$E514=0,0,V$505&gt;=$E514,PRODUCT($F514,V$122))</f>
        <v>0</v>
      </c>
      <c r="W514" s="1096" cm="1">
        <f t="array" ref="W514">_xlfn.IFS(W$505&lt;$E514,0,$E514=0,0,W$505&gt;=$E514,PRODUCT($F514,W$122))</f>
        <v>0</v>
      </c>
      <c r="X514" s="1096"/>
    </row>
    <row r="515" spans="1:24" s="58" customFormat="1" hidden="1" outlineLevel="1">
      <c r="A515" s="52"/>
      <c r="C515" s="58" t="str">
        <f>$C$26</f>
        <v>Seller Note</v>
      </c>
      <c r="E515" s="1452">
        <v>0</v>
      </c>
      <c r="F515" s="1097">
        <v>0</v>
      </c>
      <c r="G515" s="3"/>
      <c r="J515" s="3"/>
      <c r="N515" s="1096" cm="1">
        <f t="array" ref="N515">_xlfn.IFS(N$505&lt;$E515,0,$E515=0,0,N$505&gt;=$E515,PRODUCT($F515,N$122))</f>
        <v>0</v>
      </c>
      <c r="O515" s="1096" cm="1">
        <f t="array" ref="O515">_xlfn.IFS(O$505&lt;$E515,0,$E515=0,0,O$505&gt;=$E515,PRODUCT($F515,O$122))</f>
        <v>0</v>
      </c>
      <c r="P515" s="1096" cm="1">
        <f t="array" ref="P515">_xlfn.IFS(P$505&lt;$E515,0,$E515=0,0,P$505&gt;=$E515,PRODUCT($F515,P$122))</f>
        <v>0</v>
      </c>
      <c r="Q515" s="1096" cm="1">
        <f t="array" ref="Q515">_xlfn.IFS(Q$505&lt;$E515,0,$E515=0,0,Q$505&gt;=$E515,PRODUCT($F515,Q$122))</f>
        <v>0</v>
      </c>
      <c r="R515" s="1096" cm="1">
        <f t="array" ref="R515">_xlfn.IFS(R$505&lt;$E515,0,$E515=0,0,R$505&gt;=$E515,PRODUCT($F515,R$122))</f>
        <v>0</v>
      </c>
      <c r="S515" s="1096" cm="1">
        <f t="array" ref="S515">_xlfn.IFS(S$505&lt;$E515,0,$E515=0,0,S$505&gt;=$E515,PRODUCT($F515,S$122))</f>
        <v>0</v>
      </c>
      <c r="T515" s="1096" cm="1">
        <f t="array" ref="T515">_xlfn.IFS(T$505&lt;$E515,0,$E515=0,0,T$505&gt;=$E515,PRODUCT($F515,T$122))</f>
        <v>0</v>
      </c>
      <c r="U515" s="1096" cm="1">
        <f t="array" ref="U515">_xlfn.IFS(U$505&lt;$E515,0,$E515=0,0,U$505&gt;=$E515,PRODUCT($F515,U$122))</f>
        <v>0</v>
      </c>
      <c r="V515" s="1096" cm="1">
        <f t="array" ref="V515">_xlfn.IFS(V$505&lt;$E515,0,$E515=0,0,V$505&gt;=$E515,PRODUCT($F515,V$122))</f>
        <v>0</v>
      </c>
      <c r="W515" s="1096" cm="1">
        <f t="array" ref="W515">_xlfn.IFS(W$505&lt;$E515,0,$E515=0,0,W$505&gt;=$E515,PRODUCT($F515,W$122))</f>
        <v>0</v>
      </c>
    </row>
    <row r="516" spans="1:24" s="58" customFormat="1" hidden="1" outlineLevel="1">
      <c r="A516" s="52"/>
      <c r="C516" s="58" t="str">
        <f>$C$27</f>
        <v>Preferred Equity - A</v>
      </c>
      <c r="E516" s="1452">
        <v>0</v>
      </c>
      <c r="F516" s="1097">
        <v>0</v>
      </c>
      <c r="G516" s="3"/>
      <c r="J516" s="3"/>
      <c r="N516" s="1096" cm="1">
        <f t="array" ref="N516">_xlfn.IFS(N$505&lt;$E516,0,$E516=0,0,N$505&gt;=$E516,PRODUCT($F516,N$122))</f>
        <v>0</v>
      </c>
      <c r="O516" s="1096" cm="1">
        <f t="array" ref="O516">_xlfn.IFS(O$505&lt;$E516,0,$E516=0,0,O$505&gt;=$E516,PRODUCT($F516,O$122))</f>
        <v>0</v>
      </c>
      <c r="P516" s="1096" cm="1">
        <f t="array" ref="P516">_xlfn.IFS(P$505&lt;$E516,0,$E516=0,0,P$505&gt;=$E516,PRODUCT($F516,P$122))</f>
        <v>0</v>
      </c>
      <c r="Q516" s="1096" cm="1">
        <f t="array" ref="Q516">_xlfn.IFS(Q$505&lt;$E516,0,$E516=0,0,Q$505&gt;=$E516,PRODUCT($F516,Q$122))</f>
        <v>0</v>
      </c>
      <c r="R516" s="1096" cm="1">
        <f t="array" ref="R516">_xlfn.IFS(R$505&lt;$E516,0,$E516=0,0,R$505&gt;=$E516,PRODUCT($F516,R$122))</f>
        <v>0</v>
      </c>
      <c r="S516" s="1096" cm="1">
        <f t="array" ref="S516">_xlfn.IFS(S$505&lt;$E516,0,$E516=0,0,S$505&gt;=$E516,PRODUCT($F516,S$122))</f>
        <v>0</v>
      </c>
      <c r="T516" s="1096" cm="1">
        <f t="array" ref="T516">_xlfn.IFS(T$505&lt;$E516,0,$E516=0,0,T$505&gt;=$E516,PRODUCT($F516,T$122))</f>
        <v>0</v>
      </c>
      <c r="U516" s="1096" cm="1">
        <f t="array" ref="U516">_xlfn.IFS(U$505&lt;$E516,0,$E516=0,0,U$505&gt;=$E516,PRODUCT($F516,U$122))</f>
        <v>0</v>
      </c>
      <c r="V516" s="1096" cm="1">
        <f t="array" ref="V516">_xlfn.IFS(V$505&lt;$E516,0,$E516=0,0,V$505&gt;=$E516,PRODUCT($F516,V$122))</f>
        <v>0</v>
      </c>
      <c r="W516" s="1096" cm="1">
        <f t="array" ref="W516">_xlfn.IFS(W$505&lt;$E516,0,$E516=0,0,W$505&gt;=$E516,PRODUCT($F516,W$122))</f>
        <v>0</v>
      </c>
    </row>
    <row r="517" spans="1:24" s="58" customFormat="1" hidden="1" outlineLevel="1">
      <c r="A517" s="52"/>
      <c r="C517" s="58" t="str">
        <f>$C$28</f>
        <v>Preferred Equity - B</v>
      </c>
      <c r="E517" s="1452">
        <v>0</v>
      </c>
      <c r="F517" s="1097">
        <v>0</v>
      </c>
      <c r="G517" s="3"/>
      <c r="J517" s="3"/>
      <c r="N517" s="1096" cm="1">
        <f t="array" ref="N517">_xlfn.IFS(N$505&lt;$E517,0,$E517=0,0,N$505&gt;=$E517,PRODUCT($F517,N$122))</f>
        <v>0</v>
      </c>
      <c r="O517" s="1096" cm="1">
        <f t="array" ref="O517">_xlfn.IFS(O$505&lt;$E517,0,$E517=0,0,O$505&gt;=$E517,PRODUCT($F517,O$122))</f>
        <v>0</v>
      </c>
      <c r="P517" s="1096" cm="1">
        <f t="array" ref="P517">_xlfn.IFS(P$505&lt;$E517,0,$E517=0,0,P$505&gt;=$E517,PRODUCT($F517,P$122))</f>
        <v>0</v>
      </c>
      <c r="Q517" s="1096" cm="1">
        <f t="array" ref="Q517">_xlfn.IFS(Q$505&lt;$E517,0,$E517=0,0,Q$505&gt;=$E517,PRODUCT($F517,Q$122))</f>
        <v>0</v>
      </c>
      <c r="R517" s="1096" cm="1">
        <f t="array" ref="R517">_xlfn.IFS(R$505&lt;$E517,0,$E517=0,0,R$505&gt;=$E517,PRODUCT($F517,R$122))</f>
        <v>0</v>
      </c>
      <c r="S517" s="1096" cm="1">
        <f t="array" ref="S517">_xlfn.IFS(S$505&lt;$E517,0,$E517=0,0,S$505&gt;=$E517,PRODUCT($F517,S$122))</f>
        <v>0</v>
      </c>
      <c r="T517" s="1096" cm="1">
        <f t="array" ref="T517">_xlfn.IFS(T$505&lt;$E517,0,$E517=0,0,T$505&gt;=$E517,PRODUCT($F517,T$122))</f>
        <v>0</v>
      </c>
      <c r="U517" s="1096" cm="1">
        <f t="array" ref="U517">_xlfn.IFS(U$505&lt;$E517,0,$E517=0,0,U$505&gt;=$E517,PRODUCT($F517,U$122))</f>
        <v>0</v>
      </c>
      <c r="V517" s="1096" cm="1">
        <f t="array" ref="V517">_xlfn.IFS(V$505&lt;$E517,0,$E517=0,0,V$505&gt;=$E517,PRODUCT($F517,V$122))</f>
        <v>0</v>
      </c>
      <c r="W517" s="1096" cm="1">
        <f t="array" ref="W517">_xlfn.IFS(W$505&lt;$E517,0,$E517=0,0,W$505&gt;=$E517,PRODUCT($F517,W$122))</f>
        <v>0</v>
      </c>
    </row>
    <row r="518" spans="1:24" s="18" customFormat="1" hidden="1" outlineLevel="1">
      <c r="A518" s="36"/>
      <c r="E518" s="166"/>
      <c r="F518" s="167"/>
      <c r="H518" s="3"/>
      <c r="I518" s="3"/>
      <c r="J518" s="3"/>
      <c r="N518" s="1095"/>
      <c r="O518" s="1095"/>
      <c r="P518" s="1095"/>
      <c r="Q518" s="1095"/>
      <c r="R518" s="1095"/>
      <c r="S518" s="1095"/>
      <c r="T518" s="1095"/>
      <c r="U518" s="1095"/>
      <c r="V518" s="1095"/>
      <c r="W518" s="1095"/>
    </row>
    <row r="519" spans="1:24" outlineLevel="1">
      <c r="B519" s="58"/>
      <c r="C519" s="391" t="s">
        <v>227</v>
      </c>
      <c r="D519" s="389"/>
      <c r="E519" s="389"/>
      <c r="F519" s="389"/>
      <c r="G519" s="389"/>
      <c r="H519" s="389"/>
      <c r="I519" s="389"/>
      <c r="J519" s="389"/>
      <c r="K519" s="389"/>
      <c r="L519" s="389"/>
      <c r="M519" s="389"/>
      <c r="N519" s="389"/>
      <c r="O519" s="389"/>
      <c r="P519" s="389"/>
      <c r="Q519" s="389"/>
      <c r="R519" s="389"/>
      <c r="S519" s="389"/>
      <c r="T519" s="389"/>
      <c r="U519" s="389"/>
      <c r="V519" s="389"/>
      <c r="W519" s="392"/>
    </row>
    <row r="520" spans="1:24" s="3" customFormat="1" ht="4.5" customHeight="1" outlineLevel="1">
      <c r="A520" s="150"/>
    </row>
    <row r="521" spans="1:24" s="3" customFormat="1" ht="16" outlineLevel="1">
      <c r="A521" s="150"/>
      <c r="C521" s="241" t="str">
        <f>units</f>
        <v>($ '000)</v>
      </c>
      <c r="M521" s="743" t="s">
        <v>50</v>
      </c>
      <c r="N521" s="743" t="s">
        <v>180</v>
      </c>
      <c r="O521" s="740" t="str">
        <f>$O$124</f>
        <v>Fiscal Years Ending December 31</v>
      </c>
      <c r="P521" s="79"/>
      <c r="Q521" s="79"/>
      <c r="R521" s="79"/>
      <c r="S521" s="79"/>
      <c r="T521" s="76"/>
      <c r="U521" s="76"/>
      <c r="V521" s="76"/>
      <c r="W521" s="76"/>
    </row>
    <row r="522" spans="1:24" s="3" customFormat="1" ht="15" outlineLevel="1" thickBot="1">
      <c r="A522" s="150"/>
      <c r="C522" s="755"/>
      <c r="D522" s="755"/>
      <c r="E522" s="755"/>
      <c r="F522" s="755"/>
      <c r="G522" s="755"/>
      <c r="H522" s="755"/>
      <c r="I522" s="755"/>
      <c r="J522" s="755"/>
      <c r="K522" s="755"/>
      <c r="L522" s="755"/>
      <c r="M522" s="752">
        <f>$Q$15</f>
        <v>44775</v>
      </c>
      <c r="N522" s="752">
        <f>$Q$16</f>
        <v>44926</v>
      </c>
      <c r="O522" s="750">
        <f>O$126</f>
        <v>45291</v>
      </c>
      <c r="P522" s="750">
        <f t="shared" ref="P522:W522" si="168">EDATE(O522,12)</f>
        <v>45657</v>
      </c>
      <c r="Q522" s="750">
        <f t="shared" si="168"/>
        <v>46022</v>
      </c>
      <c r="R522" s="750">
        <f t="shared" si="168"/>
        <v>46387</v>
      </c>
      <c r="S522" s="750">
        <f t="shared" si="168"/>
        <v>46752</v>
      </c>
      <c r="T522" s="750">
        <f t="shared" si="168"/>
        <v>47118</v>
      </c>
      <c r="U522" s="750">
        <f t="shared" si="168"/>
        <v>47483</v>
      </c>
      <c r="V522" s="750">
        <f t="shared" si="168"/>
        <v>47848</v>
      </c>
      <c r="W522" s="750">
        <f t="shared" si="168"/>
        <v>48213</v>
      </c>
    </row>
    <row r="523" spans="1:24" s="3" customFormat="1" ht="7" customHeight="1" outlineLevel="1">
      <c r="A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720"/>
      <c r="N523" s="720"/>
      <c r="O523" s="747"/>
      <c r="P523" s="747"/>
      <c r="Q523" s="747"/>
      <c r="R523" s="747"/>
      <c r="S523" s="747"/>
      <c r="T523" s="747"/>
      <c r="U523" s="747"/>
      <c r="V523" s="747"/>
      <c r="W523" s="747"/>
    </row>
    <row r="524" spans="1:24" outlineLevel="1">
      <c r="B524" s="58"/>
      <c r="C524" s="186" t="str">
        <f>$C$24</f>
        <v>Term Loan</v>
      </c>
      <c r="D524" s="58"/>
      <c r="E524" s="58"/>
      <c r="F524" s="58"/>
      <c r="G524" s="58"/>
      <c r="H524" s="58"/>
      <c r="I524" s="58"/>
      <c r="J524" s="58"/>
      <c r="K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</row>
    <row r="525" spans="1:24" ht="4" customHeight="1" outlineLevel="1">
      <c r="B525" s="58"/>
      <c r="C525" s="186"/>
      <c r="D525" s="58"/>
      <c r="E525" s="58"/>
      <c r="F525" s="58"/>
      <c r="G525" s="58"/>
      <c r="H525" s="58"/>
      <c r="I525" s="58"/>
      <c r="J525" s="58"/>
      <c r="K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</row>
    <row r="526" spans="1:24" outlineLevel="1">
      <c r="B526" s="58"/>
      <c r="C526" s="225" t="s">
        <v>105</v>
      </c>
      <c r="D526" s="58"/>
      <c r="E526" s="58"/>
      <c r="F526" s="58"/>
      <c r="G526" s="58"/>
      <c r="H526" s="58"/>
      <c r="I526" s="58"/>
      <c r="J526" s="58"/>
      <c r="K526" s="58"/>
      <c r="M526" s="686"/>
      <c r="N526" s="311">
        <f t="shared" ref="N526" ca="1" si="169">M$530</f>
        <v>552.89099047522086</v>
      </c>
      <c r="O526" s="311">
        <f t="shared" ref="O526:W526" ca="1" si="170">N$530</f>
        <v>530.20000000000005</v>
      </c>
      <c r="P526" s="311">
        <f t="shared" ca="1" si="170"/>
        <v>474.9</v>
      </c>
      <c r="Q526" s="311">
        <f t="shared" ca="1" si="170"/>
        <v>395.9</v>
      </c>
      <c r="R526" s="311">
        <f t="shared" ca="1" si="170"/>
        <v>316.89999999999998</v>
      </c>
      <c r="S526" s="311">
        <f t="shared" ca="1" si="170"/>
        <v>237.9</v>
      </c>
      <c r="T526" s="311">
        <f t="shared" ca="1" si="170"/>
        <v>0</v>
      </c>
      <c r="U526" s="311">
        <f t="shared" ca="1" si="170"/>
        <v>0</v>
      </c>
      <c r="V526" s="311">
        <f t="shared" ca="1" si="170"/>
        <v>0</v>
      </c>
      <c r="W526" s="311">
        <f t="shared" ca="1" si="170"/>
        <v>0</v>
      </c>
    </row>
    <row r="527" spans="1:24" outlineLevel="1">
      <c r="B527" s="58"/>
      <c r="C527" s="1023" t="s">
        <v>214</v>
      </c>
      <c r="D527" s="408"/>
      <c r="E527" s="408"/>
      <c r="F527" s="58"/>
      <c r="G527" s="58"/>
      <c r="H527" s="58"/>
      <c r="I527" s="58"/>
      <c r="J527" s="58"/>
      <c r="K527" s="58"/>
      <c r="M527" s="410"/>
      <c r="N527" s="675">
        <f t="shared" ref="N527:W527" ca="1" si="171">-PRODUCT(N$497,$M$530)</f>
        <v>-22.668530609484055</v>
      </c>
      <c r="O527" s="675">
        <f t="shared" ca="1" si="171"/>
        <v>-55.289099047522086</v>
      </c>
      <c r="P527" s="675">
        <f t="shared" ca="1" si="171"/>
        <v>-78.984427210745835</v>
      </c>
      <c r="Q527" s="675">
        <f t="shared" ca="1" si="171"/>
        <v>-78.984427210745835</v>
      </c>
      <c r="R527" s="675">
        <f t="shared" ca="1" si="171"/>
        <v>-78.984427210745835</v>
      </c>
      <c r="S527" s="675">
        <f t="shared" ca="1" si="171"/>
        <v>-32.620568438037999</v>
      </c>
      <c r="T527" s="675">
        <f t="shared" ca="1" si="171"/>
        <v>0</v>
      </c>
      <c r="U527" s="675">
        <f t="shared" ca="1" si="171"/>
        <v>0</v>
      </c>
      <c r="V527" s="675">
        <f t="shared" ca="1" si="171"/>
        <v>0</v>
      </c>
      <c r="W527" s="675">
        <f t="shared" ca="1" si="171"/>
        <v>0</v>
      </c>
    </row>
    <row r="528" spans="1:24" outlineLevel="1">
      <c r="B528" s="58"/>
      <c r="C528" s="1020" t="s">
        <v>182</v>
      </c>
      <c r="D528" s="58"/>
      <c r="E528" s="58"/>
      <c r="F528" s="58"/>
      <c r="G528" s="58"/>
      <c r="H528" s="58"/>
      <c r="I528" s="58"/>
      <c r="J528" s="58"/>
      <c r="K528" s="58"/>
      <c r="M528" s="313"/>
      <c r="N528" s="314">
        <f ca="1">-MIN(SUM(N$526:N$527),PRODUCT(N$508,_xlfn.XLOOKUP($C$524,$C$512:$C$517,N$512:N$517,0)))</f>
        <v>0</v>
      </c>
      <c r="O528" s="314">
        <f t="shared" ref="O528:W528" ca="1" si="172">-MIN(SUM(O$526:O$527),PRODUCT(O$508,_xlfn.XLOOKUP($C$524,$C$512:$C$517,O$512:O$517,0)))</f>
        <v>0</v>
      </c>
      <c r="P528" s="314">
        <f t="shared" ca="1" si="172"/>
        <v>0</v>
      </c>
      <c r="Q528" s="314">
        <f t="shared" ca="1" si="172"/>
        <v>0</v>
      </c>
      <c r="R528" s="314">
        <f t="shared" ca="1" si="172"/>
        <v>0</v>
      </c>
      <c r="S528" s="314">
        <f t="shared" ca="1" si="172"/>
        <v>0</v>
      </c>
      <c r="T528" s="314">
        <f t="shared" ca="1" si="172"/>
        <v>0</v>
      </c>
      <c r="U528" s="314">
        <f t="shared" ca="1" si="172"/>
        <v>0</v>
      </c>
      <c r="V528" s="314">
        <f t="shared" ca="1" si="172"/>
        <v>0</v>
      </c>
      <c r="W528" s="314">
        <f t="shared" ca="1" si="172"/>
        <v>0</v>
      </c>
    </row>
    <row r="529" spans="2:23" outlineLevel="1">
      <c r="B529" s="58"/>
      <c r="C529" s="1020" t="s">
        <v>251</v>
      </c>
      <c r="D529" s="58"/>
      <c r="E529" s="58"/>
      <c r="F529" s="58"/>
      <c r="G529" s="58"/>
      <c r="H529" s="58"/>
      <c r="I529" s="58"/>
      <c r="J529" s="58"/>
      <c r="K529" s="58"/>
      <c r="M529" s="313"/>
      <c r="N529" s="314">
        <f t="shared" ref="N529:W529" ca="1" si="173">-SUM(N$526:N$528)*N$91</f>
        <v>0</v>
      </c>
      <c r="O529" s="314">
        <f t="shared" ca="1" si="173"/>
        <v>0</v>
      </c>
      <c r="P529" s="314">
        <f t="shared" ca="1" si="173"/>
        <v>0</v>
      </c>
      <c r="Q529" s="314">
        <f t="shared" ca="1" si="173"/>
        <v>0</v>
      </c>
      <c r="R529" s="314">
        <f t="shared" ca="1" si="173"/>
        <v>0</v>
      </c>
      <c r="S529" s="314">
        <f t="shared" ca="1" si="173"/>
        <v>-205.27943156196201</v>
      </c>
      <c r="T529" s="314">
        <f t="shared" ca="1" si="173"/>
        <v>0</v>
      </c>
      <c r="U529" s="314">
        <f t="shared" ca="1" si="173"/>
        <v>0</v>
      </c>
      <c r="V529" s="314">
        <f t="shared" ca="1" si="173"/>
        <v>0</v>
      </c>
      <c r="W529" s="314">
        <f t="shared" ca="1" si="173"/>
        <v>0</v>
      </c>
    </row>
    <row r="530" spans="2:23" outlineLevel="1">
      <c r="B530" s="58"/>
      <c r="C530" s="1021" t="s">
        <v>106</v>
      </c>
      <c r="D530" s="59"/>
      <c r="E530" s="59"/>
      <c r="F530" s="58"/>
      <c r="G530" s="58"/>
      <c r="H530" s="58"/>
      <c r="I530" s="58"/>
      <c r="J530" s="58"/>
      <c r="K530" s="58"/>
      <c r="M530" s="315">
        <f ca="1">_xlfn.XLOOKUP($C$524,$C$23:$C$30,$E$23:$E$30,0)</f>
        <v>552.89099047522086</v>
      </c>
      <c r="N530" s="305">
        <f t="shared" ref="N530:W530" ca="1" si="174">ROUND((MAX(0,SUM(N$526:N$529))),1)</f>
        <v>530.20000000000005</v>
      </c>
      <c r="O530" s="305">
        <f t="shared" ca="1" si="174"/>
        <v>474.9</v>
      </c>
      <c r="P530" s="305">
        <f t="shared" ca="1" si="174"/>
        <v>395.9</v>
      </c>
      <c r="Q530" s="305">
        <f t="shared" ca="1" si="174"/>
        <v>316.89999999999998</v>
      </c>
      <c r="R530" s="305">
        <f t="shared" ca="1" si="174"/>
        <v>237.9</v>
      </c>
      <c r="S530" s="305">
        <f t="shared" ca="1" si="174"/>
        <v>0</v>
      </c>
      <c r="T530" s="305">
        <f t="shared" ca="1" si="174"/>
        <v>0</v>
      </c>
      <c r="U530" s="305">
        <f t="shared" ca="1" si="174"/>
        <v>0</v>
      </c>
      <c r="V530" s="305">
        <f t="shared" ca="1" si="174"/>
        <v>0</v>
      </c>
      <c r="W530" s="305">
        <f t="shared" ca="1" si="174"/>
        <v>0</v>
      </c>
    </row>
    <row r="531" spans="2:23" outlineLevel="1">
      <c r="B531" s="58"/>
      <c r="C531" s="58"/>
      <c r="D531" s="58"/>
      <c r="E531" s="58"/>
      <c r="F531" s="58"/>
      <c r="K531" s="58"/>
      <c r="M531" s="298"/>
      <c r="N531" s="298"/>
      <c r="O531" s="298"/>
      <c r="P531" s="298"/>
      <c r="Q531" s="298"/>
      <c r="R531" s="298"/>
      <c r="S531" s="298"/>
      <c r="T531" s="298"/>
      <c r="U531" s="298"/>
      <c r="V531" s="298"/>
      <c r="W531" s="298"/>
    </row>
    <row r="532" spans="2:23" outlineLevel="1">
      <c r="B532" s="58"/>
      <c r="C532" s="186" t="s">
        <v>247</v>
      </c>
      <c r="D532" s="58"/>
      <c r="E532" s="58"/>
      <c r="F532" s="58"/>
      <c r="G532" s="58"/>
      <c r="H532" s="58"/>
      <c r="I532" s="58"/>
      <c r="J532" s="58"/>
      <c r="K532" s="58"/>
      <c r="M532" s="316"/>
      <c r="N532" s="317"/>
      <c r="O532" s="317"/>
      <c r="P532" s="317"/>
      <c r="Q532" s="317"/>
      <c r="R532" s="317"/>
      <c r="S532" s="317"/>
      <c r="T532" s="317"/>
      <c r="U532" s="317"/>
      <c r="V532" s="317"/>
      <c r="W532" s="317"/>
    </row>
    <row r="533" spans="2:23" ht="4" customHeight="1" outlineLevel="1">
      <c r="B533" s="58"/>
      <c r="C533" s="186"/>
      <c r="D533" s="58"/>
      <c r="E533" s="58"/>
      <c r="F533" s="58"/>
      <c r="G533" s="58"/>
      <c r="H533" s="58"/>
      <c r="I533" s="58"/>
      <c r="J533" s="58"/>
      <c r="K533" s="58"/>
      <c r="M533" s="316"/>
      <c r="N533" s="317"/>
      <c r="O533" s="317"/>
      <c r="P533" s="317"/>
      <c r="Q533" s="317"/>
      <c r="R533" s="317"/>
      <c r="S533" s="317"/>
      <c r="T533" s="317"/>
      <c r="U533" s="317"/>
      <c r="V533" s="317"/>
      <c r="W533" s="317"/>
    </row>
    <row r="534" spans="2:23" outlineLevel="1">
      <c r="B534" s="58"/>
      <c r="C534" s="225" t="s">
        <v>105</v>
      </c>
      <c r="D534" s="58"/>
      <c r="E534" s="58"/>
      <c r="F534" s="58"/>
      <c r="G534" s="58"/>
      <c r="H534" s="58"/>
      <c r="I534" s="58"/>
      <c r="J534" s="58"/>
      <c r="K534" s="58"/>
      <c r="M534" s="301"/>
      <c r="N534" s="309">
        <f t="shared" ref="N534" si="175">M$538</f>
        <v>0</v>
      </c>
      <c r="O534" s="309">
        <f t="shared" ref="O534:W534" ca="1" si="176">N$538</f>
        <v>0</v>
      </c>
      <c r="P534" s="309">
        <f t="shared" ca="1" si="176"/>
        <v>0</v>
      </c>
      <c r="Q534" s="309">
        <f t="shared" ca="1" si="176"/>
        <v>0</v>
      </c>
      <c r="R534" s="309">
        <f t="shared" ca="1" si="176"/>
        <v>0</v>
      </c>
      <c r="S534" s="309">
        <f t="shared" ca="1" si="176"/>
        <v>0</v>
      </c>
      <c r="T534" s="309">
        <f t="shared" ca="1" si="176"/>
        <v>188.28685639377738</v>
      </c>
      <c r="U534" s="309">
        <f t="shared" ca="1" si="176"/>
        <v>147.23097008138498</v>
      </c>
      <c r="V534" s="309">
        <f t="shared" ca="1" si="176"/>
        <v>106.17508376899258</v>
      </c>
      <c r="W534" s="309">
        <f t="shared" ca="1" si="176"/>
        <v>65.119197456600176</v>
      </c>
    </row>
    <row r="535" spans="2:23" outlineLevel="1">
      <c r="B535" s="58"/>
      <c r="C535" s="1019" t="str">
        <f ca="1">IF($E$92=1,CONCATENATE("( + ) Refinancing on ",TEXT($E$74,"mmm-dd-yyyy")),"( + ) Refinancing")</f>
        <v>( + ) Refinancing on Aug-02-2027</v>
      </c>
      <c r="D535" s="408"/>
      <c r="E535" s="408"/>
      <c r="F535" s="58"/>
      <c r="G535" s="58"/>
      <c r="H535" s="58"/>
      <c r="I535" s="58"/>
      <c r="J535" s="58"/>
      <c r="K535" s="58"/>
      <c r="M535" s="410"/>
      <c r="N535" s="677">
        <f t="shared" ref="N535:W535" ca="1" si="177">-N$529</f>
        <v>0</v>
      </c>
      <c r="O535" s="677">
        <f t="shared" ca="1" si="177"/>
        <v>0</v>
      </c>
      <c r="P535" s="677">
        <f t="shared" ca="1" si="177"/>
        <v>0</v>
      </c>
      <c r="Q535" s="677">
        <f t="shared" ca="1" si="177"/>
        <v>0</v>
      </c>
      <c r="R535" s="677">
        <f t="shared" ca="1" si="177"/>
        <v>0</v>
      </c>
      <c r="S535" s="677">
        <f t="shared" ca="1" si="177"/>
        <v>205.27943156196201</v>
      </c>
      <c r="T535" s="677">
        <f t="shared" ca="1" si="177"/>
        <v>0</v>
      </c>
      <c r="U535" s="677">
        <f t="shared" ca="1" si="177"/>
        <v>0</v>
      </c>
      <c r="V535" s="677">
        <f t="shared" ca="1" si="177"/>
        <v>0</v>
      </c>
      <c r="W535" s="677">
        <f t="shared" ca="1" si="177"/>
        <v>0</v>
      </c>
    </row>
    <row r="536" spans="2:23" outlineLevel="1">
      <c r="B536" s="58"/>
      <c r="C536" s="1099" t="s">
        <v>214</v>
      </c>
      <c r="D536" s="58"/>
      <c r="E536" s="58"/>
      <c r="F536" s="58"/>
      <c r="G536" s="58"/>
      <c r="H536" s="58"/>
      <c r="I536" s="58"/>
      <c r="J536" s="58"/>
      <c r="K536" s="58"/>
      <c r="M536" s="306"/>
      <c r="N536" s="314">
        <f ca="1">-PRODUCT(N$498,MAX($N535:N535))</f>
        <v>0</v>
      </c>
      <c r="O536" s="314">
        <f ca="1">-PRODUCT(O$498,MAX($N535:O535))</f>
        <v>0</v>
      </c>
      <c r="P536" s="314">
        <f ca="1">-PRODUCT(P$498,MAX($N535:P535))</f>
        <v>0</v>
      </c>
      <c r="Q536" s="314">
        <f ca="1">-PRODUCT(Q$498,MAX($N535:Q535))</f>
        <v>0</v>
      </c>
      <c r="R536" s="314">
        <f ca="1">-PRODUCT(R$498,MAX($N535:R535))</f>
        <v>0</v>
      </c>
      <c r="S536" s="314">
        <f ca="1">-PRODUCT(S$498,MAX($N535:S535))</f>
        <v>-16.992575168184633</v>
      </c>
      <c r="T536" s="314">
        <f ca="1">-PRODUCT(T$498,MAX($N535:T535))</f>
        <v>-41.055886312392403</v>
      </c>
      <c r="U536" s="314">
        <f ca="1">-PRODUCT(U$498,MAX($N535:U535))</f>
        <v>-41.055886312392403</v>
      </c>
      <c r="V536" s="314">
        <f ca="1">-PRODUCT(V$498,MAX($N535:V535))</f>
        <v>-41.055886312392403</v>
      </c>
      <c r="W536" s="314">
        <f ca="1">-PRODUCT(W$498,MAX($N535:W535))</f>
        <v>-41.055886312392403</v>
      </c>
    </row>
    <row r="537" spans="2:23" outlineLevel="1">
      <c r="B537" s="58"/>
      <c r="C537" s="1020" t="s">
        <v>182</v>
      </c>
      <c r="D537" s="58"/>
      <c r="E537" s="58"/>
      <c r="F537" s="58"/>
      <c r="G537" s="58"/>
      <c r="H537" s="58"/>
      <c r="I537" s="58"/>
      <c r="J537" s="58"/>
      <c r="K537" s="58"/>
      <c r="M537" s="306"/>
      <c r="N537" s="314">
        <f ca="1">-MIN(SUM(N$534:N$536),PRODUCT(N$508,_xlfn.XLOOKUP($C$532,$C$512:$C$517,N$512:N$517,0)))</f>
        <v>0</v>
      </c>
      <c r="O537" s="314">
        <f t="shared" ref="O537:W537" ca="1" si="178">-MIN(SUM(O$534:O$536),PRODUCT(O$508,_xlfn.XLOOKUP($C$532,$C$512:$C$517,O$512:O$517,0)))</f>
        <v>0</v>
      </c>
      <c r="P537" s="314">
        <f t="shared" ca="1" si="178"/>
        <v>0</v>
      </c>
      <c r="Q537" s="314">
        <f t="shared" ca="1" si="178"/>
        <v>0</v>
      </c>
      <c r="R537" s="314">
        <f t="shared" ca="1" si="178"/>
        <v>0</v>
      </c>
      <c r="S537" s="314">
        <f t="shared" ca="1" si="178"/>
        <v>0</v>
      </c>
      <c r="T537" s="314">
        <f t="shared" ca="1" si="178"/>
        <v>0</v>
      </c>
      <c r="U537" s="314">
        <f t="shared" ca="1" si="178"/>
        <v>0</v>
      </c>
      <c r="V537" s="314">
        <f t="shared" ca="1" si="178"/>
        <v>0</v>
      </c>
      <c r="W537" s="314">
        <f t="shared" ca="1" si="178"/>
        <v>0</v>
      </c>
    </row>
    <row r="538" spans="2:23" outlineLevel="1">
      <c r="B538" s="58"/>
      <c r="C538" s="1021" t="s">
        <v>106</v>
      </c>
      <c r="D538" s="59"/>
      <c r="E538" s="59"/>
      <c r="F538" s="58"/>
      <c r="G538" s="58"/>
      <c r="H538" s="58"/>
      <c r="I538" s="58"/>
      <c r="J538" s="58"/>
      <c r="K538" s="58"/>
      <c r="M538" s="310">
        <f t="shared" ref="M538" si="179">SUM(M535:M537)</f>
        <v>0</v>
      </c>
      <c r="N538" s="310">
        <f ca="1">SUM(N535:N537)</f>
        <v>0</v>
      </c>
      <c r="O538" s="310">
        <f ca="1">SUM(O535:O537)</f>
        <v>0</v>
      </c>
      <c r="P538" s="310">
        <f ca="1">SUM(P535:P537)</f>
        <v>0</v>
      </c>
      <c r="Q538" s="310">
        <f ca="1">SUM(Q535:Q537)</f>
        <v>0</v>
      </c>
      <c r="R538" s="310">
        <f ca="1">SUM(R535:R537)</f>
        <v>0</v>
      </c>
      <c r="S538" s="310">
        <f ca="1">SUM(S534:S537)</f>
        <v>188.28685639377738</v>
      </c>
      <c r="T538" s="310">
        <f ca="1">SUM(T534:T537)</f>
        <v>147.23097008138498</v>
      </c>
      <c r="U538" s="310">
        <f ca="1">SUM(U534:U537)</f>
        <v>106.17508376899258</v>
      </c>
      <c r="V538" s="310">
        <f ca="1">SUM(V534:V537)</f>
        <v>65.119197456600176</v>
      </c>
      <c r="W538" s="310">
        <f ca="1">SUM(W534:W537)</f>
        <v>24.063311144207773</v>
      </c>
    </row>
    <row r="539" spans="2:23" outlineLevel="1"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</row>
    <row r="540" spans="2:23" outlineLevel="1">
      <c r="B540" s="58"/>
      <c r="C540" s="186" t="str">
        <f>$C$25</f>
        <v>CRE Loan</v>
      </c>
      <c r="D540" s="58"/>
      <c r="E540" s="58"/>
      <c r="F540" s="58"/>
      <c r="G540" s="58"/>
      <c r="H540" s="58"/>
      <c r="I540" s="58"/>
      <c r="J540" s="58"/>
      <c r="K540" s="58"/>
      <c r="M540" s="298"/>
      <c r="N540" s="298"/>
      <c r="O540" s="298"/>
      <c r="P540" s="298"/>
      <c r="Q540" s="298"/>
      <c r="R540" s="298"/>
      <c r="S540" s="298"/>
      <c r="T540" s="298"/>
      <c r="U540" s="298"/>
      <c r="V540" s="298"/>
      <c r="W540" s="298"/>
    </row>
    <row r="541" spans="2:23" ht="4" customHeight="1" outlineLevel="1">
      <c r="B541" s="58"/>
      <c r="C541" s="186"/>
      <c r="D541" s="58"/>
      <c r="E541" s="58"/>
      <c r="F541" s="58"/>
      <c r="G541" s="58"/>
      <c r="H541" s="58"/>
      <c r="I541" s="58"/>
      <c r="J541" s="58"/>
      <c r="K541" s="58"/>
      <c r="M541" s="298"/>
      <c r="N541" s="298"/>
      <c r="O541" s="298"/>
      <c r="P541" s="298"/>
      <c r="Q541" s="298"/>
      <c r="R541" s="298"/>
      <c r="S541" s="298"/>
      <c r="T541" s="298"/>
      <c r="U541" s="298"/>
      <c r="V541" s="298"/>
      <c r="W541" s="298"/>
    </row>
    <row r="542" spans="2:23" outlineLevel="1">
      <c r="B542" s="58"/>
      <c r="C542" s="225" t="s">
        <v>105</v>
      </c>
      <c r="D542" s="58"/>
      <c r="E542" s="58"/>
      <c r="F542" s="58"/>
      <c r="H542" s="58"/>
      <c r="I542" s="58"/>
      <c r="J542" s="58"/>
      <c r="K542" s="58"/>
      <c r="M542" s="301"/>
      <c r="N542" s="298">
        <f t="shared" ref="N542:W542" ca="1" si="180">M$546</f>
        <v>850</v>
      </c>
      <c r="O542" s="298">
        <f t="shared" ca="1" si="180"/>
        <v>850</v>
      </c>
      <c r="P542" s="298">
        <f t="shared" ca="1" si="180"/>
        <v>830</v>
      </c>
      <c r="Q542" s="298">
        <f t="shared" ca="1" si="180"/>
        <v>806</v>
      </c>
      <c r="R542" s="298">
        <f t="shared" ca="1" si="180"/>
        <v>781</v>
      </c>
      <c r="S542" s="298">
        <f t="shared" ca="1" si="180"/>
        <v>754</v>
      </c>
      <c r="T542" s="298">
        <f t="shared" ca="1" si="180"/>
        <v>726</v>
      </c>
      <c r="U542" s="298">
        <f t="shared" ca="1" si="180"/>
        <v>696</v>
      </c>
      <c r="V542" s="298">
        <f t="shared" ca="1" si="180"/>
        <v>664</v>
      </c>
      <c r="W542" s="298">
        <f t="shared" ca="1" si="180"/>
        <v>630</v>
      </c>
    </row>
    <row r="543" spans="2:23" outlineLevel="1">
      <c r="B543" s="58"/>
      <c r="C543" s="1023" t="s">
        <v>214</v>
      </c>
      <c r="D543" s="408"/>
      <c r="E543" s="408"/>
      <c r="F543" s="58"/>
      <c r="H543" s="58"/>
      <c r="I543" s="58"/>
      <c r="J543" s="58"/>
      <c r="K543" s="58"/>
      <c r="M543" s="410"/>
      <c r="N543" s="675">
        <f ca="1">-MIN(N$542,PRODUCT((INDEX($N$497:$W$500,MATCH($C$540,$C$497:$C$500,0),MATCH(N$522,$N$495:$W$495,0))),$M$546))</f>
        <v>0</v>
      </c>
      <c r="O543" s="675">
        <f t="shared" ref="O543:W543" ca="1" si="181">-MIN(O$542,PRODUCT((INDEX($N$497:$W$500,MATCH($C$540,$C$497:$C$500,0),MATCH(O$522,$N$495:$W$495,0))),$M$546))</f>
        <v>-20.490269568399405</v>
      </c>
      <c r="P543" s="675">
        <f t="shared" ca="1" si="181"/>
        <v>-23.698027442088865</v>
      </c>
      <c r="Q543" s="675">
        <f t="shared" ca="1" si="181"/>
        <v>-25.187221686240957</v>
      </c>
      <c r="R543" s="675">
        <f t="shared" ca="1" si="181"/>
        <v>-26.76999753764855</v>
      </c>
      <c r="S543" s="675">
        <f t="shared" ca="1" si="181"/>
        <v>-28.452235704789341</v>
      </c>
      <c r="T543" s="675">
        <f t="shared" ca="1" si="181"/>
        <v>-30.240186442392844</v>
      </c>
      <c r="U543" s="675">
        <f t="shared" ca="1" si="181"/>
        <v>-32.140492773885896</v>
      </c>
      <c r="V543" s="675">
        <f t="shared" ca="1" si="181"/>
        <v>-34.160215173146661</v>
      </c>
      <c r="W543" s="675">
        <f t="shared" ca="1" si="181"/>
        <v>-36.306857797270617</v>
      </c>
    </row>
    <row r="544" spans="2:23" outlineLevel="1">
      <c r="B544" s="58"/>
      <c r="C544" s="1099" t="s">
        <v>330</v>
      </c>
      <c r="D544" s="58"/>
      <c r="E544" s="58"/>
      <c r="F544" s="58"/>
      <c r="H544" s="58"/>
      <c r="I544" s="58"/>
      <c r="J544" s="58"/>
      <c r="K544" s="58"/>
      <c r="M544" s="306"/>
      <c r="N544" s="311">
        <f t="shared" ref="N544:W544" ca="1" si="182">-SUM(N$542:N$543)*N$100</f>
        <v>0</v>
      </c>
      <c r="O544" s="311">
        <f t="shared" ca="1" si="182"/>
        <v>0</v>
      </c>
      <c r="P544" s="311">
        <f t="shared" ca="1" si="182"/>
        <v>0</v>
      </c>
      <c r="Q544" s="311">
        <f t="shared" ca="1" si="182"/>
        <v>0</v>
      </c>
      <c r="R544" s="311">
        <f t="shared" ca="1" si="182"/>
        <v>0</v>
      </c>
      <c r="S544" s="311">
        <f t="shared" ca="1" si="182"/>
        <v>0</v>
      </c>
      <c r="T544" s="311">
        <f t="shared" ca="1" si="182"/>
        <v>0</v>
      </c>
      <c r="U544" s="311">
        <f t="shared" ca="1" si="182"/>
        <v>0</v>
      </c>
      <c r="V544" s="311">
        <f t="shared" ca="1" si="182"/>
        <v>0</v>
      </c>
      <c r="W544" s="311">
        <f t="shared" ca="1" si="182"/>
        <v>0</v>
      </c>
    </row>
    <row r="545" spans="1:23" outlineLevel="1">
      <c r="B545" s="58"/>
      <c r="C545" s="1020" t="s">
        <v>182</v>
      </c>
      <c r="D545" s="58"/>
      <c r="E545" s="58"/>
      <c r="F545" s="58"/>
      <c r="H545" s="58" t="s">
        <v>104</v>
      </c>
      <c r="I545" s="58"/>
      <c r="J545" s="58"/>
      <c r="K545" s="58"/>
      <c r="M545" s="306"/>
      <c r="N545" s="314">
        <f ca="1">-MIN(SUM(N$542:N$544),PRODUCT(N$508,_xlfn.XLOOKUP($C$540,$C$512:$C$517,N$512:N$517,0)))</f>
        <v>0</v>
      </c>
      <c r="O545" s="314">
        <f t="shared" ref="O545:W545" ca="1" si="183">-MIN(SUM(O$542:O$544),PRODUCT(O$508,_xlfn.XLOOKUP($C$540,$C$512:$C$517,O$512:O$517,0)))</f>
        <v>0</v>
      </c>
      <c r="P545" s="314">
        <f t="shared" ca="1" si="183"/>
        <v>0</v>
      </c>
      <c r="Q545" s="314">
        <f t="shared" ca="1" si="183"/>
        <v>0</v>
      </c>
      <c r="R545" s="314">
        <f t="shared" ca="1" si="183"/>
        <v>0</v>
      </c>
      <c r="S545" s="314">
        <f t="shared" ca="1" si="183"/>
        <v>0</v>
      </c>
      <c r="T545" s="314">
        <f t="shared" ca="1" si="183"/>
        <v>0</v>
      </c>
      <c r="U545" s="314">
        <f t="shared" ca="1" si="183"/>
        <v>0</v>
      </c>
      <c r="V545" s="314">
        <f t="shared" ca="1" si="183"/>
        <v>0</v>
      </c>
      <c r="W545" s="314">
        <f t="shared" ca="1" si="183"/>
        <v>0</v>
      </c>
    </row>
    <row r="546" spans="1:23" outlineLevel="1">
      <c r="B546" s="58"/>
      <c r="C546" s="1021" t="s">
        <v>106</v>
      </c>
      <c r="D546" s="59"/>
      <c r="E546" s="59"/>
      <c r="F546" s="58"/>
      <c r="H546" s="58"/>
      <c r="I546" s="58"/>
      <c r="J546" s="58"/>
      <c r="K546" s="58"/>
      <c r="M546" s="315">
        <f ca="1">_xlfn.XLOOKUP($C$540,$C$23:$C$30,$E$23:$E$30,0)</f>
        <v>850</v>
      </c>
      <c r="N546" s="319">
        <f t="shared" ref="N546:W546" ca="1" si="184">ROUND((SUM(N542:N545)),0)</f>
        <v>850</v>
      </c>
      <c r="O546" s="319">
        <f t="shared" ca="1" si="184"/>
        <v>830</v>
      </c>
      <c r="P546" s="319">
        <f t="shared" ca="1" si="184"/>
        <v>806</v>
      </c>
      <c r="Q546" s="319">
        <f t="shared" ca="1" si="184"/>
        <v>781</v>
      </c>
      <c r="R546" s="319">
        <f t="shared" ca="1" si="184"/>
        <v>754</v>
      </c>
      <c r="S546" s="319">
        <f t="shared" ca="1" si="184"/>
        <v>726</v>
      </c>
      <c r="T546" s="319">
        <f t="shared" ca="1" si="184"/>
        <v>696</v>
      </c>
      <c r="U546" s="319">
        <f t="shared" ca="1" si="184"/>
        <v>664</v>
      </c>
      <c r="V546" s="319">
        <f t="shared" ca="1" si="184"/>
        <v>630</v>
      </c>
      <c r="W546" s="319">
        <f t="shared" ca="1" si="184"/>
        <v>594</v>
      </c>
    </row>
    <row r="547" spans="1:23" outlineLevel="1">
      <c r="B547" s="58"/>
      <c r="C547" s="58"/>
      <c r="D547" s="58"/>
      <c r="E547" s="58"/>
      <c r="F547" s="58"/>
      <c r="H547" s="58"/>
      <c r="I547" s="58"/>
      <c r="J547" s="58"/>
      <c r="K547" s="58"/>
      <c r="M547" s="298"/>
      <c r="N547" s="298"/>
      <c r="O547" s="298"/>
      <c r="P547" s="298"/>
      <c r="Q547" s="298"/>
      <c r="R547" s="298"/>
      <c r="S547" s="298"/>
      <c r="T547" s="298"/>
      <c r="U547" s="298"/>
      <c r="V547" s="298"/>
      <c r="W547" s="298"/>
    </row>
    <row r="548" spans="1:23" outlineLevel="1">
      <c r="B548" s="58"/>
      <c r="C548" s="186" t="str">
        <f>$C$26</f>
        <v>Seller Note</v>
      </c>
      <c r="D548" s="58"/>
      <c r="E548" s="58"/>
      <c r="F548" s="58"/>
      <c r="G548" s="58"/>
      <c r="H548" s="58"/>
      <c r="I548" s="58"/>
      <c r="J548" s="58"/>
      <c r="K548" s="58"/>
      <c r="M548" s="298"/>
      <c r="N548" s="298"/>
      <c r="O548" s="298"/>
      <c r="P548" s="298"/>
      <c r="Q548" s="298"/>
      <c r="R548" s="298"/>
      <c r="S548" s="298"/>
      <c r="T548" s="298"/>
      <c r="U548" s="298"/>
      <c r="V548" s="298"/>
      <c r="W548" s="298"/>
    </row>
    <row r="549" spans="1:23" ht="4" customHeight="1" outlineLevel="1">
      <c r="B549" s="58"/>
      <c r="C549" s="186"/>
      <c r="D549" s="58"/>
      <c r="E549" s="58"/>
      <c r="F549" s="58"/>
      <c r="G549" s="58"/>
      <c r="H549" s="58"/>
      <c r="I549" s="58"/>
      <c r="J549" s="58"/>
      <c r="K549" s="58"/>
      <c r="M549" s="298"/>
      <c r="N549" s="298"/>
      <c r="O549" s="298"/>
      <c r="P549" s="298"/>
      <c r="Q549" s="298"/>
      <c r="R549" s="298"/>
      <c r="S549" s="298"/>
      <c r="T549" s="298"/>
      <c r="U549" s="298"/>
      <c r="V549" s="298"/>
      <c r="W549" s="298"/>
    </row>
    <row r="550" spans="1:23" outlineLevel="1">
      <c r="B550" s="58"/>
      <c r="C550" s="225" t="s">
        <v>105</v>
      </c>
      <c r="D550" s="58"/>
      <c r="E550" s="58"/>
      <c r="F550" s="58"/>
      <c r="G550" s="58"/>
      <c r="H550" s="58"/>
      <c r="I550" s="58"/>
      <c r="J550" s="58"/>
      <c r="K550" s="58"/>
      <c r="M550" s="301"/>
      <c r="N550" s="314">
        <f t="shared" ref="N550:W550" ca="1" si="185">M$554</f>
        <v>162.61499719859438</v>
      </c>
      <c r="O550" s="314">
        <f t="shared" ca="1" si="185"/>
        <v>163</v>
      </c>
      <c r="P550" s="314">
        <f t="shared" ca="1" si="185"/>
        <v>155</v>
      </c>
      <c r="Q550" s="314">
        <f t="shared" ca="1" si="185"/>
        <v>135</v>
      </c>
      <c r="R550" s="314">
        <f t="shared" ca="1" si="185"/>
        <v>114</v>
      </c>
      <c r="S550" s="314">
        <f t="shared" ca="1" si="185"/>
        <v>92</v>
      </c>
      <c r="T550" s="314">
        <f t="shared" ca="1" si="185"/>
        <v>0</v>
      </c>
      <c r="U550" s="314">
        <f t="shared" ca="1" si="185"/>
        <v>0</v>
      </c>
      <c r="V550" s="314">
        <f t="shared" ca="1" si="185"/>
        <v>0</v>
      </c>
      <c r="W550" s="314">
        <f t="shared" ca="1" si="185"/>
        <v>0</v>
      </c>
    </row>
    <row r="551" spans="1:23" outlineLevel="1">
      <c r="B551" s="58"/>
      <c r="C551" s="1023" t="s">
        <v>214</v>
      </c>
      <c r="D551" s="408"/>
      <c r="E551" s="408"/>
      <c r="F551" s="58"/>
      <c r="G551" s="58"/>
      <c r="H551" s="58"/>
      <c r="I551" s="58"/>
      <c r="J551" s="58"/>
      <c r="K551" s="58"/>
      <c r="M551" s="410"/>
      <c r="N551" s="675">
        <f ca="1">-MIN(N$550,PRODUCT((INDEX($N$497:$W$500,MATCH($C$548,$C$497:$C$500,0),MATCH(N$522,$N$495:$W$495,0))),$M$554))</f>
        <v>0</v>
      </c>
      <c r="O551" s="675">
        <f t="shared" ref="O551:W551" ca="1" si="186">-MIN(O$550,PRODUCT((INDEX($N$497:$W$500,MATCH($C$548,$C$497:$C$500,0),MATCH(O$522,$N$495:$W$495,0))),$M$554))</f>
        <v>-7.890991656636988</v>
      </c>
      <c r="P551" s="675">
        <f t="shared" ca="1" si="186"/>
        <v>-19.760954374506248</v>
      </c>
      <c r="Q551" s="675">
        <f t="shared" ca="1" si="186"/>
        <v>-20.97976680068</v>
      </c>
      <c r="R551" s="675">
        <f t="shared" ca="1" si="186"/>
        <v>-22.273752910373418</v>
      </c>
      <c r="S551" s="675">
        <f t="shared" ca="1" si="186"/>
        <v>-13.622129881844348</v>
      </c>
      <c r="T551" s="675">
        <f t="shared" ca="1" si="186"/>
        <v>0</v>
      </c>
      <c r="U551" s="675">
        <f t="shared" ca="1" si="186"/>
        <v>0</v>
      </c>
      <c r="V551" s="675">
        <f t="shared" ca="1" si="186"/>
        <v>0</v>
      </c>
      <c r="W551" s="675">
        <f t="shared" ca="1" si="186"/>
        <v>0</v>
      </c>
    </row>
    <row r="552" spans="1:23" outlineLevel="1">
      <c r="B552" s="58"/>
      <c r="C552" s="1099" t="s">
        <v>330</v>
      </c>
      <c r="D552" s="58"/>
      <c r="E552" s="58"/>
      <c r="F552" s="58"/>
      <c r="G552" s="58"/>
      <c r="H552" s="58"/>
      <c r="I552" s="58"/>
      <c r="J552" s="58"/>
      <c r="K552" s="58"/>
      <c r="M552" s="306"/>
      <c r="N552" s="311">
        <f t="shared" ref="N552:W552" ca="1" si="187">-SUM(N$550:N$551)*N$110</f>
        <v>0</v>
      </c>
      <c r="O552" s="311">
        <f t="shared" ca="1" si="187"/>
        <v>0</v>
      </c>
      <c r="P552" s="311">
        <f t="shared" ca="1" si="187"/>
        <v>0</v>
      </c>
      <c r="Q552" s="311">
        <f t="shared" ca="1" si="187"/>
        <v>0</v>
      </c>
      <c r="R552" s="311">
        <f t="shared" ca="1" si="187"/>
        <v>0</v>
      </c>
      <c r="S552" s="311">
        <f t="shared" ca="1" si="187"/>
        <v>-78.377870118155656</v>
      </c>
      <c r="T552" s="311">
        <f t="shared" ca="1" si="187"/>
        <v>0</v>
      </c>
      <c r="U552" s="311">
        <f t="shared" ca="1" si="187"/>
        <v>0</v>
      </c>
      <c r="V552" s="311">
        <f t="shared" ca="1" si="187"/>
        <v>0</v>
      </c>
      <c r="W552" s="311">
        <f t="shared" ca="1" si="187"/>
        <v>0</v>
      </c>
    </row>
    <row r="553" spans="1:23" outlineLevel="1">
      <c r="B553" s="58"/>
      <c r="C553" s="1020" t="s">
        <v>182</v>
      </c>
      <c r="D553" s="58"/>
      <c r="E553" s="58"/>
      <c r="F553" s="58"/>
      <c r="G553" s="58"/>
      <c r="H553" s="58"/>
      <c r="I553" s="58"/>
      <c r="J553" s="58"/>
      <c r="K553" s="58"/>
      <c r="M553" s="100"/>
      <c r="N553" s="314">
        <f ca="1">-MIN(SUM(N$550:N$552),PRODUCT(N$508,_xlfn.XLOOKUP($C$548,$C$512:$C$517,N$512:N$517,0)))</f>
        <v>0</v>
      </c>
      <c r="O553" s="314">
        <f t="shared" ref="O553:W553" ca="1" si="188">-MIN(SUM(O$550:O$552),PRODUCT(O$508,_xlfn.XLOOKUP($C$548,$C$512:$C$517,O$512:O$517,0)))</f>
        <v>0</v>
      </c>
      <c r="P553" s="314">
        <f t="shared" ca="1" si="188"/>
        <v>0</v>
      </c>
      <c r="Q553" s="314">
        <f t="shared" ca="1" si="188"/>
        <v>0</v>
      </c>
      <c r="R553" s="314">
        <f t="shared" ca="1" si="188"/>
        <v>0</v>
      </c>
      <c r="S553" s="314">
        <f t="shared" ca="1" si="188"/>
        <v>0</v>
      </c>
      <c r="T553" s="314">
        <f t="shared" ca="1" si="188"/>
        <v>0</v>
      </c>
      <c r="U553" s="314">
        <f t="shared" ca="1" si="188"/>
        <v>0</v>
      </c>
      <c r="V553" s="314">
        <f t="shared" ca="1" si="188"/>
        <v>0</v>
      </c>
      <c r="W553" s="314">
        <f t="shared" ca="1" si="188"/>
        <v>0</v>
      </c>
    </row>
    <row r="554" spans="1:23" outlineLevel="1">
      <c r="B554" s="58"/>
      <c r="C554" s="1021" t="s">
        <v>106</v>
      </c>
      <c r="D554" s="59"/>
      <c r="E554" s="59"/>
      <c r="F554" s="58"/>
      <c r="G554" s="58"/>
      <c r="H554" s="58"/>
      <c r="I554" s="58"/>
      <c r="J554" s="58"/>
      <c r="K554" s="58"/>
      <c r="M554" s="315">
        <f ca="1">_xlfn.XLOOKUP($C$548,$C$23:$C$30,$E$23:$E$30,0)</f>
        <v>162.61499719859438</v>
      </c>
      <c r="N554" s="319">
        <f t="shared" ref="N554:W554" ca="1" si="189">ROUND((SUM(N550:N553)),0)</f>
        <v>163</v>
      </c>
      <c r="O554" s="319">
        <f t="shared" ca="1" si="189"/>
        <v>155</v>
      </c>
      <c r="P554" s="319">
        <f t="shared" ca="1" si="189"/>
        <v>135</v>
      </c>
      <c r="Q554" s="319">
        <f t="shared" ca="1" si="189"/>
        <v>114</v>
      </c>
      <c r="R554" s="319">
        <f t="shared" ca="1" si="189"/>
        <v>92</v>
      </c>
      <c r="S554" s="319">
        <f t="shared" ca="1" si="189"/>
        <v>0</v>
      </c>
      <c r="T554" s="319">
        <f t="shared" ca="1" si="189"/>
        <v>0</v>
      </c>
      <c r="U554" s="319">
        <f t="shared" ca="1" si="189"/>
        <v>0</v>
      </c>
      <c r="V554" s="319">
        <f t="shared" ca="1" si="189"/>
        <v>0</v>
      </c>
      <c r="W554" s="319">
        <f t="shared" ca="1" si="189"/>
        <v>0</v>
      </c>
    </row>
    <row r="555" spans="1:23" outlineLevel="1">
      <c r="A555" s="58"/>
      <c r="B555" s="58"/>
      <c r="C555" s="58"/>
      <c r="D555" s="58"/>
      <c r="E555" s="58"/>
      <c r="H555" s="58"/>
      <c r="I555" s="58"/>
      <c r="J555" s="58"/>
      <c r="K555" s="58"/>
      <c r="M555" s="311"/>
      <c r="N555" s="311"/>
      <c r="O555" s="311"/>
      <c r="P555" s="311"/>
      <c r="Q555" s="311"/>
      <c r="R555" s="311"/>
      <c r="S555" s="311"/>
      <c r="T555" s="311"/>
      <c r="U555" s="311"/>
      <c r="V555" s="311"/>
      <c r="W555" s="311"/>
    </row>
    <row r="556" spans="1:23" outlineLevel="1">
      <c r="B556" s="58"/>
      <c r="C556" s="224" t="str">
        <f>$C$27</f>
        <v>Preferred Equity - A</v>
      </c>
      <c r="D556" s="65"/>
      <c r="E556" s="65"/>
      <c r="F556" s="65"/>
      <c r="G556" s="65"/>
      <c r="H556" s="58"/>
      <c r="I556" s="58"/>
      <c r="J556" s="58"/>
      <c r="K556" s="58"/>
      <c r="M556" s="298"/>
      <c r="N556" s="298"/>
      <c r="O556" s="298"/>
      <c r="P556" s="298"/>
      <c r="Q556" s="298"/>
      <c r="R556" s="298"/>
      <c r="S556" s="298"/>
      <c r="T556" s="309"/>
      <c r="U556" s="309"/>
      <c r="V556" s="309"/>
      <c r="W556" s="309"/>
    </row>
    <row r="557" spans="1:23" ht="4" customHeight="1" outlineLevel="1">
      <c r="B557" s="58"/>
      <c r="C557" s="224"/>
      <c r="D557" s="65"/>
      <c r="E557" s="65"/>
      <c r="F557" s="65"/>
      <c r="G557" s="65"/>
      <c r="H557" s="58"/>
      <c r="I557" s="58"/>
      <c r="J557" s="58"/>
      <c r="K557" s="58"/>
      <c r="M557" s="298"/>
      <c r="N557" s="298"/>
      <c r="O557" s="298"/>
      <c r="P557" s="298"/>
      <c r="Q557" s="298"/>
      <c r="R557" s="298"/>
      <c r="S557" s="298"/>
      <c r="T557" s="309"/>
      <c r="U557" s="309"/>
      <c r="V557" s="309"/>
      <c r="W557" s="309"/>
    </row>
    <row r="558" spans="1:23" outlineLevel="1">
      <c r="B558" s="58"/>
      <c r="C558" s="279" t="s">
        <v>105</v>
      </c>
      <c r="D558" s="65"/>
      <c r="E558" s="65"/>
      <c r="F558" s="65"/>
      <c r="G558" s="65"/>
      <c r="H558" s="58"/>
      <c r="I558" s="58"/>
      <c r="J558" s="58"/>
      <c r="K558" s="58"/>
      <c r="M558" s="301"/>
      <c r="N558" s="314">
        <f t="shared" ref="N558:W558" ca="1" si="190">M$561</f>
        <v>150</v>
      </c>
      <c r="O558" s="314">
        <f t="shared" ca="1" si="190"/>
        <v>154.91999999999999</v>
      </c>
      <c r="P558" s="314">
        <f t="shared" ca="1" si="190"/>
        <v>167.31359999999998</v>
      </c>
      <c r="Q558" s="314">
        <f t="shared" ca="1" si="190"/>
        <v>180.69868799999998</v>
      </c>
      <c r="R558" s="314">
        <f t="shared" ca="1" si="190"/>
        <v>195.15458303999998</v>
      </c>
      <c r="S558" s="314">
        <f t="shared" ca="1" si="190"/>
        <v>210.76694968319998</v>
      </c>
      <c r="T558" s="314">
        <f t="shared" ca="1" si="190"/>
        <v>227.62830565785598</v>
      </c>
      <c r="U558" s="314">
        <f t="shared" ca="1" si="190"/>
        <v>245.83857011048445</v>
      </c>
      <c r="V558" s="314">
        <f t="shared" ca="1" si="190"/>
        <v>265.50565571932322</v>
      </c>
      <c r="W558" s="314">
        <f t="shared" ca="1" si="190"/>
        <v>286.74610817686909</v>
      </c>
    </row>
    <row r="559" spans="1:23" outlineLevel="1">
      <c r="B559" s="58"/>
      <c r="C559" s="1023" t="s">
        <v>108</v>
      </c>
      <c r="D559" s="678"/>
      <c r="E559" s="678"/>
      <c r="F559" s="65"/>
      <c r="G559" s="65"/>
      <c r="H559" s="58"/>
      <c r="I559" s="58"/>
      <c r="J559" s="58"/>
      <c r="K559" s="58"/>
      <c r="M559" s="410"/>
      <c r="N559" s="677">
        <f t="shared" ref="N559:W559" ca="1" si="191">PRODUCT($N$61,$O$61,N$122,N$558)</f>
        <v>4.919999999999999</v>
      </c>
      <c r="O559" s="677">
        <f t="shared" ca="1" si="191"/>
        <v>12.393599999999999</v>
      </c>
      <c r="P559" s="677">
        <f t="shared" ca="1" si="191"/>
        <v>13.385087999999998</v>
      </c>
      <c r="Q559" s="677">
        <f t="shared" ca="1" si="191"/>
        <v>14.455895039999998</v>
      </c>
      <c r="R559" s="677">
        <f t="shared" ca="1" si="191"/>
        <v>15.612366643199998</v>
      </c>
      <c r="S559" s="677">
        <f t="shared" ca="1" si="191"/>
        <v>16.861355974656</v>
      </c>
      <c r="T559" s="677">
        <f t="shared" ca="1" si="191"/>
        <v>18.210264452628479</v>
      </c>
      <c r="U559" s="677">
        <f t="shared" ca="1" si="191"/>
        <v>19.667085608838757</v>
      </c>
      <c r="V559" s="677">
        <f t="shared" ca="1" si="191"/>
        <v>21.240452457545857</v>
      </c>
      <c r="W559" s="677">
        <f t="shared" ca="1" si="191"/>
        <v>22.939688654149528</v>
      </c>
    </row>
    <row r="560" spans="1:23" outlineLevel="1">
      <c r="B560" s="58"/>
      <c r="C560" s="1099" t="s">
        <v>165</v>
      </c>
      <c r="D560" s="65"/>
      <c r="E560" s="65"/>
      <c r="F560" s="65"/>
      <c r="G560" s="65"/>
      <c r="H560" s="58"/>
      <c r="I560" s="58"/>
      <c r="J560" s="58"/>
      <c r="K560" s="58"/>
      <c r="M560" s="306"/>
      <c r="N560" s="314">
        <f ca="1">-MIN(SUM(N$558:N$559),PRODUCT(N$508,_xlfn.XLOOKUP($C$556,$C$512:$C$517,N$512:N$517,0)))</f>
        <v>0</v>
      </c>
      <c r="O560" s="314">
        <f t="shared" ref="O560:W560" ca="1" si="192">-MIN(SUM(O$558:O$559),PRODUCT(O$508,_xlfn.XLOOKUP($C$556,$C$512:$C$517,O$512:O$517,0)))</f>
        <v>0</v>
      </c>
      <c r="P560" s="314">
        <f t="shared" ca="1" si="192"/>
        <v>0</v>
      </c>
      <c r="Q560" s="314">
        <f t="shared" ca="1" si="192"/>
        <v>0</v>
      </c>
      <c r="R560" s="314">
        <f t="shared" ca="1" si="192"/>
        <v>0</v>
      </c>
      <c r="S560" s="314">
        <f t="shared" ca="1" si="192"/>
        <v>0</v>
      </c>
      <c r="T560" s="314">
        <f t="shared" ca="1" si="192"/>
        <v>0</v>
      </c>
      <c r="U560" s="314">
        <f t="shared" ca="1" si="192"/>
        <v>0</v>
      </c>
      <c r="V560" s="314">
        <f t="shared" ca="1" si="192"/>
        <v>0</v>
      </c>
      <c r="W560" s="314">
        <f t="shared" ca="1" si="192"/>
        <v>0</v>
      </c>
    </row>
    <row r="561" spans="1:23" outlineLevel="1">
      <c r="B561" s="58"/>
      <c r="C561" s="1024" t="s">
        <v>106</v>
      </c>
      <c r="D561" s="70"/>
      <c r="E561" s="70"/>
      <c r="F561" s="65"/>
      <c r="G561" s="65"/>
      <c r="H561" s="58"/>
      <c r="I561" s="58"/>
      <c r="J561" s="58"/>
      <c r="K561" s="58"/>
      <c r="M561" s="315">
        <f ca="1">_xlfn.XLOOKUP($C$556,$C$23:$C$30,$E$23:$E$30,0)</f>
        <v>150</v>
      </c>
      <c r="N561" s="319">
        <f t="shared" ref="N561:W561" ca="1" si="193">SUM(N558:N560)</f>
        <v>154.91999999999999</v>
      </c>
      <c r="O561" s="319">
        <f t="shared" ca="1" si="193"/>
        <v>167.31359999999998</v>
      </c>
      <c r="P561" s="319">
        <f t="shared" ca="1" si="193"/>
        <v>180.69868799999998</v>
      </c>
      <c r="Q561" s="319">
        <f t="shared" ca="1" si="193"/>
        <v>195.15458303999998</v>
      </c>
      <c r="R561" s="319">
        <f t="shared" ca="1" si="193"/>
        <v>210.76694968319998</v>
      </c>
      <c r="S561" s="319">
        <f t="shared" ca="1" si="193"/>
        <v>227.62830565785598</v>
      </c>
      <c r="T561" s="319">
        <f t="shared" ca="1" si="193"/>
        <v>245.83857011048445</v>
      </c>
      <c r="U561" s="319">
        <f t="shared" ca="1" si="193"/>
        <v>265.50565571932322</v>
      </c>
      <c r="V561" s="319">
        <f t="shared" ca="1" si="193"/>
        <v>286.74610817686909</v>
      </c>
      <c r="W561" s="319">
        <f t="shared" ca="1" si="193"/>
        <v>309.68579683101859</v>
      </c>
    </row>
    <row r="562" spans="1:23" outlineLevel="1">
      <c r="B562" s="58"/>
      <c r="C562" s="65"/>
      <c r="D562" s="65"/>
      <c r="E562" s="65"/>
      <c r="F562" s="65"/>
      <c r="G562" s="65"/>
      <c r="H562" s="58"/>
      <c r="I562" s="58"/>
      <c r="J562" s="58"/>
      <c r="K562" s="58"/>
      <c r="M562" s="298"/>
      <c r="N562" s="298"/>
      <c r="O562" s="298"/>
      <c r="P562" s="298"/>
      <c r="Q562" s="298"/>
      <c r="R562" s="298"/>
      <c r="S562" s="298"/>
      <c r="T562" s="298"/>
      <c r="U562" s="298"/>
      <c r="V562" s="298"/>
      <c r="W562" s="298"/>
    </row>
    <row r="563" spans="1:23" s="58" customFormat="1" outlineLevel="1">
      <c r="A563" s="52"/>
      <c r="C563" s="224" t="str">
        <f>$C$28</f>
        <v>Preferred Equity - B</v>
      </c>
      <c r="D563" s="65"/>
      <c r="E563" s="65"/>
      <c r="F563" s="65"/>
      <c r="G563" s="65"/>
      <c r="H563" s="105"/>
      <c r="I563" s="3"/>
      <c r="J563" s="3"/>
      <c r="M563" s="298"/>
      <c r="N563" s="298"/>
      <c r="O563" s="298"/>
      <c r="P563" s="298"/>
      <c r="Q563" s="298"/>
      <c r="R563" s="298"/>
      <c r="S563" s="298"/>
      <c r="T563" s="298"/>
      <c r="U563" s="298"/>
      <c r="V563" s="298"/>
      <c r="W563" s="298"/>
    </row>
    <row r="564" spans="1:23" s="58" customFormat="1" ht="4" customHeight="1" outlineLevel="1">
      <c r="A564" s="52"/>
      <c r="C564" s="224"/>
      <c r="D564" s="65"/>
      <c r="E564" s="65"/>
      <c r="F564" s="65"/>
      <c r="G564" s="65"/>
      <c r="H564" s="105"/>
      <c r="I564" s="3"/>
      <c r="J564" s="3"/>
      <c r="M564" s="298"/>
      <c r="N564" s="298"/>
      <c r="O564" s="298"/>
      <c r="P564" s="298"/>
      <c r="Q564" s="298"/>
      <c r="R564" s="298"/>
      <c r="S564" s="298"/>
      <c r="T564" s="298"/>
      <c r="U564" s="298"/>
      <c r="V564" s="298"/>
      <c r="W564" s="298"/>
    </row>
    <row r="565" spans="1:23" s="58" customFormat="1" outlineLevel="1">
      <c r="A565" s="52"/>
      <c r="C565" s="279" t="s">
        <v>105</v>
      </c>
      <c r="D565" s="65"/>
      <c r="E565" s="65"/>
      <c r="F565" s="65"/>
      <c r="G565" s="65"/>
      <c r="I565" s="3"/>
      <c r="J565" s="3"/>
      <c r="M565" s="301"/>
      <c r="N565" s="314">
        <f t="shared" ref="N565:W565" ca="1" si="194">M$568</f>
        <v>476.78737718331308</v>
      </c>
      <c r="O565" s="314">
        <f t="shared" ca="1" si="194"/>
        <v>492.42600315492575</v>
      </c>
      <c r="P565" s="314">
        <f t="shared" ca="1" si="194"/>
        <v>531.82008340731977</v>
      </c>
      <c r="Q565" s="314">
        <f t="shared" ca="1" si="194"/>
        <v>574.36569007990533</v>
      </c>
      <c r="R565" s="314">
        <f t="shared" ca="1" si="194"/>
        <v>620.31494528629776</v>
      </c>
      <c r="S565" s="314">
        <f t="shared" ca="1" si="194"/>
        <v>669.94014090920155</v>
      </c>
      <c r="T565" s="314">
        <f t="shared" ca="1" si="194"/>
        <v>723.5353521819377</v>
      </c>
      <c r="U565" s="314">
        <f t="shared" ca="1" si="194"/>
        <v>781.41818035649271</v>
      </c>
      <c r="V565" s="314">
        <f t="shared" ca="1" si="194"/>
        <v>843.93163478501208</v>
      </c>
      <c r="W565" s="314">
        <f t="shared" ca="1" si="194"/>
        <v>911.44616556781307</v>
      </c>
    </row>
    <row r="566" spans="1:23" s="58" customFormat="1" outlineLevel="1">
      <c r="A566" s="52"/>
      <c r="C566" s="1023" t="s">
        <v>108</v>
      </c>
      <c r="D566" s="678"/>
      <c r="E566" s="678"/>
      <c r="F566" s="65"/>
      <c r="G566" s="65"/>
      <c r="I566" s="3"/>
      <c r="J566" s="3"/>
      <c r="M566" s="410"/>
      <c r="N566" s="677">
        <f t="shared" ref="N566:W566" ca="1" si="195">PRODUCT($N$62,$O$62,N$122,N$565)</f>
        <v>15.638625971612667</v>
      </c>
      <c r="O566" s="677">
        <f t="shared" ca="1" si="195"/>
        <v>39.394080252394062</v>
      </c>
      <c r="P566" s="677">
        <f t="shared" ca="1" si="195"/>
        <v>42.545606672585585</v>
      </c>
      <c r="Q566" s="677">
        <f t="shared" ca="1" si="195"/>
        <v>45.949255206392429</v>
      </c>
      <c r="R566" s="677">
        <f t="shared" ca="1" si="195"/>
        <v>49.625195622903824</v>
      </c>
      <c r="S566" s="677">
        <f t="shared" ca="1" si="195"/>
        <v>53.595211272736123</v>
      </c>
      <c r="T566" s="677">
        <f t="shared" ca="1" si="195"/>
        <v>57.882828174555016</v>
      </c>
      <c r="U566" s="677">
        <f t="shared" ca="1" si="195"/>
        <v>62.513454428519417</v>
      </c>
      <c r="V566" s="677">
        <f t="shared" ca="1" si="195"/>
        <v>67.514530782800961</v>
      </c>
      <c r="W566" s="677">
        <f t="shared" ca="1" si="195"/>
        <v>72.915693245425047</v>
      </c>
    </row>
    <row r="567" spans="1:23" s="58" customFormat="1" outlineLevel="1">
      <c r="A567" s="52"/>
      <c r="C567" s="1099" t="s">
        <v>165</v>
      </c>
      <c r="D567" s="65"/>
      <c r="E567" s="65"/>
      <c r="F567" s="65"/>
      <c r="G567" s="65"/>
      <c r="I567" s="3"/>
      <c r="J567" s="3"/>
      <c r="M567" s="306"/>
      <c r="N567" s="314">
        <f ca="1">-MIN(SUM(N$565:N$566),PRODUCT(N$508,_xlfn.XLOOKUP($C$563,$C$512:$C$517,N$512:N$517,0)))</f>
        <v>0</v>
      </c>
      <c r="O567" s="314">
        <f t="shared" ref="O567:W567" ca="1" si="196">-MIN(SUM(O$565:O$566),PRODUCT(O$508,_xlfn.XLOOKUP($C$563,$C$512:$C$517,O$512:O$517,0)))</f>
        <v>0</v>
      </c>
      <c r="P567" s="314">
        <f t="shared" ca="1" si="196"/>
        <v>0</v>
      </c>
      <c r="Q567" s="314">
        <f t="shared" ca="1" si="196"/>
        <v>0</v>
      </c>
      <c r="R567" s="314">
        <f t="shared" ca="1" si="196"/>
        <v>0</v>
      </c>
      <c r="S567" s="314">
        <f t="shared" ca="1" si="196"/>
        <v>0</v>
      </c>
      <c r="T567" s="314">
        <f t="shared" ca="1" si="196"/>
        <v>0</v>
      </c>
      <c r="U567" s="314">
        <f t="shared" ca="1" si="196"/>
        <v>0</v>
      </c>
      <c r="V567" s="314">
        <f t="shared" ca="1" si="196"/>
        <v>0</v>
      </c>
      <c r="W567" s="314">
        <f t="shared" ca="1" si="196"/>
        <v>0</v>
      </c>
    </row>
    <row r="568" spans="1:23" s="58" customFormat="1" outlineLevel="1">
      <c r="A568" s="52"/>
      <c r="C568" s="1024" t="s">
        <v>106</v>
      </c>
      <c r="D568" s="70"/>
      <c r="E568" s="70"/>
      <c r="F568" s="65"/>
      <c r="G568" s="65"/>
      <c r="I568" s="3"/>
      <c r="J568" s="3"/>
      <c r="M568" s="315">
        <f ca="1">_xlfn.XLOOKUP($C$563,$C$23:$C$30,$E$23:$E$30,0)</f>
        <v>476.78737718331308</v>
      </c>
      <c r="N568" s="319">
        <f t="shared" ref="N568:W568" ca="1" si="197">SUM(N565:N567)</f>
        <v>492.42600315492575</v>
      </c>
      <c r="O568" s="319">
        <f t="shared" ca="1" si="197"/>
        <v>531.82008340731977</v>
      </c>
      <c r="P568" s="319">
        <f t="shared" ca="1" si="197"/>
        <v>574.36569007990533</v>
      </c>
      <c r="Q568" s="319">
        <f t="shared" ca="1" si="197"/>
        <v>620.31494528629776</v>
      </c>
      <c r="R568" s="319">
        <f t="shared" ca="1" si="197"/>
        <v>669.94014090920155</v>
      </c>
      <c r="S568" s="319">
        <f t="shared" ca="1" si="197"/>
        <v>723.5353521819377</v>
      </c>
      <c r="T568" s="319">
        <f t="shared" ca="1" si="197"/>
        <v>781.41818035649271</v>
      </c>
      <c r="U568" s="319">
        <f t="shared" ca="1" si="197"/>
        <v>843.93163478501208</v>
      </c>
      <c r="V568" s="319">
        <f t="shared" ca="1" si="197"/>
        <v>911.44616556781307</v>
      </c>
      <c r="W568" s="319">
        <f t="shared" ca="1" si="197"/>
        <v>984.36185881323809</v>
      </c>
    </row>
    <row r="569" spans="1:23" s="58" customFormat="1" outlineLevel="1">
      <c r="A569" s="52"/>
      <c r="C569" s="292"/>
      <c r="D569" s="65"/>
      <c r="E569" s="65"/>
      <c r="F569" s="207"/>
      <c r="G569" s="207"/>
      <c r="H569" s="3"/>
      <c r="I569" s="3"/>
      <c r="M569" s="320"/>
      <c r="N569" s="321"/>
      <c r="O569" s="321"/>
      <c r="P569" s="321"/>
      <c r="Q569" s="321"/>
      <c r="R569" s="321"/>
      <c r="S569" s="321"/>
      <c r="T569" s="321"/>
      <c r="U569" s="321"/>
      <c r="V569" s="321"/>
      <c r="W569" s="321"/>
    </row>
    <row r="570" spans="1:23" s="58" customFormat="1" ht="5.15" customHeight="1" outlineLevel="1" thickBot="1">
      <c r="A570" s="52"/>
      <c r="C570" s="219"/>
      <c r="F570" s="3"/>
      <c r="G570" s="3"/>
      <c r="H570" s="3"/>
      <c r="I570" s="3"/>
      <c r="M570" s="320"/>
      <c r="N570" s="321"/>
      <c r="O570" s="321"/>
      <c r="P570" s="321"/>
      <c r="Q570" s="321"/>
      <c r="R570" s="321"/>
      <c r="S570" s="321"/>
      <c r="T570" s="321"/>
      <c r="U570" s="321"/>
      <c r="V570" s="321"/>
      <c r="W570" s="321"/>
    </row>
    <row r="571" spans="1:23" s="58" customFormat="1" ht="4" customHeight="1" outlineLevel="1">
      <c r="A571" s="52"/>
      <c r="C571" s="248"/>
      <c r="D571" s="246"/>
      <c r="E571" s="246"/>
      <c r="F571" s="249"/>
      <c r="G571" s="249"/>
      <c r="H571" s="249"/>
      <c r="I571" s="249"/>
      <c r="J571" s="246"/>
      <c r="K571" s="246"/>
      <c r="L571" s="246"/>
      <c r="M571" s="322"/>
      <c r="N571" s="323"/>
      <c r="O571" s="323"/>
      <c r="P571" s="323"/>
      <c r="Q571" s="323"/>
      <c r="R571" s="323"/>
      <c r="S571" s="323"/>
      <c r="T571" s="323"/>
      <c r="U571" s="323"/>
      <c r="V571" s="323"/>
      <c r="W571" s="323"/>
    </row>
    <row r="572" spans="1:23" s="150" customFormat="1" outlineLevel="1">
      <c r="C572" s="108" t="s">
        <v>27</v>
      </c>
      <c r="M572" s="318">
        <f t="shared" ref="M572:W572" ca="1" si="198">M$484</f>
        <v>0</v>
      </c>
      <c r="N572" s="318">
        <f t="shared" ca="1" si="198"/>
        <v>0</v>
      </c>
      <c r="O572" s="318">
        <f t="shared" ca="1" si="198"/>
        <v>0</v>
      </c>
      <c r="P572" s="318">
        <f t="shared" ca="1" si="198"/>
        <v>0</v>
      </c>
      <c r="Q572" s="318">
        <f t="shared" ca="1" si="198"/>
        <v>0</v>
      </c>
      <c r="R572" s="318">
        <f t="shared" ca="1" si="198"/>
        <v>112.17908868360468</v>
      </c>
      <c r="S572" s="318">
        <f t="shared" ca="1" si="198"/>
        <v>78.561765497566256</v>
      </c>
      <c r="T572" s="318">
        <f t="shared" ca="1" si="198"/>
        <v>0</v>
      </c>
      <c r="U572" s="318">
        <f t="shared" ca="1" si="198"/>
        <v>0</v>
      </c>
      <c r="V572" s="318">
        <f t="shared" ca="1" si="198"/>
        <v>0</v>
      </c>
      <c r="W572" s="318">
        <f t="shared" ca="1" si="198"/>
        <v>0</v>
      </c>
    </row>
    <row r="573" spans="1:23" s="3" customFormat="1" outlineLevel="1">
      <c r="A573" s="150"/>
      <c r="C573" s="381" t="s">
        <v>140</v>
      </c>
      <c r="D573" s="382"/>
      <c r="E573" s="382"/>
      <c r="F573" s="382"/>
      <c r="G573" s="382"/>
      <c r="H573" s="382"/>
      <c r="I573" s="382"/>
      <c r="J573" s="382"/>
      <c r="K573" s="382"/>
      <c r="L573" s="382"/>
      <c r="M573" s="383">
        <f t="shared" ref="M573" ca="1" si="199">M$530</f>
        <v>552.89099047522086</v>
      </c>
      <c r="N573" s="383">
        <f t="shared" ref="N573:W573" ca="1" si="200">N$530</f>
        <v>530.20000000000005</v>
      </c>
      <c r="O573" s="383">
        <f t="shared" ca="1" si="200"/>
        <v>474.9</v>
      </c>
      <c r="P573" s="383">
        <f t="shared" ca="1" si="200"/>
        <v>395.9</v>
      </c>
      <c r="Q573" s="383">
        <f t="shared" ca="1" si="200"/>
        <v>316.89999999999998</v>
      </c>
      <c r="R573" s="383">
        <f t="shared" ca="1" si="200"/>
        <v>237.9</v>
      </c>
      <c r="S573" s="383">
        <f t="shared" ca="1" si="200"/>
        <v>0</v>
      </c>
      <c r="T573" s="383">
        <f t="shared" ca="1" si="200"/>
        <v>0</v>
      </c>
      <c r="U573" s="383">
        <f t="shared" ca="1" si="200"/>
        <v>0</v>
      </c>
      <c r="V573" s="383">
        <f t="shared" ca="1" si="200"/>
        <v>0</v>
      </c>
      <c r="W573" s="383">
        <f t="shared" ca="1" si="200"/>
        <v>0</v>
      </c>
    </row>
    <row r="574" spans="1:23" s="3" customFormat="1" outlineLevel="1">
      <c r="A574" s="150"/>
      <c r="C574" s="108" t="s">
        <v>247</v>
      </c>
      <c r="D574" s="150"/>
      <c r="E574" s="150"/>
      <c r="F574" s="150"/>
      <c r="G574" s="150"/>
      <c r="H574" s="150"/>
      <c r="I574" s="150"/>
      <c r="J574" s="150"/>
      <c r="K574" s="150"/>
      <c r="L574" s="150"/>
      <c r="M574" s="318">
        <f t="shared" ref="M574" si="201">M$538</f>
        <v>0</v>
      </c>
      <c r="N574" s="318">
        <f t="shared" ref="N574:W574" ca="1" si="202">N$538</f>
        <v>0</v>
      </c>
      <c r="O574" s="318">
        <f t="shared" ca="1" si="202"/>
        <v>0</v>
      </c>
      <c r="P574" s="318">
        <f t="shared" ca="1" si="202"/>
        <v>0</v>
      </c>
      <c r="Q574" s="318">
        <f t="shared" ca="1" si="202"/>
        <v>0</v>
      </c>
      <c r="R574" s="318">
        <f t="shared" ca="1" si="202"/>
        <v>0</v>
      </c>
      <c r="S574" s="318">
        <f t="shared" ca="1" si="202"/>
        <v>188.28685639377738</v>
      </c>
      <c r="T574" s="318">
        <f t="shared" ca="1" si="202"/>
        <v>147.23097008138498</v>
      </c>
      <c r="U574" s="318">
        <f t="shared" ca="1" si="202"/>
        <v>106.17508376899258</v>
      </c>
      <c r="V574" s="318">
        <f t="shared" ca="1" si="202"/>
        <v>65.119197456600176</v>
      </c>
      <c r="W574" s="318">
        <f t="shared" ca="1" si="202"/>
        <v>24.063311144207773</v>
      </c>
    </row>
    <row r="575" spans="1:23" s="3" customFormat="1" outlineLevel="1">
      <c r="A575" s="150"/>
      <c r="C575" s="381" t="s">
        <v>139</v>
      </c>
      <c r="D575" s="382"/>
      <c r="E575" s="382"/>
      <c r="F575" s="382"/>
      <c r="G575" s="382"/>
      <c r="H575" s="382"/>
      <c r="I575" s="382"/>
      <c r="J575" s="382"/>
      <c r="K575" s="382"/>
      <c r="L575" s="382"/>
      <c r="M575" s="383">
        <f t="shared" ref="M575:W575" ca="1" si="203">M$546</f>
        <v>850</v>
      </c>
      <c r="N575" s="383">
        <f t="shared" ca="1" si="203"/>
        <v>850</v>
      </c>
      <c r="O575" s="383">
        <f t="shared" ca="1" si="203"/>
        <v>830</v>
      </c>
      <c r="P575" s="383">
        <f t="shared" ca="1" si="203"/>
        <v>806</v>
      </c>
      <c r="Q575" s="383">
        <f t="shared" ca="1" si="203"/>
        <v>781</v>
      </c>
      <c r="R575" s="383">
        <f t="shared" ca="1" si="203"/>
        <v>754</v>
      </c>
      <c r="S575" s="383">
        <f t="shared" ca="1" si="203"/>
        <v>726</v>
      </c>
      <c r="T575" s="383">
        <f t="shared" ca="1" si="203"/>
        <v>696</v>
      </c>
      <c r="U575" s="383">
        <f t="shared" ca="1" si="203"/>
        <v>664</v>
      </c>
      <c r="V575" s="383">
        <f t="shared" ca="1" si="203"/>
        <v>630</v>
      </c>
      <c r="W575" s="383">
        <f t="shared" ca="1" si="203"/>
        <v>594</v>
      </c>
    </row>
    <row r="576" spans="1:23" s="3" customFormat="1" outlineLevel="1">
      <c r="A576" s="150"/>
      <c r="C576" s="108" t="s">
        <v>90</v>
      </c>
      <c r="D576" s="150"/>
      <c r="E576" s="150"/>
      <c r="F576" s="150"/>
      <c r="G576" s="150"/>
      <c r="H576" s="150"/>
      <c r="I576" s="150"/>
      <c r="J576" s="150"/>
      <c r="K576" s="150"/>
      <c r="L576" s="150"/>
      <c r="M576" s="318">
        <f t="shared" ref="M576" ca="1" si="204">M$554</f>
        <v>162.61499719859438</v>
      </c>
      <c r="N576" s="318">
        <f t="shared" ref="N576:W576" ca="1" si="205">N$554</f>
        <v>163</v>
      </c>
      <c r="O576" s="318">
        <f t="shared" ca="1" si="205"/>
        <v>155</v>
      </c>
      <c r="P576" s="318">
        <f t="shared" ca="1" si="205"/>
        <v>135</v>
      </c>
      <c r="Q576" s="318">
        <f t="shared" ca="1" si="205"/>
        <v>114</v>
      </c>
      <c r="R576" s="318">
        <f t="shared" ca="1" si="205"/>
        <v>92</v>
      </c>
      <c r="S576" s="318">
        <f t="shared" ca="1" si="205"/>
        <v>0</v>
      </c>
      <c r="T576" s="318">
        <f t="shared" ca="1" si="205"/>
        <v>0</v>
      </c>
      <c r="U576" s="318">
        <f t="shared" ca="1" si="205"/>
        <v>0</v>
      </c>
      <c r="V576" s="318">
        <f t="shared" ca="1" si="205"/>
        <v>0</v>
      </c>
      <c r="W576" s="318">
        <f t="shared" ca="1" si="205"/>
        <v>0</v>
      </c>
    </row>
    <row r="577" spans="1:23" s="3" customFormat="1" outlineLevel="1">
      <c r="A577" s="150"/>
      <c r="C577" s="384" t="str">
        <f>$C$27</f>
        <v>Preferred Equity - A</v>
      </c>
      <c r="D577" s="382"/>
      <c r="E577" s="382"/>
      <c r="F577" s="382"/>
      <c r="G577" s="382"/>
      <c r="H577" s="382"/>
      <c r="I577" s="382"/>
      <c r="J577" s="382"/>
      <c r="K577" s="382"/>
      <c r="L577" s="382"/>
      <c r="M577" s="383">
        <f t="shared" ref="M577:W577" ca="1" si="206">M$561</f>
        <v>150</v>
      </c>
      <c r="N577" s="383">
        <f t="shared" ca="1" si="206"/>
        <v>154.91999999999999</v>
      </c>
      <c r="O577" s="383">
        <f t="shared" ca="1" si="206"/>
        <v>167.31359999999998</v>
      </c>
      <c r="P577" s="383">
        <f t="shared" ca="1" si="206"/>
        <v>180.69868799999998</v>
      </c>
      <c r="Q577" s="383">
        <f t="shared" ca="1" si="206"/>
        <v>195.15458303999998</v>
      </c>
      <c r="R577" s="383">
        <f t="shared" ca="1" si="206"/>
        <v>210.76694968319998</v>
      </c>
      <c r="S577" s="383">
        <f t="shared" ca="1" si="206"/>
        <v>227.62830565785598</v>
      </c>
      <c r="T577" s="383">
        <f t="shared" ca="1" si="206"/>
        <v>245.83857011048445</v>
      </c>
      <c r="U577" s="383">
        <f t="shared" ca="1" si="206"/>
        <v>265.50565571932322</v>
      </c>
      <c r="V577" s="383">
        <f t="shared" ca="1" si="206"/>
        <v>286.74610817686909</v>
      </c>
      <c r="W577" s="383">
        <f t="shared" ca="1" si="206"/>
        <v>309.68579683101859</v>
      </c>
    </row>
    <row r="578" spans="1:23" s="3" customFormat="1" outlineLevel="1">
      <c r="A578" s="150"/>
      <c r="C578" s="94" t="str">
        <f>$C$28</f>
        <v>Preferred Equity - B</v>
      </c>
      <c r="D578" s="150"/>
      <c r="E578" s="150"/>
      <c r="F578" s="150"/>
      <c r="G578" s="150"/>
      <c r="H578" s="150"/>
      <c r="I578" s="150"/>
      <c r="J578" s="150"/>
      <c r="K578" s="150"/>
      <c r="L578" s="150"/>
      <c r="M578" s="318">
        <f t="shared" ref="M578:W578" ca="1" si="207">M$568</f>
        <v>476.78737718331308</v>
      </c>
      <c r="N578" s="318">
        <f t="shared" ca="1" si="207"/>
        <v>492.42600315492575</v>
      </c>
      <c r="O578" s="318">
        <f t="shared" ca="1" si="207"/>
        <v>531.82008340731977</v>
      </c>
      <c r="P578" s="318">
        <f t="shared" ca="1" si="207"/>
        <v>574.36569007990533</v>
      </c>
      <c r="Q578" s="318">
        <f t="shared" ca="1" si="207"/>
        <v>620.31494528629776</v>
      </c>
      <c r="R578" s="318">
        <f t="shared" ca="1" si="207"/>
        <v>669.94014090920155</v>
      </c>
      <c r="S578" s="318">
        <f t="shared" ca="1" si="207"/>
        <v>723.5353521819377</v>
      </c>
      <c r="T578" s="318">
        <f t="shared" ca="1" si="207"/>
        <v>781.41818035649271</v>
      </c>
      <c r="U578" s="318">
        <f t="shared" ca="1" si="207"/>
        <v>843.93163478501208</v>
      </c>
      <c r="V578" s="318">
        <f t="shared" ca="1" si="207"/>
        <v>911.44616556781307</v>
      </c>
      <c r="W578" s="318">
        <f t="shared" ca="1" si="207"/>
        <v>984.36185881323809</v>
      </c>
    </row>
    <row r="579" spans="1:23" s="3" customFormat="1" ht="3.65" customHeight="1" outlineLevel="1">
      <c r="A579" s="150"/>
      <c r="C579" s="94"/>
      <c r="D579" s="150"/>
      <c r="E579" s="150"/>
      <c r="F579" s="150"/>
      <c r="G579" s="150"/>
      <c r="H579" s="150"/>
      <c r="I579" s="150"/>
      <c r="J579" s="150"/>
      <c r="K579" s="150"/>
      <c r="L579" s="150"/>
      <c r="M579" s="230"/>
      <c r="N579" s="230"/>
      <c r="O579" s="230"/>
      <c r="P579" s="230"/>
      <c r="Q579" s="230"/>
      <c r="R579" s="230"/>
      <c r="S579" s="230"/>
      <c r="T579" s="230"/>
      <c r="U579" s="230"/>
      <c r="V579" s="230"/>
      <c r="W579" s="230"/>
    </row>
    <row r="580" spans="1:23" s="3" customFormat="1" outlineLevel="1">
      <c r="A580" s="150"/>
      <c r="C580" s="108"/>
      <c r="D580" s="150"/>
      <c r="E580" s="150"/>
      <c r="F580" s="150"/>
      <c r="G580" s="150"/>
      <c r="H580" s="150"/>
      <c r="I580" s="150"/>
      <c r="J580" s="150"/>
      <c r="K580" s="150"/>
      <c r="L580" s="150"/>
      <c r="M580" s="230"/>
      <c r="N580" s="230"/>
      <c r="O580" s="230"/>
      <c r="P580" s="230"/>
      <c r="Q580" s="230"/>
      <c r="R580" s="230"/>
      <c r="S580" s="230"/>
      <c r="T580" s="230"/>
      <c r="U580" s="230"/>
      <c r="V580" s="230"/>
      <c r="W580" s="230"/>
    </row>
    <row r="581" spans="1:23" ht="11.5" customHeight="1">
      <c r="B581" s="58"/>
      <c r="C581" s="73"/>
      <c r="D581" s="58"/>
      <c r="E581" s="58"/>
      <c r="H581" s="58"/>
      <c r="I581" s="58"/>
      <c r="J581" s="58"/>
      <c r="K581" s="58"/>
      <c r="M581" s="58"/>
      <c r="N581" s="58"/>
      <c r="O581" s="58"/>
      <c r="P581" s="58"/>
      <c r="Q581" s="58"/>
      <c r="R581" s="58"/>
      <c r="S581" s="58"/>
    </row>
    <row r="582" spans="1:23" s="58" customFormat="1">
      <c r="A582" s="52" t="s">
        <v>63</v>
      </c>
      <c r="C582" s="518" t="s">
        <v>230</v>
      </c>
      <c r="D582" s="247"/>
      <c r="E582" s="247"/>
      <c r="F582" s="247"/>
      <c r="G582" s="247"/>
      <c r="H582" s="247"/>
      <c r="I582" s="247"/>
      <c r="J582" s="247"/>
      <c r="K582" s="247"/>
      <c r="L582" s="247"/>
      <c r="M582" s="247"/>
      <c r="N582" s="247"/>
      <c r="O582" s="247"/>
      <c r="P582" s="247"/>
      <c r="Q582" s="247"/>
      <c r="R582" s="247"/>
      <c r="S582" s="247"/>
      <c r="T582" s="247"/>
      <c r="U582" s="247"/>
      <c r="V582" s="247"/>
      <c r="W582" s="247"/>
    </row>
    <row r="583" spans="1:23" customFormat="1" ht="7.5" customHeight="1" outlineLevel="1">
      <c r="A583" s="14"/>
    </row>
    <row r="584" spans="1:23" outlineLevel="1">
      <c r="A584" s="58"/>
      <c r="C584" s="391" t="s">
        <v>235</v>
      </c>
      <c r="D584" s="389"/>
      <c r="E584" s="389"/>
      <c r="F584" s="389"/>
      <c r="G584" s="389"/>
      <c r="H584" s="389"/>
      <c r="I584" s="389"/>
      <c r="J584" s="389"/>
      <c r="K584" s="389"/>
      <c r="L584" s="389"/>
      <c r="M584" s="389"/>
      <c r="N584" s="389"/>
      <c r="O584" s="389"/>
      <c r="P584" s="389"/>
      <c r="Q584" s="389"/>
      <c r="R584" s="389"/>
      <c r="S584" s="389"/>
      <c r="T584" s="389"/>
      <c r="U584" s="389"/>
      <c r="V584" s="389"/>
      <c r="W584" s="392"/>
    </row>
    <row r="585" spans="1:23" customFormat="1" ht="4.5" customHeight="1" outlineLevel="1">
      <c r="A585" s="14"/>
    </row>
    <row r="586" spans="1:23" s="517" customFormat="1" ht="16" outlineLevel="1">
      <c r="A586" s="14"/>
      <c r="C586" s="241"/>
      <c r="D586" s="58"/>
      <c r="E586" s="58"/>
      <c r="F586" s="58"/>
      <c r="G586" s="58"/>
      <c r="H586" s="58"/>
      <c r="I586" s="58"/>
      <c r="J586" s="58"/>
      <c r="K586" s="58"/>
      <c r="L586" s="58"/>
      <c r="M586" s="36"/>
      <c r="N586" s="743" t="str">
        <f>$N$124</f>
        <v>4 Months</v>
      </c>
      <c r="O586" s="740" t="str">
        <f>"Fiscal Years Ending "&amp;TEXT($Q$16,"mmmm dd")</f>
        <v>Fiscal Years Ending December 31</v>
      </c>
      <c r="P586" s="739"/>
      <c r="Q586" s="739"/>
      <c r="R586" s="739"/>
      <c r="S586" s="739"/>
      <c r="T586" s="739"/>
      <c r="U586" s="739"/>
      <c r="V586" s="739"/>
      <c r="W586" s="739"/>
    </row>
    <row r="587" spans="1:23" s="517" customFormat="1" outlineLevel="1">
      <c r="A587" s="14"/>
      <c r="C587" s="58"/>
      <c r="D587" s="58"/>
      <c r="E587" s="58"/>
      <c r="F587" s="58"/>
      <c r="G587" s="58"/>
      <c r="H587" s="58"/>
      <c r="I587" s="58"/>
      <c r="J587" s="58"/>
      <c r="K587" s="58"/>
      <c r="L587" s="57"/>
      <c r="M587" s="80"/>
      <c r="N587" s="785">
        <f>$N$125</f>
        <v>1</v>
      </c>
      <c r="O587" s="746">
        <f>O$125</f>
        <v>2</v>
      </c>
      <c r="P587" s="746">
        <f t="shared" ref="P587:W587" si="208">P$125</f>
        <v>3</v>
      </c>
      <c r="Q587" s="746">
        <f t="shared" si="208"/>
        <v>4</v>
      </c>
      <c r="R587" s="746">
        <f t="shared" si="208"/>
        <v>5</v>
      </c>
      <c r="S587" s="746">
        <f t="shared" si="208"/>
        <v>6</v>
      </c>
      <c r="T587" s="746">
        <f t="shared" si="208"/>
        <v>7</v>
      </c>
      <c r="U587" s="746">
        <f t="shared" si="208"/>
        <v>8</v>
      </c>
      <c r="V587" s="746">
        <f t="shared" si="208"/>
        <v>9</v>
      </c>
      <c r="W587" s="746">
        <f t="shared" si="208"/>
        <v>10</v>
      </c>
    </row>
    <row r="588" spans="1:23" s="517" customFormat="1" ht="15" outlineLevel="1" thickBot="1">
      <c r="A588" s="14"/>
      <c r="C588" s="748"/>
      <c r="D588" s="748"/>
      <c r="E588" s="748"/>
      <c r="F588" s="748"/>
      <c r="G588" s="748"/>
      <c r="H588" s="748"/>
      <c r="I588" s="748"/>
      <c r="J588" s="748"/>
      <c r="K588" s="748"/>
      <c r="L588" s="748"/>
      <c r="M588" s="748"/>
      <c r="N588" s="749">
        <f>$N$126</f>
        <v>44926</v>
      </c>
      <c r="O588" s="750">
        <f>O$126</f>
        <v>45291</v>
      </c>
      <c r="P588" s="750">
        <f t="shared" ref="P588:W588" si="209">P$126</f>
        <v>45657</v>
      </c>
      <c r="Q588" s="750">
        <f t="shared" si="209"/>
        <v>46022</v>
      </c>
      <c r="R588" s="750">
        <f t="shared" si="209"/>
        <v>46387</v>
      </c>
      <c r="S588" s="750">
        <f t="shared" si="209"/>
        <v>46752</v>
      </c>
      <c r="T588" s="750">
        <f t="shared" si="209"/>
        <v>47118</v>
      </c>
      <c r="U588" s="750">
        <f t="shared" si="209"/>
        <v>47483</v>
      </c>
      <c r="V588" s="750">
        <f t="shared" si="209"/>
        <v>47848</v>
      </c>
      <c r="W588" s="750">
        <f t="shared" si="209"/>
        <v>48213</v>
      </c>
    </row>
    <row r="589" spans="1:23" ht="7.5" customHeight="1" outlineLevel="1">
      <c r="A589" s="58"/>
      <c r="I589" s="3"/>
      <c r="J589" s="3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</row>
    <row r="590" spans="1:23" s="54" customFormat="1" outlineLevel="1">
      <c r="A590" s="36"/>
      <c r="B590" s="18"/>
      <c r="C590" s="219" t="str">
        <f>$N$19</f>
        <v>WSJ Prime Rate</v>
      </c>
      <c r="D590" s="98"/>
      <c r="E590" s="18"/>
      <c r="I590" s="3"/>
      <c r="J590" s="3"/>
      <c r="K590" s="756" t="s">
        <v>62</v>
      </c>
      <c r="L590" s="1581">
        <v>2.5000000000000001E-3</v>
      </c>
      <c r="M590" s="110"/>
      <c r="N590" s="385">
        <f>$Q$19</f>
        <v>0.04</v>
      </c>
      <c r="O590" s="103">
        <f t="shared" ref="O590:W590" si="210">SUM(N$590,$L$590)</f>
        <v>4.2500000000000003E-2</v>
      </c>
      <c r="P590" s="103">
        <f t="shared" si="210"/>
        <v>4.5000000000000005E-2</v>
      </c>
      <c r="Q590" s="103">
        <f t="shared" si="210"/>
        <v>4.7500000000000007E-2</v>
      </c>
      <c r="R590" s="103">
        <f t="shared" si="210"/>
        <v>5.000000000000001E-2</v>
      </c>
      <c r="S590" s="103">
        <f t="shared" si="210"/>
        <v>5.2500000000000012E-2</v>
      </c>
      <c r="T590" s="103">
        <f t="shared" si="210"/>
        <v>5.5000000000000014E-2</v>
      </c>
      <c r="U590" s="103">
        <f t="shared" si="210"/>
        <v>5.7500000000000016E-2</v>
      </c>
      <c r="V590" s="103">
        <f t="shared" si="210"/>
        <v>6.0000000000000019E-2</v>
      </c>
      <c r="W590" s="103">
        <f t="shared" si="210"/>
        <v>6.2500000000000014E-2</v>
      </c>
    </row>
    <row r="591" spans="1:23" s="54" customFormat="1" ht="7" customHeight="1" outlineLevel="1">
      <c r="A591" s="36"/>
      <c r="B591" s="18"/>
      <c r="C591" s="409"/>
      <c r="D591" s="695"/>
      <c r="E591" s="18"/>
      <c r="I591" s="3"/>
      <c r="J591" s="3"/>
      <c r="L591" s="145"/>
      <c r="N591" s="693"/>
      <c r="O591" s="694"/>
      <c r="P591" s="694"/>
      <c r="Q591" s="694"/>
      <c r="R591" s="694"/>
      <c r="S591" s="694"/>
      <c r="T591" s="694"/>
      <c r="U591" s="694"/>
      <c r="V591" s="694"/>
      <c r="W591" s="694"/>
    </row>
    <row r="592" spans="1:23" outlineLevel="1">
      <c r="B592" s="58"/>
      <c r="C592" s="94" t="s">
        <v>234</v>
      </c>
      <c r="D592" s="65"/>
      <c r="E592" s="58"/>
      <c r="H592" s="58"/>
      <c r="I592" s="3"/>
      <c r="J592" s="3"/>
      <c r="K592" s="58"/>
      <c r="N592" s="696">
        <f>$Q$27</f>
        <v>0</v>
      </c>
      <c r="O592" s="696">
        <f>$N$592</f>
        <v>0</v>
      </c>
      <c r="P592" s="696">
        <f t="shared" ref="P592:W592" si="211">$N$592</f>
        <v>0</v>
      </c>
      <c r="Q592" s="696">
        <f t="shared" si="211"/>
        <v>0</v>
      </c>
      <c r="R592" s="696">
        <f t="shared" si="211"/>
        <v>0</v>
      </c>
      <c r="S592" s="696">
        <f t="shared" si="211"/>
        <v>0</v>
      </c>
      <c r="T592" s="696">
        <f t="shared" si="211"/>
        <v>0</v>
      </c>
      <c r="U592" s="696">
        <f t="shared" si="211"/>
        <v>0</v>
      </c>
      <c r="V592" s="696">
        <f t="shared" si="211"/>
        <v>0</v>
      </c>
      <c r="W592" s="696">
        <f t="shared" si="211"/>
        <v>0</v>
      </c>
    </row>
    <row r="593" spans="1:23" ht="7" customHeight="1" outlineLevel="1">
      <c r="B593" s="58"/>
      <c r="C593" s="92"/>
      <c r="D593" s="65"/>
      <c r="E593" s="58"/>
      <c r="H593" s="58"/>
      <c r="I593" s="3"/>
      <c r="J593" s="3"/>
      <c r="K593" s="58"/>
      <c r="O593" s="103"/>
      <c r="P593" s="103"/>
      <c r="Q593" s="103"/>
      <c r="R593" s="103"/>
      <c r="S593" s="103"/>
    </row>
    <row r="594" spans="1:23" outlineLevel="1">
      <c r="B594" s="58"/>
      <c r="C594" s="108" t="s">
        <v>27</v>
      </c>
      <c r="D594" s="65"/>
      <c r="E594" s="58"/>
      <c r="F594" s="58"/>
      <c r="G594" s="58"/>
      <c r="H594" s="58"/>
      <c r="I594" s="150"/>
      <c r="J594" s="150"/>
      <c r="K594" s="58"/>
      <c r="L594" s="58"/>
      <c r="M594" s="58"/>
      <c r="N594" s="697">
        <f t="shared" ref="N594:W594" si="212">$N56+MAX((N$590+$M56),$L$56)*($N56=0)</f>
        <v>4.4999999999999998E-2</v>
      </c>
      <c r="O594" s="697">
        <f t="shared" si="212"/>
        <v>4.7500000000000001E-2</v>
      </c>
      <c r="P594" s="697">
        <f t="shared" si="212"/>
        <v>0.05</v>
      </c>
      <c r="Q594" s="697">
        <f t="shared" si="212"/>
        <v>5.2500000000000005E-2</v>
      </c>
      <c r="R594" s="697">
        <f t="shared" si="212"/>
        <v>5.5000000000000007E-2</v>
      </c>
      <c r="S594" s="697">
        <f t="shared" si="212"/>
        <v>5.7500000000000009E-2</v>
      </c>
      <c r="T594" s="697">
        <f t="shared" si="212"/>
        <v>6.0000000000000012E-2</v>
      </c>
      <c r="U594" s="697">
        <f t="shared" si="212"/>
        <v>6.2500000000000014E-2</v>
      </c>
      <c r="V594" s="697">
        <f t="shared" si="212"/>
        <v>6.5000000000000016E-2</v>
      </c>
      <c r="W594" s="697">
        <f t="shared" si="212"/>
        <v>6.7500000000000018E-2</v>
      </c>
    </row>
    <row r="595" spans="1:23" outlineLevel="1">
      <c r="B595" s="58"/>
      <c r="C595" s="108" t="s">
        <v>140</v>
      </c>
      <c r="D595" s="65"/>
      <c r="E595" s="58"/>
      <c r="H595" s="58"/>
      <c r="I595" s="3"/>
      <c r="J595" s="3"/>
      <c r="K595" s="58"/>
      <c r="N595" s="696">
        <f t="shared" ref="N595:W595" si="213">$N57+MAX((N$590+$M57),$L57)*($N57=0)</f>
        <v>6.13E-2</v>
      </c>
      <c r="O595" s="696">
        <f t="shared" si="213"/>
        <v>6.13E-2</v>
      </c>
      <c r="P595" s="696">
        <f t="shared" si="213"/>
        <v>6.13E-2</v>
      </c>
      <c r="Q595" s="696">
        <f t="shared" si="213"/>
        <v>6.13E-2</v>
      </c>
      <c r="R595" s="696">
        <f t="shared" si="213"/>
        <v>6.13E-2</v>
      </c>
      <c r="S595" s="696">
        <f t="shared" si="213"/>
        <v>6.13E-2</v>
      </c>
      <c r="T595" s="696">
        <f t="shared" si="213"/>
        <v>6.13E-2</v>
      </c>
      <c r="U595" s="696">
        <f t="shared" si="213"/>
        <v>6.13E-2</v>
      </c>
      <c r="V595" s="696">
        <f t="shared" si="213"/>
        <v>6.13E-2</v>
      </c>
      <c r="W595" s="696">
        <f t="shared" si="213"/>
        <v>6.13E-2</v>
      </c>
    </row>
    <row r="596" spans="1:23" outlineLevel="1">
      <c r="B596" s="58"/>
      <c r="C596" s="108" t="s">
        <v>247</v>
      </c>
      <c r="D596" s="65"/>
      <c r="E596" s="58"/>
      <c r="H596" s="58"/>
      <c r="I596" s="3"/>
      <c r="J596" s="3"/>
      <c r="K596" s="58"/>
      <c r="N596" s="696">
        <f t="shared" ref="N596:W596" si="214">$N58+MAX((N$590+$M58),$L58)*($N58=0)</f>
        <v>0.08</v>
      </c>
      <c r="O596" s="696">
        <f t="shared" si="214"/>
        <v>0.08</v>
      </c>
      <c r="P596" s="696">
        <f t="shared" si="214"/>
        <v>0.08</v>
      </c>
      <c r="Q596" s="696">
        <f t="shared" si="214"/>
        <v>0.08</v>
      </c>
      <c r="R596" s="696">
        <f t="shared" si="214"/>
        <v>0.08</v>
      </c>
      <c r="S596" s="696">
        <f t="shared" si="214"/>
        <v>0.08</v>
      </c>
      <c r="T596" s="696">
        <f t="shared" si="214"/>
        <v>0.08</v>
      </c>
      <c r="U596" s="696">
        <f t="shared" si="214"/>
        <v>0.08</v>
      </c>
      <c r="V596" s="696">
        <f t="shared" si="214"/>
        <v>0.08</v>
      </c>
      <c r="W596" s="696">
        <f t="shared" si="214"/>
        <v>0.08</v>
      </c>
    </row>
    <row r="597" spans="1:23" outlineLevel="1">
      <c r="B597" s="58"/>
      <c r="C597" s="108" t="s">
        <v>139</v>
      </c>
      <c r="D597" s="65"/>
      <c r="E597" s="58"/>
      <c r="H597" s="58"/>
      <c r="I597" s="3"/>
      <c r="J597" s="3"/>
      <c r="K597" s="58"/>
      <c r="N597" s="696">
        <f t="shared" ref="N597:W597" si="215">$N59+MAX((N$590+$M59),$L59)*($N59=0)</f>
        <v>6.1100000000000002E-2</v>
      </c>
      <c r="O597" s="696">
        <f t="shared" si="215"/>
        <v>6.1100000000000002E-2</v>
      </c>
      <c r="P597" s="696">
        <f t="shared" si="215"/>
        <v>6.1100000000000002E-2</v>
      </c>
      <c r="Q597" s="696">
        <f t="shared" si="215"/>
        <v>6.1100000000000002E-2</v>
      </c>
      <c r="R597" s="696">
        <f t="shared" si="215"/>
        <v>6.1100000000000002E-2</v>
      </c>
      <c r="S597" s="696">
        <f t="shared" si="215"/>
        <v>6.1100000000000002E-2</v>
      </c>
      <c r="T597" s="696">
        <f t="shared" si="215"/>
        <v>6.1100000000000002E-2</v>
      </c>
      <c r="U597" s="696">
        <f t="shared" si="215"/>
        <v>6.1100000000000002E-2</v>
      </c>
      <c r="V597" s="696">
        <f t="shared" si="215"/>
        <v>6.1100000000000002E-2</v>
      </c>
      <c r="W597" s="696">
        <f t="shared" si="215"/>
        <v>6.1100000000000002E-2</v>
      </c>
    </row>
    <row r="598" spans="1:23" outlineLevel="1">
      <c r="B598" s="58"/>
      <c r="C598" s="108" t="s">
        <v>90</v>
      </c>
      <c r="D598" s="65"/>
      <c r="E598" s="58"/>
      <c r="H598" s="58"/>
      <c r="I598" s="3"/>
      <c r="J598" s="3"/>
      <c r="K598" s="58"/>
      <c r="N598" s="696">
        <f t="shared" ref="N598:W598" si="216">$N60+MAX((N$590+$M60),$L60)*($N60=0)</f>
        <v>0.06</v>
      </c>
      <c r="O598" s="696">
        <f t="shared" si="216"/>
        <v>0.06</v>
      </c>
      <c r="P598" s="696">
        <f t="shared" si="216"/>
        <v>0.06</v>
      </c>
      <c r="Q598" s="696">
        <f t="shared" si="216"/>
        <v>0.06</v>
      </c>
      <c r="R598" s="696">
        <f t="shared" si="216"/>
        <v>0.06</v>
      </c>
      <c r="S598" s="696">
        <f t="shared" si="216"/>
        <v>0.06</v>
      </c>
      <c r="T598" s="696">
        <f t="shared" si="216"/>
        <v>0.06</v>
      </c>
      <c r="U598" s="696">
        <f t="shared" si="216"/>
        <v>0.06</v>
      </c>
      <c r="V598" s="696">
        <f t="shared" si="216"/>
        <v>0.06</v>
      </c>
      <c r="W598" s="696">
        <f t="shared" si="216"/>
        <v>0.06</v>
      </c>
    </row>
    <row r="599" spans="1:23" outlineLevel="1">
      <c r="B599" s="58"/>
      <c r="C599" s="94" t="str">
        <f>$C$27</f>
        <v>Preferred Equity - A</v>
      </c>
      <c r="D599" s="65"/>
      <c r="E599" s="58"/>
      <c r="H599" s="58"/>
      <c r="I599" s="3"/>
      <c r="J599" s="3"/>
      <c r="K599" s="58"/>
      <c r="N599" s="696">
        <f t="shared" ref="N599:W599" si="217">PRODUCT((1-$O$61),$N$61)</f>
        <v>0</v>
      </c>
      <c r="O599" s="696">
        <f>PRODUCT((1-$O$61),$N$61)</f>
        <v>0</v>
      </c>
      <c r="P599" s="696">
        <f t="shared" si="217"/>
        <v>0</v>
      </c>
      <c r="Q599" s="696">
        <f t="shared" si="217"/>
        <v>0</v>
      </c>
      <c r="R599" s="696">
        <f t="shared" si="217"/>
        <v>0</v>
      </c>
      <c r="S599" s="696">
        <f t="shared" si="217"/>
        <v>0</v>
      </c>
      <c r="T599" s="696">
        <f t="shared" si="217"/>
        <v>0</v>
      </c>
      <c r="U599" s="696">
        <f t="shared" si="217"/>
        <v>0</v>
      </c>
      <c r="V599" s="696">
        <f t="shared" si="217"/>
        <v>0</v>
      </c>
      <c r="W599" s="696">
        <f t="shared" si="217"/>
        <v>0</v>
      </c>
    </row>
    <row r="600" spans="1:23" outlineLevel="1">
      <c r="B600" s="58"/>
      <c r="C600" s="94" t="str">
        <f>$C$28</f>
        <v>Preferred Equity - B</v>
      </c>
      <c r="D600" s="65"/>
      <c r="E600" s="58"/>
      <c r="H600" s="58"/>
      <c r="I600" s="3"/>
      <c r="J600" s="3"/>
      <c r="K600" s="58"/>
      <c r="N600" s="696">
        <f t="shared" ref="N600:W600" si="218">PRODUCT((1-$O$62),$N$62)</f>
        <v>0</v>
      </c>
      <c r="O600" s="696">
        <f>PRODUCT((1-$O$62),$N$62)</f>
        <v>0</v>
      </c>
      <c r="P600" s="696">
        <f t="shared" si="218"/>
        <v>0</v>
      </c>
      <c r="Q600" s="696">
        <f t="shared" si="218"/>
        <v>0</v>
      </c>
      <c r="R600" s="696">
        <f t="shared" si="218"/>
        <v>0</v>
      </c>
      <c r="S600" s="696">
        <f t="shared" si="218"/>
        <v>0</v>
      </c>
      <c r="T600" s="696">
        <f t="shared" si="218"/>
        <v>0</v>
      </c>
      <c r="U600" s="696">
        <f t="shared" si="218"/>
        <v>0</v>
      </c>
      <c r="V600" s="696">
        <f t="shared" si="218"/>
        <v>0</v>
      </c>
      <c r="W600" s="696">
        <f t="shared" si="218"/>
        <v>0</v>
      </c>
    </row>
    <row r="601" spans="1:23" ht="7.5" customHeight="1" outlineLevel="1">
      <c r="B601" s="58"/>
      <c r="C601" s="92"/>
      <c r="D601" s="65"/>
      <c r="E601" s="58"/>
      <c r="H601" s="58"/>
      <c r="I601" s="3"/>
      <c r="J601" s="3"/>
      <c r="K601" s="58"/>
      <c r="O601" s="103"/>
      <c r="P601" s="103"/>
      <c r="Q601" s="103"/>
      <c r="R601" s="103"/>
      <c r="S601" s="103"/>
    </row>
    <row r="602" spans="1:23" outlineLevel="1">
      <c r="B602" s="58"/>
      <c r="C602" s="391" t="s">
        <v>236</v>
      </c>
      <c r="D602" s="389"/>
      <c r="E602" s="389"/>
      <c r="F602" s="389"/>
      <c r="G602" s="389"/>
      <c r="H602" s="389"/>
      <c r="I602" s="389"/>
      <c r="J602" s="389"/>
      <c r="K602" s="389"/>
      <c r="L602" s="389"/>
      <c r="M602" s="389"/>
      <c r="N602" s="389"/>
      <c r="O602" s="389"/>
      <c r="P602" s="389"/>
      <c r="Q602" s="389"/>
      <c r="R602" s="389"/>
      <c r="S602" s="389"/>
      <c r="T602" s="389"/>
      <c r="U602" s="389"/>
      <c r="V602" s="389"/>
      <c r="W602" s="392"/>
    </row>
    <row r="603" spans="1:23" ht="7" customHeight="1" outlineLevel="1">
      <c r="B603" s="58"/>
      <c r="C603" s="92"/>
      <c r="D603" s="65"/>
      <c r="E603" s="58"/>
      <c r="H603" s="58"/>
      <c r="I603" s="3"/>
      <c r="J603" s="3"/>
      <c r="K603" s="58"/>
      <c r="O603" s="103"/>
      <c r="P603" s="103"/>
      <c r="Q603" s="103"/>
      <c r="R603" s="103"/>
      <c r="S603" s="103"/>
    </row>
    <row r="604" spans="1:23" s="517" customFormat="1" ht="16" outlineLevel="1">
      <c r="A604" s="14"/>
      <c r="C604" s="241" t="str">
        <f>units</f>
        <v>($ '000)</v>
      </c>
      <c r="D604" s="58"/>
      <c r="E604" s="58"/>
      <c r="F604" s="58"/>
      <c r="G604" s="58"/>
      <c r="H604" s="58"/>
      <c r="I604" s="58"/>
      <c r="J604" s="58"/>
      <c r="K604" s="58"/>
      <c r="L604" s="58"/>
      <c r="M604" s="36"/>
      <c r="N604" s="743" t="str">
        <f>$N$124</f>
        <v>4 Months</v>
      </c>
      <c r="O604" s="740" t="str">
        <f>"Fiscal Years Ending "&amp;TEXT($Q$16,"mmmm dd")</f>
        <v>Fiscal Years Ending December 31</v>
      </c>
      <c r="P604" s="739"/>
      <c r="Q604" s="739"/>
      <c r="R604" s="739"/>
      <c r="S604" s="739"/>
      <c r="T604" s="739"/>
      <c r="U604" s="739"/>
      <c r="V604" s="739"/>
      <c r="W604" s="739"/>
    </row>
    <row r="605" spans="1:23" s="517" customFormat="1" outlineLevel="1">
      <c r="A605" s="14"/>
      <c r="C605" s="58"/>
      <c r="D605" s="58"/>
      <c r="E605" s="58"/>
      <c r="F605" s="58"/>
      <c r="G605" s="58"/>
      <c r="H605" s="58"/>
      <c r="I605" s="58"/>
      <c r="J605" s="58"/>
      <c r="K605" s="58"/>
      <c r="L605" s="57"/>
      <c r="M605" s="80"/>
      <c r="N605" s="785">
        <f>$N$125</f>
        <v>1</v>
      </c>
      <c r="O605" s="746">
        <f>O$125</f>
        <v>2</v>
      </c>
      <c r="P605" s="746">
        <f t="shared" ref="P605:W605" si="219">P$125</f>
        <v>3</v>
      </c>
      <c r="Q605" s="746">
        <f t="shared" si="219"/>
        <v>4</v>
      </c>
      <c r="R605" s="746">
        <f t="shared" si="219"/>
        <v>5</v>
      </c>
      <c r="S605" s="746">
        <f t="shared" si="219"/>
        <v>6</v>
      </c>
      <c r="T605" s="746">
        <f t="shared" si="219"/>
        <v>7</v>
      </c>
      <c r="U605" s="746">
        <f t="shared" si="219"/>
        <v>8</v>
      </c>
      <c r="V605" s="746">
        <f t="shared" si="219"/>
        <v>9</v>
      </c>
      <c r="W605" s="746">
        <f t="shared" si="219"/>
        <v>10</v>
      </c>
    </row>
    <row r="606" spans="1:23" s="517" customFormat="1" ht="15" outlineLevel="1" thickBot="1">
      <c r="A606" s="14"/>
      <c r="C606" s="748"/>
      <c r="D606" s="748"/>
      <c r="E606" s="748"/>
      <c r="F606" s="748"/>
      <c r="G606" s="748"/>
      <c r="H606" s="748"/>
      <c r="I606" s="748"/>
      <c r="J606" s="748"/>
      <c r="K606" s="748"/>
      <c r="L606" s="748"/>
      <c r="M606" s="748"/>
      <c r="N606" s="749">
        <f>$N$126</f>
        <v>44926</v>
      </c>
      <c r="O606" s="750">
        <f>O$126</f>
        <v>45291</v>
      </c>
      <c r="P606" s="750">
        <f t="shared" ref="P606:W606" si="220">P$126</f>
        <v>45657</v>
      </c>
      <c r="Q606" s="750">
        <f t="shared" si="220"/>
        <v>46022</v>
      </c>
      <c r="R606" s="750">
        <f t="shared" si="220"/>
        <v>46387</v>
      </c>
      <c r="S606" s="750">
        <f t="shared" si="220"/>
        <v>46752</v>
      </c>
      <c r="T606" s="750">
        <f t="shared" si="220"/>
        <v>47118</v>
      </c>
      <c r="U606" s="750">
        <f t="shared" si="220"/>
        <v>47483</v>
      </c>
      <c r="V606" s="750">
        <f t="shared" si="220"/>
        <v>47848</v>
      </c>
      <c r="W606" s="750">
        <f t="shared" si="220"/>
        <v>48213</v>
      </c>
    </row>
    <row r="607" spans="1:23" ht="7.5" customHeight="1" outlineLevel="1">
      <c r="B607" s="58"/>
      <c r="C607" s="92"/>
      <c r="D607" s="65"/>
      <c r="E607" s="58"/>
      <c r="H607" s="58"/>
      <c r="I607" s="3"/>
      <c r="J607" s="3"/>
      <c r="K607" s="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</row>
    <row r="608" spans="1:23" outlineLevel="1">
      <c r="B608" s="58"/>
      <c r="C608" s="108" t="s">
        <v>233</v>
      </c>
      <c r="D608" s="65"/>
      <c r="E608" s="58"/>
      <c r="H608" s="58"/>
      <c r="I608" s="3"/>
      <c r="J608" s="3"/>
      <c r="K608" s="58"/>
      <c r="N608" s="298">
        <f t="shared" ref="N608:W608" ca="1" si="221">IF(circuit_breaker="off",PRODUCT(N$592,AVERAGE(M$486:N$486),N$122),0)</f>
        <v>0</v>
      </c>
      <c r="O608" s="298">
        <f t="shared" ca="1" si="221"/>
        <v>0</v>
      </c>
      <c r="P608" s="298">
        <f t="shared" ca="1" si="221"/>
        <v>0</v>
      </c>
      <c r="Q608" s="298">
        <f t="shared" ca="1" si="221"/>
        <v>0</v>
      </c>
      <c r="R608" s="298">
        <f t="shared" ca="1" si="221"/>
        <v>0</v>
      </c>
      <c r="S608" s="298">
        <f t="shared" ca="1" si="221"/>
        <v>0</v>
      </c>
      <c r="T608" s="298">
        <f t="shared" ca="1" si="221"/>
        <v>0</v>
      </c>
      <c r="U608" s="298">
        <f t="shared" ca="1" si="221"/>
        <v>0</v>
      </c>
      <c r="V608" s="298">
        <f t="shared" ca="1" si="221"/>
        <v>0</v>
      </c>
      <c r="W608" s="298">
        <f t="shared" ca="1" si="221"/>
        <v>0</v>
      </c>
    </row>
    <row r="609" spans="1:23" ht="6" customHeight="1" outlineLevel="1">
      <c r="B609" s="58"/>
      <c r="C609" s="108"/>
      <c r="D609" s="65"/>
      <c r="E609" s="58"/>
      <c r="H609" s="58"/>
      <c r="I609" s="3"/>
      <c r="J609" s="3"/>
      <c r="K609" s="58"/>
      <c r="N609" s="298"/>
      <c r="O609" s="298"/>
      <c r="P609" s="298"/>
      <c r="Q609" s="298"/>
      <c r="R609" s="298"/>
      <c r="S609" s="298"/>
      <c r="T609" s="298"/>
      <c r="U609" s="298"/>
      <c r="V609" s="298"/>
      <c r="W609" s="298"/>
    </row>
    <row r="610" spans="1:23" outlineLevel="1">
      <c r="B610" s="58"/>
      <c r="C610" s="108" t="s">
        <v>27</v>
      </c>
      <c r="D610" s="65"/>
      <c r="E610" s="65"/>
      <c r="G610" s="65"/>
      <c r="H610" s="65"/>
      <c r="I610" s="3"/>
      <c r="J610" s="3"/>
      <c r="K610" s="65"/>
      <c r="L610" s="65"/>
      <c r="M610" s="65"/>
      <c r="N610" s="298">
        <f t="shared" ref="N610:W610" ca="1" si="222">IF(circuit_breaker="off",PRODUCT(AVERAGE(N$482,N$484),N$594,N$122),0)</f>
        <v>0</v>
      </c>
      <c r="O610" s="298">
        <f t="shared" ca="1" si="222"/>
        <v>0</v>
      </c>
      <c r="P610" s="298">
        <f t="shared" ca="1" si="222"/>
        <v>0</v>
      </c>
      <c r="Q610" s="298">
        <f t="shared" ca="1" si="222"/>
        <v>0</v>
      </c>
      <c r="R610" s="298">
        <f t="shared" ca="1" si="222"/>
        <v>3.0849249387991291</v>
      </c>
      <c r="S610" s="298">
        <f t="shared" ca="1" si="222"/>
        <v>5.4837995577086653</v>
      </c>
      <c r="T610" s="298">
        <f t="shared" ca="1" si="222"/>
        <v>2.356852964927</v>
      </c>
      <c r="U610" s="298">
        <f t="shared" ca="1" si="222"/>
        <v>0</v>
      </c>
      <c r="V610" s="298">
        <f t="shared" ca="1" si="222"/>
        <v>0</v>
      </c>
      <c r="W610" s="298">
        <f t="shared" ca="1" si="222"/>
        <v>0</v>
      </c>
    </row>
    <row r="611" spans="1:23" outlineLevel="1">
      <c r="B611" s="58"/>
      <c r="C611" s="108" t="s">
        <v>140</v>
      </c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298">
        <f t="shared" ref="N611:W611" ca="1" si="223">IF(circuit_breaker="off",PRODUCT(AVERAGE(N$526,N$530),N$595,N$122),0)</f>
        <v>13.610662931806864</v>
      </c>
      <c r="O611" s="298">
        <f t="shared" ca="1" si="223"/>
        <v>30.806315000000001</v>
      </c>
      <c r="P611" s="298">
        <f t="shared" ca="1" si="223"/>
        <v>26.690020000000001</v>
      </c>
      <c r="Q611" s="298">
        <f t="shared" ca="1" si="223"/>
        <v>21.84732</v>
      </c>
      <c r="R611" s="298">
        <f t="shared" ca="1" si="223"/>
        <v>17.004619999999999</v>
      </c>
      <c r="S611" s="298">
        <f t="shared" ca="1" si="223"/>
        <v>7.2916350000000003</v>
      </c>
      <c r="T611" s="298">
        <f t="shared" ca="1" si="223"/>
        <v>0</v>
      </c>
      <c r="U611" s="298">
        <f t="shared" ca="1" si="223"/>
        <v>0</v>
      </c>
      <c r="V611" s="298">
        <f t="shared" ca="1" si="223"/>
        <v>0</v>
      </c>
      <c r="W611" s="298">
        <f t="shared" ca="1" si="223"/>
        <v>0</v>
      </c>
    </row>
    <row r="612" spans="1:23" outlineLevel="1">
      <c r="B612" s="58"/>
      <c r="C612" s="108" t="s">
        <v>247</v>
      </c>
      <c r="D612" s="65"/>
      <c r="E612" s="65"/>
      <c r="F612" s="65"/>
      <c r="G612" s="65"/>
      <c r="H612" s="65"/>
      <c r="I612" s="65"/>
      <c r="J612" s="65"/>
      <c r="K612" s="65"/>
      <c r="L612" s="65"/>
      <c r="M612" s="65"/>
      <c r="N612" s="298">
        <f t="shared" ref="N612:W612" ca="1" si="224">IF(circuit_breaker="off",PRODUCT(AVERAGE(N$534,N$538),N$596,N$122),0)</f>
        <v>0</v>
      </c>
      <c r="O612" s="298">
        <f t="shared" ca="1" si="224"/>
        <v>0</v>
      </c>
      <c r="P612" s="298">
        <f t="shared" ca="1" si="224"/>
        <v>0</v>
      </c>
      <c r="Q612" s="298">
        <f t="shared" ca="1" si="224"/>
        <v>0</v>
      </c>
      <c r="R612" s="298">
        <f t="shared" ca="1" si="224"/>
        <v>0</v>
      </c>
      <c r="S612" s="298">
        <f t="shared" ca="1" si="224"/>
        <v>7.5314742557510952</v>
      </c>
      <c r="T612" s="298">
        <f t="shared" ca="1" si="224"/>
        <v>13.420713059006493</v>
      </c>
      <c r="U612" s="298">
        <f t="shared" ca="1" si="224"/>
        <v>10.136242154015102</v>
      </c>
      <c r="V612" s="298">
        <f t="shared" ca="1" si="224"/>
        <v>6.8517712490237104</v>
      </c>
      <c r="W612" s="298">
        <f t="shared" ca="1" si="224"/>
        <v>3.5673003440323181</v>
      </c>
    </row>
    <row r="613" spans="1:23" outlineLevel="1">
      <c r="B613" s="58"/>
      <c r="C613" s="108" t="s">
        <v>139</v>
      </c>
      <c r="D613" s="65"/>
      <c r="E613" s="65"/>
      <c r="F613" s="65"/>
      <c r="G613" s="65"/>
      <c r="H613" s="65"/>
      <c r="I613" s="65"/>
      <c r="J613" s="65"/>
      <c r="K613" s="65"/>
      <c r="L613" s="65"/>
      <c r="M613" s="65"/>
      <c r="N613" s="298">
        <f t="shared" ref="N613:W613" ca="1" si="225">IF(circuit_breaker="off",PRODUCT(AVERAGE(N$542,N$546),N$597,N$122),0)</f>
        <v>21.29335</v>
      </c>
      <c r="O613" s="298">
        <f t="shared" ca="1" si="225"/>
        <v>51.323999999999998</v>
      </c>
      <c r="P613" s="298">
        <f t="shared" ca="1" si="225"/>
        <v>49.979800000000004</v>
      </c>
      <c r="Q613" s="298">
        <f t="shared" ca="1" si="225"/>
        <v>48.482849999999999</v>
      </c>
      <c r="R613" s="298">
        <f t="shared" ca="1" si="225"/>
        <v>46.89425</v>
      </c>
      <c r="S613" s="298">
        <f t="shared" ca="1" si="225"/>
        <v>45.213999999999999</v>
      </c>
      <c r="T613" s="298">
        <f t="shared" ca="1" si="225"/>
        <v>43.442100000000003</v>
      </c>
      <c r="U613" s="298">
        <f t="shared" ca="1" si="225"/>
        <v>41.548000000000002</v>
      </c>
      <c r="V613" s="298">
        <f t="shared" ca="1" si="225"/>
        <v>39.531700000000001</v>
      </c>
      <c r="W613" s="298">
        <f t="shared" ca="1" si="225"/>
        <v>37.3932</v>
      </c>
    </row>
    <row r="614" spans="1:23" outlineLevel="1">
      <c r="B614" s="58"/>
      <c r="C614" s="108" t="s">
        <v>90</v>
      </c>
      <c r="D614" s="65"/>
      <c r="E614" s="65"/>
      <c r="F614" s="65"/>
      <c r="G614" s="65"/>
      <c r="H614" s="65"/>
      <c r="I614" s="65"/>
      <c r="J614" s="65"/>
      <c r="K614" s="65"/>
      <c r="L614" s="65"/>
      <c r="M614" s="65"/>
      <c r="N614" s="298">
        <f t="shared" ref="N614:W614" ca="1" si="226">IF(circuit_breaker="off",PRODUCT(AVERAGE(N$550,N$554),N$598,N$122),0)</f>
        <v>4.0050644655427101</v>
      </c>
      <c r="O614" s="298">
        <f t="shared" ca="1" si="226"/>
        <v>9.5399999999999991</v>
      </c>
      <c r="P614" s="298">
        <f t="shared" ca="1" si="226"/>
        <v>8.6999999999999993</v>
      </c>
      <c r="Q614" s="298">
        <f t="shared" ca="1" si="226"/>
        <v>7.47</v>
      </c>
      <c r="R614" s="298">
        <f t="shared" ca="1" si="226"/>
        <v>6.18</v>
      </c>
      <c r="S614" s="298">
        <f t="shared" ca="1" si="226"/>
        <v>2.76</v>
      </c>
      <c r="T614" s="298">
        <f t="shared" ca="1" si="226"/>
        <v>0</v>
      </c>
      <c r="U614" s="298">
        <f t="shared" ca="1" si="226"/>
        <v>0</v>
      </c>
      <c r="V614" s="298">
        <f t="shared" ca="1" si="226"/>
        <v>0</v>
      </c>
      <c r="W614" s="298">
        <f t="shared" ca="1" si="226"/>
        <v>0</v>
      </c>
    </row>
    <row r="615" spans="1:23" s="54" customFormat="1" outlineLevel="1">
      <c r="A615" s="36"/>
      <c r="B615" s="18"/>
      <c r="C615" s="53" t="s">
        <v>107</v>
      </c>
      <c r="D615" s="90"/>
      <c r="E615" s="90"/>
      <c r="F615" s="98"/>
      <c r="G615" s="98"/>
      <c r="H615" s="98"/>
      <c r="I615" s="98"/>
      <c r="J615" s="98"/>
      <c r="K615" s="98"/>
      <c r="L615" s="98"/>
      <c r="M615" s="98"/>
      <c r="N615" s="300">
        <f t="shared" ref="N615:W615" ca="1" si="227">SUM(N$608:N$614)</f>
        <v>38.90907739734957</v>
      </c>
      <c r="O615" s="300">
        <f t="shared" ca="1" si="227"/>
        <v>91.670314999999988</v>
      </c>
      <c r="P615" s="300">
        <f t="shared" ca="1" si="227"/>
        <v>85.369820000000004</v>
      </c>
      <c r="Q615" s="300">
        <f t="shared" ca="1" si="227"/>
        <v>77.800169999999994</v>
      </c>
      <c r="R615" s="300">
        <f t="shared" ca="1" si="227"/>
        <v>73.163794938799128</v>
      </c>
      <c r="S615" s="300">
        <f t="shared" ca="1" si="227"/>
        <v>68.28090881345976</v>
      </c>
      <c r="T615" s="300">
        <f t="shared" ca="1" si="227"/>
        <v>59.219666023933499</v>
      </c>
      <c r="U615" s="300">
        <f t="shared" ca="1" si="227"/>
        <v>51.684242154015102</v>
      </c>
      <c r="V615" s="300">
        <f t="shared" ca="1" si="227"/>
        <v>46.383471249023714</v>
      </c>
      <c r="W615" s="300">
        <f t="shared" ca="1" si="227"/>
        <v>40.960500344032319</v>
      </c>
    </row>
    <row r="616" spans="1:23" outlineLevel="1">
      <c r="B616" s="58"/>
      <c r="C616" s="189"/>
      <c r="D616" s="98"/>
      <c r="E616" s="98"/>
      <c r="F616" s="65"/>
      <c r="G616" s="65"/>
      <c r="H616" s="65"/>
      <c r="I616" s="65"/>
      <c r="J616" s="65"/>
      <c r="K616" s="65"/>
      <c r="L616" s="65"/>
      <c r="M616" s="65"/>
      <c r="N616" s="298"/>
      <c r="O616" s="298"/>
      <c r="P616" s="298"/>
      <c r="Q616" s="298"/>
      <c r="R616" s="298"/>
      <c r="S616" s="298"/>
      <c r="T616" s="298"/>
      <c r="U616" s="298"/>
      <c r="V616" s="298"/>
      <c r="W616" s="298"/>
    </row>
    <row r="617" spans="1:23" outlineLevel="1">
      <c r="B617" s="58"/>
      <c r="C617" s="94" t="str">
        <f>$C$27</f>
        <v>Preferred Equity - A</v>
      </c>
      <c r="D617" s="98"/>
      <c r="E617" s="98"/>
      <c r="F617" s="65"/>
      <c r="G617" s="65"/>
      <c r="H617" s="65"/>
      <c r="I617" s="65"/>
      <c r="J617" s="65"/>
      <c r="K617" s="65"/>
      <c r="L617" s="65"/>
      <c r="M617" s="65"/>
      <c r="N617" s="298">
        <f t="shared" ref="N617:W617" ca="1" si="228">PRODUCT(N$561,N$599,N$122)</f>
        <v>0</v>
      </c>
      <c r="O617" s="298">
        <f t="shared" ca="1" si="228"/>
        <v>0</v>
      </c>
      <c r="P617" s="298">
        <f t="shared" ca="1" si="228"/>
        <v>0</v>
      </c>
      <c r="Q617" s="298">
        <f t="shared" ca="1" si="228"/>
        <v>0</v>
      </c>
      <c r="R617" s="298">
        <f t="shared" ca="1" si="228"/>
        <v>0</v>
      </c>
      <c r="S617" s="298">
        <f t="shared" ca="1" si="228"/>
        <v>0</v>
      </c>
      <c r="T617" s="298">
        <f t="shared" ca="1" si="228"/>
        <v>0</v>
      </c>
      <c r="U617" s="298">
        <f t="shared" ca="1" si="228"/>
        <v>0</v>
      </c>
      <c r="V617" s="298">
        <f t="shared" ca="1" si="228"/>
        <v>0</v>
      </c>
      <c r="W617" s="298">
        <f t="shared" ca="1" si="228"/>
        <v>0</v>
      </c>
    </row>
    <row r="618" spans="1:23" outlineLevel="1">
      <c r="B618" s="58"/>
      <c r="C618" s="94" t="str">
        <f>$C$28</f>
        <v>Preferred Equity - B</v>
      </c>
      <c r="D618" s="98"/>
      <c r="E618" s="98"/>
      <c r="F618" s="65"/>
      <c r="G618" s="65"/>
      <c r="H618" s="65"/>
      <c r="I618" s="65"/>
      <c r="J618" s="65"/>
      <c r="K618" s="65"/>
      <c r="L618" s="65"/>
      <c r="M618" s="65"/>
      <c r="N618" s="298">
        <f t="shared" ref="N618:W618" ca="1" si="229">PRODUCT(N$568,N$600,N$122)</f>
        <v>0</v>
      </c>
      <c r="O618" s="298">
        <f t="shared" ca="1" si="229"/>
        <v>0</v>
      </c>
      <c r="P618" s="298">
        <f t="shared" ca="1" si="229"/>
        <v>0</v>
      </c>
      <c r="Q618" s="298">
        <f t="shared" ca="1" si="229"/>
        <v>0</v>
      </c>
      <c r="R618" s="298">
        <f t="shared" ca="1" si="229"/>
        <v>0</v>
      </c>
      <c r="S618" s="298">
        <f t="shared" ca="1" si="229"/>
        <v>0</v>
      </c>
      <c r="T618" s="298">
        <f t="shared" ca="1" si="229"/>
        <v>0</v>
      </c>
      <c r="U618" s="298">
        <f t="shared" ca="1" si="229"/>
        <v>0</v>
      </c>
      <c r="V618" s="298">
        <f t="shared" ca="1" si="229"/>
        <v>0</v>
      </c>
      <c r="W618" s="298">
        <f t="shared" ca="1" si="229"/>
        <v>0</v>
      </c>
    </row>
    <row r="619" spans="1:23" s="54" customFormat="1" outlineLevel="1">
      <c r="A619" s="36"/>
      <c r="B619" s="18"/>
      <c r="C619" s="252" t="s">
        <v>232</v>
      </c>
      <c r="D619" s="90"/>
      <c r="E619" s="90"/>
      <c r="F619" s="98"/>
      <c r="G619" s="98"/>
      <c r="H619" s="98"/>
      <c r="I619" s="98"/>
      <c r="J619" s="98"/>
      <c r="K619" s="98"/>
      <c r="L619" s="98"/>
      <c r="M619" s="98"/>
      <c r="N619" s="300">
        <f t="shared" ref="N619:W619" ca="1" si="230">SUM(N617:N618)</f>
        <v>0</v>
      </c>
      <c r="O619" s="300">
        <f t="shared" ca="1" si="230"/>
        <v>0</v>
      </c>
      <c r="P619" s="300">
        <f t="shared" ca="1" si="230"/>
        <v>0</v>
      </c>
      <c r="Q619" s="300">
        <f t="shared" ca="1" si="230"/>
        <v>0</v>
      </c>
      <c r="R619" s="300">
        <f t="shared" ca="1" si="230"/>
        <v>0</v>
      </c>
      <c r="S619" s="300">
        <f t="shared" ca="1" si="230"/>
        <v>0</v>
      </c>
      <c r="T619" s="300">
        <f t="shared" ca="1" si="230"/>
        <v>0</v>
      </c>
      <c r="U619" s="300">
        <f t="shared" ca="1" si="230"/>
        <v>0</v>
      </c>
      <c r="V619" s="300">
        <f t="shared" ca="1" si="230"/>
        <v>0</v>
      </c>
      <c r="W619" s="300">
        <f t="shared" ca="1" si="230"/>
        <v>0</v>
      </c>
    </row>
    <row r="620" spans="1:23" s="54" customFormat="1" outlineLevel="1">
      <c r="A620" s="36"/>
      <c r="B620" s="18"/>
      <c r="C620" s="250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253"/>
      <c r="O620" s="253"/>
      <c r="P620" s="253"/>
      <c r="Q620" s="253"/>
      <c r="R620" s="253"/>
      <c r="S620" s="253"/>
      <c r="T620" s="253"/>
      <c r="U620" s="253"/>
      <c r="V620" s="253"/>
      <c r="W620" s="253"/>
    </row>
    <row r="621" spans="1:23" ht="4.5" customHeight="1">
      <c r="B621" s="58"/>
      <c r="C621" s="231"/>
      <c r="D621" s="65"/>
      <c r="E621" s="65"/>
      <c r="F621" s="51"/>
      <c r="G621" s="51"/>
      <c r="H621" s="65"/>
      <c r="I621" s="65"/>
      <c r="J621" s="65"/>
      <c r="K621" s="65"/>
      <c r="L621" s="51"/>
      <c r="M621" s="65"/>
      <c r="N621" s="104"/>
      <c r="O621" s="104"/>
      <c r="P621" s="104"/>
      <c r="Q621" s="104"/>
      <c r="R621" s="104"/>
      <c r="S621" s="104"/>
    </row>
    <row r="622" spans="1:23" s="58" customFormat="1">
      <c r="A622" s="52" t="s">
        <v>63</v>
      </c>
      <c r="C622" s="518" t="s">
        <v>171</v>
      </c>
      <c r="D622" s="247"/>
      <c r="E622" s="247"/>
      <c r="F622" s="247"/>
      <c r="G622" s="247"/>
      <c r="H622" s="247"/>
      <c r="I622" s="247"/>
      <c r="J622" s="247"/>
      <c r="K622" s="247"/>
      <c r="L622" s="247"/>
      <c r="M622" s="247"/>
      <c r="N622" s="247"/>
      <c r="O622" s="247"/>
      <c r="P622" s="247"/>
      <c r="Q622" s="247"/>
      <c r="R622" s="247"/>
      <c r="S622" s="247"/>
      <c r="T622" s="247"/>
      <c r="U622" s="247"/>
      <c r="V622" s="247"/>
      <c r="W622" s="247"/>
    </row>
    <row r="623" spans="1:23" ht="6.65" customHeight="1" outlineLevel="1">
      <c r="B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</row>
    <row r="624" spans="1:23" hidden="1" outlineLevel="1" collapsed="1">
      <c r="B624" s="58"/>
      <c r="C624" s="391" t="s">
        <v>253</v>
      </c>
      <c r="D624" s="389"/>
      <c r="E624" s="389"/>
      <c r="F624" s="389"/>
      <c r="G624" s="389"/>
      <c r="H624" s="389"/>
      <c r="I624" s="389"/>
      <c r="J624" s="389"/>
      <c r="K624" s="389"/>
      <c r="L624" s="389"/>
      <c r="M624" s="389"/>
      <c r="N624" s="389"/>
      <c r="O624" s="389"/>
      <c r="P624" s="389"/>
      <c r="Q624" s="389"/>
      <c r="R624" s="389"/>
      <c r="S624" s="389"/>
      <c r="T624" s="389"/>
      <c r="U624" s="389"/>
      <c r="V624" s="389"/>
      <c r="W624" s="392"/>
    </row>
    <row r="625" spans="1:23" ht="6" hidden="1" customHeight="1" outlineLevel="2">
      <c r="A625" s="58"/>
    </row>
    <row r="626" spans="1:23" hidden="1" outlineLevel="2">
      <c r="A626" s="58"/>
      <c r="C626" s="241" t="str">
        <f>units</f>
        <v>($ '000)</v>
      </c>
      <c r="N626" s="743" t="str">
        <f>$N$124</f>
        <v>4 Months</v>
      </c>
    </row>
    <row r="627" spans="1:23" ht="16" hidden="1" outlineLevel="2">
      <c r="B627" s="58"/>
      <c r="D627" s="58"/>
      <c r="E627" s="58"/>
      <c r="F627" s="58"/>
      <c r="G627" s="58"/>
      <c r="H627" s="58"/>
      <c r="I627" s="58"/>
      <c r="J627" s="58"/>
      <c r="K627" s="58"/>
      <c r="L627" s="58"/>
      <c r="M627" s="743" t="s">
        <v>50</v>
      </c>
      <c r="N627" s="785">
        <f>$N$125</f>
        <v>1</v>
      </c>
      <c r="O627" s="740" t="str">
        <f>$O$124</f>
        <v>Fiscal Years Ending December 31</v>
      </c>
      <c r="P627" s="79"/>
      <c r="Q627" s="79"/>
      <c r="R627" s="79"/>
      <c r="S627" s="79"/>
      <c r="T627" s="76"/>
      <c r="U627" s="76"/>
      <c r="V627" s="76"/>
      <c r="W627" s="76"/>
    </row>
    <row r="628" spans="1:23" ht="15" hidden="1" outlineLevel="2" thickBot="1">
      <c r="A628" s="517"/>
      <c r="B628" s="748"/>
      <c r="C628" s="753"/>
      <c r="D628" s="748"/>
      <c r="E628" s="748"/>
      <c r="F628" s="748"/>
      <c r="G628" s="748"/>
      <c r="H628" s="748"/>
      <c r="I628" s="748"/>
      <c r="J628" s="748"/>
      <c r="K628" s="748"/>
      <c r="L628" s="748"/>
      <c r="M628" s="752">
        <f>$Q$15</f>
        <v>44775</v>
      </c>
      <c r="N628" s="752">
        <f>$Q$16</f>
        <v>44926</v>
      </c>
      <c r="O628" s="750">
        <f>O$126</f>
        <v>45291</v>
      </c>
      <c r="P628" s="750">
        <f t="shared" ref="P628:W628" si="231">EDATE(O628,12)</f>
        <v>45657</v>
      </c>
      <c r="Q628" s="750">
        <f t="shared" si="231"/>
        <v>46022</v>
      </c>
      <c r="R628" s="750">
        <f t="shared" si="231"/>
        <v>46387</v>
      </c>
      <c r="S628" s="750">
        <f t="shared" si="231"/>
        <v>46752</v>
      </c>
      <c r="T628" s="750">
        <f t="shared" si="231"/>
        <v>47118</v>
      </c>
      <c r="U628" s="750">
        <f t="shared" si="231"/>
        <v>47483</v>
      </c>
      <c r="V628" s="750">
        <f t="shared" si="231"/>
        <v>47848</v>
      </c>
      <c r="W628" s="750">
        <f t="shared" si="231"/>
        <v>48213</v>
      </c>
    </row>
    <row r="629" spans="1:23" ht="7.5" hidden="1" customHeight="1" outlineLevel="2">
      <c r="A629" s="58"/>
      <c r="C629" s="241"/>
      <c r="M629" s="78"/>
      <c r="N629" s="78"/>
      <c r="O629" s="79"/>
      <c r="P629" s="79"/>
      <c r="Q629" s="79"/>
      <c r="R629" s="79"/>
      <c r="S629" s="79"/>
      <c r="T629" s="79"/>
      <c r="U629" s="79"/>
      <c r="V629" s="79"/>
      <c r="W629" s="79"/>
    </row>
    <row r="630" spans="1:23" hidden="1" outlineLevel="2">
      <c r="A630" s="58"/>
      <c r="B630" s="58"/>
      <c r="C630" s="58" t="s">
        <v>156</v>
      </c>
      <c r="D630" s="94"/>
      <c r="E630" s="94"/>
      <c r="F630" s="58"/>
      <c r="G630" s="58"/>
      <c r="H630" s="58"/>
      <c r="I630" s="58"/>
      <c r="J630" s="58"/>
      <c r="K630" s="58"/>
      <c r="M630" s="307">
        <f ca="1">N630</f>
        <v>368.09014870114959</v>
      </c>
      <c r="N630" s="298">
        <f t="shared" ref="N630:W630" ca="1" si="232">N$149/N$122</f>
        <v>368.09014870114959</v>
      </c>
      <c r="O630" s="298">
        <f t="shared" ca="1" si="232"/>
        <v>309.89495021879043</v>
      </c>
      <c r="P630" s="298">
        <f t="shared" ca="1" si="232"/>
        <v>401.79539495603717</v>
      </c>
      <c r="Q630" s="298">
        <f t="shared" ca="1" si="232"/>
        <v>440.2172953730668</v>
      </c>
      <c r="R630" s="298">
        <f t="shared" ca="1" si="232"/>
        <v>344.22534799610526</v>
      </c>
      <c r="S630" s="298">
        <f t="shared" ca="1" si="232"/>
        <v>538.07910104293035</v>
      </c>
      <c r="T630" s="298">
        <f t="shared" ca="1" si="232"/>
        <v>570.75451888164775</v>
      </c>
      <c r="U630" s="298">
        <f t="shared" ca="1" si="232"/>
        <v>545.78394661937432</v>
      </c>
      <c r="V630" s="298">
        <f t="shared" ca="1" si="232"/>
        <v>633.34974809603852</v>
      </c>
      <c r="W630" s="298">
        <f t="shared" ca="1" si="232"/>
        <v>664.46228730918892</v>
      </c>
    </row>
    <row r="631" spans="1:23" hidden="1" outlineLevel="2">
      <c r="A631" s="58"/>
      <c r="B631" s="58"/>
      <c r="C631" s="94" t="s">
        <v>22</v>
      </c>
      <c r="D631" s="94"/>
      <c r="E631" s="94"/>
      <c r="F631" s="58"/>
      <c r="G631" s="58"/>
      <c r="H631" s="58"/>
      <c r="I631" s="58"/>
      <c r="J631" s="58"/>
      <c r="K631" s="58"/>
      <c r="M631" s="307">
        <f ca="1">N631</f>
        <v>315.31067715643405</v>
      </c>
      <c r="N631" s="298">
        <f t="shared" ref="N631:W631" ca="1" si="233">N$152/N$122</f>
        <v>315.31067715643405</v>
      </c>
      <c r="O631" s="298">
        <f t="shared" ca="1" si="233"/>
        <v>237.98603040244853</v>
      </c>
      <c r="P631" s="298">
        <f t="shared" ca="1" si="233"/>
        <v>328.07066424730056</v>
      </c>
      <c r="Q631" s="298">
        <f t="shared" ca="1" si="233"/>
        <v>366.49256466433019</v>
      </c>
      <c r="R631" s="298">
        <f t="shared" ca="1" si="233"/>
        <v>270.50061728736864</v>
      </c>
      <c r="S631" s="298">
        <f t="shared" ca="1" si="233"/>
        <v>464.35437033419373</v>
      </c>
      <c r="T631" s="298">
        <f t="shared" ca="1" si="233"/>
        <v>497.02978817291114</v>
      </c>
      <c r="U631" s="298">
        <f t="shared" ca="1" si="233"/>
        <v>472.05921591063776</v>
      </c>
      <c r="V631" s="298">
        <f t="shared" ca="1" si="233"/>
        <v>559.62501738730191</v>
      </c>
      <c r="W631" s="298">
        <f t="shared" ca="1" si="233"/>
        <v>590.73755660045231</v>
      </c>
    </row>
    <row r="632" spans="1:23" hidden="1" outlineLevel="2">
      <c r="A632" s="58"/>
      <c r="B632" s="58"/>
      <c r="C632" s="94" t="s">
        <v>288</v>
      </c>
      <c r="D632" s="94"/>
      <c r="E632" s="94"/>
      <c r="F632" s="58"/>
      <c r="G632" s="58"/>
      <c r="H632" s="58"/>
      <c r="I632" s="58"/>
      <c r="J632" s="58"/>
      <c r="K632" s="58"/>
      <c r="M632" s="299">
        <v>0</v>
      </c>
      <c r="N632" s="298">
        <f t="shared" ref="N632:W632" ca="1" si="234">SUM(N$152,N$162)/N$122</f>
        <v>280.49581255524009</v>
      </c>
      <c r="O632" s="298">
        <f t="shared" ca="1" si="234"/>
        <v>237.98603040244853</v>
      </c>
      <c r="P632" s="298">
        <f t="shared" ca="1" si="234"/>
        <v>328.07066424730056</v>
      </c>
      <c r="Q632" s="298">
        <f t="shared" ca="1" si="234"/>
        <v>347.2681289201621</v>
      </c>
      <c r="R632" s="298">
        <f t="shared" ca="1" si="234"/>
        <v>270.50061728736864</v>
      </c>
      <c r="S632" s="298">
        <f t="shared" ca="1" si="234"/>
        <v>415.31025136655359</v>
      </c>
      <c r="T632" s="298">
        <f t="shared" ca="1" si="234"/>
        <v>436.21460651771264</v>
      </c>
      <c r="U632" s="298">
        <f t="shared" ca="1" si="234"/>
        <v>414.12777158865475</v>
      </c>
      <c r="V632" s="298">
        <f t="shared" ca="1" si="234"/>
        <v>462.68514953686599</v>
      </c>
      <c r="W632" s="298">
        <f t="shared" ca="1" si="234"/>
        <v>471.88309017065706</v>
      </c>
    </row>
    <row r="633" spans="1:23" hidden="1" outlineLevel="2">
      <c r="A633" s="58"/>
      <c r="B633" s="58"/>
      <c r="C633" s="94" t="s">
        <v>731</v>
      </c>
      <c r="D633" s="94"/>
      <c r="E633" s="94"/>
      <c r="F633" s="58"/>
      <c r="G633" s="58"/>
      <c r="H633" s="58"/>
      <c r="I633" s="58"/>
      <c r="J633" s="58"/>
      <c r="K633" s="58"/>
      <c r="M633" s="299">
        <v>0</v>
      </c>
      <c r="N633" s="298">
        <f t="shared" ref="N633:W633" ca="1" si="235">N$151/N$122</f>
        <v>-52.779471544715456</v>
      </c>
      <c r="O633" s="298">
        <f t="shared" ca="1" si="235"/>
        <v>-71.908919816341879</v>
      </c>
      <c r="P633" s="298">
        <f t="shared" ca="1" si="235"/>
        <v>-73.724730708736587</v>
      </c>
      <c r="Q633" s="298">
        <f t="shared" ca="1" si="235"/>
        <v>-73.724730708736587</v>
      </c>
      <c r="R633" s="298">
        <f t="shared" ca="1" si="235"/>
        <v>-73.724730708736601</v>
      </c>
      <c r="S633" s="298">
        <f t="shared" ca="1" si="235"/>
        <v>-73.724730708736587</v>
      </c>
      <c r="T633" s="298">
        <f t="shared" ca="1" si="235"/>
        <v>-73.724730708736587</v>
      </c>
      <c r="U633" s="298">
        <f t="shared" ca="1" si="235"/>
        <v>-73.724730708736573</v>
      </c>
      <c r="V633" s="298">
        <f t="shared" ca="1" si="235"/>
        <v>-73.724730708736587</v>
      </c>
      <c r="W633" s="298">
        <f t="shared" ca="1" si="235"/>
        <v>-73.724730708736587</v>
      </c>
    </row>
    <row r="634" spans="1:23" hidden="1" outlineLevel="2">
      <c r="A634" s="58"/>
      <c r="B634" s="58"/>
      <c r="C634" s="94" t="s">
        <v>730</v>
      </c>
      <c r="D634" s="94"/>
      <c r="E634" s="94"/>
      <c r="F634" s="58"/>
      <c r="G634" s="58"/>
      <c r="H634" s="58"/>
      <c r="I634" s="58"/>
      <c r="J634" s="58"/>
      <c r="K634" s="58"/>
      <c r="M634" s="299">
        <v>0</v>
      </c>
      <c r="N634" s="298">
        <f t="shared" ref="N634:W634" ca="1" si="236">N$162/N$122</f>
        <v>-34.81486460119396</v>
      </c>
      <c r="O634" s="298">
        <f t="shared" ca="1" si="236"/>
        <v>0</v>
      </c>
      <c r="P634" s="298">
        <f t="shared" ca="1" si="236"/>
        <v>0</v>
      </c>
      <c r="Q634" s="298">
        <f t="shared" ca="1" si="236"/>
        <v>-19.224435744168105</v>
      </c>
      <c r="R634" s="298">
        <f t="shared" ca="1" si="236"/>
        <v>0</v>
      </c>
      <c r="S634" s="298">
        <f t="shared" ca="1" si="236"/>
        <v>-49.044118967640166</v>
      </c>
      <c r="T634" s="298">
        <f t="shared" ca="1" si="236"/>
        <v>-60.815181655198501</v>
      </c>
      <c r="U634" s="298">
        <f t="shared" ca="1" si="236"/>
        <v>-57.931444321983008</v>
      </c>
      <c r="V634" s="298">
        <f t="shared" ca="1" si="236"/>
        <v>-96.939867850435945</v>
      </c>
      <c r="W634" s="298">
        <f t="shared" ca="1" si="236"/>
        <v>-118.85446642979524</v>
      </c>
    </row>
    <row r="635" spans="1:23" hidden="1" outlineLevel="2">
      <c r="A635" s="58"/>
      <c r="B635" s="58"/>
      <c r="C635" s="94" t="s">
        <v>729</v>
      </c>
      <c r="D635" s="94"/>
      <c r="E635" s="94"/>
      <c r="F635" s="58"/>
      <c r="G635" s="58"/>
      <c r="H635" s="58"/>
      <c r="I635" s="58"/>
      <c r="J635" s="58"/>
      <c r="K635" s="58"/>
      <c r="M635" s="307">
        <f ca="1">N635</f>
        <v>-70.893177468749997</v>
      </c>
      <c r="N635" s="298">
        <f t="shared" ref="N635:W635" ca="1" si="237">SUM(N$438:N$439)/N$122</f>
        <v>-70.893177468749997</v>
      </c>
      <c r="O635" s="298">
        <f t="shared" ca="1" si="237"/>
        <v>-72.576890433632812</v>
      </c>
      <c r="P635" s="298">
        <f t="shared" ca="1" si="237"/>
        <v>-87.80059158143159</v>
      </c>
      <c r="Q635" s="298">
        <f t="shared" ca="1" si="237"/>
        <v>-108.86523063149058</v>
      </c>
      <c r="R635" s="298">
        <f t="shared" ca="1" si="237"/>
        <v>-78.671779858988472</v>
      </c>
      <c r="S635" s="298">
        <f t="shared" ca="1" si="237"/>
        <v>-91.901234630639465</v>
      </c>
      <c r="T635" s="298">
        <f t="shared" ca="1" si="237"/>
        <v>-144.61461395311713</v>
      </c>
      <c r="U635" s="298">
        <f t="shared" ca="1" si="237"/>
        <v>-97.802961034503653</v>
      </c>
      <c r="V635" s="298">
        <f t="shared" ca="1" si="237"/>
        <v>-85.537343859073118</v>
      </c>
      <c r="W635" s="298">
        <f t="shared" ca="1" si="237"/>
        <v>-87.568855775726092</v>
      </c>
    </row>
    <row r="636" spans="1:23" hidden="1" outlineLevel="2">
      <c r="A636" s="58"/>
      <c r="B636" s="58"/>
      <c r="C636" s="107" t="s">
        <v>703</v>
      </c>
      <c r="D636" s="107"/>
      <c r="E636" s="107"/>
      <c r="F636" s="58"/>
      <c r="G636" s="58"/>
      <c r="H636" s="58"/>
      <c r="I636" s="58"/>
      <c r="J636" s="58"/>
      <c r="K636" s="58"/>
      <c r="M636" s="299">
        <v>0</v>
      </c>
      <c r="N636" s="298">
        <f ca="1">-N$182</f>
        <v>2.3196091734091056</v>
      </c>
      <c r="O636" s="298">
        <f t="shared" ref="O636:W636" ca="1" si="238">-O$182</f>
        <v>-9.3206588722605943</v>
      </c>
      <c r="P636" s="298">
        <f t="shared" ca="1" si="238"/>
        <v>-0.37971567488892788</v>
      </c>
      <c r="Q636" s="298">
        <f t="shared" ca="1" si="238"/>
        <v>-2.6790095202690054</v>
      </c>
      <c r="R636" s="298">
        <f t="shared" ca="1" si="238"/>
        <v>-7.3699482017205469</v>
      </c>
      <c r="S636" s="298">
        <f t="shared" ca="1" si="238"/>
        <v>-7.5425212344787838</v>
      </c>
      <c r="T636" s="298">
        <f t="shared" ca="1" si="238"/>
        <v>-7.7190275667406354</v>
      </c>
      <c r="U636" s="298">
        <f t="shared" ca="1" si="238"/>
        <v>-7.899559369118208</v>
      </c>
      <c r="V636" s="298">
        <f t="shared" ca="1" si="238"/>
        <v>-8.0842109350660962</v>
      </c>
      <c r="W636" s="298">
        <f t="shared" ca="1" si="238"/>
        <v>-8.2730787308054801</v>
      </c>
    </row>
    <row r="637" spans="1:23" ht="7" hidden="1" customHeight="1" outlineLevel="1">
      <c r="A637" s="58"/>
      <c r="B637" s="58"/>
      <c r="C637" s="107"/>
      <c r="D637" s="107"/>
      <c r="E637" s="107"/>
      <c r="F637" s="58"/>
      <c r="G637" s="58"/>
      <c r="H637" s="58"/>
      <c r="I637" s="58"/>
      <c r="J637" s="58"/>
      <c r="K637" s="58"/>
      <c r="M637" s="58"/>
      <c r="N637" s="106"/>
      <c r="O637" s="106"/>
      <c r="P637" s="106"/>
      <c r="Q637" s="106"/>
      <c r="R637" s="106"/>
      <c r="S637" s="106"/>
      <c r="T637" s="58"/>
      <c r="U637" s="58"/>
      <c r="V637" s="58"/>
      <c r="W637" s="58"/>
    </row>
    <row r="638" spans="1:23" hidden="1" outlineLevel="1" collapsed="1">
      <c r="B638" s="58"/>
      <c r="C638" s="391" t="s">
        <v>220</v>
      </c>
      <c r="D638" s="389"/>
      <c r="E638" s="389"/>
      <c r="F638" s="389"/>
      <c r="G638" s="389"/>
      <c r="H638" s="389"/>
      <c r="I638" s="389"/>
      <c r="J638" s="389"/>
      <c r="K638" s="389"/>
      <c r="L638" s="389"/>
      <c r="M638" s="389"/>
      <c r="N638" s="389"/>
      <c r="O638" s="389"/>
      <c r="P638" s="389"/>
      <c r="Q638" s="389"/>
      <c r="R638" s="389"/>
      <c r="S638" s="389"/>
      <c r="T638" s="389"/>
      <c r="U638" s="389"/>
      <c r="V638" s="389"/>
      <c r="W638" s="392"/>
    </row>
    <row r="639" spans="1:23" s="3" customFormat="1" ht="8.5" hidden="1" customHeight="1" outlineLevel="2">
      <c r="A639" s="150"/>
    </row>
    <row r="640" spans="1:23" s="3" customFormat="1" ht="14.15" hidden="1" customHeight="1" outlineLevel="2">
      <c r="A640" s="150"/>
      <c r="C640" s="293" t="s">
        <v>293</v>
      </c>
    </row>
    <row r="641" spans="1:23" s="58" customFormat="1" hidden="1" outlineLevel="2">
      <c r="C641" s="279" t="s">
        <v>221</v>
      </c>
      <c r="D641" s="65"/>
      <c r="E641" s="65"/>
      <c r="F641" s="65"/>
      <c r="G641" s="65"/>
      <c r="H641" s="65"/>
      <c r="I641" s="65"/>
      <c r="J641" s="65"/>
      <c r="K641" s="65"/>
      <c r="L641" s="65"/>
      <c r="M641" s="324">
        <f t="shared" ref="M641:W641" ca="1" si="239">SUMPRODUCT($E$56:$E$60,M$572:M$576)</f>
        <v>1402.8909904752209</v>
      </c>
      <c r="N641" s="324">
        <f t="shared" ca="1" si="239"/>
        <v>1380.2</v>
      </c>
      <c r="O641" s="324">
        <f t="shared" ca="1" si="239"/>
        <v>1304.9000000000001</v>
      </c>
      <c r="P641" s="324">
        <f t="shared" ca="1" si="239"/>
        <v>1201.9000000000001</v>
      </c>
      <c r="Q641" s="324">
        <f t="shared" ca="1" si="239"/>
        <v>1097.9000000000001</v>
      </c>
      <c r="R641" s="324">
        <f t="shared" ca="1" si="239"/>
        <v>1104.0790886836048</v>
      </c>
      <c r="S641" s="324">
        <f t="shared" ca="1" si="239"/>
        <v>992.84862189134367</v>
      </c>
      <c r="T641" s="324">
        <f t="shared" ca="1" si="239"/>
        <v>843.23097008138495</v>
      </c>
      <c r="U641" s="324">
        <f t="shared" ca="1" si="239"/>
        <v>770.17508376899264</v>
      </c>
      <c r="V641" s="324">
        <f t="shared" ca="1" si="239"/>
        <v>695.1191974566002</v>
      </c>
      <c r="W641" s="324">
        <f t="shared" ca="1" si="239"/>
        <v>618.06331114420777</v>
      </c>
    </row>
    <row r="642" spans="1:23" s="58" customFormat="1" hidden="1" outlineLevel="2">
      <c r="C642" s="279" t="s">
        <v>314</v>
      </c>
      <c r="D642" s="65"/>
      <c r="E642" s="65"/>
      <c r="F642" s="65"/>
      <c r="G642" s="65"/>
      <c r="H642" s="65"/>
      <c r="I642" s="65"/>
      <c r="J642" s="65"/>
      <c r="K642" s="65"/>
      <c r="L642" s="65"/>
      <c r="M642" s="324">
        <f t="shared" ref="M642:W642" ca="1" si="240">SUMIF($E$56:$E$60,0,M$572:M$576)</f>
        <v>162.61499719859438</v>
      </c>
      <c r="N642" s="324">
        <f t="shared" ca="1" si="240"/>
        <v>163</v>
      </c>
      <c r="O642" s="324">
        <f t="shared" ca="1" si="240"/>
        <v>155</v>
      </c>
      <c r="P642" s="324">
        <f t="shared" ca="1" si="240"/>
        <v>135</v>
      </c>
      <c r="Q642" s="324">
        <f t="shared" ca="1" si="240"/>
        <v>114</v>
      </c>
      <c r="R642" s="324">
        <f t="shared" ca="1" si="240"/>
        <v>92</v>
      </c>
      <c r="S642" s="324">
        <f t="shared" ca="1" si="240"/>
        <v>0</v>
      </c>
      <c r="T642" s="324">
        <f t="shared" ca="1" si="240"/>
        <v>0</v>
      </c>
      <c r="U642" s="324">
        <f t="shared" ca="1" si="240"/>
        <v>0</v>
      </c>
      <c r="V642" s="324">
        <f t="shared" ca="1" si="240"/>
        <v>0</v>
      </c>
      <c r="W642" s="324">
        <f t="shared" ca="1" si="240"/>
        <v>0</v>
      </c>
    </row>
    <row r="643" spans="1:23" s="18" customFormat="1" hidden="1" outlineLevel="2">
      <c r="C643" s="90" t="s">
        <v>19</v>
      </c>
      <c r="D643" s="90"/>
      <c r="E643" s="90"/>
      <c r="F643" s="232"/>
      <c r="G643" s="232"/>
      <c r="H643" s="98"/>
      <c r="I643" s="98"/>
      <c r="J643" s="98"/>
      <c r="K643" s="98"/>
      <c r="L643" s="98"/>
      <c r="M643" s="698">
        <f t="shared" ref="M643:W643" ca="1" si="241">SUM(M$641:M$642)</f>
        <v>1565.5059876738153</v>
      </c>
      <c r="N643" s="698">
        <f t="shared" ca="1" si="241"/>
        <v>1543.2</v>
      </c>
      <c r="O643" s="698">
        <f t="shared" ca="1" si="241"/>
        <v>1459.9</v>
      </c>
      <c r="P643" s="698">
        <f t="shared" ca="1" si="241"/>
        <v>1336.9</v>
      </c>
      <c r="Q643" s="698">
        <f t="shared" ca="1" si="241"/>
        <v>1211.9000000000001</v>
      </c>
      <c r="R643" s="698">
        <f t="shared" ca="1" si="241"/>
        <v>1196.0790886836048</v>
      </c>
      <c r="S643" s="698">
        <f t="shared" ca="1" si="241"/>
        <v>992.84862189134367</v>
      </c>
      <c r="T643" s="698">
        <f t="shared" ca="1" si="241"/>
        <v>843.23097008138495</v>
      </c>
      <c r="U643" s="698">
        <f t="shared" ca="1" si="241"/>
        <v>770.17508376899264</v>
      </c>
      <c r="V643" s="698">
        <f t="shared" ca="1" si="241"/>
        <v>695.1191974566002</v>
      </c>
      <c r="W643" s="698">
        <f t="shared" ca="1" si="241"/>
        <v>618.06331114420777</v>
      </c>
    </row>
    <row r="644" spans="1:23" s="58" customFormat="1" ht="2.15" hidden="1" customHeight="1" outlineLevel="2">
      <c r="C644" s="65"/>
      <c r="D644" s="65"/>
      <c r="E644" s="65"/>
      <c r="F644" s="51"/>
      <c r="G644" s="51"/>
      <c r="H644" s="65"/>
      <c r="I644" s="65"/>
      <c r="J644" s="65"/>
      <c r="K644" s="65"/>
      <c r="L644" s="65"/>
      <c r="M644" s="324"/>
      <c r="N644" s="324"/>
      <c r="O644" s="324"/>
      <c r="P644" s="324"/>
      <c r="Q644" s="324"/>
      <c r="R644" s="324"/>
      <c r="S644" s="324"/>
      <c r="T644" s="324"/>
      <c r="U644" s="324"/>
      <c r="V644" s="324"/>
      <c r="W644" s="324"/>
    </row>
    <row r="645" spans="1:23" s="58" customFormat="1" ht="15" hidden="1" outlineLevel="2" thickBot="1">
      <c r="C645" s="228" t="s">
        <v>222</v>
      </c>
      <c r="D645" s="351"/>
      <c r="E645" s="351"/>
      <c r="F645" s="51"/>
      <c r="G645" s="51"/>
      <c r="H645" s="65"/>
      <c r="I645" s="65"/>
      <c r="J645" s="65"/>
      <c r="K645" s="65"/>
      <c r="L645" s="65"/>
      <c r="M645" s="350">
        <f t="shared" ref="M645:W645" ca="1" si="242">-M$463</f>
        <v>-75</v>
      </c>
      <c r="N645" s="350">
        <f t="shared" ca="1" si="242"/>
        <v>-101.67908155203642</v>
      </c>
      <c r="O645" s="350">
        <f t="shared" ca="1" si="242"/>
        <v>-82.560282783793241</v>
      </c>
      <c r="P645" s="350">
        <f t="shared" ca="1" si="242"/>
        <v>-114.89420597995107</v>
      </c>
      <c r="Q645" s="350">
        <f t="shared" ca="1" si="242"/>
        <v>-148.14105393832421</v>
      </c>
      <c r="R645" s="350">
        <f t="shared" ca="1" si="242"/>
        <v>-75</v>
      </c>
      <c r="S645" s="350">
        <f t="shared" ca="1" si="242"/>
        <v>-75.000000000000398</v>
      </c>
      <c r="T645" s="350">
        <f t="shared" ca="1" si="242"/>
        <v>-149.80346072157695</v>
      </c>
      <c r="U645" s="350">
        <f t="shared" ca="1" si="242"/>
        <v>-334.84415988103194</v>
      </c>
      <c r="V645" s="350">
        <f t="shared" ca="1" si="242"/>
        <v>-589.83775336690042</v>
      </c>
      <c r="W645" s="350">
        <f t="shared" ca="1" si="242"/>
        <v>-866.92271305029806</v>
      </c>
    </row>
    <row r="646" spans="1:23" s="18" customFormat="1" ht="15" hidden="1" outlineLevel="2" thickTop="1">
      <c r="C646" s="98" t="s">
        <v>111</v>
      </c>
      <c r="D646" s="98"/>
      <c r="E646" s="98"/>
      <c r="F646" s="232"/>
      <c r="G646" s="232"/>
      <c r="H646" s="98"/>
      <c r="I646" s="98"/>
      <c r="J646" s="98"/>
      <c r="K646" s="98"/>
      <c r="L646" s="98"/>
      <c r="M646" s="699">
        <f t="shared" ref="M646:W646" ca="1" si="243">SUM(M$643:M$645)</f>
        <v>1490.5059876738153</v>
      </c>
      <c r="N646" s="699">
        <f t="shared" ca="1" si="243"/>
        <v>1441.5209184479636</v>
      </c>
      <c r="O646" s="699">
        <f t="shared" ca="1" si="243"/>
        <v>1377.3397172162067</v>
      </c>
      <c r="P646" s="699">
        <f t="shared" ca="1" si="243"/>
        <v>1222.0057940200491</v>
      </c>
      <c r="Q646" s="699">
        <f t="shared" ca="1" si="243"/>
        <v>1063.7589460616759</v>
      </c>
      <c r="R646" s="699">
        <f t="shared" ca="1" si="243"/>
        <v>1121.0790886836048</v>
      </c>
      <c r="S646" s="699">
        <f t="shared" ca="1" si="243"/>
        <v>917.84862189134333</v>
      </c>
      <c r="T646" s="699">
        <f t="shared" ca="1" si="243"/>
        <v>693.42750935980803</v>
      </c>
      <c r="U646" s="699">
        <f t="shared" ca="1" si="243"/>
        <v>435.33092388796069</v>
      </c>
      <c r="V646" s="699">
        <f t="shared" ca="1" si="243"/>
        <v>105.28144408969979</v>
      </c>
      <c r="W646" s="699">
        <f t="shared" ca="1" si="243"/>
        <v>-248.85940190609028</v>
      </c>
    </row>
    <row r="647" spans="1:23" ht="7.5" hidden="1" customHeight="1" outlineLevel="2">
      <c r="A647" s="58"/>
      <c r="B647" s="58"/>
      <c r="C647" s="107"/>
      <c r="D647" s="107"/>
      <c r="E647" s="107"/>
      <c r="F647" s="58"/>
      <c r="G647" s="58"/>
      <c r="H647" s="58"/>
      <c r="I647" s="58"/>
      <c r="J647" s="58"/>
      <c r="K647" s="58"/>
      <c r="M647" s="325"/>
      <c r="N647" s="325"/>
      <c r="O647" s="325"/>
      <c r="P647" s="325"/>
      <c r="Q647" s="325"/>
      <c r="R647" s="325"/>
      <c r="S647" s="325"/>
      <c r="T647" s="326"/>
      <c r="U647" s="326"/>
      <c r="V647" s="326"/>
      <c r="W647" s="326"/>
    </row>
    <row r="648" spans="1:23" hidden="1" outlineLevel="2">
      <c r="A648" s="58"/>
      <c r="B648" s="58"/>
      <c r="C648" s="293" t="s">
        <v>294</v>
      </c>
      <c r="D648" s="107"/>
      <c r="E648" s="107"/>
      <c r="F648" s="58"/>
      <c r="G648" s="58"/>
      <c r="H648" s="58"/>
      <c r="I648" s="58"/>
      <c r="J648" s="58"/>
      <c r="K648" s="58"/>
      <c r="M648" s="325"/>
      <c r="N648" s="325"/>
      <c r="O648" s="325"/>
      <c r="P648" s="325"/>
      <c r="Q648" s="325"/>
      <c r="R648" s="325"/>
      <c r="S648" s="325"/>
      <c r="T648" s="326"/>
      <c r="U648" s="326"/>
      <c r="V648" s="326"/>
      <c r="W648" s="326"/>
    </row>
    <row r="649" spans="1:23" hidden="1" outlineLevel="2">
      <c r="A649" s="58"/>
      <c r="B649" s="58"/>
      <c r="C649" s="354" t="s">
        <v>221</v>
      </c>
      <c r="D649" s="107"/>
      <c r="E649" s="107"/>
      <c r="F649" s="58"/>
      <c r="G649" s="58"/>
      <c r="H649" s="58"/>
      <c r="I649" s="58"/>
      <c r="J649" s="58"/>
      <c r="K649" s="58"/>
      <c r="M649" s="325">
        <f t="shared" ref="M649:W649" ca="1" si="244">SUM(M$572:M$574)</f>
        <v>552.89099047522086</v>
      </c>
      <c r="N649" s="325">
        <f t="shared" ca="1" si="244"/>
        <v>530.20000000000005</v>
      </c>
      <c r="O649" s="325">
        <f t="shared" ca="1" si="244"/>
        <v>474.9</v>
      </c>
      <c r="P649" s="325">
        <f t="shared" ca="1" si="244"/>
        <v>395.9</v>
      </c>
      <c r="Q649" s="325">
        <f t="shared" ca="1" si="244"/>
        <v>316.89999999999998</v>
      </c>
      <c r="R649" s="325">
        <f t="shared" ca="1" si="244"/>
        <v>350.07908868360471</v>
      </c>
      <c r="S649" s="325">
        <f t="shared" ca="1" si="244"/>
        <v>266.84862189134367</v>
      </c>
      <c r="T649" s="325">
        <f t="shared" ca="1" si="244"/>
        <v>147.23097008138498</v>
      </c>
      <c r="U649" s="325">
        <f t="shared" ca="1" si="244"/>
        <v>106.17508376899258</v>
      </c>
      <c r="V649" s="325">
        <f t="shared" ca="1" si="244"/>
        <v>65.119197456600176</v>
      </c>
      <c r="W649" s="325">
        <f t="shared" ca="1" si="244"/>
        <v>24.063311144207773</v>
      </c>
    </row>
    <row r="650" spans="1:23" hidden="1" outlineLevel="2">
      <c r="A650" s="58"/>
      <c r="B650" s="58"/>
      <c r="C650" s="700" t="s">
        <v>314</v>
      </c>
      <c r="D650" s="352"/>
      <c r="E650" s="352"/>
      <c r="F650" s="58"/>
      <c r="G650" s="58"/>
      <c r="H650" s="58"/>
      <c r="I650" s="58"/>
      <c r="J650" s="58"/>
      <c r="K650" s="58"/>
      <c r="M650" s="353">
        <f t="shared" ref="M650" ca="1" si="245">M$576</f>
        <v>162.61499719859438</v>
      </c>
      <c r="N650" s="353">
        <f t="shared" ref="N650:W650" ca="1" si="246">N$576</f>
        <v>163</v>
      </c>
      <c r="O650" s="353">
        <f t="shared" ca="1" si="246"/>
        <v>155</v>
      </c>
      <c r="P650" s="353">
        <f t="shared" ca="1" si="246"/>
        <v>135</v>
      </c>
      <c r="Q650" s="353">
        <f t="shared" ca="1" si="246"/>
        <v>114</v>
      </c>
      <c r="R650" s="353">
        <f t="shared" ca="1" si="246"/>
        <v>92</v>
      </c>
      <c r="S650" s="353">
        <f t="shared" ca="1" si="246"/>
        <v>0</v>
      </c>
      <c r="T650" s="353">
        <f t="shared" ca="1" si="246"/>
        <v>0</v>
      </c>
      <c r="U650" s="353">
        <f t="shared" ca="1" si="246"/>
        <v>0</v>
      </c>
      <c r="V650" s="353">
        <f t="shared" ca="1" si="246"/>
        <v>0</v>
      </c>
      <c r="W650" s="353">
        <f t="shared" ca="1" si="246"/>
        <v>0</v>
      </c>
    </row>
    <row r="651" spans="1:23" s="54" customFormat="1" hidden="1" outlineLevel="2">
      <c r="A651" s="18"/>
      <c r="B651" s="18"/>
      <c r="C651" s="356" t="s">
        <v>19</v>
      </c>
      <c r="D651" s="356"/>
      <c r="E651" s="356"/>
      <c r="F651" s="18"/>
      <c r="G651" s="18"/>
      <c r="H651" s="18"/>
      <c r="I651" s="18"/>
      <c r="J651" s="18"/>
      <c r="K651" s="18"/>
      <c r="M651" s="701">
        <f t="shared" ref="M651:W651" ca="1" si="247">SUM(M$649:M$650)</f>
        <v>715.5059876738153</v>
      </c>
      <c r="N651" s="701">
        <f t="shared" ca="1" si="247"/>
        <v>693.2</v>
      </c>
      <c r="O651" s="701">
        <f t="shared" ca="1" si="247"/>
        <v>629.9</v>
      </c>
      <c r="P651" s="701">
        <f t="shared" ca="1" si="247"/>
        <v>530.9</v>
      </c>
      <c r="Q651" s="701">
        <f t="shared" ca="1" si="247"/>
        <v>430.9</v>
      </c>
      <c r="R651" s="701">
        <f t="shared" ca="1" si="247"/>
        <v>442.07908868360471</v>
      </c>
      <c r="S651" s="701">
        <f t="shared" ca="1" si="247"/>
        <v>266.84862189134367</v>
      </c>
      <c r="T651" s="701">
        <f t="shared" ca="1" si="247"/>
        <v>147.23097008138498</v>
      </c>
      <c r="U651" s="701">
        <f t="shared" ca="1" si="247"/>
        <v>106.17508376899258</v>
      </c>
      <c r="V651" s="701">
        <f t="shared" ca="1" si="247"/>
        <v>65.119197456600176</v>
      </c>
      <c r="W651" s="701">
        <f t="shared" ca="1" si="247"/>
        <v>24.063311144207773</v>
      </c>
    </row>
    <row r="652" spans="1:23" ht="7" hidden="1" customHeight="1" outlineLevel="2">
      <c r="A652" s="58"/>
      <c r="B652" s="58"/>
      <c r="C652" s="107"/>
      <c r="D652" s="107"/>
      <c r="E652" s="107"/>
      <c r="F652" s="58"/>
      <c r="G652" s="58"/>
      <c r="H652" s="58"/>
      <c r="I652" s="58"/>
      <c r="J652" s="58"/>
      <c r="K652" s="58"/>
      <c r="M652" s="325"/>
      <c r="N652" s="325"/>
      <c r="O652" s="325"/>
      <c r="P652" s="325"/>
      <c r="Q652" s="325"/>
      <c r="R652" s="325"/>
      <c r="S652" s="325"/>
      <c r="T652" s="325"/>
      <c r="U652" s="325"/>
      <c r="V652" s="325"/>
      <c r="W652" s="325"/>
    </row>
    <row r="653" spans="1:23" hidden="1" outlineLevel="2">
      <c r="A653" s="58"/>
      <c r="B653" s="58"/>
      <c r="C653" s="360" t="s">
        <v>315</v>
      </c>
      <c r="D653" s="107"/>
      <c r="E653" s="107"/>
      <c r="F653" s="58"/>
      <c r="G653" s="58"/>
      <c r="H653" s="58"/>
      <c r="I653" s="58"/>
      <c r="J653" s="58"/>
      <c r="K653" s="58"/>
      <c r="M653" s="325"/>
      <c r="N653" s="325"/>
      <c r="O653" s="325"/>
      <c r="P653" s="325"/>
      <c r="Q653" s="325"/>
      <c r="R653" s="325"/>
      <c r="S653" s="325"/>
      <c r="T653" s="325"/>
      <c r="U653" s="325"/>
      <c r="V653" s="325"/>
      <c r="W653" s="325"/>
    </row>
    <row r="654" spans="1:23" s="58" customFormat="1" hidden="1" outlineLevel="2">
      <c r="C654" s="107" t="s">
        <v>19</v>
      </c>
      <c r="D654" s="107"/>
      <c r="E654" s="107"/>
      <c r="M654" s="325">
        <f t="shared" ref="M654:W654" ca="1" si="248">M$575</f>
        <v>850</v>
      </c>
      <c r="N654" s="325">
        <f t="shared" ca="1" si="248"/>
        <v>850</v>
      </c>
      <c r="O654" s="325">
        <f t="shared" ca="1" si="248"/>
        <v>830</v>
      </c>
      <c r="P654" s="325">
        <f t="shared" ca="1" si="248"/>
        <v>806</v>
      </c>
      <c r="Q654" s="325">
        <f t="shared" ca="1" si="248"/>
        <v>781</v>
      </c>
      <c r="R654" s="325">
        <f t="shared" ca="1" si="248"/>
        <v>754</v>
      </c>
      <c r="S654" s="325">
        <f t="shared" ca="1" si="248"/>
        <v>726</v>
      </c>
      <c r="T654" s="325">
        <f t="shared" ca="1" si="248"/>
        <v>696</v>
      </c>
      <c r="U654" s="325">
        <f t="shared" ca="1" si="248"/>
        <v>664</v>
      </c>
      <c r="V654" s="325">
        <f t="shared" ca="1" si="248"/>
        <v>630</v>
      </c>
      <c r="W654" s="325">
        <f t="shared" ca="1" si="248"/>
        <v>594</v>
      </c>
    </row>
    <row r="655" spans="1:23" hidden="1" outlineLevel="2">
      <c r="A655" s="58"/>
      <c r="B655" s="58"/>
      <c r="C655" s="107"/>
      <c r="D655" s="107"/>
      <c r="E655" s="107"/>
      <c r="F655" s="58"/>
      <c r="G655" s="58"/>
      <c r="H655" s="58"/>
      <c r="I655" s="58"/>
      <c r="J655" s="58"/>
      <c r="K655" s="58"/>
      <c r="M655" s="325"/>
      <c r="N655" s="325"/>
      <c r="O655" s="325"/>
      <c r="P655" s="325"/>
      <c r="Q655" s="325"/>
      <c r="R655" s="325"/>
      <c r="S655" s="325"/>
      <c r="T655" s="326"/>
      <c r="U655" s="326"/>
      <c r="V655" s="326"/>
      <c r="W655" s="326"/>
    </row>
    <row r="656" spans="1:23" hidden="1" outlineLevel="2">
      <c r="A656" s="58"/>
      <c r="B656" s="58"/>
      <c r="C656" s="360" t="s">
        <v>211</v>
      </c>
      <c r="D656" s="355"/>
      <c r="E656" s="107"/>
      <c r="F656" s="58"/>
      <c r="G656" s="58"/>
      <c r="H656" s="58"/>
      <c r="I656" s="58"/>
      <c r="J656" s="58"/>
      <c r="K656" s="58"/>
      <c r="M656" s="325"/>
      <c r="N656" s="324"/>
      <c r="O656" s="325"/>
      <c r="P656" s="325"/>
      <c r="Q656" s="325"/>
      <c r="R656" s="325"/>
      <c r="S656" s="325"/>
      <c r="T656" s="326"/>
      <c r="U656" s="326"/>
      <c r="V656" s="326"/>
      <c r="W656" s="326"/>
    </row>
    <row r="657" spans="1:23" ht="3" hidden="1" customHeight="1" outlineLevel="2">
      <c r="A657" s="58"/>
      <c r="B657" s="58"/>
      <c r="C657" s="107"/>
      <c r="D657" s="107"/>
      <c r="E657" s="107"/>
      <c r="F657" s="58"/>
      <c r="G657" s="58"/>
      <c r="H657" s="58"/>
      <c r="I657" s="58"/>
      <c r="J657" s="58"/>
      <c r="K657" s="58"/>
      <c r="M657" s="324"/>
      <c r="N657" s="324"/>
      <c r="O657" s="325"/>
      <c r="P657" s="325"/>
      <c r="Q657" s="325"/>
      <c r="R657" s="325"/>
      <c r="S657" s="325"/>
      <c r="T657" s="326"/>
      <c r="U657" s="326"/>
      <c r="V657" s="326"/>
      <c r="W657" s="326"/>
    </row>
    <row r="658" spans="1:23" hidden="1" outlineLevel="2">
      <c r="A658" s="58"/>
      <c r="B658" s="58"/>
      <c r="C658" s="356" t="s">
        <v>297</v>
      </c>
      <c r="D658" s="107"/>
      <c r="E658" s="107"/>
      <c r="F658" s="58"/>
      <c r="G658" s="58"/>
      <c r="H658" s="58"/>
      <c r="I658" s="58"/>
      <c r="J658" s="58"/>
      <c r="K658" s="58"/>
      <c r="M658" s="729">
        <v>0</v>
      </c>
      <c r="N658" s="324">
        <f t="shared" ref="N658:W658" ca="1" si="249">-N$444/N$122</f>
        <v>55.289099047522086</v>
      </c>
      <c r="O658" s="324">
        <f t="shared" ca="1" si="249"/>
        <v>83.670360272558483</v>
      </c>
      <c r="P658" s="324">
        <f t="shared" ca="1" si="249"/>
        <v>122.44340902734095</v>
      </c>
      <c r="Q658" s="324">
        <f t="shared" ca="1" si="249"/>
        <v>125.15141569766679</v>
      </c>
      <c r="R658" s="324">
        <f t="shared" ca="1" si="249"/>
        <v>128.02817765876779</v>
      </c>
      <c r="S658" s="324">
        <f t="shared" ca="1" si="249"/>
        <v>170.06537931101198</v>
      </c>
      <c r="T658" s="324">
        <f t="shared" ca="1" si="249"/>
        <v>71.296072754785243</v>
      </c>
      <c r="U658" s="324">
        <f t="shared" ca="1" si="249"/>
        <v>73.196379086278299</v>
      </c>
      <c r="V658" s="324">
        <f t="shared" ca="1" si="249"/>
        <v>75.21610148553907</v>
      </c>
      <c r="W658" s="324">
        <f t="shared" ca="1" si="249"/>
        <v>77.362744109663026</v>
      </c>
    </row>
    <row r="659" spans="1:23" ht="4" hidden="1" customHeight="1" outlineLevel="2">
      <c r="A659" s="58"/>
      <c r="B659" s="58"/>
      <c r="C659" s="107"/>
      <c r="D659" s="107"/>
      <c r="E659" s="107"/>
      <c r="F659" s="58"/>
      <c r="G659" s="58"/>
      <c r="H659" s="58"/>
      <c r="I659" s="58"/>
      <c r="J659" s="58"/>
      <c r="K659" s="58"/>
      <c r="M659" s="324"/>
      <c r="N659" s="324"/>
      <c r="O659" s="325"/>
      <c r="P659" s="325"/>
      <c r="Q659" s="325"/>
      <c r="R659" s="325"/>
      <c r="S659" s="325"/>
      <c r="T659" s="325"/>
      <c r="U659" s="325"/>
      <c r="V659" s="325"/>
      <c r="W659" s="325"/>
    </row>
    <row r="660" spans="1:23" hidden="1" outlineLevel="2">
      <c r="A660" s="58"/>
      <c r="B660" s="58"/>
      <c r="C660" s="356" t="s">
        <v>296</v>
      </c>
      <c r="D660" s="356"/>
      <c r="E660" s="360"/>
      <c r="F660" s="58"/>
      <c r="G660" s="58"/>
      <c r="H660" s="58"/>
      <c r="I660" s="58"/>
      <c r="J660" s="58"/>
      <c r="K660" s="58"/>
      <c r="M660" s="174"/>
      <c r="N660" s="174"/>
      <c r="O660" s="325"/>
      <c r="P660" s="325"/>
      <c r="Q660" s="325"/>
      <c r="R660" s="325"/>
      <c r="S660" s="325"/>
      <c r="T660" s="325"/>
      <c r="U660" s="325"/>
      <c r="V660" s="325"/>
      <c r="W660" s="325"/>
    </row>
    <row r="661" spans="1:23" hidden="1" outlineLevel="2">
      <c r="A661" s="58"/>
      <c r="B661" s="58"/>
      <c r="C661" s="354" t="s">
        <v>238</v>
      </c>
      <c r="D661" s="107"/>
      <c r="E661" s="107"/>
      <c r="F661" s="58"/>
      <c r="G661" s="58"/>
      <c r="H661" s="58"/>
      <c r="I661" s="58"/>
      <c r="J661" s="58"/>
      <c r="K661" s="58"/>
      <c r="M661" s="299">
        <v>0</v>
      </c>
      <c r="N661" s="324">
        <f t="shared" ref="N661:W661" ca="1" si="250">-SUM(N$527,N$536)/N$122</f>
        <v>55.289099047522086</v>
      </c>
      <c r="O661" s="324">
        <f t="shared" ca="1" si="250"/>
        <v>55.289099047522086</v>
      </c>
      <c r="P661" s="324">
        <f t="shared" ca="1" si="250"/>
        <v>78.984427210745835</v>
      </c>
      <c r="Q661" s="324">
        <f t="shared" ca="1" si="250"/>
        <v>78.984427210745835</v>
      </c>
      <c r="R661" s="324">
        <f t="shared" ca="1" si="250"/>
        <v>78.984427210745835</v>
      </c>
      <c r="S661" s="324">
        <f t="shared" ca="1" si="250"/>
        <v>49.613143606222636</v>
      </c>
      <c r="T661" s="324">
        <f t="shared" ca="1" si="250"/>
        <v>41.055886312392403</v>
      </c>
      <c r="U661" s="324">
        <f t="shared" ca="1" si="250"/>
        <v>41.055886312392403</v>
      </c>
      <c r="V661" s="324">
        <f t="shared" ca="1" si="250"/>
        <v>41.055886312392403</v>
      </c>
      <c r="W661" s="324">
        <f t="shared" ca="1" si="250"/>
        <v>41.055886312392403</v>
      </c>
    </row>
    <row r="662" spans="1:23" hidden="1" outlineLevel="2">
      <c r="A662" s="58"/>
      <c r="B662" s="58"/>
      <c r="C662" s="354" t="s">
        <v>289</v>
      </c>
      <c r="D662" s="107"/>
      <c r="E662" s="107"/>
      <c r="F662" s="58"/>
      <c r="G662" s="58"/>
      <c r="H662" s="58"/>
      <c r="I662" s="58"/>
      <c r="J662" s="58"/>
      <c r="K662" s="58"/>
      <c r="M662" s="299">
        <v>0</v>
      </c>
      <c r="N662" s="324">
        <f t="shared" ref="N662:W662" ca="1" si="251">-SUM(N$551:N$552)/N$122</f>
        <v>0</v>
      </c>
      <c r="O662" s="324">
        <f t="shared" ca="1" si="251"/>
        <v>7.890991656636988</v>
      </c>
      <c r="P662" s="324">
        <f t="shared" ca="1" si="251"/>
        <v>19.760954374506248</v>
      </c>
      <c r="Q662" s="324">
        <f t="shared" ca="1" si="251"/>
        <v>20.97976680068</v>
      </c>
      <c r="R662" s="324">
        <f t="shared" ca="1" si="251"/>
        <v>22.273752910373418</v>
      </c>
      <c r="S662" s="324">
        <f t="shared" ca="1" si="251"/>
        <v>92</v>
      </c>
      <c r="T662" s="324">
        <f t="shared" ca="1" si="251"/>
        <v>0</v>
      </c>
      <c r="U662" s="324">
        <f t="shared" ca="1" si="251"/>
        <v>0</v>
      </c>
      <c r="V662" s="324">
        <f t="shared" ca="1" si="251"/>
        <v>0</v>
      </c>
      <c r="W662" s="324">
        <f t="shared" ca="1" si="251"/>
        <v>0</v>
      </c>
    </row>
    <row r="663" spans="1:23" hidden="1" outlineLevel="2">
      <c r="A663" s="58"/>
      <c r="B663" s="58"/>
      <c r="C663" s="357" t="s">
        <v>26</v>
      </c>
      <c r="D663" s="349"/>
      <c r="E663" s="349"/>
      <c r="F663" s="58"/>
      <c r="G663" s="58"/>
      <c r="H663" s="58"/>
      <c r="I663" s="58"/>
      <c r="J663" s="58"/>
      <c r="K663" s="58"/>
      <c r="L663"/>
      <c r="M663" s="358">
        <f t="shared" ref="M663" si="252">SUM(M$661:M$662)</f>
        <v>0</v>
      </c>
      <c r="N663" s="358">
        <f t="shared" ref="N663:W663" ca="1" si="253">SUM(N$661:N$662)</f>
        <v>55.289099047522086</v>
      </c>
      <c r="O663" s="358">
        <f t="shared" ca="1" si="253"/>
        <v>63.18009070415907</v>
      </c>
      <c r="P663" s="358">
        <f t="shared" ca="1" si="253"/>
        <v>98.74538158525209</v>
      </c>
      <c r="Q663" s="358">
        <f t="shared" ca="1" si="253"/>
        <v>99.964194011425832</v>
      </c>
      <c r="R663" s="358">
        <f t="shared" ca="1" si="253"/>
        <v>101.25818012111925</v>
      </c>
      <c r="S663" s="358">
        <f t="shared" ca="1" si="253"/>
        <v>141.61314360622265</v>
      </c>
      <c r="T663" s="358">
        <f t="shared" ca="1" si="253"/>
        <v>41.055886312392403</v>
      </c>
      <c r="U663" s="358">
        <f t="shared" ca="1" si="253"/>
        <v>41.055886312392403</v>
      </c>
      <c r="V663" s="358">
        <f t="shared" ca="1" si="253"/>
        <v>41.055886312392403</v>
      </c>
      <c r="W663" s="358">
        <f t="shared" ca="1" si="253"/>
        <v>41.055886312392403</v>
      </c>
    </row>
    <row r="664" spans="1:23" ht="7" hidden="1" customHeight="1" outlineLevel="1">
      <c r="A664" s="58"/>
      <c r="B664" s="58"/>
      <c r="C664" s="107"/>
      <c r="D664" s="107"/>
      <c r="E664" s="107"/>
      <c r="F664" s="58"/>
      <c r="G664" s="58"/>
      <c r="H664" s="58"/>
      <c r="I664" s="58"/>
      <c r="J664" s="58"/>
      <c r="K664" s="58"/>
      <c r="M664" s="58"/>
      <c r="N664" s="106"/>
      <c r="O664" s="106"/>
      <c r="P664" s="106"/>
      <c r="Q664" s="106"/>
      <c r="R664" s="106"/>
      <c r="S664" s="106"/>
    </row>
    <row r="665" spans="1:23" hidden="1" outlineLevel="1" collapsed="1">
      <c r="B665" s="58"/>
      <c r="C665" s="391" t="s">
        <v>254</v>
      </c>
      <c r="D665" s="389"/>
      <c r="E665" s="389"/>
      <c r="F665" s="389"/>
      <c r="G665" s="389"/>
      <c r="H665" s="389"/>
      <c r="I665" s="389"/>
      <c r="J665" s="389"/>
      <c r="K665" s="389"/>
      <c r="L665" s="389"/>
      <c r="M665" s="389"/>
      <c r="N665" s="389"/>
      <c r="O665" s="389"/>
      <c r="P665" s="389"/>
      <c r="Q665" s="389"/>
      <c r="R665" s="389"/>
      <c r="S665" s="389"/>
      <c r="T665" s="389"/>
      <c r="U665" s="389"/>
      <c r="V665" s="389"/>
      <c r="W665" s="392"/>
    </row>
    <row r="666" spans="1:23" ht="6" hidden="1" customHeight="1" outlineLevel="2">
      <c r="A666" s="58"/>
    </row>
    <row r="667" spans="1:23" ht="14.5" hidden="1" customHeight="1" outlineLevel="2">
      <c r="A667" s="58"/>
      <c r="C667" s="54" t="s">
        <v>298</v>
      </c>
      <c r="D667" s="54"/>
    </row>
    <row r="668" spans="1:23" hidden="1" outlineLevel="2">
      <c r="A668" s="58"/>
      <c r="C668" s="279" t="s">
        <v>223</v>
      </c>
      <c r="E668"/>
      <c r="M668" s="102"/>
      <c r="N668" s="324">
        <f t="shared" ref="N668:W668" ca="1" si="254">(SUMPRODUCT($E$56:$E$60,N$610:N$614)+N$608)/N$122</f>
        <v>85.131738858065518</v>
      </c>
      <c r="O668" s="324">
        <f t="shared" ca="1" si="254"/>
        <v>82.130314999999996</v>
      </c>
      <c r="P668" s="324">
        <f t="shared" ca="1" si="254"/>
        <v>76.669820000000001</v>
      </c>
      <c r="Q668" s="324">
        <f t="shared" ca="1" si="254"/>
        <v>70.330169999999995</v>
      </c>
      <c r="R668" s="324">
        <f t="shared" ca="1" si="254"/>
        <v>66.983794938799122</v>
      </c>
      <c r="S668" s="324">
        <f t="shared" ca="1" si="254"/>
        <v>65.520908813459755</v>
      </c>
      <c r="T668" s="324">
        <f t="shared" ca="1" si="254"/>
        <v>59.219666023933499</v>
      </c>
      <c r="U668" s="324">
        <f t="shared" ca="1" si="254"/>
        <v>51.684242154015102</v>
      </c>
      <c r="V668" s="324">
        <f t="shared" ca="1" si="254"/>
        <v>46.383471249023714</v>
      </c>
      <c r="W668" s="324">
        <f t="shared" ca="1" si="254"/>
        <v>40.960500344032319</v>
      </c>
    </row>
    <row r="669" spans="1:23" hidden="1" outlineLevel="2">
      <c r="A669" s="58"/>
      <c r="C669" s="279" t="s">
        <v>290</v>
      </c>
      <c r="E669"/>
      <c r="M669" s="102"/>
      <c r="N669" s="324">
        <f t="shared" ref="N669:W669" ca="1" si="255">N$614/N$122</f>
        <v>9.7684499159578309</v>
      </c>
      <c r="O669" s="324">
        <f t="shared" ca="1" si="255"/>
        <v>9.5399999999999991</v>
      </c>
      <c r="P669" s="324">
        <f t="shared" ca="1" si="255"/>
        <v>8.6999999999999993</v>
      </c>
      <c r="Q669" s="324">
        <f t="shared" ca="1" si="255"/>
        <v>7.47</v>
      </c>
      <c r="R669" s="324">
        <f t="shared" ca="1" si="255"/>
        <v>6.18</v>
      </c>
      <c r="S669" s="324">
        <f t="shared" ca="1" si="255"/>
        <v>2.76</v>
      </c>
      <c r="T669" s="324">
        <f t="shared" ca="1" si="255"/>
        <v>0</v>
      </c>
      <c r="U669" s="324">
        <f t="shared" ca="1" si="255"/>
        <v>0</v>
      </c>
      <c r="V669" s="324">
        <f t="shared" ca="1" si="255"/>
        <v>0</v>
      </c>
      <c r="W669" s="324">
        <f t="shared" ca="1" si="255"/>
        <v>0</v>
      </c>
    </row>
    <row r="670" spans="1:23" hidden="1" outlineLevel="2">
      <c r="A670" s="58"/>
      <c r="B670" s="58"/>
      <c r="C670" s="359" t="s">
        <v>299</v>
      </c>
      <c r="D670" s="165"/>
      <c r="E670"/>
      <c r="F670" s="58"/>
      <c r="G670" s="58"/>
      <c r="H670" s="58"/>
      <c r="I670" s="58"/>
      <c r="J670" s="58"/>
      <c r="K670" s="58"/>
      <c r="M670" s="58"/>
      <c r="N670" s="358">
        <f t="shared" ref="N670:W670" ca="1" si="256">SUM(N$668:N$669)</f>
        <v>94.900188774023349</v>
      </c>
      <c r="O670" s="358">
        <f t="shared" ca="1" si="256"/>
        <v>91.670314999999988</v>
      </c>
      <c r="P670" s="358">
        <f t="shared" ca="1" si="256"/>
        <v>85.369820000000004</v>
      </c>
      <c r="Q670" s="358">
        <f t="shared" ca="1" si="256"/>
        <v>77.800169999999994</v>
      </c>
      <c r="R670" s="358">
        <f t="shared" ca="1" si="256"/>
        <v>73.163794938799128</v>
      </c>
      <c r="S670" s="358">
        <f t="shared" ca="1" si="256"/>
        <v>68.28090881345976</v>
      </c>
      <c r="T670" s="358">
        <f t="shared" ca="1" si="256"/>
        <v>59.219666023933499</v>
      </c>
      <c r="U670" s="358">
        <f t="shared" ca="1" si="256"/>
        <v>51.684242154015102</v>
      </c>
      <c r="V670" s="358">
        <f t="shared" ca="1" si="256"/>
        <v>46.383471249023714</v>
      </c>
      <c r="W670" s="358">
        <f t="shared" ca="1" si="256"/>
        <v>40.960500344032319</v>
      </c>
    </row>
    <row r="671" spans="1:23" ht="5.5" hidden="1" customHeight="1" outlineLevel="2">
      <c r="A671" s="58"/>
      <c r="B671" s="58"/>
      <c r="C671" s="361"/>
      <c r="D671" s="69"/>
      <c r="E671"/>
      <c r="F671" s="58"/>
      <c r="G671" s="58"/>
      <c r="H671" s="58"/>
      <c r="I671" s="58"/>
      <c r="J671" s="58"/>
      <c r="K671" s="58"/>
      <c r="M671" s="58"/>
      <c r="N671" s="95"/>
      <c r="O671" s="95"/>
      <c r="P671" s="95"/>
      <c r="Q671" s="95"/>
      <c r="R671" s="95"/>
      <c r="S671" s="95"/>
      <c r="T671" s="95"/>
      <c r="U671" s="95"/>
      <c r="V671" s="95"/>
      <c r="W671" s="95"/>
    </row>
    <row r="672" spans="1:23" hidden="1" outlineLevel="2">
      <c r="A672" s="58"/>
      <c r="B672" s="58"/>
      <c r="C672" s="54" t="s">
        <v>300</v>
      </c>
      <c r="D672" s="54"/>
      <c r="E672"/>
      <c r="F672" s="58"/>
      <c r="G672" s="58"/>
      <c r="H672" s="58"/>
      <c r="I672" s="58"/>
      <c r="J672" s="58"/>
      <c r="K672" s="58"/>
      <c r="M672" s="58"/>
      <c r="N672" s="95"/>
      <c r="O672" s="95"/>
      <c r="P672" s="95"/>
      <c r="Q672" s="95"/>
      <c r="R672" s="95"/>
      <c r="S672" s="95"/>
      <c r="T672" s="95"/>
      <c r="U672" s="95"/>
      <c r="V672" s="95"/>
      <c r="W672" s="95"/>
    </row>
    <row r="673" spans="1:24" hidden="1" outlineLevel="2">
      <c r="A673" s="58"/>
      <c r="B673" s="58"/>
      <c r="C673" s="279" t="s">
        <v>223</v>
      </c>
      <c r="E673"/>
      <c r="F673" s="58"/>
      <c r="G673" s="58"/>
      <c r="H673" s="58"/>
      <c r="I673" s="58"/>
      <c r="J673" s="58"/>
      <c r="K673" s="58"/>
      <c r="M673" s="58"/>
      <c r="N673" s="324">
        <f t="shared" ref="N673:W673" ca="1" si="257">SUM(N$608,N$610:N$612)/N$122</f>
        <v>33.196738858065522</v>
      </c>
      <c r="O673" s="324">
        <f t="shared" ca="1" si="257"/>
        <v>30.806315000000001</v>
      </c>
      <c r="P673" s="324">
        <f t="shared" ca="1" si="257"/>
        <v>26.690020000000001</v>
      </c>
      <c r="Q673" s="324">
        <f t="shared" ca="1" si="257"/>
        <v>21.84732</v>
      </c>
      <c r="R673" s="324">
        <f t="shared" ca="1" si="257"/>
        <v>20.089544938799129</v>
      </c>
      <c r="S673" s="324">
        <f t="shared" ca="1" si="257"/>
        <v>20.30690881345976</v>
      </c>
      <c r="T673" s="324">
        <f t="shared" ca="1" si="257"/>
        <v>15.777566023933494</v>
      </c>
      <c r="U673" s="324">
        <f t="shared" ca="1" si="257"/>
        <v>10.136242154015102</v>
      </c>
      <c r="V673" s="324">
        <f t="shared" ca="1" si="257"/>
        <v>6.8517712490237104</v>
      </c>
      <c r="W673" s="324">
        <f t="shared" ca="1" si="257"/>
        <v>3.5673003440323181</v>
      </c>
      <c r="X673" s="95"/>
    </row>
    <row r="674" spans="1:24" hidden="1" outlineLevel="2">
      <c r="A674" s="58"/>
      <c r="B674" s="58"/>
      <c r="C674" s="279" t="s">
        <v>290</v>
      </c>
      <c r="E674"/>
      <c r="F674" s="58"/>
      <c r="G674" s="58"/>
      <c r="H674" s="58"/>
      <c r="I674" s="58"/>
      <c r="J674" s="58"/>
      <c r="K674" s="58"/>
      <c r="M674" s="58"/>
      <c r="N674" s="324">
        <f t="shared" ref="N674:W674" ca="1" si="258">N$614/N$122</f>
        <v>9.7684499159578309</v>
      </c>
      <c r="O674" s="324">
        <f t="shared" ca="1" si="258"/>
        <v>9.5399999999999991</v>
      </c>
      <c r="P674" s="324">
        <f t="shared" ca="1" si="258"/>
        <v>8.6999999999999993</v>
      </c>
      <c r="Q674" s="324">
        <f t="shared" ca="1" si="258"/>
        <v>7.47</v>
      </c>
      <c r="R674" s="324">
        <f t="shared" ca="1" si="258"/>
        <v>6.18</v>
      </c>
      <c r="S674" s="324">
        <f t="shared" ca="1" si="258"/>
        <v>2.76</v>
      </c>
      <c r="T674" s="324">
        <f t="shared" ca="1" si="258"/>
        <v>0</v>
      </c>
      <c r="U674" s="324">
        <f t="shared" ca="1" si="258"/>
        <v>0</v>
      </c>
      <c r="V674" s="324">
        <f t="shared" ca="1" si="258"/>
        <v>0</v>
      </c>
      <c r="W674" s="324">
        <f t="shared" ca="1" si="258"/>
        <v>0</v>
      </c>
      <c r="X674" s="95"/>
    </row>
    <row r="675" spans="1:24" hidden="1" outlineLevel="2">
      <c r="A675" s="58"/>
      <c r="B675" s="58"/>
      <c r="C675" s="359" t="s">
        <v>299</v>
      </c>
      <c r="D675" s="165"/>
      <c r="E675"/>
      <c r="F675" s="58"/>
      <c r="G675" s="58"/>
      <c r="H675" s="58"/>
      <c r="I675" s="58"/>
      <c r="J675" s="58"/>
      <c r="K675" s="58"/>
      <c r="M675" s="58"/>
      <c r="N675" s="358">
        <f t="shared" ref="N675:W675" ca="1" si="259">SUM(N673:N674)</f>
        <v>42.965188774023353</v>
      </c>
      <c r="O675" s="358">
        <f t="shared" ca="1" si="259"/>
        <v>40.346315000000004</v>
      </c>
      <c r="P675" s="358">
        <f t="shared" ca="1" si="259"/>
        <v>35.39002</v>
      </c>
      <c r="Q675" s="358">
        <f t="shared" ca="1" si="259"/>
        <v>29.317319999999999</v>
      </c>
      <c r="R675" s="358">
        <f t="shared" ca="1" si="259"/>
        <v>26.269544938799129</v>
      </c>
      <c r="S675" s="358">
        <f t="shared" ca="1" si="259"/>
        <v>23.066908813459762</v>
      </c>
      <c r="T675" s="358">
        <f t="shared" ca="1" si="259"/>
        <v>15.777566023933494</v>
      </c>
      <c r="U675" s="358">
        <f t="shared" ca="1" si="259"/>
        <v>10.136242154015102</v>
      </c>
      <c r="V675" s="358">
        <f t="shared" ca="1" si="259"/>
        <v>6.8517712490237104</v>
      </c>
      <c r="W675" s="358">
        <f t="shared" ca="1" si="259"/>
        <v>3.5673003440323181</v>
      </c>
    </row>
    <row r="676" spans="1:24" hidden="1" outlineLevel="2">
      <c r="A676" s="58"/>
      <c r="B676" s="58"/>
      <c r="C676" s="69"/>
      <c r="D676" s="69"/>
      <c r="E676"/>
      <c r="F676" s="58"/>
      <c r="G676" s="58"/>
      <c r="H676" s="58"/>
      <c r="I676" s="58"/>
      <c r="J676" s="58"/>
      <c r="K676" s="58"/>
      <c r="M676" s="58"/>
      <c r="N676" s="95"/>
      <c r="O676" s="95"/>
      <c r="P676" s="95"/>
      <c r="Q676" s="95"/>
      <c r="R676" s="95"/>
      <c r="S676" s="95"/>
      <c r="T676" s="95"/>
      <c r="U676" s="95"/>
      <c r="V676" s="95"/>
      <c r="W676" s="95"/>
    </row>
    <row r="677" spans="1:24" hidden="1" outlineLevel="2">
      <c r="A677" s="58"/>
      <c r="B677" s="58"/>
      <c r="C677" s="362" t="s">
        <v>231</v>
      </c>
      <c r="D677" s="108"/>
      <c r="E677" s="108"/>
      <c r="F677" s="58"/>
      <c r="G677" s="58"/>
      <c r="H677" s="58"/>
      <c r="I677" s="58"/>
      <c r="J677" s="58"/>
      <c r="K677" s="58"/>
      <c r="M677" s="58"/>
      <c r="N677" s="324">
        <f t="shared" ref="N677:W677" ca="1" si="260">N$619/N$122</f>
        <v>0</v>
      </c>
      <c r="O677" s="324">
        <f t="shared" ca="1" si="260"/>
        <v>0</v>
      </c>
      <c r="P677" s="324">
        <f t="shared" ca="1" si="260"/>
        <v>0</v>
      </c>
      <c r="Q677" s="324">
        <f t="shared" ca="1" si="260"/>
        <v>0</v>
      </c>
      <c r="R677" s="324">
        <f t="shared" ca="1" si="260"/>
        <v>0</v>
      </c>
      <c r="S677" s="324">
        <f t="shared" ca="1" si="260"/>
        <v>0</v>
      </c>
      <c r="T677" s="324">
        <f t="shared" ca="1" si="260"/>
        <v>0</v>
      </c>
      <c r="U677" s="324">
        <f t="shared" ca="1" si="260"/>
        <v>0</v>
      </c>
      <c r="V677" s="324">
        <f t="shared" ca="1" si="260"/>
        <v>0</v>
      </c>
      <c r="W677" s="324">
        <f t="shared" ca="1" si="260"/>
        <v>0</v>
      </c>
    </row>
    <row r="678" spans="1:24" ht="10" hidden="1" customHeight="1" outlineLevel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M678" s="58"/>
      <c r="N678" s="58"/>
      <c r="O678" s="58"/>
      <c r="P678" s="58"/>
      <c r="Q678" s="58"/>
      <c r="R678" s="58"/>
      <c r="S678" s="58"/>
    </row>
    <row r="679" spans="1:24" outlineLevel="1">
      <c r="B679" s="58"/>
      <c r="C679" s="391" t="s">
        <v>61</v>
      </c>
      <c r="D679" s="389"/>
      <c r="E679" s="389"/>
      <c r="F679" s="389"/>
      <c r="G679" s="389"/>
      <c r="H679" s="389"/>
      <c r="I679" s="389"/>
      <c r="J679" s="389"/>
      <c r="K679" s="389"/>
      <c r="L679" s="389"/>
      <c r="M679" s="389"/>
      <c r="N679" s="389"/>
      <c r="O679" s="389"/>
      <c r="P679" s="389"/>
      <c r="Q679" s="389"/>
      <c r="R679" s="389"/>
      <c r="S679" s="389"/>
      <c r="T679" s="389"/>
      <c r="U679" s="389"/>
      <c r="V679" s="389"/>
      <c r="W679" s="392"/>
    </row>
    <row r="680" spans="1:24" s="3" customFormat="1" ht="6" customHeight="1" outlineLevel="2">
      <c r="A680" s="150"/>
    </row>
    <row r="681" spans="1:24" ht="16" outlineLevel="2">
      <c r="B681" s="58"/>
      <c r="C681" s="241" t="str">
        <f>units</f>
        <v>($ '000)</v>
      </c>
      <c r="D681" s="58"/>
      <c r="E681" s="58"/>
      <c r="F681" s="58"/>
      <c r="G681" s="58"/>
      <c r="H681" s="58"/>
      <c r="I681" s="58"/>
      <c r="J681" s="58"/>
      <c r="K681" s="58"/>
      <c r="L681" s="58"/>
      <c r="M681" s="743" t="s">
        <v>50</v>
      </c>
      <c r="N681" s="743" t="s">
        <v>180</v>
      </c>
      <c r="O681" s="740" t="str">
        <f>$O$124</f>
        <v>Fiscal Years Ending December 31</v>
      </c>
      <c r="P681" s="79"/>
      <c r="Q681" s="79"/>
      <c r="R681" s="79"/>
      <c r="S681" s="79"/>
      <c r="T681" s="76"/>
      <c r="U681" s="76"/>
      <c r="V681" s="76"/>
      <c r="W681" s="76"/>
    </row>
    <row r="682" spans="1:24" ht="15" outlineLevel="2" thickBot="1">
      <c r="A682" s="517"/>
      <c r="B682" s="748"/>
      <c r="C682" s="753"/>
      <c r="D682" s="748"/>
      <c r="E682" s="748"/>
      <c r="F682" s="748"/>
      <c r="G682" s="748"/>
      <c r="H682" s="748"/>
      <c r="I682" s="748"/>
      <c r="J682" s="748"/>
      <c r="K682" s="748"/>
      <c r="L682" s="748"/>
      <c r="M682" s="752">
        <f>$Q$15</f>
        <v>44775</v>
      </c>
      <c r="N682" s="752">
        <f>$Q$16</f>
        <v>44926</v>
      </c>
      <c r="O682" s="750">
        <f>O$126</f>
        <v>45291</v>
      </c>
      <c r="P682" s="750">
        <f t="shared" ref="P682:W682" si="261">EDATE(O682,12)</f>
        <v>45657</v>
      </c>
      <c r="Q682" s="750">
        <f t="shared" si="261"/>
        <v>46022</v>
      </c>
      <c r="R682" s="750">
        <f t="shared" si="261"/>
        <v>46387</v>
      </c>
      <c r="S682" s="750">
        <f t="shared" si="261"/>
        <v>46752</v>
      </c>
      <c r="T682" s="750">
        <f t="shared" si="261"/>
        <v>47118</v>
      </c>
      <c r="U682" s="750">
        <f t="shared" si="261"/>
        <v>47483</v>
      </c>
      <c r="V682" s="750">
        <f t="shared" si="261"/>
        <v>47848</v>
      </c>
      <c r="W682" s="750">
        <f t="shared" si="261"/>
        <v>48213</v>
      </c>
    </row>
    <row r="683" spans="1:24" s="3" customFormat="1" ht="7.5" customHeight="1" outlineLevel="2">
      <c r="A683" s="150"/>
      <c r="M683" s="78"/>
      <c r="N683" s="78"/>
      <c r="O683" s="79"/>
      <c r="P683" s="79"/>
      <c r="Q683" s="79"/>
      <c r="R683" s="79"/>
      <c r="S683" s="79"/>
      <c r="T683" s="79"/>
      <c r="U683" s="79"/>
      <c r="V683" s="79"/>
      <c r="W683" s="79"/>
    </row>
    <row r="684" spans="1:24" s="3" customFormat="1" ht="16" outlineLevel="2">
      <c r="A684" s="150"/>
      <c r="C684" s="293" t="s">
        <v>293</v>
      </c>
      <c r="K684" s="173" t="s">
        <v>73</v>
      </c>
    </row>
    <row r="685" spans="1:24" s="3" customFormat="1" ht="4" customHeight="1" outlineLevel="2">
      <c r="A685" s="150"/>
      <c r="C685" s="293"/>
      <c r="K685" s="173"/>
    </row>
    <row r="686" spans="1:24" outlineLevel="2">
      <c r="B686" s="58"/>
      <c r="C686" s="94" t="s">
        <v>295</v>
      </c>
      <c r="D686" s="58"/>
      <c r="E686" s="58"/>
      <c r="F686" s="58"/>
      <c r="G686" s="58"/>
      <c r="H686" s="58"/>
      <c r="I686" s="58"/>
      <c r="K686" s="1582">
        <v>1.25</v>
      </c>
      <c r="M686" s="58"/>
      <c r="N686" s="730">
        <f ca="1">N$630/(SUM(N$658,N$670,N$677))</f>
        <v>2.450841561606667</v>
      </c>
      <c r="O686" s="730">
        <f t="shared" ref="O686:W686" ca="1" si="262">O$630/(SUM(O$658,O$670,O$677))</f>
        <v>1.7673876853563721</v>
      </c>
      <c r="P686" s="730">
        <f t="shared" ca="1" si="262"/>
        <v>1.9334447418800993</v>
      </c>
      <c r="Q686" s="730">
        <f t="shared" ca="1" si="262"/>
        <v>2.1690754169758022</v>
      </c>
      <c r="R686" s="730">
        <f t="shared" ca="1" si="262"/>
        <v>1.7109298325964526</v>
      </c>
      <c r="S686" s="730">
        <f t="shared" ca="1" si="262"/>
        <v>2.2575518388687006</v>
      </c>
      <c r="T686" s="730">
        <f t="shared" ca="1" si="262"/>
        <v>4.3730704374996971</v>
      </c>
      <c r="U686" s="730">
        <f t="shared" ca="1" si="262"/>
        <v>4.370445479840984</v>
      </c>
      <c r="V686" s="730">
        <f t="shared" ca="1" si="262"/>
        <v>5.2084866241969836</v>
      </c>
      <c r="W686" s="730">
        <f t="shared" ca="1" si="262"/>
        <v>5.6156530390714554</v>
      </c>
    </row>
    <row r="687" spans="1:24" s="289" customFormat="1" outlineLevel="2">
      <c r="A687" s="287"/>
      <c r="B687" s="239"/>
      <c r="C687" s="229" t="s">
        <v>21</v>
      </c>
      <c r="D687" s="239"/>
      <c r="E687" s="239"/>
      <c r="F687" s="239"/>
      <c r="G687" s="239"/>
      <c r="H687" s="239"/>
      <c r="I687" s="239"/>
      <c r="J687" s="288"/>
      <c r="M687" s="239"/>
      <c r="N687" s="731" t="b">
        <f t="shared" ref="N687:W687" ca="1" si="263">N$686&gt;=$K$686</f>
        <v>1</v>
      </c>
      <c r="O687" s="731" t="b">
        <f t="shared" ca="1" si="263"/>
        <v>1</v>
      </c>
      <c r="P687" s="731" t="b">
        <f t="shared" ca="1" si="263"/>
        <v>1</v>
      </c>
      <c r="Q687" s="731" t="b">
        <f t="shared" ca="1" si="263"/>
        <v>1</v>
      </c>
      <c r="R687" s="731" t="b">
        <f t="shared" ca="1" si="263"/>
        <v>1</v>
      </c>
      <c r="S687" s="731" t="b">
        <f t="shared" ca="1" si="263"/>
        <v>1</v>
      </c>
      <c r="T687" s="731" t="b">
        <f t="shared" ca="1" si="263"/>
        <v>1</v>
      </c>
      <c r="U687" s="731" t="b">
        <f t="shared" ca="1" si="263"/>
        <v>1</v>
      </c>
      <c r="V687" s="731" t="b">
        <f t="shared" ca="1" si="263"/>
        <v>1</v>
      </c>
      <c r="W687" s="731" t="b">
        <f t="shared" ca="1" si="263"/>
        <v>1</v>
      </c>
    </row>
    <row r="688" spans="1:24" s="289" customFormat="1" ht="11.5" customHeight="1" outlineLevel="2">
      <c r="A688" s="287"/>
      <c r="B688" s="239"/>
      <c r="C688" s="229"/>
      <c r="D688" s="239"/>
      <c r="E688" s="239"/>
      <c r="F688" s="239"/>
      <c r="G688" s="239"/>
      <c r="H688" s="239"/>
      <c r="I688" s="239"/>
      <c r="J688" s="288"/>
      <c r="M688" s="239"/>
      <c r="N688" s="468"/>
      <c r="O688" s="468"/>
      <c r="P688" s="468"/>
      <c r="Q688" s="468"/>
      <c r="R688" s="468"/>
      <c r="S688" s="468"/>
      <c r="T688" s="468"/>
      <c r="U688" s="468"/>
      <c r="V688" s="468"/>
      <c r="W688" s="468"/>
    </row>
    <row r="689" spans="1:23" s="285" customFormat="1" outlineLevel="2">
      <c r="A689" s="284"/>
      <c r="B689" s="212"/>
      <c r="C689" s="94" t="s">
        <v>477</v>
      </c>
      <c r="D689" s="212"/>
      <c r="E689" s="212"/>
      <c r="F689" s="212"/>
      <c r="G689" s="212"/>
      <c r="H689" s="212"/>
      <c r="I689" s="963"/>
      <c r="J689" s="1225"/>
      <c r="K689" s="1226"/>
      <c r="L689" s="1226"/>
      <c r="M689" s="212"/>
      <c r="N689" s="730">
        <f ca="1">SUM(N$630,N$635)/SUM(N$658,N$670,N$677)</f>
        <v>1.9788160363709053</v>
      </c>
      <c r="O689" s="730">
        <f ca="1">SUM(O$630,O$635)/SUM(O$658,O$670,O$677)</f>
        <v>1.3534683804328822</v>
      </c>
      <c r="P689" s="730">
        <f t="shared" ref="P689:W689" ca="1" si="264">SUM(P$630,P$635)/SUM(P$658,P$670,P$677)</f>
        <v>1.510947136735433</v>
      </c>
      <c r="Q689" s="730">
        <f t="shared" ca="1" si="264"/>
        <v>1.6326655620970867</v>
      </c>
      <c r="R689" s="730">
        <f t="shared" ca="1" si="264"/>
        <v>1.319901409129721</v>
      </c>
      <c r="S689" s="730">
        <f t="shared" ca="1" si="264"/>
        <v>1.8719732114279166</v>
      </c>
      <c r="T689" s="730">
        <f t="shared" ca="1" si="264"/>
        <v>3.2650461079718833</v>
      </c>
      <c r="U689" s="730">
        <f t="shared" ca="1" si="264"/>
        <v>3.5872738390920751</v>
      </c>
      <c r="V689" s="730">
        <f t="shared" ca="1" si="264"/>
        <v>4.5050520484374887</v>
      </c>
      <c r="W689" s="730">
        <f t="shared" ca="1" si="264"/>
        <v>4.8755714415794653</v>
      </c>
    </row>
    <row r="690" spans="1:23" s="285" customFormat="1" outlineLevel="2">
      <c r="A690" s="284"/>
      <c r="B690" s="212"/>
      <c r="C690" s="94" t="s">
        <v>732</v>
      </c>
      <c r="D690" s="212"/>
      <c r="E690" s="212"/>
      <c r="F690" s="212"/>
      <c r="G690" s="212"/>
      <c r="H690" s="212"/>
      <c r="I690" s="963"/>
      <c r="J690" s="1225"/>
      <c r="K690" s="1226"/>
      <c r="L690" s="1226"/>
      <c r="M690" s="212"/>
      <c r="N690" s="730">
        <f ca="1">SUM(N$630,N$635:N$636)/SUM(N$658,N$670,N$677)</f>
        <v>1.9942606077318485</v>
      </c>
      <c r="O690" s="730">
        <f t="shared" ref="O690:W690" ca="1" si="265">SUM(O$630,O$635:O$636)/SUM(O$658,O$670,O$677)</f>
        <v>1.3003109549936787</v>
      </c>
      <c r="P690" s="730">
        <f t="shared" ca="1" si="265"/>
        <v>1.509119939897839</v>
      </c>
      <c r="Q690" s="730">
        <f t="shared" ca="1" si="265"/>
        <v>1.619465322685014</v>
      </c>
      <c r="R690" s="730">
        <f t="shared" ca="1" si="265"/>
        <v>1.2832699863817456</v>
      </c>
      <c r="S690" s="730">
        <f t="shared" ca="1" si="265"/>
        <v>1.8403279892856701</v>
      </c>
      <c r="T690" s="730">
        <f t="shared" ca="1" si="265"/>
        <v>3.2059036042480393</v>
      </c>
      <c r="U690" s="730">
        <f t="shared" ca="1" si="265"/>
        <v>3.524016951909251</v>
      </c>
      <c r="V690" s="730">
        <f t="shared" ca="1" si="265"/>
        <v>4.4385698170178696</v>
      </c>
      <c r="W690" s="730">
        <f t="shared" ca="1" si="265"/>
        <v>4.8056521390028442</v>
      </c>
    </row>
    <row r="691" spans="1:23" s="285" customFormat="1" outlineLevel="2">
      <c r="A691" s="284"/>
      <c r="B691" s="212"/>
      <c r="C691" s="94" t="s">
        <v>724</v>
      </c>
      <c r="D691" s="965"/>
      <c r="E691" s="965"/>
      <c r="F691" s="965"/>
      <c r="G691" s="965"/>
      <c r="H691" s="212"/>
      <c r="I691" s="963"/>
      <c r="J691" s="1225"/>
      <c r="K691" s="1226"/>
      <c r="L691" s="1226"/>
      <c r="M691" s="212"/>
      <c r="N691" s="730">
        <f ca="1">SUM(N$630,N$634:N$636)/SUM(N$658,N$670,N$677)</f>
        <v>1.7624540314694925</v>
      </c>
      <c r="O691" s="730">
        <f t="shared" ref="O691:W691" ca="1" si="266">SUM(O$630,O$634:O$636)/SUM(O$658,O$670,O$677)</f>
        <v>1.3003109549936787</v>
      </c>
      <c r="P691" s="730">
        <f t="shared" ca="1" si="266"/>
        <v>1.509119939897839</v>
      </c>
      <c r="Q691" s="730">
        <f t="shared" ca="1" si="266"/>
        <v>1.5247410775992605</v>
      </c>
      <c r="R691" s="730">
        <f t="shared" ca="1" si="266"/>
        <v>1.2832699863817456</v>
      </c>
      <c r="S691" s="730">
        <f t="shared" ca="1" si="266"/>
        <v>1.6345596538374261</v>
      </c>
      <c r="T691" s="730">
        <f t="shared" ca="1" si="266"/>
        <v>2.7399430831318323</v>
      </c>
      <c r="U691" s="730">
        <f t="shared" ca="1" si="266"/>
        <v>3.0601223640491204</v>
      </c>
      <c r="V691" s="730">
        <f t="shared" ca="1" si="266"/>
        <v>3.6413641552673623</v>
      </c>
      <c r="W691" s="730">
        <f t="shared" ca="1" si="266"/>
        <v>3.8011625564313665</v>
      </c>
    </row>
    <row r="692" spans="1:23" s="285" customFormat="1" outlineLevel="2">
      <c r="A692" s="284"/>
      <c r="B692" s="212"/>
      <c r="C692" s="94"/>
      <c r="D692" s="212"/>
      <c r="E692" s="212"/>
      <c r="F692" s="212"/>
      <c r="G692" s="212"/>
      <c r="H692" s="212"/>
      <c r="I692" s="963"/>
      <c r="J692" s="1225"/>
      <c r="K692" s="1226"/>
      <c r="L692" s="1226"/>
      <c r="M692" s="212"/>
      <c r="N692" s="478"/>
      <c r="O692" s="478"/>
      <c r="P692" s="478"/>
      <c r="Q692" s="478"/>
      <c r="R692" s="478"/>
      <c r="S692" s="478"/>
      <c r="T692" s="478"/>
      <c r="U692" s="478"/>
      <c r="V692" s="478"/>
      <c r="W692" s="478"/>
    </row>
    <row r="693" spans="1:23" s="289" customFormat="1" outlineLevel="2">
      <c r="A693" s="287"/>
      <c r="B693" s="239"/>
      <c r="C693" s="293" t="s">
        <v>294</v>
      </c>
      <c r="D693" s="239"/>
      <c r="E693" s="239"/>
      <c r="F693" s="239"/>
      <c r="G693" s="239"/>
      <c r="H693" s="239"/>
      <c r="I693" s="964"/>
      <c r="J693" s="288"/>
      <c r="K693" s="1227"/>
      <c r="L693" s="1227"/>
      <c r="M693" s="239"/>
      <c r="N693" s="468"/>
      <c r="O693" s="468"/>
      <c r="P693" s="468"/>
      <c r="Q693" s="468"/>
      <c r="R693" s="468"/>
      <c r="S693" s="468"/>
      <c r="T693" s="468"/>
      <c r="U693" s="468"/>
      <c r="V693" s="468"/>
      <c r="W693" s="468"/>
    </row>
    <row r="694" spans="1:23" s="289" customFormat="1" ht="4" customHeight="1" outlineLevel="2">
      <c r="A694" s="287"/>
      <c r="B694" s="239"/>
      <c r="C694" s="229"/>
      <c r="D694" s="239"/>
      <c r="E694" s="239"/>
      <c r="F694" s="239"/>
      <c r="G694" s="239"/>
      <c r="H694" s="239"/>
      <c r="I694" s="964"/>
      <c r="J694" s="288"/>
      <c r="K694" s="1227"/>
      <c r="L694" s="1227"/>
      <c r="M694" s="239"/>
      <c r="N694" s="468"/>
      <c r="O694" s="468"/>
      <c r="P694" s="468"/>
      <c r="Q694" s="468"/>
      <c r="R694" s="468"/>
      <c r="S694" s="468"/>
      <c r="T694" s="468"/>
      <c r="U694" s="468"/>
      <c r="V694" s="468"/>
      <c r="W694" s="468"/>
    </row>
    <row r="695" spans="1:23" s="289" customFormat="1" outlineLevel="2">
      <c r="A695" s="287"/>
      <c r="B695" s="239"/>
      <c r="C695" s="61" t="s">
        <v>721</v>
      </c>
      <c r="D695" s="239"/>
      <c r="E695" s="239"/>
      <c r="F695" s="239"/>
      <c r="G695" s="239"/>
      <c r="H695" s="239"/>
      <c r="I695" s="964"/>
      <c r="J695" s="288"/>
      <c r="K695" s="1227"/>
      <c r="L695" s="1227"/>
      <c r="M695" s="239"/>
      <c r="N695" s="730">
        <f ca="1">SUM(N$631,N$634,-N$677)/SUM(N$663,N$675)</f>
        <v>2.8547946229551959</v>
      </c>
      <c r="O695" s="730">
        <f t="shared" ref="O695:W695" ca="1" si="267">SUM(O$631,O$634,-O$677)/SUM(O$663,O$675)</f>
        <v>2.2987954501436696</v>
      </c>
      <c r="P695" s="730">
        <f t="shared" ca="1" si="267"/>
        <v>2.4458171397711852</v>
      </c>
      <c r="Q695" s="730">
        <f t="shared" ca="1" si="267"/>
        <v>2.6861390940198207</v>
      </c>
      <c r="R695" s="730">
        <f t="shared" ca="1" si="267"/>
        <v>2.1211122299897927</v>
      </c>
      <c r="S695" s="730">
        <f t="shared" ca="1" si="267"/>
        <v>2.5219220255538133</v>
      </c>
      <c r="T695" s="730">
        <f t="shared" ca="1" si="267"/>
        <v>7.6753142486630175</v>
      </c>
      <c r="U695" s="730">
        <f t="shared" ca="1" si="267"/>
        <v>8.0896767529485949</v>
      </c>
      <c r="V695" s="730">
        <f t="shared" ca="1" si="267"/>
        <v>9.6578537354642755</v>
      </c>
      <c r="W695" s="730">
        <f t="shared" ca="1" si="267"/>
        <v>10.574840694455798</v>
      </c>
    </row>
    <row r="696" spans="1:23" s="289" customFormat="1" outlineLevel="2">
      <c r="A696" s="287"/>
      <c r="B696" s="239"/>
      <c r="C696" s="61" t="s">
        <v>479</v>
      </c>
      <c r="D696" s="239"/>
      <c r="E696" s="239"/>
      <c r="F696" s="239"/>
      <c r="G696" s="239"/>
      <c r="H696" s="239"/>
      <c r="I696" s="964"/>
      <c r="J696" s="288"/>
      <c r="K696" s="1227"/>
      <c r="L696" s="1227"/>
      <c r="M696" s="239"/>
      <c r="N696" s="730">
        <f ca="1">SUM(N$631,-N$675,-N$677,N$634)/N$663</f>
        <v>4.2961565276557394</v>
      </c>
      <c r="O696" s="730">
        <f t="shared" ref="O696:W696" ca="1" si="268">SUM(O$631,-O$675,-O$677,O$634)/O$663</f>
        <v>3.1281961326693399</v>
      </c>
      <c r="P696" s="730">
        <f t="shared" ca="1" si="268"/>
        <v>2.9639932475688897</v>
      </c>
      <c r="Q696" s="730">
        <f t="shared" ca="1" si="268"/>
        <v>3.1806469512855831</v>
      </c>
      <c r="R696" s="730">
        <f t="shared" ca="1" si="268"/>
        <v>2.4119638735007309</v>
      </c>
      <c r="S696" s="730">
        <f t="shared" ca="1" si="268"/>
        <v>2.7698230020497774</v>
      </c>
      <c r="T696" s="730">
        <f t="shared" ca="1" si="268"/>
        <v>10.240603193770864</v>
      </c>
      <c r="U696" s="730">
        <f t="shared" ca="1" si="268"/>
        <v>9.8400391690654576</v>
      </c>
      <c r="V696" s="730">
        <f t="shared" ca="1" si="268"/>
        <v>11.102753325538425</v>
      </c>
      <c r="W696" s="730">
        <f t="shared" ca="1" si="268"/>
        <v>11.406787963685179</v>
      </c>
    </row>
    <row r="697" spans="1:23" s="289" customFormat="1" ht="9" customHeight="1" outlineLevel="2">
      <c r="A697" s="287"/>
      <c r="B697" s="239"/>
      <c r="C697" s="61"/>
      <c r="D697" s="239"/>
      <c r="E697" s="239"/>
      <c r="F697" s="239"/>
      <c r="G697" s="239"/>
      <c r="H697" s="239"/>
      <c r="I697" s="964"/>
      <c r="J697" s="288"/>
      <c r="K697" s="1227"/>
      <c r="L697" s="1227"/>
      <c r="M697" s="239"/>
      <c r="N697" s="732"/>
      <c r="O697" s="732"/>
      <c r="P697" s="732"/>
      <c r="Q697" s="732"/>
      <c r="R697" s="732"/>
      <c r="S697" s="732"/>
      <c r="T697" s="732"/>
      <c r="U697" s="732"/>
      <c r="V697" s="732"/>
      <c r="W697" s="732"/>
    </row>
    <row r="698" spans="1:23" s="289" customFormat="1" outlineLevel="2">
      <c r="A698" s="287"/>
      <c r="B698" s="239"/>
      <c r="C698" s="94" t="s">
        <v>478</v>
      </c>
      <c r="D698" s="212"/>
      <c r="E698" s="212"/>
      <c r="F698" s="212"/>
      <c r="G698" s="212"/>
      <c r="H698" s="239"/>
      <c r="I698" s="964"/>
      <c r="J698" s="288"/>
      <c r="K698" s="1227"/>
      <c r="L698" s="1227"/>
      <c r="M698" s="239"/>
      <c r="N698" s="730">
        <f ca="1">SUM(N$631,N$635)/SUM(N$663,N$675,N$677)</f>
        <v>2.4876013567123696</v>
      </c>
      <c r="O698" s="730">
        <f ca="1">SUM(O$631,O$635)/SUM(O$663,O$675,O$677)</f>
        <v>1.597748312073106</v>
      </c>
      <c r="P698" s="730">
        <f t="shared" ref="P698:W698" ca="1" si="269">SUM(P$631,P$635)/SUM(P$663,P$675,P$677)</f>
        <v>1.7912502577715186</v>
      </c>
      <c r="Q698" s="730">
        <f t="shared" ca="1" si="269"/>
        <v>1.9927623527836364</v>
      </c>
      <c r="R698" s="730">
        <f t="shared" ca="1" si="269"/>
        <v>1.5042128081423092</v>
      </c>
      <c r="S698" s="730">
        <f t="shared" ca="1" si="269"/>
        <v>2.2616772962542426</v>
      </c>
      <c r="T698" s="730">
        <f t="shared" ca="1" si="269"/>
        <v>6.2008405214290132</v>
      </c>
      <c r="U698" s="730">
        <f t="shared" ca="1" si="269"/>
        <v>7.3108164494805621</v>
      </c>
      <c r="V698" s="730">
        <f t="shared" ca="1" si="269"/>
        <v>9.8958642033471005</v>
      </c>
      <c r="W698" s="730">
        <f t="shared" ca="1" si="269"/>
        <v>11.275947293922842</v>
      </c>
    </row>
    <row r="699" spans="1:23" s="289" customFormat="1" outlineLevel="2">
      <c r="A699" s="287"/>
      <c r="B699" s="239"/>
      <c r="C699" s="94" t="s">
        <v>725</v>
      </c>
      <c r="D699" s="212"/>
      <c r="E699" s="212"/>
      <c r="F699" s="212"/>
      <c r="G699" s="212"/>
      <c r="H699" s="239"/>
      <c r="I699" s="964"/>
      <c r="J699" s="288"/>
      <c r="K699" s="1227"/>
      <c r="L699" s="1227"/>
      <c r="M699" s="239"/>
      <c r="N699" s="730">
        <f ca="1">SUM(N$631,N$635:N$636)/SUM(N$663,N$675,N$677)</f>
        <v>2.511209580076851</v>
      </c>
      <c r="O699" s="730">
        <f t="shared" ref="O699:W699" ca="1" si="270">SUM(O$631,O$635:O$636)/SUM(O$663,O$675,O$677)</f>
        <v>1.5077166065496317</v>
      </c>
      <c r="P699" s="730">
        <f t="shared" ca="1" si="270"/>
        <v>1.788419419153217</v>
      </c>
      <c r="Q699" s="730">
        <f t="shared" ca="1" si="270"/>
        <v>1.9720400589525771</v>
      </c>
      <c r="R699" s="730">
        <f t="shared" ca="1" si="270"/>
        <v>1.4464218595602827</v>
      </c>
      <c r="S699" s="730">
        <f t="shared" ca="1" si="270"/>
        <v>2.2158762345976868</v>
      </c>
      <c r="T699" s="730">
        <f t="shared" ca="1" si="270"/>
        <v>6.0650221389548777</v>
      </c>
      <c r="U699" s="730">
        <f t="shared" ca="1" si="270"/>
        <v>7.1565044564892579</v>
      </c>
      <c r="V699" s="730">
        <f t="shared" ca="1" si="270"/>
        <v>9.7271185090976502</v>
      </c>
      <c r="W699" s="730">
        <f t="shared" ca="1" si="270"/>
        <v>11.090548640202661</v>
      </c>
    </row>
    <row r="700" spans="1:23" s="289" customFormat="1" outlineLevel="2">
      <c r="A700" s="287"/>
      <c r="B700" s="239"/>
      <c r="C700" s="94" t="s">
        <v>726</v>
      </c>
      <c r="D700" s="212"/>
      <c r="E700" s="212"/>
      <c r="F700" s="212"/>
      <c r="G700" s="212"/>
      <c r="H700" s="239"/>
      <c r="I700" s="964"/>
      <c r="J700" s="288"/>
      <c r="K700" s="1227"/>
      <c r="L700" s="1227"/>
      <c r="M700" s="239"/>
      <c r="N700" s="730">
        <f ca="1">SUM(N$632,N$634:N$636)/SUM(N$663,N$675,N$677)</f>
        <v>1.8025409738898817</v>
      </c>
      <c r="O700" s="730">
        <f t="shared" ref="O700:W700" ca="1" si="271">SUM(O$632,O$634:O$636)/SUM(O$663,O$675,O$677)</f>
        <v>1.5077166065496317</v>
      </c>
      <c r="P700" s="730">
        <f t="shared" ca="1" si="271"/>
        <v>1.788419419153217</v>
      </c>
      <c r="Q700" s="730">
        <f t="shared" ca="1" si="271"/>
        <v>1.6746358106937107</v>
      </c>
      <c r="R700" s="730">
        <f t="shared" ca="1" si="271"/>
        <v>1.4464218595602827</v>
      </c>
      <c r="S700" s="730">
        <f t="shared" ca="1" si="271"/>
        <v>1.6202470949778787</v>
      </c>
      <c r="T700" s="730">
        <f t="shared" ca="1" si="271"/>
        <v>3.9249029255272032</v>
      </c>
      <c r="U700" s="730">
        <f t="shared" ca="1" si="271"/>
        <v>4.893209451672341</v>
      </c>
      <c r="V700" s="730">
        <f t="shared" ca="1" si="271"/>
        <v>5.6801718293873327</v>
      </c>
      <c r="W700" s="730">
        <f t="shared" ca="1" si="271"/>
        <v>5.763521355266124</v>
      </c>
    </row>
    <row r="701" spans="1:23" outlineLevel="1">
      <c r="B701" s="58"/>
      <c r="C701" s="94"/>
      <c r="D701" s="58"/>
      <c r="E701" s="58"/>
      <c r="F701" s="58"/>
      <c r="G701" s="58"/>
      <c r="H701" s="58"/>
      <c r="I701" s="58"/>
      <c r="J701" s="92"/>
      <c r="K701" s="58"/>
      <c r="M701" s="58"/>
      <c r="N701"/>
      <c r="O701"/>
      <c r="P701"/>
      <c r="Q701"/>
      <c r="R701"/>
      <c r="S701"/>
      <c r="T701"/>
      <c r="U701"/>
      <c r="V701"/>
      <c r="W701"/>
    </row>
    <row r="702" spans="1:23" outlineLevel="1">
      <c r="B702" s="58"/>
      <c r="C702" s="391" t="s">
        <v>60</v>
      </c>
      <c r="D702" s="389"/>
      <c r="E702" s="389"/>
      <c r="F702" s="389"/>
      <c r="G702" s="389"/>
      <c r="H702" s="389"/>
      <c r="I702" s="389"/>
      <c r="J702" s="389"/>
      <c r="K702" s="389"/>
      <c r="L702" s="389"/>
      <c r="M702" s="389"/>
      <c r="N702" s="389"/>
      <c r="O702" s="389"/>
      <c r="P702" s="389"/>
      <c r="Q702" s="389"/>
      <c r="R702" s="389"/>
      <c r="S702" s="389"/>
      <c r="T702" s="389"/>
      <c r="U702" s="389"/>
      <c r="V702" s="389"/>
      <c r="W702" s="392"/>
    </row>
    <row r="703" spans="1:23" ht="6" customHeight="1" outlineLevel="2">
      <c r="B703" s="58"/>
      <c r="E703" s="58"/>
      <c r="F703" s="58"/>
      <c r="G703" s="58"/>
      <c r="H703" s="58"/>
      <c r="I703" s="58"/>
    </row>
    <row r="704" spans="1:23" ht="16" outlineLevel="2">
      <c r="B704" s="58"/>
      <c r="C704" s="241" t="str">
        <f>units</f>
        <v>($ '000)</v>
      </c>
      <c r="D704" s="58"/>
      <c r="E704" s="58"/>
      <c r="F704" s="58"/>
      <c r="G704" s="58"/>
      <c r="H704" s="58"/>
      <c r="I704" s="58"/>
      <c r="J704" s="58"/>
      <c r="K704" s="58"/>
      <c r="L704" s="58"/>
      <c r="M704" s="743" t="s">
        <v>50</v>
      </c>
      <c r="N704" s="743" t="s">
        <v>180</v>
      </c>
      <c r="O704" s="740" t="str">
        <f>$O$124</f>
        <v>Fiscal Years Ending December 31</v>
      </c>
      <c r="P704" s="79"/>
      <c r="Q704" s="79"/>
      <c r="R704" s="79"/>
      <c r="S704" s="79"/>
      <c r="T704" s="76"/>
      <c r="U704" s="76"/>
      <c r="V704" s="76"/>
      <c r="W704" s="76"/>
    </row>
    <row r="705" spans="1:23" ht="15" outlineLevel="2" thickBot="1">
      <c r="A705" s="517"/>
      <c r="B705" s="748"/>
      <c r="C705" s="753"/>
      <c r="D705" s="748"/>
      <c r="E705" s="748"/>
      <c r="F705" s="748"/>
      <c r="G705" s="748"/>
      <c r="H705" s="748"/>
      <c r="I705" s="748"/>
      <c r="J705" s="748"/>
      <c r="K705" s="748"/>
      <c r="L705" s="748"/>
      <c r="M705" s="752">
        <f>$Q$15</f>
        <v>44775</v>
      </c>
      <c r="N705" s="752">
        <f>$Q$16</f>
        <v>44926</v>
      </c>
      <c r="O705" s="750">
        <f>O$126</f>
        <v>45291</v>
      </c>
      <c r="P705" s="750">
        <f t="shared" ref="P705:W705" si="272">EDATE(O705,12)</f>
        <v>45657</v>
      </c>
      <c r="Q705" s="750">
        <f t="shared" si="272"/>
        <v>46022</v>
      </c>
      <c r="R705" s="750">
        <f t="shared" si="272"/>
        <v>46387</v>
      </c>
      <c r="S705" s="750">
        <f t="shared" si="272"/>
        <v>46752</v>
      </c>
      <c r="T705" s="750">
        <f t="shared" si="272"/>
        <v>47118</v>
      </c>
      <c r="U705" s="750">
        <f t="shared" si="272"/>
        <v>47483</v>
      </c>
      <c r="V705" s="750">
        <f t="shared" si="272"/>
        <v>47848</v>
      </c>
      <c r="W705" s="750">
        <f t="shared" si="272"/>
        <v>48213</v>
      </c>
    </row>
    <row r="706" spans="1:23" ht="7.5" customHeight="1" outlineLevel="2">
      <c r="A706" s="517"/>
      <c r="B706" s="58"/>
      <c r="C706" s="18"/>
      <c r="D706" s="58"/>
      <c r="E706" s="58"/>
      <c r="F706" s="58"/>
      <c r="G706" s="58"/>
      <c r="H706" s="58"/>
      <c r="I706" s="58"/>
      <c r="J706" s="58"/>
      <c r="K706" s="58"/>
      <c r="L706" s="58"/>
      <c r="M706" s="720"/>
      <c r="N706" s="720"/>
      <c r="O706" s="747"/>
      <c r="P706" s="747"/>
      <c r="Q706" s="747"/>
      <c r="R706" s="747"/>
      <c r="S706" s="747"/>
      <c r="T706" s="747"/>
      <c r="U706" s="747"/>
      <c r="V706" s="747"/>
      <c r="W706" s="747"/>
    </row>
    <row r="707" spans="1:23" s="3" customFormat="1" ht="16" outlineLevel="2">
      <c r="A707" s="150"/>
      <c r="C707" s="293" t="s">
        <v>293</v>
      </c>
      <c r="K707" s="173" t="s">
        <v>73</v>
      </c>
    </row>
    <row r="708" spans="1:23" s="3" customFormat="1" ht="4" customHeight="1" outlineLevel="2">
      <c r="A708" s="150"/>
      <c r="C708" s="293"/>
      <c r="K708" s="57"/>
    </row>
    <row r="709" spans="1:23" outlineLevel="2">
      <c r="A709" s="58"/>
      <c r="B709" s="58"/>
      <c r="C709" s="58" t="s">
        <v>301</v>
      </c>
      <c r="E709" s="58"/>
      <c r="F709" s="58"/>
      <c r="G709" s="58"/>
      <c r="H709" s="58"/>
      <c r="I709" s="58"/>
      <c r="J709" s="58"/>
      <c r="K709" s="1582">
        <v>4</v>
      </c>
      <c r="M709" s="730">
        <f ca="1">IF((M$643/M$630)&lt;0,"NM",(M$643/M$630))</f>
        <v>4.2530504910220817</v>
      </c>
      <c r="N709" s="730">
        <f t="shared" ref="N709:W709" ca="1" si="273">IF((N$643/N$630)&lt;0,"NM",(N$643/N$630))</f>
        <v>4.1924512390384994</v>
      </c>
      <c r="O709" s="730">
        <f t="shared" ca="1" si="273"/>
        <v>4.710951239990484</v>
      </c>
      <c r="P709" s="730">
        <f t="shared" ca="1" si="273"/>
        <v>3.3273153868432921</v>
      </c>
      <c r="Q709" s="730">
        <f t="shared" ca="1" si="273"/>
        <v>2.752958624610518</v>
      </c>
      <c r="R709" s="730">
        <f t="shared" ca="1" si="273"/>
        <v>3.4746978851108254</v>
      </c>
      <c r="S709" s="730">
        <f t="shared" ca="1" si="273"/>
        <v>1.8451722432017106</v>
      </c>
      <c r="T709" s="730">
        <f t="shared" ca="1" si="273"/>
        <v>1.477396923170464</v>
      </c>
      <c r="U709" s="730">
        <f t="shared" ca="1" si="273"/>
        <v>1.4111354658551492</v>
      </c>
      <c r="V709" s="730">
        <f t="shared" ca="1" si="273"/>
        <v>1.0975281817767379</v>
      </c>
      <c r="W709" s="730">
        <f t="shared" ca="1" si="273"/>
        <v>0.93017064015344086</v>
      </c>
    </row>
    <row r="710" spans="1:23" s="285" customFormat="1" outlineLevel="2">
      <c r="A710" s="284"/>
      <c r="C710" s="229" t="s">
        <v>21</v>
      </c>
      <c r="M710" s="731" t="b">
        <f t="shared" ref="M710:W710" ca="1" si="274">M$709&lt;=$K$709</f>
        <v>0</v>
      </c>
      <c r="N710" s="731" t="b">
        <f t="shared" ca="1" si="274"/>
        <v>0</v>
      </c>
      <c r="O710" s="731" t="b">
        <f t="shared" ca="1" si="274"/>
        <v>0</v>
      </c>
      <c r="P710" s="731" t="b">
        <f t="shared" ca="1" si="274"/>
        <v>1</v>
      </c>
      <c r="Q710" s="731" t="b">
        <f t="shared" ca="1" si="274"/>
        <v>1</v>
      </c>
      <c r="R710" s="731" t="b">
        <f t="shared" ca="1" si="274"/>
        <v>1</v>
      </c>
      <c r="S710" s="731" t="b">
        <f t="shared" ca="1" si="274"/>
        <v>1</v>
      </c>
      <c r="T710" s="731" t="b">
        <f t="shared" ca="1" si="274"/>
        <v>1</v>
      </c>
      <c r="U710" s="731" t="b">
        <f t="shared" ca="1" si="274"/>
        <v>1</v>
      </c>
      <c r="V710" s="731" t="b">
        <f t="shared" ca="1" si="274"/>
        <v>1</v>
      </c>
      <c r="W710" s="731" t="b">
        <f t="shared" ca="1" si="274"/>
        <v>1</v>
      </c>
    </row>
    <row r="711" spans="1:23" ht="5.5" customHeight="1" outlineLevel="2">
      <c r="A711" s="58"/>
      <c r="B711" s="58"/>
      <c r="E711" s="58"/>
      <c r="F711" s="58"/>
      <c r="G711" s="58"/>
      <c r="H711" s="58"/>
      <c r="I711" s="58"/>
      <c r="J711" s="5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</row>
    <row r="712" spans="1:23" outlineLevel="2">
      <c r="A712" s="58"/>
      <c r="B712" s="58"/>
      <c r="C712" s="58" t="s">
        <v>302</v>
      </c>
      <c r="E712" s="58"/>
      <c r="F712" s="58"/>
      <c r="G712" s="58"/>
      <c r="H712" s="58"/>
      <c r="I712" s="58"/>
      <c r="J712" s="58"/>
      <c r="M712" s="730">
        <f ca="1">IF((M$646/M$630)&lt;0,"NM",(M$646/M$630))</f>
        <v>4.0492960567764316</v>
      </c>
      <c r="N712" s="730">
        <f t="shared" ref="N712:W712" ca="1" si="275">IF((N$646/N$630)&lt;0,"NM",(N$646/N$630))</f>
        <v>3.9162170558884659</v>
      </c>
      <c r="O712" s="730">
        <f t="shared" ca="1" si="275"/>
        <v>4.4445374674346407</v>
      </c>
      <c r="P712" s="730">
        <f t="shared" ca="1" si="275"/>
        <v>3.0413633639423767</v>
      </c>
      <c r="Q712" s="730">
        <f t="shared" ca="1" si="275"/>
        <v>2.4164406015901356</v>
      </c>
      <c r="R712" s="730">
        <f t="shared" ca="1" si="275"/>
        <v>3.2568173587736173</v>
      </c>
      <c r="S712" s="730">
        <f t="shared" ca="1" si="275"/>
        <v>1.7057875321905753</v>
      </c>
      <c r="T712" s="730">
        <f t="shared" ca="1" si="275"/>
        <v>1.2149312645277504</v>
      </c>
      <c r="U712" s="730">
        <f t="shared" ca="1" si="275"/>
        <v>0.79762500634991607</v>
      </c>
      <c r="V712" s="730">
        <f t="shared" ca="1" si="275"/>
        <v>0.16622955074379434</v>
      </c>
      <c r="W712" s="730" t="str">
        <f t="shared" ca="1" si="275"/>
        <v>NM</v>
      </c>
    </row>
    <row r="713" spans="1:23" outlineLevel="2">
      <c r="A713" s="58"/>
      <c r="B713" s="58"/>
      <c r="E713" s="58"/>
      <c r="F713" s="58"/>
      <c r="G713" s="58"/>
      <c r="H713" s="58"/>
      <c r="I713" s="58"/>
      <c r="J713" s="5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</row>
    <row r="714" spans="1:23" outlineLevel="2">
      <c r="A714" s="58"/>
      <c r="B714" s="58"/>
      <c r="C714" s="293" t="s">
        <v>294</v>
      </c>
      <c r="E714" s="58"/>
      <c r="F714" s="58"/>
      <c r="G714" s="58"/>
      <c r="H714" s="58"/>
      <c r="I714" s="58"/>
      <c r="J714" s="5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</row>
    <row r="715" spans="1:23" ht="4" customHeight="1" outlineLevel="2">
      <c r="A715" s="58"/>
      <c r="B715" s="58"/>
      <c r="E715" s="58"/>
      <c r="F715" s="58"/>
      <c r="G715" s="58"/>
      <c r="H715" s="58"/>
      <c r="I715" s="58"/>
      <c r="J715" s="5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</row>
    <row r="716" spans="1:23" outlineLevel="2">
      <c r="C716" s="58" t="s">
        <v>303</v>
      </c>
      <c r="M716" s="730">
        <f ca="1">IF((M$651/M$631)&lt;0,"NM",(M$651/M$631))</f>
        <v>2.2692095114775759</v>
      </c>
      <c r="N716" s="730">
        <f t="shared" ref="N716:W716" ca="1" si="276">IF((N$651/N$631)&lt;0,"NM",(N$651/N$631))</f>
        <v>2.1984666242560666</v>
      </c>
      <c r="O716" s="730">
        <f t="shared" ca="1" si="276"/>
        <v>2.6467940111224242</v>
      </c>
      <c r="P716" s="730">
        <f t="shared" ca="1" si="276"/>
        <v>1.6182489257857147</v>
      </c>
      <c r="Q716" s="730">
        <f t="shared" ca="1" si="276"/>
        <v>1.1757400873730151</v>
      </c>
      <c r="R716" s="730">
        <f t="shared" ca="1" si="276"/>
        <v>1.6342997406691986</v>
      </c>
      <c r="S716" s="730">
        <f t="shared" ca="1" si="276"/>
        <v>0.57466589944936652</v>
      </c>
      <c r="T716" s="730">
        <f t="shared" ca="1" si="276"/>
        <v>0.29622162209353325</v>
      </c>
      <c r="U716" s="730">
        <f t="shared" ca="1" si="276"/>
        <v>0.22491899361433471</v>
      </c>
      <c r="V716" s="730">
        <f t="shared" ca="1" si="276"/>
        <v>0.1163621986747831</v>
      </c>
      <c r="W716" s="730">
        <f t="shared" ca="1" si="276"/>
        <v>4.0734351278909953E-2</v>
      </c>
    </row>
    <row r="717" spans="1:23" outlineLevel="2">
      <c r="C717" s="58" t="s">
        <v>326</v>
      </c>
      <c r="M717" s="730">
        <f ca="1">IF((M$651/(M$631+M$635))&lt;0,"NM",(M$651/(M$631+M$635)))</f>
        <v>2.9273926318209078</v>
      </c>
      <c r="N717" s="730">
        <f t="shared" ref="N717:W717" ca="1" si="277">IF((N$651/(N$631+N$635))&lt;0,"NM",(N$651/(N$631+N$635)))</f>
        <v>2.8361308044054492</v>
      </c>
      <c r="O717" s="730">
        <f t="shared" ca="1" si="277"/>
        <v>3.8081329732973268</v>
      </c>
      <c r="P717" s="730">
        <f t="shared" ca="1" si="277"/>
        <v>2.2095968678475195</v>
      </c>
      <c r="Q717" s="730">
        <f t="shared" ca="1" si="277"/>
        <v>1.6725709700705649</v>
      </c>
      <c r="R717" s="730">
        <f t="shared" ca="1" si="277"/>
        <v>2.3045496944569464</v>
      </c>
      <c r="S717" s="730">
        <f t="shared" ca="1" si="277"/>
        <v>0.71646227756217862</v>
      </c>
      <c r="T717" s="730">
        <f t="shared" ca="1" si="277"/>
        <v>0.41777704495085127</v>
      </c>
      <c r="U717" s="730">
        <f t="shared" ca="1" si="277"/>
        <v>0.28369621719250321</v>
      </c>
      <c r="V717" s="730">
        <f t="shared" ca="1" si="277"/>
        <v>0.13735686686804938</v>
      </c>
      <c r="W717" s="730">
        <f t="shared" ca="1" si="277"/>
        <v>4.782354527371524E-2</v>
      </c>
    </row>
    <row r="718" spans="1:23" outlineLevel="2">
      <c r="C718" s="58" t="s">
        <v>304</v>
      </c>
      <c r="M718" s="730">
        <f ca="1">IF(((SUM(M$651,M$645))/M$631)&lt;0,"NM",((SUM(M$651,M$645))/M$631))</f>
        <v>2.0313488697880127</v>
      </c>
      <c r="N718" s="730">
        <f t="shared" ref="N718:W718" ca="1" si="278">IF(((SUM(N$651,N$645))/N$631)&lt;0,"NM",((SUM(N$651,N$645))/N$631))</f>
        <v>1.8759939364644296</v>
      </c>
      <c r="O718" s="730">
        <f t="shared" ca="1" si="278"/>
        <v>2.2998817043614816</v>
      </c>
      <c r="P718" s="730">
        <f t="shared" ca="1" si="278"/>
        <v>1.2680371619769777</v>
      </c>
      <c r="Q718" s="730">
        <f t="shared" ca="1" si="278"/>
        <v>0.77152710129509483</v>
      </c>
      <c r="R718" s="730">
        <f t="shared" ca="1" si="278"/>
        <v>1.3570360480679979</v>
      </c>
      <c r="S718" s="730">
        <f t="shared" ca="1" si="278"/>
        <v>0.41315132180896819</v>
      </c>
      <c r="T718" s="730" t="str">
        <f t="shared" ca="1" si="278"/>
        <v>NM</v>
      </c>
      <c r="U718" s="730" t="str">
        <f t="shared" ca="1" si="278"/>
        <v>NM</v>
      </c>
      <c r="V718" s="730" t="str">
        <f t="shared" ca="1" si="278"/>
        <v>NM</v>
      </c>
      <c r="W718" s="730" t="str">
        <f t="shared" ca="1" si="278"/>
        <v>NM</v>
      </c>
    </row>
    <row r="719" spans="1:23" outlineLevel="2">
      <c r="C719" s="58" t="s">
        <v>237</v>
      </c>
      <c r="M719" s="730">
        <f ca="1">IF((M$649/M$631)&lt;0,"NM",(M$649/M$631))</f>
        <v>1.7534800770508538</v>
      </c>
      <c r="N719" s="730">
        <f t="shared" ref="N719:W719" ca="1" si="279">IF((N$649/N$631)&lt;0,"NM",(N$649/N$631))</f>
        <v>1.6815161629840834</v>
      </c>
      <c r="O719" s="730">
        <f t="shared" ca="1" si="279"/>
        <v>1.9954952784283844</v>
      </c>
      <c r="P719" s="730">
        <f t="shared" ca="1" si="279"/>
        <v>1.2067522126927188</v>
      </c>
      <c r="Q719" s="730">
        <f t="shared" ca="1" si="279"/>
        <v>0.86468329934673593</v>
      </c>
      <c r="R719" s="730">
        <f t="shared" ca="1" si="279"/>
        <v>1.2941896110783924</v>
      </c>
      <c r="S719" s="730">
        <f t="shared" ca="1" si="279"/>
        <v>0.57466589944936652</v>
      </c>
      <c r="T719" s="730">
        <f t="shared" ca="1" si="279"/>
        <v>0.29622162209353325</v>
      </c>
      <c r="U719" s="730">
        <f t="shared" ca="1" si="279"/>
        <v>0.22491899361433471</v>
      </c>
      <c r="V719" s="730">
        <f t="shared" ca="1" si="279"/>
        <v>0.1163621986747831</v>
      </c>
      <c r="W719" s="730">
        <f t="shared" ca="1" si="279"/>
        <v>4.0734351278909953E-2</v>
      </c>
    </row>
    <row r="720" spans="1:23" outlineLevel="2">
      <c r="C720" s="58"/>
      <c r="M720"/>
      <c r="N720" s="172"/>
      <c r="O720" s="172"/>
      <c r="P720" s="172"/>
      <c r="Q720" s="172"/>
      <c r="R720" s="172"/>
      <c r="S720" s="172"/>
      <c r="T720" s="172"/>
      <c r="U720" s="172"/>
      <c r="V720" s="172"/>
      <c r="W720" s="172"/>
    </row>
    <row r="721" spans="1:23" ht="10.5" customHeight="1">
      <c r="B721" s="58"/>
      <c r="C721" s="73"/>
      <c r="D721" s="58"/>
      <c r="E721" s="58"/>
      <c r="F721" s="58"/>
      <c r="G721" s="58"/>
      <c r="H721" s="58"/>
      <c r="I721" s="58"/>
      <c r="J721" s="58"/>
      <c r="K721" s="58"/>
      <c r="M721" s="52"/>
      <c r="N721" s="52"/>
      <c r="O721" s="52"/>
      <c r="P721" s="52"/>
      <c r="Q721" s="52"/>
      <c r="R721" s="52"/>
      <c r="S721" s="52"/>
      <c r="T721" s="56"/>
      <c r="U721" s="56"/>
      <c r="V721" s="56"/>
      <c r="W721" s="56"/>
    </row>
    <row r="722" spans="1:23" s="58" customFormat="1">
      <c r="A722" s="52" t="s">
        <v>63</v>
      </c>
      <c r="C722" s="518" t="s">
        <v>172</v>
      </c>
      <c r="D722" s="247"/>
      <c r="E722" s="247"/>
      <c r="F722" s="247"/>
      <c r="G722" s="247"/>
      <c r="H722" s="247"/>
      <c r="I722" s="247"/>
      <c r="J722" s="247"/>
      <c r="K722" s="247"/>
      <c r="L722" s="247"/>
      <c r="M722" s="247"/>
      <c r="N722" s="247"/>
      <c r="O722" s="247"/>
      <c r="P722" s="247"/>
      <c r="Q722" s="247"/>
      <c r="R722" s="247"/>
      <c r="S722" s="247"/>
      <c r="T722" s="247"/>
      <c r="U722" s="247"/>
      <c r="V722" s="247"/>
      <c r="W722" s="247"/>
    </row>
    <row r="723" spans="1:23" ht="3.65" customHeight="1" outlineLevel="1"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</row>
    <row r="724" spans="1:23" ht="16" outlineLevel="1">
      <c r="B724" s="58"/>
      <c r="C724" s="241" t="str">
        <f>units</f>
        <v>($ '000)</v>
      </c>
      <c r="D724" s="58"/>
      <c r="E724" s="58"/>
      <c r="F724" s="58"/>
      <c r="G724" s="58"/>
      <c r="H724" s="58"/>
      <c r="I724" s="58"/>
      <c r="J724" s="58"/>
      <c r="K724" s="58"/>
      <c r="L724" s="58"/>
      <c r="M724" s="36"/>
      <c r="N724" s="743" t="str">
        <f>$N$124</f>
        <v>4 Months</v>
      </c>
      <c r="O724" s="740" t="str">
        <f>"Fiscal Years Ending "&amp;TEXT($Q$16,"mmmm dd")</f>
        <v>Fiscal Years Ending December 31</v>
      </c>
      <c r="P724" s="739"/>
      <c r="Q724" s="739"/>
      <c r="R724" s="739"/>
      <c r="S724" s="739"/>
      <c r="T724" s="739"/>
      <c r="U724" s="739"/>
      <c r="V724" s="739"/>
      <c r="W724" s="739"/>
    </row>
    <row r="725" spans="1:23" outlineLevel="1"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M725" s="80"/>
      <c r="N725" s="743">
        <v>1</v>
      </c>
      <c r="O725" s="746">
        <f>O$125</f>
        <v>2</v>
      </c>
      <c r="P725" s="746">
        <f t="shared" ref="P725:W725" si="280">P$125</f>
        <v>3</v>
      </c>
      <c r="Q725" s="746">
        <f t="shared" si="280"/>
        <v>4</v>
      </c>
      <c r="R725" s="746">
        <f t="shared" si="280"/>
        <v>5</v>
      </c>
      <c r="S725" s="746">
        <f t="shared" si="280"/>
        <v>6</v>
      </c>
      <c r="T725" s="746">
        <f t="shared" si="280"/>
        <v>7</v>
      </c>
      <c r="U725" s="746">
        <f t="shared" si="280"/>
        <v>8</v>
      </c>
      <c r="V725" s="746">
        <f t="shared" si="280"/>
        <v>9</v>
      </c>
      <c r="W725" s="746">
        <f t="shared" si="280"/>
        <v>10</v>
      </c>
    </row>
    <row r="726" spans="1:23" ht="15" outlineLevel="1" thickBot="1">
      <c r="B726" s="58"/>
      <c r="C726" s="748"/>
      <c r="D726" s="748"/>
      <c r="E726" s="748"/>
      <c r="F726" s="748"/>
      <c r="G726" s="748"/>
      <c r="H726" s="748"/>
      <c r="I726" s="748"/>
      <c r="J726" s="748"/>
      <c r="K726" s="748"/>
      <c r="L726" s="748"/>
      <c r="M726" s="748"/>
      <c r="N726" s="749">
        <f>$N$126</f>
        <v>44926</v>
      </c>
      <c r="O726" s="750">
        <f>O$126</f>
        <v>45291</v>
      </c>
      <c r="P726" s="750">
        <f t="shared" ref="P726:W726" si="281">P$126</f>
        <v>45657</v>
      </c>
      <c r="Q726" s="750">
        <f t="shared" si="281"/>
        <v>46022</v>
      </c>
      <c r="R726" s="750">
        <f t="shared" si="281"/>
        <v>46387</v>
      </c>
      <c r="S726" s="750">
        <f t="shared" si="281"/>
        <v>46752</v>
      </c>
      <c r="T726" s="750">
        <f t="shared" si="281"/>
        <v>47118</v>
      </c>
      <c r="U726" s="750">
        <f t="shared" si="281"/>
        <v>47483</v>
      </c>
      <c r="V726" s="750">
        <f t="shared" si="281"/>
        <v>47848</v>
      </c>
      <c r="W726" s="750">
        <f t="shared" si="281"/>
        <v>48213</v>
      </c>
    </row>
    <row r="727" spans="1:23" s="54" customFormat="1" ht="2.15" customHeight="1" outlineLevel="1">
      <c r="A727" s="36"/>
      <c r="B727" s="18"/>
      <c r="C727" s="73"/>
      <c r="D727" s="18"/>
      <c r="E727" s="18"/>
      <c r="F727" s="18"/>
      <c r="G727" s="18"/>
      <c r="H727" s="18"/>
      <c r="I727" s="18"/>
      <c r="J727" s="18"/>
      <c r="K727" s="18"/>
      <c r="M727" s="80"/>
      <c r="N727"/>
      <c r="O727"/>
      <c r="P727"/>
      <c r="Q727"/>
      <c r="R727"/>
      <c r="S727"/>
      <c r="T727"/>
      <c r="U727"/>
      <c r="V727"/>
      <c r="W727"/>
    </row>
    <row r="728" spans="1:23" s="110" customFormat="1" outlineLevel="1">
      <c r="A728" s="78"/>
      <c r="B728" s="109"/>
      <c r="C728" s="219" t="s">
        <v>115</v>
      </c>
      <c r="D728" s="109"/>
      <c r="E728" s="109"/>
      <c r="F728" s="363"/>
      <c r="G728" s="363"/>
      <c r="H728" s="109"/>
      <c r="I728" s="109"/>
      <c r="J728" s="109"/>
      <c r="K728" s="109"/>
      <c r="N728" s="757" t="b">
        <f t="shared" ref="N728:W728" si="282">exit_year=N$725</f>
        <v>0</v>
      </c>
      <c r="O728" s="758" t="b">
        <f t="shared" si="282"/>
        <v>0</v>
      </c>
      <c r="P728" s="758" t="b">
        <f t="shared" si="282"/>
        <v>0</v>
      </c>
      <c r="Q728" s="758" t="b">
        <f t="shared" si="282"/>
        <v>0</v>
      </c>
      <c r="R728" s="758" t="b">
        <f t="shared" si="282"/>
        <v>0</v>
      </c>
      <c r="S728" s="758" t="b">
        <f t="shared" si="282"/>
        <v>0</v>
      </c>
      <c r="T728" s="758" t="b">
        <f t="shared" si="282"/>
        <v>0</v>
      </c>
      <c r="U728" s="758" t="b">
        <f t="shared" si="282"/>
        <v>0</v>
      </c>
      <c r="V728" s="758" t="b">
        <f t="shared" si="282"/>
        <v>1</v>
      </c>
      <c r="W728" s="758" t="b">
        <f t="shared" si="282"/>
        <v>0</v>
      </c>
    </row>
    <row r="729" spans="1:23" s="54" customFormat="1" ht="9.65" customHeight="1" outlineLevel="1">
      <c r="A729" s="36"/>
      <c r="B729" s="18"/>
      <c r="C729" s="176"/>
      <c r="D729" s="18"/>
      <c r="E729" s="18"/>
      <c r="F729"/>
      <c r="G729"/>
      <c r="H729" s="18"/>
      <c r="I729" s="18"/>
      <c r="J729" s="18"/>
      <c r="K729" s="18"/>
      <c r="M729" s="18"/>
      <c r="N729" s="37"/>
      <c r="O729" s="18"/>
      <c r="P729" s="18"/>
      <c r="Q729" s="18"/>
      <c r="R729" s="18"/>
      <c r="S729" s="18"/>
      <c r="T729" s="18"/>
      <c r="U729" s="18"/>
      <c r="V729" s="18"/>
      <c r="W729" s="18"/>
    </row>
    <row r="730" spans="1:23" s="54" customFormat="1" outlineLevel="1">
      <c r="A730" s="36"/>
      <c r="B730" s="18"/>
      <c r="C730" s="18" t="s">
        <v>22</v>
      </c>
      <c r="D730" s="18"/>
      <c r="E730" s="18"/>
      <c r="F730" s="1"/>
      <c r="G730" s="1"/>
      <c r="H730" s="18"/>
      <c r="I730" s="18"/>
      <c r="J730" s="18"/>
      <c r="K730" s="18"/>
      <c r="M730" s="18"/>
      <c r="N730" s="327">
        <f t="shared" ref="N730:W730" ca="1" si="283">N$152/N$122</f>
        <v>315.31067715643405</v>
      </c>
      <c r="O730" s="327">
        <f t="shared" ca="1" si="283"/>
        <v>237.98603040244853</v>
      </c>
      <c r="P730" s="327">
        <f t="shared" ca="1" si="283"/>
        <v>328.07066424730056</v>
      </c>
      <c r="Q730" s="327">
        <f t="shared" ca="1" si="283"/>
        <v>366.49256466433019</v>
      </c>
      <c r="R730" s="327">
        <f t="shared" ca="1" si="283"/>
        <v>270.50061728736864</v>
      </c>
      <c r="S730" s="327">
        <f t="shared" ca="1" si="283"/>
        <v>464.35437033419373</v>
      </c>
      <c r="T730" s="327">
        <f t="shared" ca="1" si="283"/>
        <v>497.02978817291114</v>
      </c>
      <c r="U730" s="327">
        <f t="shared" ca="1" si="283"/>
        <v>472.05921591063776</v>
      </c>
      <c r="V730" s="327">
        <f t="shared" ca="1" si="283"/>
        <v>559.62501738730191</v>
      </c>
      <c r="W730" s="327">
        <f t="shared" ca="1" si="283"/>
        <v>590.73755660045231</v>
      </c>
    </row>
    <row r="731" spans="1:23" outlineLevel="1">
      <c r="B731" s="58"/>
      <c r="C731" s="58" t="s">
        <v>103</v>
      </c>
      <c r="D731" s="58"/>
      <c r="E731" s="58"/>
      <c r="F731"/>
      <c r="G731"/>
      <c r="H731" s="58"/>
      <c r="I731" s="58"/>
      <c r="J731" s="58"/>
      <c r="K731" s="58"/>
      <c r="M731" s="58"/>
      <c r="N731" s="111">
        <f t="shared" ref="N731:W731" si="284">$V$25</f>
        <v>3</v>
      </c>
      <c r="O731" s="111">
        <f t="shared" si="284"/>
        <v>3</v>
      </c>
      <c r="P731" s="111">
        <f t="shared" si="284"/>
        <v>3</v>
      </c>
      <c r="Q731" s="111">
        <f t="shared" si="284"/>
        <v>3</v>
      </c>
      <c r="R731" s="111">
        <f t="shared" si="284"/>
        <v>3</v>
      </c>
      <c r="S731" s="111">
        <f t="shared" si="284"/>
        <v>3</v>
      </c>
      <c r="T731" s="111">
        <f t="shared" si="284"/>
        <v>3</v>
      </c>
      <c r="U731" s="111">
        <f t="shared" si="284"/>
        <v>3</v>
      </c>
      <c r="V731" s="111">
        <f t="shared" si="284"/>
        <v>3</v>
      </c>
      <c r="W731" s="111">
        <f t="shared" si="284"/>
        <v>3</v>
      </c>
    </row>
    <row r="732" spans="1:23" s="54" customFormat="1" outlineLevel="1">
      <c r="A732" s="36"/>
      <c r="B732" s="18"/>
      <c r="C732" s="60" t="s">
        <v>23</v>
      </c>
      <c r="D732" s="60"/>
      <c r="E732" s="60"/>
      <c r="F732" s="18"/>
      <c r="G732" s="18"/>
      <c r="H732" s="18"/>
      <c r="I732" s="18"/>
      <c r="J732" s="18"/>
      <c r="K732" s="18"/>
      <c r="M732" s="18"/>
      <c r="N732" s="300">
        <f t="shared" ref="N732:W732" ca="1" si="285">PRODUCT(N730:N731)</f>
        <v>945.93203146930216</v>
      </c>
      <c r="O732" s="300">
        <f t="shared" ca="1" si="285"/>
        <v>713.95809120734566</v>
      </c>
      <c r="P732" s="300">
        <f t="shared" ca="1" si="285"/>
        <v>984.21199274190167</v>
      </c>
      <c r="Q732" s="300">
        <f t="shared" ca="1" si="285"/>
        <v>1099.4776939929907</v>
      </c>
      <c r="R732" s="300">
        <f t="shared" ca="1" si="285"/>
        <v>811.50185186210592</v>
      </c>
      <c r="S732" s="300">
        <f t="shared" ca="1" si="285"/>
        <v>1393.0631110025811</v>
      </c>
      <c r="T732" s="300">
        <f t="shared" ca="1" si="285"/>
        <v>1491.0893645187334</v>
      </c>
      <c r="U732" s="300">
        <f t="shared" ca="1" si="285"/>
        <v>1416.1776477319133</v>
      </c>
      <c r="V732" s="300">
        <f t="shared" ca="1" si="285"/>
        <v>1678.8750521619058</v>
      </c>
      <c r="W732" s="300">
        <f t="shared" ca="1" si="285"/>
        <v>1772.2126698013569</v>
      </c>
    </row>
    <row r="733" spans="1:23" ht="3.65" customHeight="1" outlineLevel="1"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M733" s="58"/>
      <c r="N733" s="298"/>
      <c r="O733" s="298"/>
      <c r="P733" s="298"/>
      <c r="Q733" s="298"/>
      <c r="R733" s="298"/>
      <c r="S733" s="298"/>
      <c r="T733" s="298"/>
      <c r="U733" s="298"/>
      <c r="V733" s="298"/>
      <c r="W733" s="298"/>
    </row>
    <row r="734" spans="1:23" hidden="1" outlineLevel="1">
      <c r="B734" s="58"/>
      <c r="C734" s="100" t="s">
        <v>258</v>
      </c>
      <c r="D734" s="100"/>
      <c r="E734" s="100"/>
      <c r="F734" s="58"/>
      <c r="G734" s="58"/>
      <c r="H734" s="58"/>
      <c r="I734" s="58"/>
      <c r="J734" s="58"/>
      <c r="K734" s="58"/>
      <c r="M734" s="58"/>
      <c r="N734" s="400">
        <v>0</v>
      </c>
      <c r="O734" s="400">
        <v>0</v>
      </c>
      <c r="P734" s="400">
        <v>0</v>
      </c>
      <c r="Q734" s="400">
        <v>0</v>
      </c>
      <c r="R734" s="400">
        <v>0</v>
      </c>
      <c r="S734" s="400">
        <v>0</v>
      </c>
      <c r="T734" s="400">
        <v>0</v>
      </c>
      <c r="U734" s="400">
        <v>0</v>
      </c>
      <c r="V734" s="400">
        <v>0</v>
      </c>
      <c r="W734" s="400">
        <v>0</v>
      </c>
    </row>
    <row r="735" spans="1:23" s="51" customFormat="1" ht="4.5" customHeight="1" outlineLevel="1" thickBot="1">
      <c r="A735" s="97"/>
      <c r="B735" s="65"/>
      <c r="C735" s="65"/>
      <c r="D735" s="65"/>
      <c r="E735" s="65"/>
      <c r="F735" s="65"/>
      <c r="G735" s="65"/>
      <c r="H735" s="65"/>
      <c r="I735" s="65"/>
      <c r="J735" s="65"/>
      <c r="K735" s="65"/>
      <c r="M735" s="65"/>
      <c r="N735" s="702"/>
      <c r="O735" s="702"/>
      <c r="P735" s="702"/>
      <c r="Q735" s="702"/>
      <c r="R735" s="702"/>
      <c r="S735" s="702"/>
      <c r="T735" s="702"/>
      <c r="U735" s="702"/>
      <c r="V735" s="702"/>
      <c r="W735" s="702"/>
    </row>
    <row r="736" spans="1:23" s="54" customFormat="1" outlineLevel="1">
      <c r="A736" s="36"/>
      <c r="B736" s="18"/>
      <c r="C736" s="162" t="s">
        <v>318</v>
      </c>
      <c r="D736" s="162"/>
      <c r="E736" s="162"/>
      <c r="F736" s="18"/>
      <c r="G736" s="18"/>
      <c r="H736" s="18"/>
      <c r="I736" s="18"/>
      <c r="J736" s="18"/>
      <c r="K736" s="18"/>
      <c r="M736" s="18"/>
      <c r="N736" s="397">
        <f ca="1">SUM(N$732:N$734)</f>
        <v>945.93203146930216</v>
      </c>
      <c r="O736" s="397">
        <f t="shared" ref="O736:W736" ca="1" si="286">SUM(O$732:O$734)</f>
        <v>713.95809120734566</v>
      </c>
      <c r="P736" s="397">
        <f t="shared" ca="1" si="286"/>
        <v>984.21199274190167</v>
      </c>
      <c r="Q736" s="397">
        <f t="shared" ca="1" si="286"/>
        <v>1099.4776939929907</v>
      </c>
      <c r="R736" s="397">
        <f t="shared" ca="1" si="286"/>
        <v>811.50185186210592</v>
      </c>
      <c r="S736" s="397">
        <f t="shared" ca="1" si="286"/>
        <v>1393.0631110025811</v>
      </c>
      <c r="T736" s="397">
        <f t="shared" ca="1" si="286"/>
        <v>1491.0893645187334</v>
      </c>
      <c r="U736" s="397">
        <f t="shared" ca="1" si="286"/>
        <v>1416.1776477319133</v>
      </c>
      <c r="V736" s="397">
        <f t="shared" ca="1" si="286"/>
        <v>1678.8750521619058</v>
      </c>
      <c r="W736" s="397">
        <f t="shared" ca="1" si="286"/>
        <v>1772.2126698013569</v>
      </c>
    </row>
    <row r="737" spans="1:23" s="54" customFormat="1" ht="4.5" customHeight="1" outlineLevel="1">
      <c r="A737" s="36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M737" s="18"/>
      <c r="N737" s="327"/>
      <c r="O737" s="327"/>
      <c r="P737" s="327"/>
      <c r="Q737" s="327"/>
      <c r="R737" s="327"/>
      <c r="S737" s="327"/>
      <c r="T737" s="327"/>
      <c r="U737" s="327"/>
      <c r="V737" s="327"/>
      <c r="W737" s="327"/>
    </row>
    <row r="738" spans="1:23" outlineLevel="1">
      <c r="B738" s="58"/>
      <c r="C738" s="678" t="s">
        <v>199</v>
      </c>
      <c r="D738" s="678"/>
      <c r="E738" s="678"/>
      <c r="F738" s="65"/>
      <c r="G738" s="65"/>
      <c r="H738" s="65"/>
      <c r="I738" s="65"/>
      <c r="J738" s="65"/>
      <c r="K738" s="65"/>
      <c r="L738" s="51"/>
      <c r="M738" s="65"/>
      <c r="N738" s="681">
        <f t="shared" ref="N738:W738" ca="1" si="287">-PRODUCT(N$736,$V$26)</f>
        <v>-94.593203146930222</v>
      </c>
      <c r="O738" s="681">
        <f t="shared" ca="1" si="287"/>
        <v>-71.395809120734569</v>
      </c>
      <c r="P738" s="681">
        <f t="shared" ca="1" si="287"/>
        <v>-98.421199274190172</v>
      </c>
      <c r="Q738" s="681">
        <f t="shared" ca="1" si="287"/>
        <v>-109.94776939929908</v>
      </c>
      <c r="R738" s="681">
        <f t="shared" ca="1" si="287"/>
        <v>-81.150185186210592</v>
      </c>
      <c r="S738" s="681">
        <f t="shared" ca="1" si="287"/>
        <v>-139.30631110025811</v>
      </c>
      <c r="T738" s="681">
        <f t="shared" ca="1" si="287"/>
        <v>-149.10893645187335</v>
      </c>
      <c r="U738" s="681">
        <f t="shared" ca="1" si="287"/>
        <v>-141.61776477319134</v>
      </c>
      <c r="V738" s="681">
        <f t="shared" ca="1" si="287"/>
        <v>-167.88750521619059</v>
      </c>
      <c r="W738" s="681">
        <f t="shared" ca="1" si="287"/>
        <v>-177.22126698013571</v>
      </c>
    </row>
    <row r="739" spans="1:23" ht="6" customHeight="1" outlineLevel="1"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M739" s="58"/>
      <c r="N739" s="58"/>
      <c r="O739" s="58"/>
      <c r="P739" s="58"/>
      <c r="Q739" s="58"/>
      <c r="R739" s="58"/>
      <c r="S739" s="58"/>
    </row>
    <row r="740" spans="1:23" outlineLevel="1">
      <c r="B740" s="58"/>
      <c r="C740" s="186" t="s">
        <v>112</v>
      </c>
      <c r="D740" s="58"/>
      <c r="E740" s="58"/>
      <c r="F740" s="58"/>
      <c r="G740" s="58"/>
      <c r="H740" s="58"/>
      <c r="I740" s="58"/>
      <c r="J740" s="58"/>
      <c r="K740" s="58"/>
      <c r="M740" s="58"/>
      <c r="N740" s="58"/>
      <c r="O740" s="58"/>
      <c r="P740" s="58"/>
      <c r="Q740" s="58"/>
      <c r="R740" s="58"/>
      <c r="S740" s="58"/>
    </row>
    <row r="741" spans="1:23" outlineLevel="1">
      <c r="C741" s="238" t="s">
        <v>27</v>
      </c>
      <c r="N741" s="309">
        <f t="shared" ref="N741:W741" ca="1" si="288">N$572</f>
        <v>0</v>
      </c>
      <c r="O741" s="309">
        <f t="shared" ca="1" si="288"/>
        <v>0</v>
      </c>
      <c r="P741" s="309">
        <f t="shared" ca="1" si="288"/>
        <v>0</v>
      </c>
      <c r="Q741" s="309">
        <f t="shared" ca="1" si="288"/>
        <v>0</v>
      </c>
      <c r="R741" s="309">
        <f t="shared" ca="1" si="288"/>
        <v>112.17908868360468</v>
      </c>
      <c r="S741" s="309">
        <f t="shared" ca="1" si="288"/>
        <v>78.561765497566256</v>
      </c>
      <c r="T741" s="309">
        <f t="shared" ca="1" si="288"/>
        <v>0</v>
      </c>
      <c r="U741" s="309">
        <f t="shared" ca="1" si="288"/>
        <v>0</v>
      </c>
      <c r="V741" s="309">
        <f t="shared" ca="1" si="288"/>
        <v>0</v>
      </c>
      <c r="W741" s="309">
        <f t="shared" ca="1" si="288"/>
        <v>0</v>
      </c>
    </row>
    <row r="742" spans="1:23" outlineLevel="1">
      <c r="C742" s="225" t="str">
        <f>$C$24</f>
        <v>Term Loan</v>
      </c>
      <c r="N742" s="309">
        <f t="shared" ref="N742:W742" ca="1" si="289">N$573</f>
        <v>530.20000000000005</v>
      </c>
      <c r="O742" s="309">
        <f t="shared" ca="1" si="289"/>
        <v>474.9</v>
      </c>
      <c r="P742" s="309">
        <f t="shared" ca="1" si="289"/>
        <v>395.9</v>
      </c>
      <c r="Q742" s="309">
        <f t="shared" ca="1" si="289"/>
        <v>316.89999999999998</v>
      </c>
      <c r="R742" s="309">
        <f t="shared" ca="1" si="289"/>
        <v>237.9</v>
      </c>
      <c r="S742" s="309">
        <f t="shared" ca="1" si="289"/>
        <v>0</v>
      </c>
      <c r="T742" s="309">
        <f t="shared" ca="1" si="289"/>
        <v>0</v>
      </c>
      <c r="U742" s="309">
        <f t="shared" ca="1" si="289"/>
        <v>0</v>
      </c>
      <c r="V742" s="309">
        <f t="shared" ca="1" si="289"/>
        <v>0</v>
      </c>
      <c r="W742" s="309">
        <f t="shared" ca="1" si="289"/>
        <v>0</v>
      </c>
    </row>
    <row r="743" spans="1:23" outlineLevel="1">
      <c r="C743" s="238" t="s">
        <v>247</v>
      </c>
      <c r="E743"/>
      <c r="F743"/>
      <c r="N743" s="309">
        <f t="shared" ref="N743:W743" ca="1" si="290">N$574</f>
        <v>0</v>
      </c>
      <c r="O743" s="309">
        <f t="shared" ca="1" si="290"/>
        <v>0</v>
      </c>
      <c r="P743" s="309">
        <f t="shared" ca="1" si="290"/>
        <v>0</v>
      </c>
      <c r="Q743" s="309">
        <f t="shared" ca="1" si="290"/>
        <v>0</v>
      </c>
      <c r="R743" s="309">
        <f t="shared" ca="1" si="290"/>
        <v>0</v>
      </c>
      <c r="S743" s="309">
        <f t="shared" ca="1" si="290"/>
        <v>188.28685639377738</v>
      </c>
      <c r="T743" s="309">
        <f t="shared" ca="1" si="290"/>
        <v>147.23097008138498</v>
      </c>
      <c r="U743" s="309">
        <f t="shared" ca="1" si="290"/>
        <v>106.17508376899258</v>
      </c>
      <c r="V743" s="309">
        <f t="shared" ca="1" si="290"/>
        <v>65.119197456600176</v>
      </c>
      <c r="W743" s="309">
        <f t="shared" ca="1" si="290"/>
        <v>24.063311144207773</v>
      </c>
    </row>
    <row r="744" spans="1:23" s="81" customFormat="1" hidden="1" outlineLevel="1">
      <c r="A744" s="92"/>
      <c r="C744" s="1228" t="s">
        <v>139</v>
      </c>
      <c r="D744" s="1229"/>
      <c r="E744" s="1229"/>
      <c r="N744" s="1230">
        <v>0</v>
      </c>
      <c r="O744" s="1230">
        <v>0</v>
      </c>
      <c r="P744" s="1230">
        <v>0</v>
      </c>
      <c r="Q744" s="1230">
        <v>0</v>
      </c>
      <c r="R744" s="1230">
        <v>0</v>
      </c>
      <c r="S744" s="1230">
        <v>0</v>
      </c>
      <c r="T744" s="1230">
        <v>0</v>
      </c>
      <c r="U744" s="1230">
        <v>0</v>
      </c>
      <c r="V744" s="1230">
        <v>0</v>
      </c>
      <c r="W744" s="1230">
        <v>0</v>
      </c>
    </row>
    <row r="745" spans="1:23" outlineLevel="1">
      <c r="C745" s="238" t="s">
        <v>90</v>
      </c>
      <c r="N745" s="309">
        <f t="shared" ref="N745:W745" ca="1" si="291">N$576</f>
        <v>163</v>
      </c>
      <c r="O745" s="309">
        <f t="shared" ca="1" si="291"/>
        <v>155</v>
      </c>
      <c r="P745" s="309">
        <f t="shared" ca="1" si="291"/>
        <v>135</v>
      </c>
      <c r="Q745" s="309">
        <f t="shared" ca="1" si="291"/>
        <v>114</v>
      </c>
      <c r="R745" s="309">
        <f t="shared" ca="1" si="291"/>
        <v>92</v>
      </c>
      <c r="S745" s="309">
        <f t="shared" ca="1" si="291"/>
        <v>0</v>
      </c>
      <c r="T745" s="309">
        <f t="shared" ca="1" si="291"/>
        <v>0</v>
      </c>
      <c r="U745" s="309">
        <f t="shared" ca="1" si="291"/>
        <v>0</v>
      </c>
      <c r="V745" s="309">
        <f t="shared" ca="1" si="291"/>
        <v>0</v>
      </c>
      <c r="W745" s="309">
        <f t="shared" ca="1" si="291"/>
        <v>0</v>
      </c>
    </row>
    <row r="746" spans="1:23" outlineLevel="1">
      <c r="C746" s="237" t="s">
        <v>19</v>
      </c>
      <c r="D746" s="59"/>
      <c r="E746" s="59"/>
      <c r="N746" s="310">
        <f ca="1">SUM(N$741:N$745)</f>
        <v>693.2</v>
      </c>
      <c r="O746" s="310">
        <f t="shared" ref="O746:W746" ca="1" si="292">SUM(O$741:O$745)</f>
        <v>629.9</v>
      </c>
      <c r="P746" s="310">
        <f t="shared" ca="1" si="292"/>
        <v>530.9</v>
      </c>
      <c r="Q746" s="310">
        <f t="shared" ca="1" si="292"/>
        <v>430.9</v>
      </c>
      <c r="R746" s="310">
        <f t="shared" ca="1" si="292"/>
        <v>442.07908868360471</v>
      </c>
      <c r="S746" s="310">
        <f t="shared" ca="1" si="292"/>
        <v>266.84862189134367</v>
      </c>
      <c r="T746" s="310">
        <f t="shared" ca="1" si="292"/>
        <v>147.23097008138498</v>
      </c>
      <c r="U746" s="310">
        <f t="shared" ca="1" si="292"/>
        <v>106.17508376899258</v>
      </c>
      <c r="V746" s="310">
        <f t="shared" ca="1" si="292"/>
        <v>65.119197456600176</v>
      </c>
      <c r="W746" s="310">
        <f t="shared" ca="1" si="292"/>
        <v>24.063311144207773</v>
      </c>
    </row>
    <row r="747" spans="1:23" s="297" customFormat="1" outlineLevel="1">
      <c r="A747" s="220"/>
      <c r="C747" s="705" t="s">
        <v>222</v>
      </c>
      <c r="D747" s="703"/>
      <c r="E747" s="703"/>
      <c r="F747" s="519"/>
      <c r="G747" s="519"/>
      <c r="H747" s="519"/>
      <c r="I747" s="519"/>
      <c r="J747" s="519"/>
      <c r="K747" s="519"/>
      <c r="L747" s="519"/>
      <c r="M747" s="519"/>
      <c r="N747" s="704">
        <f ca="1">-N$463</f>
        <v>-101.67908155203642</v>
      </c>
      <c r="O747" s="704">
        <f t="shared" ref="O747:W747" ca="1" si="293">-O$463</f>
        <v>-82.560282783793241</v>
      </c>
      <c r="P747" s="704">
        <f t="shared" ca="1" si="293"/>
        <v>-114.89420597995107</v>
      </c>
      <c r="Q747" s="704">
        <f t="shared" ca="1" si="293"/>
        <v>-148.14105393832421</v>
      </c>
      <c r="R747" s="704">
        <f t="shared" ca="1" si="293"/>
        <v>-75</v>
      </c>
      <c r="S747" s="704">
        <f t="shared" ca="1" si="293"/>
        <v>-75.000000000000398</v>
      </c>
      <c r="T747" s="704">
        <f t="shared" ca="1" si="293"/>
        <v>-149.80346072157695</v>
      </c>
      <c r="U747" s="704">
        <f t="shared" ca="1" si="293"/>
        <v>-334.84415988103194</v>
      </c>
      <c r="V747" s="704">
        <f t="shared" ca="1" si="293"/>
        <v>-589.83775336690042</v>
      </c>
      <c r="W747" s="704">
        <f t="shared" ca="1" si="293"/>
        <v>-866.92271305029806</v>
      </c>
    </row>
    <row r="748" spans="1:23" s="58" customFormat="1" ht="2.5" customHeight="1" outlineLevel="1" thickBot="1">
      <c r="A748" s="52"/>
      <c r="C748" s="231"/>
      <c r="D748" s="65"/>
      <c r="E748" s="65"/>
      <c r="F748" s="65"/>
      <c r="G748" s="65"/>
      <c r="H748" s="65"/>
      <c r="I748" s="65"/>
      <c r="J748" s="65"/>
      <c r="K748" s="65"/>
      <c r="L748" s="65"/>
      <c r="M748" s="65"/>
      <c r="N748" s="298"/>
      <c r="O748" s="298"/>
      <c r="P748" s="298"/>
      <c r="Q748" s="298"/>
      <c r="R748" s="298"/>
      <c r="S748" s="298"/>
      <c r="T748" s="298"/>
      <c r="U748" s="298"/>
      <c r="V748" s="298"/>
      <c r="W748" s="298"/>
    </row>
    <row r="749" spans="1:23" outlineLevel="1">
      <c r="B749" s="58"/>
      <c r="C749" s="398" t="s">
        <v>111</v>
      </c>
      <c r="D749" s="399"/>
      <c r="E749" s="399"/>
      <c r="F749" s="65"/>
      <c r="G749" s="65"/>
      <c r="H749" s="65"/>
      <c r="I749" s="65"/>
      <c r="J749" s="65"/>
      <c r="K749" s="65"/>
      <c r="L749" s="51"/>
      <c r="M749" s="65"/>
      <c r="N749" s="397">
        <f ca="1">SUM(N746,N747)</f>
        <v>591.5209184479636</v>
      </c>
      <c r="O749" s="397">
        <f t="shared" ref="O749:W749" ca="1" si="294">SUM(O746,O747)</f>
        <v>547.33971721620674</v>
      </c>
      <c r="P749" s="397">
        <f t="shared" ca="1" si="294"/>
        <v>416.00579402004894</v>
      </c>
      <c r="Q749" s="397">
        <f t="shared" ca="1" si="294"/>
        <v>282.75894606167577</v>
      </c>
      <c r="R749" s="397">
        <f t="shared" ca="1" si="294"/>
        <v>367.07908868360471</v>
      </c>
      <c r="S749" s="397">
        <f t="shared" ca="1" si="294"/>
        <v>191.84862189134327</v>
      </c>
      <c r="T749" s="397">
        <f t="shared" ca="1" si="294"/>
        <v>-2.5724906401919725</v>
      </c>
      <c r="U749" s="397">
        <f t="shared" ca="1" si="294"/>
        <v>-228.66907611203936</v>
      </c>
      <c r="V749" s="397">
        <f t="shared" ca="1" si="294"/>
        <v>-524.71855591030021</v>
      </c>
      <c r="W749" s="397">
        <f t="shared" ca="1" si="294"/>
        <v>-842.85940190609028</v>
      </c>
    </row>
    <row r="750" spans="1:23" ht="3" customHeight="1" outlineLevel="1">
      <c r="B750" s="58"/>
      <c r="C750" s="98"/>
      <c r="D750" s="65"/>
      <c r="E750" s="65"/>
      <c r="F750" s="65"/>
      <c r="G750" s="65"/>
      <c r="H750" s="65"/>
      <c r="I750" s="65"/>
      <c r="J750" s="65"/>
      <c r="K750" s="65"/>
      <c r="L750" s="51"/>
      <c r="M750" s="65"/>
      <c r="N750" s="112"/>
      <c r="O750" s="112"/>
      <c r="P750" s="112"/>
      <c r="Q750" s="112"/>
      <c r="R750" s="112"/>
      <c r="S750" s="112"/>
      <c r="T750" s="51"/>
    </row>
    <row r="751" spans="1:23" outlineLevel="1">
      <c r="B751" s="58"/>
      <c r="C751" s="706" t="s">
        <v>102</v>
      </c>
      <c r="D751" s="65"/>
      <c r="E751" s="65"/>
      <c r="F751" s="65"/>
      <c r="G751" s="65"/>
      <c r="H751" s="65"/>
      <c r="I751" s="65"/>
      <c r="J751" s="65"/>
      <c r="K751" s="65"/>
      <c r="L751" s="51"/>
      <c r="M751" s="65"/>
      <c r="N751" s="65"/>
      <c r="O751" s="65"/>
      <c r="P751" s="65"/>
      <c r="Q751" s="65"/>
      <c r="R751" s="65"/>
      <c r="S751" s="65"/>
      <c r="T751" s="51"/>
    </row>
    <row r="752" spans="1:23" outlineLevel="1">
      <c r="B752" s="58"/>
      <c r="C752" s="238" t="s">
        <v>27</v>
      </c>
      <c r="D752" s="65"/>
      <c r="E752" s="65"/>
      <c r="F752" s="65"/>
      <c r="G752" s="65"/>
      <c r="H752" s="65"/>
      <c r="I752" s="65"/>
      <c r="J752" s="65"/>
      <c r="K752" s="65"/>
      <c r="L752" s="51"/>
      <c r="M752" s="65"/>
      <c r="N752" s="309">
        <f t="shared" ref="N752:W752" ca="1" si="295">PRODUCT(N$772,N$741)*N$728</f>
        <v>0</v>
      </c>
      <c r="O752" s="309">
        <f t="shared" ca="1" si="295"/>
        <v>0</v>
      </c>
      <c r="P752" s="309">
        <f t="shared" ca="1" si="295"/>
        <v>0</v>
      </c>
      <c r="Q752" s="309">
        <f t="shared" ca="1" si="295"/>
        <v>0</v>
      </c>
      <c r="R752" s="309">
        <f t="shared" ca="1" si="295"/>
        <v>0</v>
      </c>
      <c r="S752" s="309">
        <f t="shared" ca="1" si="295"/>
        <v>0</v>
      </c>
      <c r="T752" s="309">
        <f t="shared" ca="1" si="295"/>
        <v>0</v>
      </c>
      <c r="U752" s="309">
        <f t="shared" ca="1" si="295"/>
        <v>0</v>
      </c>
      <c r="V752" s="309">
        <f t="shared" ca="1" si="295"/>
        <v>0</v>
      </c>
      <c r="W752" s="309">
        <f t="shared" ca="1" si="295"/>
        <v>0</v>
      </c>
    </row>
    <row r="753" spans="1:23" outlineLevel="1">
      <c r="B753" s="58"/>
      <c r="C753" s="225" t="str">
        <f>$C$24</f>
        <v>Term Loan</v>
      </c>
      <c r="D753" s="65"/>
      <c r="E753"/>
      <c r="F753" s="65"/>
      <c r="G753" s="65"/>
      <c r="H753" s="65"/>
      <c r="I753" s="65"/>
      <c r="J753" s="65"/>
      <c r="K753" s="65"/>
      <c r="L753" s="51"/>
      <c r="M753" s="65"/>
      <c r="N753" s="309">
        <f t="shared" ref="N753:W753" ca="1" si="296">PRODUCT(N$773,N$742)*N$728</f>
        <v>0</v>
      </c>
      <c r="O753" s="309">
        <f t="shared" ca="1" si="296"/>
        <v>0</v>
      </c>
      <c r="P753" s="309">
        <f t="shared" ca="1" si="296"/>
        <v>0</v>
      </c>
      <c r="Q753" s="309">
        <f t="shared" ca="1" si="296"/>
        <v>0</v>
      </c>
      <c r="R753" s="309">
        <f t="shared" ca="1" si="296"/>
        <v>0</v>
      </c>
      <c r="S753" s="309">
        <f t="shared" ca="1" si="296"/>
        <v>0</v>
      </c>
      <c r="T753" s="309">
        <f t="shared" ca="1" si="296"/>
        <v>0</v>
      </c>
      <c r="U753" s="309">
        <f t="shared" ca="1" si="296"/>
        <v>0</v>
      </c>
      <c r="V753" s="309">
        <f t="shared" ca="1" si="296"/>
        <v>0</v>
      </c>
      <c r="W753" s="309">
        <f t="shared" ca="1" si="296"/>
        <v>0</v>
      </c>
    </row>
    <row r="754" spans="1:23" outlineLevel="1">
      <c r="B754" s="58"/>
      <c r="C754" s="238" t="s">
        <v>247</v>
      </c>
      <c r="D754" s="65"/>
      <c r="E754"/>
      <c r="F754" s="65"/>
      <c r="G754" s="65"/>
      <c r="H754" s="65"/>
      <c r="I754" s="65"/>
      <c r="J754" s="65"/>
      <c r="K754" s="65"/>
      <c r="L754" s="51"/>
      <c r="M754" s="65"/>
      <c r="N754" s="309">
        <f t="shared" ref="N754:W754" ca="1" si="297">PRODUCT(N$774,N$743)*N$728</f>
        <v>0</v>
      </c>
      <c r="O754" s="309">
        <f t="shared" ca="1" si="297"/>
        <v>0</v>
      </c>
      <c r="P754" s="309">
        <f t="shared" ca="1" si="297"/>
        <v>0</v>
      </c>
      <c r="Q754" s="309">
        <f t="shared" ca="1" si="297"/>
        <v>0</v>
      </c>
      <c r="R754" s="309">
        <f t="shared" ca="1" si="297"/>
        <v>0</v>
      </c>
      <c r="S754" s="309">
        <f t="shared" ca="1" si="297"/>
        <v>0</v>
      </c>
      <c r="T754" s="309">
        <f t="shared" ca="1" si="297"/>
        <v>0</v>
      </c>
      <c r="U754" s="309">
        <f t="shared" ca="1" si="297"/>
        <v>0</v>
      </c>
      <c r="V754" s="309">
        <f t="shared" ca="1" si="297"/>
        <v>0</v>
      </c>
      <c r="W754" s="309">
        <f t="shared" ca="1" si="297"/>
        <v>0</v>
      </c>
    </row>
    <row r="755" spans="1:23" outlineLevel="1">
      <c r="B755" s="58"/>
      <c r="C755" s="238" t="s">
        <v>139</v>
      </c>
      <c r="D755" s="65"/>
      <c r="E755" s="174"/>
      <c r="F755" s="65"/>
      <c r="G755" s="65"/>
      <c r="H755" s="65"/>
      <c r="I755" s="65"/>
      <c r="J755" s="65"/>
      <c r="K755" s="65"/>
      <c r="L755" s="51"/>
      <c r="M755" s="65"/>
      <c r="N755" s="309">
        <f>PRODUCT(N$744,N$775)*N$728</f>
        <v>0</v>
      </c>
      <c r="O755" s="309">
        <f t="shared" ref="O755:W755" si="298">PRODUCT(O$744,O$775)*O$728</f>
        <v>0</v>
      </c>
      <c r="P755" s="309">
        <f t="shared" si="298"/>
        <v>0</v>
      </c>
      <c r="Q755" s="309">
        <f t="shared" si="298"/>
        <v>0</v>
      </c>
      <c r="R755" s="309">
        <f t="shared" si="298"/>
        <v>0</v>
      </c>
      <c r="S755" s="309">
        <f t="shared" si="298"/>
        <v>0</v>
      </c>
      <c r="T755" s="309">
        <f t="shared" si="298"/>
        <v>0</v>
      </c>
      <c r="U755" s="309">
        <f t="shared" si="298"/>
        <v>0</v>
      </c>
      <c r="V755" s="309">
        <f t="shared" si="298"/>
        <v>0</v>
      </c>
      <c r="W755" s="309">
        <f t="shared" si="298"/>
        <v>0</v>
      </c>
    </row>
    <row r="756" spans="1:23" outlineLevel="1">
      <c r="B756" s="58"/>
      <c r="C756" s="238" t="s">
        <v>90</v>
      </c>
      <c r="D756" s="65"/>
      <c r="E756" s="174"/>
      <c r="F756" s="65"/>
      <c r="G756" s="65"/>
      <c r="H756" s="65"/>
      <c r="I756" s="65"/>
      <c r="J756" s="65"/>
      <c r="K756" s="65"/>
      <c r="L756" s="51"/>
      <c r="M756" s="65"/>
      <c r="N756" s="309">
        <f t="shared" ref="N756:W756" ca="1" si="299">PRODUCT(N$776,N$745)*N$728</f>
        <v>0</v>
      </c>
      <c r="O756" s="309">
        <f t="shared" ca="1" si="299"/>
        <v>0</v>
      </c>
      <c r="P756" s="309">
        <f t="shared" ca="1" si="299"/>
        <v>0</v>
      </c>
      <c r="Q756" s="309">
        <f t="shared" ca="1" si="299"/>
        <v>0</v>
      </c>
      <c r="R756" s="309">
        <f t="shared" ca="1" si="299"/>
        <v>0</v>
      </c>
      <c r="S756" s="309">
        <f t="shared" ca="1" si="299"/>
        <v>0</v>
      </c>
      <c r="T756" s="309">
        <f t="shared" ca="1" si="299"/>
        <v>0</v>
      </c>
      <c r="U756" s="309">
        <f t="shared" ca="1" si="299"/>
        <v>0</v>
      </c>
      <c r="V756" s="309">
        <f t="shared" ca="1" si="299"/>
        <v>0</v>
      </c>
      <c r="W756" s="309">
        <f t="shared" ca="1" si="299"/>
        <v>0</v>
      </c>
    </row>
    <row r="757" spans="1:23" outlineLevel="1">
      <c r="B757" s="58"/>
      <c r="C757" s="279" t="str">
        <f>$C$27</f>
        <v>Preferred Equity - A</v>
      </c>
      <c r="D757" s="65"/>
      <c r="E757" s="174"/>
      <c r="F757" s="65"/>
      <c r="G757" s="65"/>
      <c r="H757" s="65"/>
      <c r="I757" s="65"/>
      <c r="J757" s="65"/>
      <c r="K757" s="65"/>
      <c r="L757" s="51"/>
      <c r="M757" s="65"/>
      <c r="N757" s="309">
        <f>PRODUCT(N$777,N$763)*N$728</f>
        <v>0</v>
      </c>
      <c r="O757" s="309">
        <f t="shared" ref="O757:W757" si="300">PRODUCT(O$777,O$763)*O$728</f>
        <v>0</v>
      </c>
      <c r="P757" s="309">
        <f t="shared" si="300"/>
        <v>0</v>
      </c>
      <c r="Q757" s="309">
        <f t="shared" si="300"/>
        <v>0</v>
      </c>
      <c r="R757" s="309">
        <f t="shared" si="300"/>
        <v>0</v>
      </c>
      <c r="S757" s="309">
        <f t="shared" si="300"/>
        <v>0</v>
      </c>
      <c r="T757" s="309">
        <f t="shared" si="300"/>
        <v>0</v>
      </c>
      <c r="U757" s="309">
        <f t="shared" si="300"/>
        <v>0</v>
      </c>
      <c r="V757" s="309">
        <f t="shared" si="300"/>
        <v>0</v>
      </c>
      <c r="W757" s="309">
        <f t="shared" si="300"/>
        <v>0</v>
      </c>
    </row>
    <row r="758" spans="1:23" outlineLevel="1">
      <c r="B758" s="58"/>
      <c r="C758" s="279" t="str">
        <f>$C$28</f>
        <v>Preferred Equity - B</v>
      </c>
      <c r="D758" s="65"/>
      <c r="E758" s="65"/>
      <c r="F758" s="65"/>
      <c r="G758" s="65"/>
      <c r="H758" s="65"/>
      <c r="I758" s="65"/>
      <c r="J758" s="65"/>
      <c r="K758" s="65"/>
      <c r="L758" s="51"/>
      <c r="M758" s="65"/>
      <c r="N758" s="309">
        <f t="shared" ref="N758:W758" ca="1" si="301">PRODUCT(N$778,N$764)*N$728</f>
        <v>0</v>
      </c>
      <c r="O758" s="309">
        <f t="shared" ca="1" si="301"/>
        <v>0</v>
      </c>
      <c r="P758" s="309">
        <f t="shared" ca="1" si="301"/>
        <v>0</v>
      </c>
      <c r="Q758" s="309">
        <f t="shared" ca="1" si="301"/>
        <v>0</v>
      </c>
      <c r="R758" s="309">
        <f t="shared" ca="1" si="301"/>
        <v>0</v>
      </c>
      <c r="S758" s="309">
        <f t="shared" ca="1" si="301"/>
        <v>0</v>
      </c>
      <c r="T758" s="309">
        <f t="shared" ca="1" si="301"/>
        <v>0</v>
      </c>
      <c r="U758" s="309">
        <f t="shared" ca="1" si="301"/>
        <v>0</v>
      </c>
      <c r="V758" s="309">
        <f t="shared" ca="1" si="301"/>
        <v>0</v>
      </c>
      <c r="W758" s="309">
        <f t="shared" ca="1" si="301"/>
        <v>0</v>
      </c>
    </row>
    <row r="759" spans="1:23" outlineLevel="1">
      <c r="B759" s="58"/>
      <c r="C759" s="237" t="s">
        <v>263</v>
      </c>
      <c r="D759" s="70"/>
      <c r="E759" s="70"/>
      <c r="F759" s="65"/>
      <c r="G759" s="65"/>
      <c r="H759" s="65"/>
      <c r="I759" s="65"/>
      <c r="J759" s="65"/>
      <c r="K759" s="65"/>
      <c r="L759" s="51"/>
      <c r="M759" s="65"/>
      <c r="N759" s="310">
        <f t="shared" ref="N759:W759" ca="1" si="302">-SUM(N$752:N$758)</f>
        <v>0</v>
      </c>
      <c r="O759" s="310">
        <f t="shared" ca="1" si="302"/>
        <v>0</v>
      </c>
      <c r="P759" s="310">
        <f t="shared" ca="1" si="302"/>
        <v>0</v>
      </c>
      <c r="Q759" s="310">
        <f t="shared" ca="1" si="302"/>
        <v>0</v>
      </c>
      <c r="R759" s="310">
        <f t="shared" ca="1" si="302"/>
        <v>0</v>
      </c>
      <c r="S759" s="310">
        <f t="shared" ca="1" si="302"/>
        <v>0</v>
      </c>
      <c r="T759" s="310">
        <f t="shared" ca="1" si="302"/>
        <v>0</v>
      </c>
      <c r="U759" s="310">
        <f t="shared" ca="1" si="302"/>
        <v>0</v>
      </c>
      <c r="V759" s="310">
        <f t="shared" ca="1" si="302"/>
        <v>0</v>
      </c>
      <c r="W759" s="310">
        <f t="shared" ca="1" si="302"/>
        <v>0</v>
      </c>
    </row>
    <row r="760" spans="1:23" ht="3.65" customHeight="1" outlineLevel="1" thickBot="1">
      <c r="B760" s="58"/>
      <c r="C760" s="108"/>
      <c r="D760" s="65"/>
      <c r="E760" s="65"/>
      <c r="F760" s="65"/>
      <c r="G760" s="65"/>
      <c r="H760" s="65"/>
      <c r="I760" s="65"/>
      <c r="J760" s="65"/>
      <c r="K760" s="65"/>
      <c r="L760" s="51"/>
      <c r="M760" s="65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</row>
    <row r="761" spans="1:23" outlineLevel="1">
      <c r="B761" s="58"/>
      <c r="C761" s="398" t="s">
        <v>113</v>
      </c>
      <c r="D761" s="399"/>
      <c r="E761" s="399"/>
      <c r="F761" s="65"/>
      <c r="G761" s="65"/>
      <c r="H761" s="65"/>
      <c r="I761" s="65"/>
      <c r="J761" s="65"/>
      <c r="K761" s="65"/>
      <c r="L761" s="51"/>
      <c r="M761" s="65"/>
      <c r="N761" s="434">
        <f t="shared" ref="N761:W761" ca="1" si="303">SUM(N$736,N$738,-N$749,N$759)</f>
        <v>259.81790987440831</v>
      </c>
      <c r="O761" s="434">
        <f t="shared" ca="1" si="303"/>
        <v>95.222564870404312</v>
      </c>
      <c r="P761" s="434">
        <f t="shared" ca="1" si="303"/>
        <v>469.78499944766259</v>
      </c>
      <c r="Q761" s="434">
        <f t="shared" ca="1" si="303"/>
        <v>706.77097853201576</v>
      </c>
      <c r="R761" s="434">
        <f t="shared" ca="1" si="303"/>
        <v>363.27257799229062</v>
      </c>
      <c r="S761" s="434">
        <f t="shared" ca="1" si="303"/>
        <v>1061.9081780109796</v>
      </c>
      <c r="T761" s="434">
        <f t="shared" ca="1" si="303"/>
        <v>1344.552918707052</v>
      </c>
      <c r="U761" s="434">
        <f t="shared" ca="1" si="303"/>
        <v>1503.2289590707614</v>
      </c>
      <c r="V761" s="434">
        <f t="shared" ca="1" si="303"/>
        <v>2035.7061028560154</v>
      </c>
      <c r="W761" s="434">
        <f t="shared" ca="1" si="303"/>
        <v>2437.8508047273117</v>
      </c>
    </row>
    <row r="762" spans="1:23" outlineLevel="1">
      <c r="B762" s="58"/>
      <c r="C762" s="98"/>
      <c r="D762" s="65"/>
      <c r="E762"/>
      <c r="F762"/>
      <c r="G762" s="65"/>
      <c r="H762" s="65"/>
      <c r="I762" s="65"/>
      <c r="J762" s="65"/>
      <c r="K762" s="65"/>
      <c r="L762" s="51"/>
      <c r="M762" s="65"/>
      <c r="N762" s="65"/>
      <c r="O762" s="99"/>
      <c r="P762" s="99"/>
      <c r="Q762" s="99"/>
      <c r="R762" s="99"/>
      <c r="S762" s="99"/>
      <c r="T762" s="51"/>
    </row>
    <row r="763" spans="1:23" outlineLevel="1">
      <c r="B763" s="58"/>
      <c r="C763" s="401" t="str">
        <f>$C$27</f>
        <v>Preferred Equity - A</v>
      </c>
      <c r="D763" s="100"/>
      <c r="E763" s="163"/>
      <c r="F763"/>
      <c r="G763" s="65"/>
      <c r="H763" s="65"/>
      <c r="I763" s="65"/>
      <c r="J763" s="65"/>
      <c r="K763" s="65"/>
      <c r="L763" s="51"/>
      <c r="M763" s="65"/>
      <c r="N763" s="402">
        <v>0</v>
      </c>
      <c r="O763" s="402">
        <v>0</v>
      </c>
      <c r="P763" s="402">
        <v>0</v>
      </c>
      <c r="Q763" s="402">
        <v>0</v>
      </c>
      <c r="R763" s="402">
        <v>0</v>
      </c>
      <c r="S763" s="402">
        <v>0</v>
      </c>
      <c r="T763" s="402">
        <v>0</v>
      </c>
      <c r="U763" s="402">
        <v>0</v>
      </c>
      <c r="V763" s="402">
        <v>0</v>
      </c>
      <c r="W763" s="402">
        <v>0</v>
      </c>
    </row>
    <row r="764" spans="1:23" outlineLevel="1">
      <c r="B764" s="58"/>
      <c r="C764" s="94" t="s">
        <v>160</v>
      </c>
      <c r="D764" s="65"/>
      <c r="E764" s="65"/>
      <c r="F764" s="65"/>
      <c r="G764" s="65"/>
      <c r="H764" s="65"/>
      <c r="I764" s="65"/>
      <c r="J764" s="65"/>
      <c r="K764" s="65"/>
      <c r="L764" s="51"/>
      <c r="M764" s="65"/>
      <c r="N764" s="298">
        <f t="shared" ref="N764:W764" ca="1" si="304">N$568</f>
        <v>492.42600315492575</v>
      </c>
      <c r="O764" s="298">
        <f t="shared" ca="1" si="304"/>
        <v>531.82008340731977</v>
      </c>
      <c r="P764" s="298">
        <f t="shared" ca="1" si="304"/>
        <v>574.36569007990533</v>
      </c>
      <c r="Q764" s="298">
        <f t="shared" ca="1" si="304"/>
        <v>620.31494528629776</v>
      </c>
      <c r="R764" s="298">
        <f t="shared" ca="1" si="304"/>
        <v>669.94014090920155</v>
      </c>
      <c r="S764" s="298">
        <f t="shared" ca="1" si="304"/>
        <v>723.5353521819377</v>
      </c>
      <c r="T764" s="298">
        <f t="shared" ca="1" si="304"/>
        <v>781.41818035649271</v>
      </c>
      <c r="U764" s="298">
        <f t="shared" ca="1" si="304"/>
        <v>843.93163478501208</v>
      </c>
      <c r="V764" s="298">
        <f t="shared" ca="1" si="304"/>
        <v>911.44616556781307</v>
      </c>
      <c r="W764" s="298">
        <f t="shared" ca="1" si="304"/>
        <v>984.36185881323809</v>
      </c>
    </row>
    <row r="765" spans="1:23" ht="4.5" customHeight="1" outlineLevel="1" thickBot="1">
      <c r="B765" s="58"/>
      <c r="C765" s="94"/>
      <c r="D765" s="65"/>
      <c r="E765" s="65"/>
      <c r="F765" s="65"/>
      <c r="G765" s="65"/>
      <c r="H765" s="65"/>
      <c r="I765" s="65"/>
      <c r="J765" s="65"/>
      <c r="K765" s="65"/>
      <c r="L765" s="51"/>
      <c r="M765" s="65"/>
      <c r="N765" s="298"/>
      <c r="O765" s="298"/>
      <c r="P765" s="298"/>
      <c r="Q765" s="298"/>
      <c r="R765" s="298"/>
      <c r="S765" s="298"/>
      <c r="T765" s="298"/>
      <c r="U765" s="298"/>
      <c r="V765" s="298"/>
      <c r="W765" s="298"/>
    </row>
    <row r="766" spans="1:23" outlineLevel="1">
      <c r="B766" s="58"/>
      <c r="C766" s="821" t="s">
        <v>256</v>
      </c>
      <c r="D766" s="399"/>
      <c r="E766" s="399"/>
      <c r="F766" s="65"/>
      <c r="G766" s="65"/>
      <c r="H766" s="65"/>
      <c r="I766" s="65"/>
      <c r="J766" s="65"/>
      <c r="K766" s="65"/>
      <c r="L766" s="51"/>
      <c r="M766" s="65"/>
      <c r="N766" s="312">
        <f t="shared" ref="N766:W766" ca="1" si="305">-SUM(N$763:N$764)</f>
        <v>-492.42600315492575</v>
      </c>
      <c r="O766" s="312">
        <f t="shared" ca="1" si="305"/>
        <v>-531.82008340731977</v>
      </c>
      <c r="P766" s="312">
        <f t="shared" ca="1" si="305"/>
        <v>-574.36569007990533</v>
      </c>
      <c r="Q766" s="312">
        <f t="shared" ca="1" si="305"/>
        <v>-620.31494528629776</v>
      </c>
      <c r="R766" s="312">
        <f t="shared" ca="1" si="305"/>
        <v>-669.94014090920155</v>
      </c>
      <c r="S766" s="312">
        <f t="shared" ca="1" si="305"/>
        <v>-723.5353521819377</v>
      </c>
      <c r="T766" s="312">
        <f t="shared" ca="1" si="305"/>
        <v>-781.41818035649271</v>
      </c>
      <c r="U766" s="312">
        <f t="shared" ca="1" si="305"/>
        <v>-843.93163478501208</v>
      </c>
      <c r="V766" s="312">
        <f t="shared" ca="1" si="305"/>
        <v>-911.44616556781307</v>
      </c>
      <c r="W766" s="312">
        <f t="shared" ca="1" si="305"/>
        <v>-984.36185881323809</v>
      </c>
    </row>
    <row r="767" spans="1:23" s="54" customFormat="1" ht="6" customHeight="1" outlineLevel="1" thickBot="1">
      <c r="A767" s="36"/>
      <c r="B767" s="18"/>
      <c r="C767" s="386"/>
      <c r="D767" s="387"/>
      <c r="E767" s="387"/>
      <c r="F767" s="98"/>
      <c r="G767" s="98"/>
      <c r="H767" s="98"/>
      <c r="I767" s="98"/>
      <c r="J767" s="98"/>
      <c r="K767" s="98"/>
      <c r="L767" s="232"/>
      <c r="M767" s="98"/>
      <c r="N767" s="388"/>
      <c r="O767" s="388"/>
      <c r="P767" s="388"/>
      <c r="Q767" s="388"/>
      <c r="R767" s="388"/>
      <c r="S767" s="388"/>
      <c r="T767" s="388"/>
      <c r="U767" s="388"/>
      <c r="V767" s="388"/>
      <c r="W767" s="388"/>
    </row>
    <row r="768" spans="1:23" ht="15" outlineLevel="1" thickTop="1">
      <c r="B768" s="58"/>
      <c r="C768" s="98" t="s">
        <v>114</v>
      </c>
      <c r="D768" s="65"/>
      <c r="E768" s="65"/>
      <c r="F768" s="65"/>
      <c r="G768" s="65"/>
      <c r="H768" s="65"/>
      <c r="I768" s="65"/>
      <c r="J768" s="65"/>
      <c r="K768" s="65"/>
      <c r="L768" s="51"/>
      <c r="M768" s="65"/>
      <c r="N768" s="434">
        <f ca="1">SUM(N$761,N$766)</f>
        <v>-232.60809328051744</v>
      </c>
      <c r="O768" s="434">
        <f t="shared" ref="O768:W768" ca="1" si="306">SUM(O$761,O$766)</f>
        <v>-436.59751853691546</v>
      </c>
      <c r="P768" s="434">
        <f t="shared" ca="1" si="306"/>
        <v>-104.58069063224275</v>
      </c>
      <c r="Q768" s="434">
        <f t="shared" ca="1" si="306"/>
        <v>86.456033245718004</v>
      </c>
      <c r="R768" s="434">
        <f t="shared" ca="1" si="306"/>
        <v>-306.66756291691092</v>
      </c>
      <c r="S768" s="434">
        <f t="shared" ca="1" si="306"/>
        <v>338.37282582904186</v>
      </c>
      <c r="T768" s="434">
        <f t="shared" ca="1" si="306"/>
        <v>563.13473835055925</v>
      </c>
      <c r="U768" s="434">
        <f t="shared" ca="1" si="306"/>
        <v>659.29732428574937</v>
      </c>
      <c r="V768" s="434">
        <f t="shared" ca="1" si="306"/>
        <v>1124.2599372882023</v>
      </c>
      <c r="W768" s="434">
        <f t="shared" ca="1" si="306"/>
        <v>1453.4889459140736</v>
      </c>
    </row>
    <row r="769" spans="1:23" outlineLevel="1">
      <c r="B769" s="58"/>
      <c r="C769" s="98"/>
      <c r="D769" s="65"/>
      <c r="E769" s="65"/>
      <c r="F769" s="65"/>
      <c r="G769" s="65"/>
      <c r="H769" s="65"/>
      <c r="I769" s="65"/>
      <c r="J769" s="65"/>
      <c r="K769" s="65"/>
      <c r="L769" s="51"/>
      <c r="M769" s="65"/>
      <c r="N769" s="112"/>
      <c r="O769" s="112"/>
      <c r="P769" s="112"/>
      <c r="Q769" s="112"/>
      <c r="R769" s="112"/>
      <c r="S769" s="112"/>
      <c r="T769" s="51"/>
    </row>
    <row r="770" spans="1:23" hidden="1" outlineLevel="1">
      <c r="B770" s="58"/>
      <c r="C770" s="391" t="s">
        <v>102</v>
      </c>
      <c r="D770" s="389"/>
      <c r="E770" s="389"/>
      <c r="F770" s="389"/>
      <c r="G770" s="389"/>
      <c r="H770" s="389"/>
      <c r="I770" s="389"/>
      <c r="J770" s="389"/>
      <c r="K770" s="389"/>
      <c r="L770" s="389"/>
      <c r="M770" s="389"/>
      <c r="N770" s="389"/>
      <c r="O770" s="389"/>
      <c r="P770" s="389"/>
      <c r="Q770" s="389"/>
      <c r="R770" s="389"/>
      <c r="S770" s="389"/>
      <c r="T770" s="389"/>
      <c r="U770" s="389"/>
      <c r="V770" s="389"/>
      <c r="W770" s="392"/>
    </row>
    <row r="771" spans="1:23" ht="7" hidden="1" customHeight="1" outlineLevel="1">
      <c r="B771" s="58"/>
    </row>
    <row r="772" spans="1:23" hidden="1" outlineLevel="1">
      <c r="B772" s="58"/>
      <c r="C772" s="108" t="s">
        <v>27</v>
      </c>
      <c r="N772" s="491">
        <v>0</v>
      </c>
      <c r="O772" s="491">
        <v>0</v>
      </c>
      <c r="P772" s="491">
        <v>0</v>
      </c>
      <c r="Q772" s="491">
        <v>0</v>
      </c>
      <c r="R772" s="491">
        <v>0</v>
      </c>
      <c r="S772" s="491">
        <v>0</v>
      </c>
      <c r="T772" s="491">
        <v>0</v>
      </c>
      <c r="U772" s="491">
        <v>0</v>
      </c>
      <c r="V772" s="491">
        <v>0</v>
      </c>
      <c r="W772" s="491">
        <v>0</v>
      </c>
    </row>
    <row r="773" spans="1:23" hidden="1" outlineLevel="1">
      <c r="B773" s="58"/>
      <c r="C773" s="94" t="str">
        <f>$C$24</f>
        <v>Term Loan</v>
      </c>
      <c r="N773" s="1223">
        <v>0.05</v>
      </c>
      <c r="O773" s="1223">
        <v>0.04</v>
      </c>
      <c r="P773" s="1223">
        <v>0.03</v>
      </c>
      <c r="Q773" s="1223">
        <v>0.02</v>
      </c>
      <c r="R773" s="1223">
        <v>0.01</v>
      </c>
      <c r="S773" s="491">
        <v>0</v>
      </c>
      <c r="T773" s="491">
        <v>0</v>
      </c>
      <c r="U773" s="491">
        <v>0</v>
      </c>
      <c r="V773" s="491">
        <v>0</v>
      </c>
      <c r="W773" s="491">
        <v>0</v>
      </c>
    </row>
    <row r="774" spans="1:23" hidden="1" outlineLevel="1">
      <c r="B774" s="58"/>
      <c r="C774" s="108" t="s">
        <v>247</v>
      </c>
      <c r="N774" s="1223">
        <v>0</v>
      </c>
      <c r="O774" s="1223">
        <v>0</v>
      </c>
      <c r="P774" s="1223">
        <v>0</v>
      </c>
      <c r="Q774" s="1223">
        <v>0</v>
      </c>
      <c r="R774" s="1223">
        <v>0</v>
      </c>
      <c r="S774" s="491">
        <v>0</v>
      </c>
      <c r="T774" s="491">
        <v>0</v>
      </c>
      <c r="U774" s="491">
        <v>0</v>
      </c>
      <c r="V774" s="491">
        <v>0</v>
      </c>
      <c r="W774" s="491">
        <v>0</v>
      </c>
    </row>
    <row r="775" spans="1:23" hidden="1" outlineLevel="1">
      <c r="B775" s="58"/>
      <c r="C775" s="108" t="s">
        <v>139</v>
      </c>
      <c r="N775" s="1223">
        <v>0.05</v>
      </c>
      <c r="O775" s="1223">
        <v>0.04</v>
      </c>
      <c r="P775" s="1223">
        <v>0.03</v>
      </c>
      <c r="Q775" s="1223">
        <v>0.02</v>
      </c>
      <c r="R775" s="1223">
        <v>0.01</v>
      </c>
      <c r="S775" s="491">
        <v>0</v>
      </c>
      <c r="T775" s="491">
        <v>0</v>
      </c>
      <c r="U775" s="491">
        <v>0</v>
      </c>
      <c r="V775" s="491">
        <v>0</v>
      </c>
      <c r="W775" s="491">
        <v>0</v>
      </c>
    </row>
    <row r="776" spans="1:23" hidden="1" outlineLevel="1">
      <c r="B776" s="58"/>
      <c r="C776" s="108" t="s">
        <v>90</v>
      </c>
      <c r="N776" s="491">
        <v>0</v>
      </c>
      <c r="O776" s="491">
        <v>0</v>
      </c>
      <c r="P776" s="491">
        <v>0</v>
      </c>
      <c r="Q776" s="491">
        <v>0</v>
      </c>
      <c r="R776" s="491">
        <v>0</v>
      </c>
      <c r="S776" s="491">
        <v>0</v>
      </c>
      <c r="T776" s="491">
        <v>0</v>
      </c>
      <c r="U776" s="491">
        <v>0</v>
      </c>
      <c r="V776" s="491">
        <v>0</v>
      </c>
      <c r="W776" s="491">
        <v>0</v>
      </c>
    </row>
    <row r="777" spans="1:23" hidden="1" outlineLevel="1">
      <c r="B777" s="58"/>
      <c r="C777" s="94" t="str">
        <f>$C$27</f>
        <v>Preferred Equity - A</v>
      </c>
      <c r="D777" s="65"/>
      <c r="E777" s="65"/>
      <c r="F777" s="65"/>
      <c r="G777" s="65"/>
      <c r="H777" s="65"/>
      <c r="I777" s="65"/>
      <c r="J777" s="65"/>
      <c r="K777" s="65"/>
      <c r="L777" s="51"/>
      <c r="M777" s="65"/>
      <c r="N777" s="491">
        <v>0</v>
      </c>
      <c r="O777" s="491">
        <v>0</v>
      </c>
      <c r="P777" s="491">
        <v>0</v>
      </c>
      <c r="Q777" s="491">
        <v>0</v>
      </c>
      <c r="R777" s="491">
        <v>0</v>
      </c>
      <c r="S777" s="491">
        <v>0</v>
      </c>
      <c r="T777" s="491">
        <v>0</v>
      </c>
      <c r="U777" s="491">
        <v>0</v>
      </c>
      <c r="V777" s="491">
        <v>0</v>
      </c>
      <c r="W777" s="491">
        <v>0</v>
      </c>
    </row>
    <row r="778" spans="1:23" ht="13.5" hidden="1" customHeight="1" outlineLevel="1">
      <c r="C778" s="94" t="str">
        <f>$C$28</f>
        <v>Preferred Equity - B</v>
      </c>
      <c r="D778" s="51"/>
      <c r="E778" s="51"/>
      <c r="F778" s="113"/>
      <c r="G778" s="51"/>
      <c r="H778" s="51"/>
      <c r="I778" s="51"/>
      <c r="J778" s="51"/>
      <c r="K778" s="51"/>
      <c r="L778" s="51"/>
      <c r="M778" s="51"/>
      <c r="N778" s="491">
        <v>0</v>
      </c>
      <c r="O778" s="491">
        <v>0</v>
      </c>
      <c r="P778" s="491">
        <v>0</v>
      </c>
      <c r="Q778" s="491">
        <v>0</v>
      </c>
      <c r="R778" s="491">
        <v>0</v>
      </c>
      <c r="S778" s="491">
        <v>0</v>
      </c>
      <c r="T778" s="491">
        <v>0</v>
      </c>
      <c r="U778" s="491">
        <v>0</v>
      </c>
      <c r="V778" s="491">
        <v>0</v>
      </c>
      <c r="W778" s="491">
        <v>0</v>
      </c>
    </row>
    <row r="779" spans="1:23" ht="13.5" hidden="1" customHeight="1" outlineLevel="1">
      <c r="C779" s="94"/>
      <c r="D779" s="51"/>
      <c r="E779" s="51"/>
      <c r="F779" s="113"/>
      <c r="G779" s="51"/>
      <c r="H779" s="51"/>
      <c r="I779" s="51"/>
      <c r="J779" s="51"/>
      <c r="K779" s="51"/>
      <c r="L779" s="51"/>
      <c r="M779" s="51"/>
      <c r="N779" s="491"/>
      <c r="O779" s="491"/>
      <c r="P779" s="491"/>
      <c r="Q779" s="491"/>
      <c r="R779" s="491"/>
      <c r="S779" s="491"/>
      <c r="T779" s="491"/>
      <c r="U779" s="491"/>
      <c r="V779" s="491"/>
      <c r="W779" s="491"/>
    </row>
    <row r="780" spans="1:23" ht="11.5" customHeight="1">
      <c r="C780" s="94"/>
      <c r="D780" s="51"/>
      <c r="E780" s="51"/>
      <c r="F780" s="113"/>
      <c r="G780" s="51"/>
      <c r="H780" s="51"/>
      <c r="I780" s="51"/>
      <c r="J780" s="51"/>
      <c r="K780" s="51"/>
      <c r="L780" s="51"/>
      <c r="M780" s="51"/>
      <c r="N780" s="51"/>
      <c r="O780" s="99"/>
      <c r="P780" s="99"/>
      <c r="Q780" s="99"/>
      <c r="R780" s="99"/>
      <c r="S780" s="99"/>
      <c r="T780" s="51"/>
    </row>
    <row r="781" spans="1:23" s="58" customFormat="1">
      <c r="A781" s="52" t="s">
        <v>63</v>
      </c>
      <c r="C781" s="518" t="s">
        <v>316</v>
      </c>
      <c r="D781" s="247"/>
      <c r="E781" s="247"/>
      <c r="F781" s="247"/>
      <c r="G781" s="247"/>
      <c r="H781" s="247"/>
      <c r="I781" s="247"/>
      <c r="J781" s="247"/>
      <c r="K781" s="247"/>
      <c r="L781" s="247"/>
      <c r="M781" s="247"/>
      <c r="N781" s="247"/>
      <c r="O781" s="247"/>
      <c r="P781" s="247"/>
      <c r="Q781" s="247"/>
      <c r="R781" s="247"/>
      <c r="S781" s="247"/>
      <c r="T781" s="247"/>
      <c r="U781" s="247"/>
      <c r="V781" s="247"/>
      <c r="W781" s="247"/>
    </row>
    <row r="782" spans="1:23" ht="3.65" customHeight="1" outlineLevel="1"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</row>
    <row r="783" spans="1:23" ht="6.65" customHeight="1" outlineLevel="1">
      <c r="C783" s="241"/>
      <c r="G783" s="58"/>
      <c r="H783" s="58"/>
      <c r="I783" s="58"/>
      <c r="J783" s="58"/>
      <c r="K783" s="58"/>
      <c r="L783" s="58"/>
      <c r="M783" s="58"/>
    </row>
    <row r="784" spans="1:23" outlineLevel="1">
      <c r="C784" s="391" t="s">
        <v>133</v>
      </c>
      <c r="D784" s="389"/>
      <c r="E784" s="389"/>
      <c r="F784" s="392"/>
      <c r="G784" s="58"/>
      <c r="H784" s="58"/>
      <c r="I784" s="58"/>
      <c r="J784" s="58"/>
      <c r="K784" s="58"/>
      <c r="L784" s="58"/>
      <c r="M784" s="65"/>
    </row>
    <row r="785" spans="1:24" outlineLevel="1">
      <c r="C785" s="66" t="s">
        <v>94</v>
      </c>
      <c r="D785" s="65"/>
      <c r="F785" s="1503">
        <v>0.75</v>
      </c>
      <c r="G785" s="58"/>
      <c r="H785" s="58"/>
      <c r="I785" s="58"/>
      <c r="J785" s="58"/>
      <c r="K785" s="58"/>
      <c r="L785" s="58"/>
    </row>
    <row r="786" spans="1:24" outlineLevel="1">
      <c r="C786" s="66" t="s">
        <v>551</v>
      </c>
      <c r="D786" s="65"/>
      <c r="F786" s="1504">
        <f>1-F785</f>
        <v>0.25</v>
      </c>
      <c r="G786" s="58"/>
      <c r="H786" s="58"/>
      <c r="I786" s="58"/>
      <c r="J786" s="58"/>
      <c r="K786" s="58"/>
      <c r="L786" s="58"/>
    </row>
    <row r="787" spans="1:24" outlineLevel="1">
      <c r="A787" s="58"/>
      <c r="C787" s="65"/>
      <c r="D787" s="65"/>
      <c r="E787" s="65"/>
      <c r="F787" s="65"/>
      <c r="G787" s="65"/>
      <c r="H787" s="65"/>
      <c r="I787" s="65"/>
      <c r="J787" s="65"/>
      <c r="K787" s="65"/>
      <c r="L787" s="65"/>
    </row>
    <row r="788" spans="1:24" outlineLevel="1">
      <c r="B788" s="58"/>
      <c r="C788" s="391" t="s">
        <v>317</v>
      </c>
      <c r="D788" s="389"/>
      <c r="E788" s="389"/>
      <c r="F788" s="389"/>
      <c r="G788" s="389"/>
      <c r="H788" s="389"/>
      <c r="I788" s="389"/>
      <c r="J788" s="389"/>
      <c r="K788" s="389"/>
      <c r="L788" s="389"/>
      <c r="M788" s="389"/>
      <c r="N788" s="389"/>
      <c r="O788" s="389"/>
      <c r="P788" s="389"/>
      <c r="Q788" s="389"/>
      <c r="R788" s="389"/>
      <c r="S788" s="389"/>
      <c r="T788" s="389"/>
      <c r="U788" s="389"/>
      <c r="V788" s="389"/>
      <c r="W788" s="392"/>
    </row>
    <row r="789" spans="1:24" ht="4" customHeight="1" outlineLevel="1">
      <c r="B789" s="58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</row>
    <row r="790" spans="1:24" ht="16" outlineLevel="1">
      <c r="B790" s="58"/>
      <c r="C790" s="241" t="str">
        <f>units</f>
        <v>($ '000)</v>
      </c>
      <c r="D790" s="58"/>
      <c r="E790" s="58"/>
      <c r="F790" s="58"/>
      <c r="G790" s="58"/>
      <c r="H790" s="58"/>
      <c r="I790" s="58"/>
      <c r="J790" s="58"/>
      <c r="K790" s="58"/>
      <c r="L790" s="58"/>
      <c r="N790" s="743" t="str">
        <f>$N$124</f>
        <v>4 Months</v>
      </c>
      <c r="O790" s="740" t="str">
        <f>"Fiscal Years Ending "&amp;TEXT($Q$16,"mmmm dd")</f>
        <v>Fiscal Years Ending December 31</v>
      </c>
      <c r="P790" s="739"/>
      <c r="Q790" s="739"/>
      <c r="R790" s="739"/>
      <c r="S790" s="739"/>
      <c r="T790" s="739"/>
      <c r="U790" s="739"/>
      <c r="V790" s="739"/>
      <c r="W790" s="739"/>
    </row>
    <row r="791" spans="1:24" outlineLevel="1">
      <c r="B791" s="58"/>
      <c r="C791" s="241"/>
      <c r="D791" s="58"/>
      <c r="E791" s="58"/>
      <c r="F791" s="58"/>
      <c r="G791" s="58"/>
      <c r="H791" s="58"/>
      <c r="I791" s="58"/>
      <c r="J791" s="58"/>
      <c r="K791" s="58"/>
      <c r="L791" s="58"/>
      <c r="M791" s="743" t="s">
        <v>50</v>
      </c>
      <c r="N791" s="743">
        <v>1</v>
      </c>
      <c r="O791" s="746">
        <f>O$125</f>
        <v>2</v>
      </c>
      <c r="P791" s="746">
        <f t="shared" ref="P791:W791" si="307">P$125</f>
        <v>3</v>
      </c>
      <c r="Q791" s="746">
        <f t="shared" si="307"/>
        <v>4</v>
      </c>
      <c r="R791" s="746">
        <f t="shared" si="307"/>
        <v>5</v>
      </c>
      <c r="S791" s="746">
        <f t="shared" si="307"/>
        <v>6</v>
      </c>
      <c r="T791" s="746">
        <f t="shared" si="307"/>
        <v>7</v>
      </c>
      <c r="U791" s="746">
        <f t="shared" si="307"/>
        <v>8</v>
      </c>
      <c r="V791" s="746">
        <f t="shared" si="307"/>
        <v>9</v>
      </c>
      <c r="W791" s="746">
        <f t="shared" si="307"/>
        <v>10</v>
      </c>
    </row>
    <row r="792" spans="1:24" ht="15" outlineLevel="1" thickBot="1">
      <c r="A792" s="517"/>
      <c r="B792" s="748"/>
      <c r="C792" s="753"/>
      <c r="D792" s="748"/>
      <c r="E792" s="748"/>
      <c r="F792" s="748"/>
      <c r="G792" s="748"/>
      <c r="H792" s="748"/>
      <c r="I792" s="748"/>
      <c r="J792" s="748"/>
      <c r="K792" s="748"/>
      <c r="L792" s="748"/>
      <c r="M792" s="752">
        <f>$Q$15</f>
        <v>44775</v>
      </c>
      <c r="N792" s="749">
        <f>$N$126</f>
        <v>44926</v>
      </c>
      <c r="O792" s="750">
        <f>O$126</f>
        <v>45291</v>
      </c>
      <c r="P792" s="750">
        <f t="shared" ref="P792:W792" si="308">P$126</f>
        <v>45657</v>
      </c>
      <c r="Q792" s="750">
        <f t="shared" si="308"/>
        <v>46022</v>
      </c>
      <c r="R792" s="750">
        <f t="shared" si="308"/>
        <v>46387</v>
      </c>
      <c r="S792" s="750">
        <f t="shared" si="308"/>
        <v>46752</v>
      </c>
      <c r="T792" s="750">
        <f t="shared" si="308"/>
        <v>47118</v>
      </c>
      <c r="U792" s="750">
        <f t="shared" si="308"/>
        <v>47483</v>
      </c>
      <c r="V792" s="750">
        <f t="shared" si="308"/>
        <v>47848</v>
      </c>
      <c r="W792" s="750">
        <f t="shared" si="308"/>
        <v>48213</v>
      </c>
    </row>
    <row r="793" spans="1:24" ht="5.15" customHeight="1" outlineLevel="1">
      <c r="A793" s="58"/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240"/>
      <c r="O793" s="240"/>
      <c r="P793" s="240"/>
      <c r="Q793" s="240"/>
      <c r="R793" s="240"/>
      <c r="S793" s="240"/>
      <c r="T793" s="240"/>
      <c r="U793" s="240"/>
      <c r="V793" s="240"/>
      <c r="W793" s="240"/>
    </row>
    <row r="794" spans="1:24" s="51" customFormat="1" outlineLevel="1">
      <c r="A794" s="65"/>
      <c r="C794" s="189" t="s">
        <v>160</v>
      </c>
      <c r="D794" s="189"/>
      <c r="E794" s="189"/>
      <c r="F794" s="189"/>
      <c r="G794" s="189"/>
      <c r="H794" s="189"/>
      <c r="I794" s="189"/>
      <c r="J794" s="189"/>
      <c r="K794" s="189"/>
      <c r="L794" s="189"/>
      <c r="M794" s="189"/>
      <c r="N794" s="189"/>
      <c r="O794" s="189"/>
      <c r="P794" s="189"/>
      <c r="Q794" s="189"/>
      <c r="R794" s="189"/>
      <c r="S794" s="189"/>
      <c r="T794" s="189"/>
      <c r="U794" s="189"/>
      <c r="V794" s="189"/>
      <c r="W794" s="189"/>
    </row>
    <row r="795" spans="1:24" s="65" customFormat="1" ht="6" customHeight="1" outlineLevel="1">
      <c r="C795" s="242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</row>
    <row r="796" spans="1:24" outlineLevel="1">
      <c r="A796" s="58"/>
      <c r="C796" s="339" t="s">
        <v>116</v>
      </c>
      <c r="D796" s="339"/>
      <c r="E796" s="339"/>
      <c r="F796" s="339"/>
      <c r="G796" s="339"/>
      <c r="H796" s="339"/>
      <c r="I796" s="339"/>
      <c r="J796" s="339"/>
      <c r="K796" s="339"/>
      <c r="L796" s="339"/>
      <c r="M796" s="421">
        <f ca="1">-$E$28</f>
        <v>-476.78737718331308</v>
      </c>
      <c r="N796" s="422"/>
      <c r="O796" s="422"/>
      <c r="P796" s="422"/>
      <c r="Q796" s="422"/>
      <c r="R796" s="422"/>
      <c r="S796" s="422"/>
      <c r="T796" s="422"/>
      <c r="U796" s="422"/>
      <c r="V796" s="422"/>
      <c r="W796" s="422"/>
    </row>
    <row r="797" spans="1:24" outlineLevel="1">
      <c r="A797" s="58"/>
      <c r="C797" s="710" t="s">
        <v>118</v>
      </c>
      <c r="D797" s="707"/>
      <c r="E797" s="341"/>
      <c r="F797" s="341"/>
      <c r="G797" s="341"/>
      <c r="H797" s="341"/>
      <c r="I797" s="341"/>
      <c r="J797" s="341"/>
      <c r="K797" s="341"/>
      <c r="L797" s="341"/>
      <c r="M797" s="423"/>
      <c r="N797" s="424">
        <f t="shared" ref="N797:W797" ca="1" si="309">N$618*(N$791&lt;=exit_year)</f>
        <v>0</v>
      </c>
      <c r="O797" s="424">
        <f t="shared" ca="1" si="309"/>
        <v>0</v>
      </c>
      <c r="P797" s="424">
        <f t="shared" ca="1" si="309"/>
        <v>0</v>
      </c>
      <c r="Q797" s="424">
        <f t="shared" ca="1" si="309"/>
        <v>0</v>
      </c>
      <c r="R797" s="424">
        <f t="shared" ca="1" si="309"/>
        <v>0</v>
      </c>
      <c r="S797" s="424">
        <f t="shared" ca="1" si="309"/>
        <v>0</v>
      </c>
      <c r="T797" s="424">
        <f t="shared" ca="1" si="309"/>
        <v>0</v>
      </c>
      <c r="U797" s="424">
        <f t="shared" ca="1" si="309"/>
        <v>0</v>
      </c>
      <c r="V797" s="424">
        <f t="shared" ca="1" si="309"/>
        <v>0</v>
      </c>
      <c r="W797" s="424">
        <f t="shared" ca="1" si="309"/>
        <v>0</v>
      </c>
    </row>
    <row r="798" spans="1:24" outlineLevel="1">
      <c r="A798" s="58"/>
      <c r="C798" s="711" t="s">
        <v>119</v>
      </c>
      <c r="D798" s="339"/>
      <c r="E798" s="339"/>
      <c r="F798" s="339"/>
      <c r="G798" s="339"/>
      <c r="H798" s="342"/>
      <c r="I798" s="339"/>
      <c r="J798" s="339"/>
      <c r="K798" s="339"/>
      <c r="L798" s="339"/>
      <c r="M798" s="422"/>
      <c r="N798" s="421">
        <f t="shared" ref="N798:W798" ca="1" si="310">-N$567*(N$791&lt;=exit_year)</f>
        <v>0</v>
      </c>
      <c r="O798" s="421">
        <f t="shared" ca="1" si="310"/>
        <v>0</v>
      </c>
      <c r="P798" s="421">
        <f t="shared" ca="1" si="310"/>
        <v>0</v>
      </c>
      <c r="Q798" s="421">
        <f t="shared" ca="1" si="310"/>
        <v>0</v>
      </c>
      <c r="R798" s="421">
        <f t="shared" ca="1" si="310"/>
        <v>0</v>
      </c>
      <c r="S798" s="421">
        <f t="shared" ca="1" si="310"/>
        <v>0</v>
      </c>
      <c r="T798" s="421">
        <f t="shared" ca="1" si="310"/>
        <v>0</v>
      </c>
      <c r="U798" s="421">
        <f t="shared" ca="1" si="310"/>
        <v>0</v>
      </c>
      <c r="V798" s="421">
        <f t="shared" ca="1" si="310"/>
        <v>0</v>
      </c>
      <c r="W798" s="421">
        <f t="shared" ca="1" si="310"/>
        <v>0</v>
      </c>
    </row>
    <row r="799" spans="1:24" outlineLevel="1">
      <c r="A799" s="58"/>
      <c r="C799" s="712" t="s">
        <v>117</v>
      </c>
      <c r="D799" s="340"/>
      <c r="E799" s="340"/>
      <c r="F799" s="340"/>
      <c r="G799" s="340"/>
      <c r="H799" s="340"/>
      <c r="I799" s="340"/>
      <c r="J799" s="340"/>
      <c r="K799" s="340"/>
      <c r="L799" s="340"/>
      <c r="M799" s="425"/>
      <c r="N799" s="421">
        <f t="shared" ref="N799:W799" ca="1" si="311">N$578*N$728</f>
        <v>0</v>
      </c>
      <c r="O799" s="421">
        <f t="shared" ca="1" si="311"/>
        <v>0</v>
      </c>
      <c r="P799" s="421">
        <f t="shared" ca="1" si="311"/>
        <v>0</v>
      </c>
      <c r="Q799" s="421">
        <f t="shared" ca="1" si="311"/>
        <v>0</v>
      </c>
      <c r="R799" s="421">
        <f t="shared" ca="1" si="311"/>
        <v>0</v>
      </c>
      <c r="S799" s="421">
        <f t="shared" ca="1" si="311"/>
        <v>0</v>
      </c>
      <c r="T799" s="421">
        <f t="shared" ca="1" si="311"/>
        <v>0</v>
      </c>
      <c r="U799" s="421">
        <f t="shared" ca="1" si="311"/>
        <v>0</v>
      </c>
      <c r="V799" s="421">
        <f t="shared" ca="1" si="311"/>
        <v>911.44616556781307</v>
      </c>
      <c r="W799" s="421">
        <f t="shared" ca="1" si="311"/>
        <v>0</v>
      </c>
    </row>
    <row r="800" spans="1:24" outlineLevel="1">
      <c r="A800" s="58"/>
      <c r="C800" s="712" t="s">
        <v>257</v>
      </c>
      <c r="D800" s="340"/>
      <c r="E800" s="340"/>
      <c r="F800" s="340"/>
      <c r="G800" s="340"/>
      <c r="H800" s="340"/>
      <c r="I800" s="340"/>
      <c r="J800" s="340"/>
      <c r="K800" s="340"/>
      <c r="L800" s="340"/>
      <c r="M800" s="425"/>
      <c r="N800" s="421">
        <f t="shared" ref="N800:W800" ca="1" si="312">N$758*N$728</f>
        <v>0</v>
      </c>
      <c r="O800" s="421">
        <f t="shared" ca="1" si="312"/>
        <v>0</v>
      </c>
      <c r="P800" s="421">
        <f t="shared" ca="1" si="312"/>
        <v>0</v>
      </c>
      <c r="Q800" s="421">
        <f t="shared" ca="1" si="312"/>
        <v>0</v>
      </c>
      <c r="R800" s="421">
        <f t="shared" ca="1" si="312"/>
        <v>0</v>
      </c>
      <c r="S800" s="421">
        <f t="shared" ca="1" si="312"/>
        <v>0</v>
      </c>
      <c r="T800" s="421">
        <f t="shared" ca="1" si="312"/>
        <v>0</v>
      </c>
      <c r="U800" s="421">
        <f t="shared" ca="1" si="312"/>
        <v>0</v>
      </c>
      <c r="V800" s="421">
        <f t="shared" ca="1" si="312"/>
        <v>0</v>
      </c>
      <c r="W800" s="421">
        <f t="shared" ca="1" si="312"/>
        <v>0</v>
      </c>
    </row>
    <row r="801" spans="1:23" outlineLevel="1">
      <c r="A801" s="58"/>
      <c r="C801" s="712" t="s">
        <v>120</v>
      </c>
      <c r="D801" s="340"/>
      <c r="E801" s="340"/>
      <c r="F801" s="340"/>
      <c r="G801" s="340"/>
      <c r="H801" s="340"/>
      <c r="I801" s="340"/>
      <c r="J801" s="340"/>
      <c r="K801" s="340"/>
      <c r="L801" s="340"/>
      <c r="M801" s="425"/>
      <c r="N801" s="421">
        <f t="shared" ref="N801:W801" ca="1" si="313">PRODUCT(N$768,$F$785)*N$728</f>
        <v>0</v>
      </c>
      <c r="O801" s="421">
        <f t="shared" ca="1" si="313"/>
        <v>0</v>
      </c>
      <c r="P801" s="421">
        <f t="shared" ca="1" si="313"/>
        <v>0</v>
      </c>
      <c r="Q801" s="421">
        <f t="shared" ca="1" si="313"/>
        <v>0</v>
      </c>
      <c r="R801" s="421">
        <f t="shared" ca="1" si="313"/>
        <v>0</v>
      </c>
      <c r="S801" s="421">
        <f ca="1">PRODUCT(S$768,$F$785)*S$728</f>
        <v>0</v>
      </c>
      <c r="T801" s="421">
        <f t="shared" ca="1" si="313"/>
        <v>0</v>
      </c>
      <c r="U801" s="421">
        <f t="shared" ca="1" si="313"/>
        <v>0</v>
      </c>
      <c r="V801" s="421">
        <f t="shared" ca="1" si="313"/>
        <v>843.19495296615173</v>
      </c>
      <c r="W801" s="421">
        <f t="shared" ca="1" si="313"/>
        <v>0</v>
      </c>
    </row>
    <row r="802" spans="1:23" s="54" customFormat="1" outlineLevel="1">
      <c r="A802" s="18"/>
      <c r="C802" s="708" t="s">
        <v>132</v>
      </c>
      <c r="D802" s="708"/>
      <c r="E802" s="708"/>
      <c r="F802" s="708"/>
      <c r="G802" s="708"/>
      <c r="H802" s="708"/>
      <c r="I802" s="708"/>
      <c r="J802" s="708"/>
      <c r="K802" s="708"/>
      <c r="L802" s="708"/>
      <c r="M802" s="709">
        <f ca="1">SUM(M796:M801)</f>
        <v>-476.78737718331308</v>
      </c>
      <c r="N802" s="709">
        <f ca="1">SUM(N$796:N$801)</f>
        <v>0</v>
      </c>
      <c r="O802" s="709">
        <f t="shared" ref="O802:W802" ca="1" si="314">SUM(O796:O801)</f>
        <v>0</v>
      </c>
      <c r="P802" s="709">
        <f t="shared" ca="1" si="314"/>
        <v>0</v>
      </c>
      <c r="Q802" s="709">
        <f t="shared" ca="1" si="314"/>
        <v>0</v>
      </c>
      <c r="R802" s="709">
        <f t="shared" ca="1" si="314"/>
        <v>0</v>
      </c>
      <c r="S802" s="709">
        <f t="shared" ca="1" si="314"/>
        <v>0</v>
      </c>
      <c r="T802" s="709">
        <f t="shared" ca="1" si="314"/>
        <v>0</v>
      </c>
      <c r="U802" s="709">
        <f t="shared" ca="1" si="314"/>
        <v>0</v>
      </c>
      <c r="V802" s="709">
        <f t="shared" ca="1" si="314"/>
        <v>1754.6411185339648</v>
      </c>
      <c r="W802" s="709">
        <f t="shared" ca="1" si="314"/>
        <v>0</v>
      </c>
    </row>
    <row r="803" spans="1:23" ht="7" customHeight="1" outlineLevel="1">
      <c r="A803" s="58"/>
      <c r="C803" s="340"/>
      <c r="D803" s="340"/>
      <c r="E803" s="340"/>
      <c r="F803" s="340"/>
      <c r="G803" s="340"/>
      <c r="H803" s="340"/>
      <c r="I803" s="340"/>
      <c r="J803" s="340"/>
      <c r="K803" s="340"/>
      <c r="L803" s="340"/>
      <c r="M803" s="425"/>
      <c r="N803" s="425"/>
      <c r="O803" s="425"/>
      <c r="P803" s="425"/>
      <c r="Q803" s="425"/>
      <c r="R803" s="425"/>
      <c r="S803" s="425"/>
      <c r="T803" s="425"/>
      <c r="U803" s="425"/>
      <c r="V803" s="425"/>
      <c r="W803" s="425"/>
    </row>
    <row r="804" spans="1:23" outlineLevel="1">
      <c r="A804" s="58"/>
      <c r="C804" s="393" t="s">
        <v>6</v>
      </c>
      <c r="D804" s="396">
        <f ca="1">IFERROR(XIRR($M$802:$W$802,$M$792:$W$792),0)</f>
        <v>0.16737733483314518</v>
      </c>
      <c r="E804" s="340"/>
      <c r="F804" s="340"/>
      <c r="G804" s="340"/>
      <c r="H804" s="340"/>
      <c r="I804" s="340"/>
      <c r="J804" s="340"/>
      <c r="K804" s="340"/>
      <c r="L804" s="340"/>
      <c r="M804" s="425"/>
      <c r="N804" s="425"/>
      <c r="O804" s="425"/>
      <c r="P804" s="425"/>
      <c r="Q804" s="425"/>
      <c r="R804" s="425"/>
      <c r="S804" s="425"/>
      <c r="T804" s="425"/>
      <c r="U804" s="425"/>
      <c r="V804" s="425"/>
      <c r="W804" s="425"/>
    </row>
    <row r="805" spans="1:23" outlineLevel="1">
      <c r="A805" s="58"/>
      <c r="C805" s="394" t="s">
        <v>131</v>
      </c>
      <c r="D805" s="395">
        <f ca="1">IFERROR(-SUM($N$802:$W$802)/$M$802,"NA")</f>
        <v>3.6801333309194302</v>
      </c>
      <c r="E805" s="340"/>
      <c r="F805" s="340"/>
      <c r="G805" s="340"/>
      <c r="H805" s="340"/>
      <c r="I805" s="340"/>
      <c r="J805" s="340"/>
      <c r="K805" s="340"/>
      <c r="L805" s="340"/>
      <c r="M805" s="425"/>
      <c r="N805" s="425"/>
      <c r="O805" s="425"/>
      <c r="P805" s="425"/>
      <c r="Q805" s="425"/>
      <c r="R805" s="425"/>
      <c r="S805" s="425"/>
      <c r="T805" s="425"/>
      <c r="U805" s="425"/>
      <c r="V805" s="425"/>
      <c r="W805" s="425"/>
    </row>
    <row r="806" spans="1:23" ht="6" customHeight="1" outlineLevel="1">
      <c r="A806" s="58"/>
      <c r="M806" s="426"/>
      <c r="N806" s="426"/>
      <c r="O806" s="426"/>
      <c r="P806" s="426"/>
      <c r="Q806" s="426"/>
      <c r="R806" s="426"/>
      <c r="S806" s="426"/>
      <c r="T806" s="426"/>
      <c r="U806" s="426"/>
      <c r="V806" s="426"/>
      <c r="W806" s="426"/>
    </row>
    <row r="807" spans="1:23" outlineLevel="1">
      <c r="A807" s="58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427"/>
      <c r="N807" s="427"/>
      <c r="O807" s="427"/>
      <c r="P807" s="427"/>
      <c r="Q807" s="427"/>
      <c r="R807" s="427"/>
      <c r="S807" s="427"/>
      <c r="T807" s="427"/>
      <c r="U807" s="427"/>
      <c r="V807" s="427"/>
      <c r="W807" s="427"/>
    </row>
    <row r="808" spans="1:23" outlineLevel="1">
      <c r="A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428"/>
      <c r="N808" s="428"/>
      <c r="O808" s="428"/>
      <c r="P808" s="428"/>
      <c r="Q808" s="428"/>
      <c r="R808" s="428"/>
      <c r="S808" s="428"/>
      <c r="T808" s="428"/>
      <c r="U808" s="428"/>
      <c r="V808" s="428"/>
      <c r="W808" s="428"/>
    </row>
    <row r="809" spans="1:23" s="51" customFormat="1" outlineLevel="1">
      <c r="A809" s="65"/>
      <c r="C809" s="189" t="s">
        <v>551</v>
      </c>
      <c r="D809" s="189"/>
      <c r="E809" s="189"/>
      <c r="F809" s="189"/>
      <c r="G809" s="189"/>
      <c r="H809" s="189"/>
      <c r="I809" s="189"/>
      <c r="J809" s="189"/>
      <c r="K809" s="189"/>
      <c r="L809" s="189"/>
      <c r="M809" s="429"/>
      <c r="N809" s="429"/>
      <c r="O809" s="429"/>
      <c r="P809" s="429"/>
      <c r="Q809" s="429"/>
      <c r="R809" s="429"/>
      <c r="S809" s="429"/>
      <c r="T809" s="429"/>
      <c r="U809" s="429"/>
      <c r="V809" s="429"/>
      <c r="W809" s="429"/>
    </row>
    <row r="810" spans="1:23" s="51" customFormat="1" ht="4.5" customHeight="1" outlineLevel="1">
      <c r="A810" s="65"/>
      <c r="C810" s="242"/>
      <c r="D810" s="53"/>
      <c r="E810" s="53"/>
      <c r="F810" s="53"/>
      <c r="G810" s="53"/>
      <c r="H810" s="53"/>
      <c r="I810" s="53"/>
      <c r="J810" s="53"/>
      <c r="K810" s="53"/>
      <c r="L810" s="53"/>
      <c r="M810" s="430"/>
      <c r="N810" s="430"/>
      <c r="O810" s="430"/>
      <c r="P810" s="430"/>
      <c r="Q810" s="430"/>
      <c r="R810" s="430"/>
      <c r="S810" s="430"/>
      <c r="T810" s="430"/>
      <c r="U810" s="430"/>
      <c r="V810" s="430"/>
      <c r="W810" s="430"/>
    </row>
    <row r="811" spans="1:23" s="58" customFormat="1" outlineLevel="1">
      <c r="C811" s="100" t="s">
        <v>116</v>
      </c>
      <c r="D811" s="100"/>
      <c r="E811" s="100"/>
      <c r="F811" s="100"/>
      <c r="G811" s="100"/>
      <c r="H811" s="100"/>
      <c r="I811" s="100"/>
      <c r="J811" s="100"/>
      <c r="K811" s="100"/>
      <c r="L811" s="100"/>
      <c r="M811" s="431">
        <v>0</v>
      </c>
      <c r="N811" s="432"/>
      <c r="O811" s="432"/>
      <c r="P811" s="432"/>
      <c r="Q811" s="432"/>
      <c r="R811" s="432"/>
      <c r="S811" s="432"/>
      <c r="T811" s="432"/>
      <c r="U811" s="432"/>
      <c r="V811" s="432"/>
      <c r="W811" s="432"/>
    </row>
    <row r="812" spans="1:23" outlineLevel="1">
      <c r="A812" s="58"/>
      <c r="C812" s="424" t="s">
        <v>120</v>
      </c>
      <c r="D812" s="424"/>
      <c r="E812" s="424"/>
      <c r="F812" s="424"/>
      <c r="G812" s="424"/>
      <c r="H812" s="424"/>
      <c r="I812" s="424"/>
      <c r="J812" s="424"/>
      <c r="K812" s="424"/>
      <c r="L812" s="424"/>
      <c r="M812" s="424"/>
      <c r="N812" s="424">
        <f t="shared" ref="N812:W812" ca="1" si="315">N$768*N$728*$F$786</f>
        <v>0</v>
      </c>
      <c r="O812" s="424">
        <f t="shared" ca="1" si="315"/>
        <v>0</v>
      </c>
      <c r="P812" s="424">
        <f t="shared" ca="1" si="315"/>
        <v>0</v>
      </c>
      <c r="Q812" s="424">
        <f t="shared" ca="1" si="315"/>
        <v>0</v>
      </c>
      <c r="R812" s="424">
        <f t="shared" ca="1" si="315"/>
        <v>0</v>
      </c>
      <c r="S812" s="424">
        <f t="shared" ca="1" si="315"/>
        <v>0</v>
      </c>
      <c r="T812" s="424">
        <f t="shared" ca="1" si="315"/>
        <v>0</v>
      </c>
      <c r="U812" s="424">
        <f t="shared" ca="1" si="315"/>
        <v>0</v>
      </c>
      <c r="V812" s="424">
        <f t="shared" ca="1" si="315"/>
        <v>281.06498432205058</v>
      </c>
      <c r="W812" s="424">
        <f t="shared" ca="1" si="315"/>
        <v>0</v>
      </c>
    </row>
    <row r="813" spans="1:23" s="54" customFormat="1" outlineLevel="1">
      <c r="A813" s="18"/>
      <c r="C813" s="715" t="s">
        <v>132</v>
      </c>
      <c r="D813" s="715"/>
      <c r="E813" s="715"/>
      <c r="F813" s="715"/>
      <c r="G813" s="715"/>
      <c r="H813" s="715"/>
      <c r="I813" s="715"/>
      <c r="J813" s="715"/>
      <c r="K813" s="715"/>
      <c r="L813" s="716"/>
      <c r="M813" s="717">
        <f t="shared" ref="M813:W813" si="316">SUM(M811:M812)</f>
        <v>0</v>
      </c>
      <c r="N813" s="717">
        <f t="shared" ca="1" si="316"/>
        <v>0</v>
      </c>
      <c r="O813" s="717">
        <f t="shared" ca="1" si="316"/>
        <v>0</v>
      </c>
      <c r="P813" s="717">
        <f t="shared" ca="1" si="316"/>
        <v>0</v>
      </c>
      <c r="Q813" s="717">
        <f t="shared" ca="1" si="316"/>
        <v>0</v>
      </c>
      <c r="R813" s="717">
        <f t="shared" ca="1" si="316"/>
        <v>0</v>
      </c>
      <c r="S813" s="717">
        <f t="shared" ca="1" si="316"/>
        <v>0</v>
      </c>
      <c r="T813" s="717">
        <f t="shared" ca="1" si="316"/>
        <v>0</v>
      </c>
      <c r="U813" s="717">
        <f t="shared" ca="1" si="316"/>
        <v>0</v>
      </c>
      <c r="V813" s="717">
        <f t="shared" ca="1" si="316"/>
        <v>281.06498432205058</v>
      </c>
      <c r="W813" s="717">
        <f t="shared" ca="1" si="316"/>
        <v>0</v>
      </c>
    </row>
    <row r="814" spans="1:23" ht="7.5" customHeight="1" outlineLevel="1">
      <c r="A814" s="58"/>
      <c r="C814" s="233"/>
      <c r="D814" s="233"/>
      <c r="E814" s="233"/>
      <c r="F814" s="233"/>
      <c r="G814" s="233"/>
      <c r="H814" s="233"/>
      <c r="I814" s="233"/>
      <c r="J814" s="233"/>
      <c r="K814" s="233"/>
      <c r="L814" s="233"/>
      <c r="M814" s="433"/>
      <c r="N814" s="433"/>
      <c r="O814" s="433"/>
      <c r="P814" s="433"/>
      <c r="Q814" s="433"/>
      <c r="R814" s="433"/>
      <c r="S814" s="433"/>
      <c r="T814" s="433"/>
      <c r="U814" s="433"/>
      <c r="V814" s="433"/>
      <c r="W814" s="433"/>
    </row>
    <row r="815" spans="1:23" outlineLevel="1">
      <c r="A815" s="58"/>
      <c r="C815" s="393" t="s">
        <v>6</v>
      </c>
      <c r="D815" s="713" t="s">
        <v>281</v>
      </c>
      <c r="E815" s="233"/>
      <c r="F815" s="233"/>
      <c r="G815" s="233"/>
      <c r="H815" s="233"/>
      <c r="I815" s="233"/>
      <c r="J815" s="233"/>
      <c r="K815" s="233"/>
      <c r="L815" s="233"/>
      <c r="M815" s="433"/>
      <c r="N815" s="433"/>
      <c r="O815" s="433"/>
      <c r="P815" s="433"/>
      <c r="Q815" s="433"/>
      <c r="R815" s="433"/>
      <c r="S815" s="433"/>
      <c r="T815" s="433"/>
      <c r="U815" s="433"/>
      <c r="V815" s="433"/>
      <c r="W815" s="433"/>
    </row>
    <row r="816" spans="1:23" outlineLevel="1">
      <c r="A816" s="58"/>
      <c r="C816" s="394" t="s">
        <v>131</v>
      </c>
      <c r="D816" s="714" t="s">
        <v>281</v>
      </c>
      <c r="E816" s="233"/>
      <c r="F816" s="233"/>
      <c r="G816" s="233"/>
      <c r="H816" s="233"/>
      <c r="I816" s="233"/>
      <c r="J816" s="233"/>
      <c r="K816" s="233"/>
      <c r="L816" s="233"/>
      <c r="M816" s="433"/>
      <c r="N816" s="433"/>
      <c r="O816" s="433"/>
      <c r="P816" s="433"/>
      <c r="Q816" s="433"/>
      <c r="R816" s="433"/>
      <c r="S816" s="433"/>
      <c r="T816" s="433"/>
      <c r="U816" s="433"/>
      <c r="V816" s="433"/>
      <c r="W816" s="433"/>
    </row>
    <row r="817" spans="1:23" customFormat="1" ht="4.5" customHeight="1" outlineLevel="1">
      <c r="A817" s="14"/>
    </row>
    <row r="818" spans="1:23" outlineLevel="1">
      <c r="C818" s="214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</row>
    <row r="819" spans="1:23" ht="4.5" customHeight="1">
      <c r="C819" s="73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</row>
    <row r="820" spans="1:23">
      <c r="A820" s="52" t="s">
        <v>63</v>
      </c>
      <c r="C820" s="670" t="s">
        <v>173</v>
      </c>
      <c r="D820" s="244"/>
      <c r="E820" s="244"/>
      <c r="F820" s="244"/>
      <c r="G820" s="244"/>
      <c r="H820" s="244"/>
      <c r="I820" s="244"/>
      <c r="J820" s="244"/>
      <c r="K820" s="244"/>
      <c r="L820" s="244"/>
      <c r="M820" s="244"/>
      <c r="N820" s="244"/>
      <c r="O820" s="244"/>
      <c r="P820" s="244"/>
      <c r="Q820" s="244"/>
      <c r="R820" s="244"/>
      <c r="S820" s="244"/>
      <c r="T820" s="244"/>
      <c r="U820" s="244"/>
      <c r="V820" s="244"/>
      <c r="W820" s="244"/>
    </row>
    <row r="821" spans="1:23" ht="3.65" customHeight="1" outlineLevel="1">
      <c r="C821" s="214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</row>
    <row r="822" spans="1:23" outlineLevel="1">
      <c r="C822" s="1422" t="s">
        <v>793</v>
      </c>
      <c r="D822"/>
    </row>
    <row r="823" spans="1:23" outlineLevel="1">
      <c r="C823" s="517"/>
      <c r="D823" s="517"/>
    </row>
    <row r="824" spans="1:23" ht="16" outlineLevel="1">
      <c r="C824" s="160" t="s">
        <v>790</v>
      </c>
      <c r="D824" s="160"/>
      <c r="E824" s="144"/>
    </row>
    <row r="825" spans="1:23" ht="4.5" customHeight="1" outlineLevel="1"/>
    <row r="826" spans="1:23" outlineLevel="1">
      <c r="C826" s="81" t="s">
        <v>791</v>
      </c>
      <c r="E826" s="1405">
        <v>50</v>
      </c>
    </row>
    <row r="827" spans="1:23" outlineLevel="1"/>
    <row r="828" spans="1:23" outlineLevel="1">
      <c r="C828" s="57" t="s">
        <v>787</v>
      </c>
      <c r="E828" s="1404">
        <v>0.2</v>
      </c>
    </row>
    <row r="829" spans="1:23" outlineLevel="1">
      <c r="C829" s="57" t="s">
        <v>792</v>
      </c>
      <c r="E829" s="1406">
        <v>3</v>
      </c>
    </row>
    <row r="830" spans="1:23" outlineLevel="1">
      <c r="C830" s="81"/>
    </row>
    <row r="831" spans="1:23" outlineLevel="1">
      <c r="C831" s="81"/>
    </row>
    <row r="832" spans="1:23" ht="16" outlineLevel="1">
      <c r="C832" s="81"/>
      <c r="D832" s="1562" t="s">
        <v>788</v>
      </c>
      <c r="E832" s="1407"/>
      <c r="F832" s="1407"/>
      <c r="G832" s="1407"/>
      <c r="H832" s="1407"/>
      <c r="I832" s="1407"/>
      <c r="J832" s="1407"/>
      <c r="K832" s="1408"/>
      <c r="M832" s="1562" t="s">
        <v>789</v>
      </c>
      <c r="N832" s="1407"/>
      <c r="O832" s="1407"/>
      <c r="P832" s="1407"/>
      <c r="Q832" s="1407"/>
      <c r="R832" s="1407"/>
      <c r="S832" s="1407"/>
      <c r="T832" s="1408"/>
    </row>
    <row r="833" spans="1:24" ht="1.5" customHeight="1" outlineLevel="1">
      <c r="C833" s="81"/>
      <c r="D833" s="1409"/>
      <c r="E833" s="58"/>
      <c r="F833" s="58"/>
      <c r="G833" s="58"/>
      <c r="H833" s="58"/>
      <c r="I833" s="58"/>
      <c r="J833" s="58"/>
      <c r="K833" s="1403"/>
      <c r="M833" s="1409"/>
      <c r="N833" s="58"/>
      <c r="O833" s="58"/>
      <c r="P833" s="58"/>
      <c r="Q833" s="58"/>
      <c r="R833" s="58"/>
      <c r="S833" s="58"/>
      <c r="T833" s="1403"/>
    </row>
    <row r="834" spans="1:24" s="914" customFormat="1" ht="16" outlineLevel="1">
      <c r="A834" s="911"/>
      <c r="C834" s="1564"/>
      <c r="D834" s="1565"/>
      <c r="E834" s="912"/>
      <c r="F834" s="1563" t="s">
        <v>786</v>
      </c>
      <c r="G834" s="1566"/>
      <c r="H834" s="1566"/>
      <c r="I834" s="1566"/>
      <c r="J834" s="1566"/>
      <c r="K834" s="1567"/>
      <c r="M834" s="1565"/>
      <c r="N834" s="1568"/>
      <c r="O834" s="1563" t="s">
        <v>786</v>
      </c>
      <c r="P834" s="1566"/>
      <c r="Q834" s="1566"/>
      <c r="R834" s="1566"/>
      <c r="S834" s="1566"/>
      <c r="T834" s="1567"/>
    </row>
    <row r="835" spans="1:24" outlineLevel="1">
      <c r="C835" s="81"/>
      <c r="D835" s="1409"/>
      <c r="E835" s="1552">
        <f ca="1">$D$804</f>
        <v>0.16737733483314518</v>
      </c>
      <c r="F835" s="1410">
        <v>5</v>
      </c>
      <c r="G835" s="1411">
        <f>F835+1</f>
        <v>6</v>
      </c>
      <c r="H835" s="1411">
        <f>G835+1</f>
        <v>7</v>
      </c>
      <c r="I835" s="1411">
        <f>H835+1</f>
        <v>8</v>
      </c>
      <c r="J835" s="1411">
        <f>I835+1</f>
        <v>9</v>
      </c>
      <c r="K835" s="1412">
        <f>J835+1</f>
        <v>10</v>
      </c>
      <c r="M835" s="1409"/>
      <c r="N835" s="1553">
        <f ca="1">$D$805</f>
        <v>3.6801333309194302</v>
      </c>
      <c r="O835" s="1410">
        <v>5</v>
      </c>
      <c r="P835" s="1411">
        <f>O835+1</f>
        <v>6</v>
      </c>
      <c r="Q835" s="1411">
        <f>P835+1</f>
        <v>7</v>
      </c>
      <c r="R835" s="1411">
        <f>Q835+1</f>
        <v>8</v>
      </c>
      <c r="S835" s="1411">
        <f>R835+1</f>
        <v>9</v>
      </c>
      <c r="T835" s="1412">
        <f>S835+1</f>
        <v>10</v>
      </c>
    </row>
    <row r="836" spans="1:24" outlineLevel="1">
      <c r="C836" s="81"/>
      <c r="D836" s="1557"/>
      <c r="E836" s="1479">
        <v>700</v>
      </c>
      <c r="F836" s="1399">
        <f t="dataTable" ref="F836:K847" dt2D="1" dtr="1" r1="V23" r2="L11" ca="1"/>
        <v>6.8163993954658511E-2</v>
      </c>
      <c r="G836" s="1399">
        <v>0.25437927842140196</v>
      </c>
      <c r="H836" s="1399">
        <v>0.25332788825035091</v>
      </c>
      <c r="I836" s="1399">
        <v>0.23358042836189269</v>
      </c>
      <c r="J836" s="1399">
        <v>0.24513834118843081</v>
      </c>
      <c r="K836" s="1417">
        <v>0.23920329213142394</v>
      </c>
      <c r="M836" s="1557"/>
      <c r="N836" s="1479">
        <v>700</v>
      </c>
      <c r="O836" s="1400">
        <f t="dataTable" ref="O836:T847" dt2D="1" dtr="1" r1="V23" r2="L11" ca="1"/>
        <v>1.3380664297284532</v>
      </c>
      <c r="P836" s="1400">
        <v>3.4129813279971071</v>
      </c>
      <c r="Q836" s="1400">
        <v>4.2608357367295868</v>
      </c>
      <c r="R836" s="1400">
        <v>4.7466552023987756</v>
      </c>
      <c r="S836" s="1400">
        <v>6.3336490936160281</v>
      </c>
      <c r="T836" s="1413">
        <v>7.5392186873746825</v>
      </c>
      <c r="U836"/>
      <c r="V836"/>
      <c r="W836"/>
      <c r="X836"/>
    </row>
    <row r="837" spans="1:24" outlineLevel="1">
      <c r="C837" s="81"/>
      <c r="D837" s="1409"/>
      <c r="E837" s="1480">
        <f t="shared" ref="E837:E847" si="317">SUM(E836,$E$826)</f>
        <v>750</v>
      </c>
      <c r="F837" s="1418">
        <v>4.3539664149284368E-2</v>
      </c>
      <c r="G837" s="1418">
        <v>0.21883487105369567</v>
      </c>
      <c r="H837" s="1418">
        <v>0.22222869992256167</v>
      </c>
      <c r="I837" s="1418">
        <v>0.20683736205101014</v>
      </c>
      <c r="J837" s="1418">
        <v>0.22037205100059507</v>
      </c>
      <c r="K837" s="1419">
        <v>0.21681007742881772</v>
      </c>
      <c r="M837" s="1409"/>
      <c r="N837" s="1480">
        <f t="shared" ref="N837:N847" si="318">SUM(N836,$E$826)</f>
        <v>750</v>
      </c>
      <c r="O837" s="1401">
        <v>1.2071012084803607</v>
      </c>
      <c r="P837" s="1401">
        <v>2.9208892437010818</v>
      </c>
      <c r="Q837" s="1401">
        <v>3.6261626906198909</v>
      </c>
      <c r="R837" s="1401">
        <v>4.0342850519445168</v>
      </c>
      <c r="S837" s="1401">
        <v>5.3480278766554701</v>
      </c>
      <c r="T837" s="1414">
        <v>6.3493417150747948</v>
      </c>
      <c r="U837"/>
      <c r="V837"/>
      <c r="W837"/>
      <c r="X837"/>
    </row>
    <row r="838" spans="1:24" outlineLevel="1">
      <c r="C838" s="81"/>
      <c r="D838" s="1559"/>
      <c r="E838" s="1480">
        <f t="shared" si="317"/>
        <v>800</v>
      </c>
      <c r="F838" s="1418">
        <v>1.8531587719917298E-2</v>
      </c>
      <c r="G838" s="1418">
        <v>0.18823561072349551</v>
      </c>
      <c r="H838" s="1418">
        <v>0.19573850035667417</v>
      </c>
      <c r="I838" s="1418">
        <v>0.184125429391861</v>
      </c>
      <c r="J838" s="1418">
        <v>0.19953599572181704</v>
      </c>
      <c r="K838" s="1419">
        <v>0.19802994132041932</v>
      </c>
      <c r="M838" s="1554"/>
      <c r="N838" s="1480">
        <f t="shared" si="318"/>
        <v>800</v>
      </c>
      <c r="O838" s="1401">
        <v>1.0844733845189025</v>
      </c>
      <c r="P838" s="1401">
        <v>2.5451015995760211</v>
      </c>
      <c r="Q838" s="1401">
        <v>3.1503635339287639</v>
      </c>
      <c r="R838" s="1401">
        <v>3.5038915749591335</v>
      </c>
      <c r="S838" s="1401">
        <v>4.6262269334105088</v>
      </c>
      <c r="T838" s="1414">
        <v>5.4840448230458971</v>
      </c>
      <c r="U838"/>
      <c r="V838"/>
      <c r="W838"/>
      <c r="X838"/>
    </row>
    <row r="839" spans="1:24" outlineLevel="1">
      <c r="C839" s="81"/>
      <c r="D839" s="1559" t="s">
        <v>269</v>
      </c>
      <c r="E839" s="1480">
        <f t="shared" si="317"/>
        <v>850</v>
      </c>
      <c r="F839" s="1418">
        <v>-2.0854860544204717E-3</v>
      </c>
      <c r="G839" s="1418">
        <v>0.16291368603706363</v>
      </c>
      <c r="H839" s="1418">
        <v>0.17373865246772768</v>
      </c>
      <c r="I839" s="1418">
        <v>0.1652252495288849</v>
      </c>
      <c r="J839" s="1418">
        <v>0.182140725851059</v>
      </c>
      <c r="K839" s="1419">
        <v>0.18231936097145085</v>
      </c>
      <c r="M839" s="1559" t="s">
        <v>269</v>
      </c>
      <c r="N839" s="1480">
        <f t="shared" si="318"/>
        <v>850</v>
      </c>
      <c r="O839" s="1401">
        <v>0.99082234465636143</v>
      </c>
      <c r="P839" s="1401">
        <v>2.2648210149165515</v>
      </c>
      <c r="Q839" s="1401">
        <v>2.796348260090344</v>
      </c>
      <c r="R839" s="1401">
        <v>3.1096159997194466</v>
      </c>
      <c r="S839" s="1401">
        <v>4.0908613946575914</v>
      </c>
      <c r="T839" s="1414">
        <v>4.8428616201094217</v>
      </c>
      <c r="U839"/>
      <c r="V839"/>
      <c r="W839"/>
      <c r="X839"/>
    </row>
    <row r="840" spans="1:24" outlineLevel="1">
      <c r="C840" s="81"/>
      <c r="D840" s="1559" t="s">
        <v>34</v>
      </c>
      <c r="E840" s="1480">
        <f t="shared" si="317"/>
        <v>900</v>
      </c>
      <c r="F840" s="1418">
        <v>-1.8950614333152774E-2</v>
      </c>
      <c r="G840" s="1418">
        <v>0.14169171452522281</v>
      </c>
      <c r="H840" s="1418">
        <v>0.15520451664924625</v>
      </c>
      <c r="I840" s="1418">
        <v>0.14926307797431951</v>
      </c>
      <c r="J840" s="1418">
        <v>0.16737733483314518</v>
      </c>
      <c r="K840" s="1419">
        <v>0.16895063519477843</v>
      </c>
      <c r="M840" s="1559" t="s">
        <v>34</v>
      </c>
      <c r="N840" s="1480">
        <f t="shared" si="318"/>
        <v>900</v>
      </c>
      <c r="O840" s="1401">
        <v>0.91897403263899413</v>
      </c>
      <c r="P840" s="1401">
        <v>2.0497920421621503</v>
      </c>
      <c r="Q840" s="1401">
        <v>2.5247506367111487</v>
      </c>
      <c r="R840" s="1401">
        <v>2.8071310023053537</v>
      </c>
      <c r="S840" s="1401">
        <v>3.6801333308995843</v>
      </c>
      <c r="T840" s="1414">
        <v>4.3509511096389328</v>
      </c>
      <c r="U840"/>
      <c r="V840"/>
      <c r="W840"/>
      <c r="X840"/>
    </row>
    <row r="841" spans="1:24" outlineLevel="1">
      <c r="C841" s="81"/>
      <c r="D841" s="1560" t="s">
        <v>278</v>
      </c>
      <c r="E841" s="1480">
        <f t="shared" si="317"/>
        <v>950</v>
      </c>
      <c r="F841" s="1418">
        <v>-3.3037802577018729E-2</v>
      </c>
      <c r="G841" s="1418">
        <v>0.12356705069541932</v>
      </c>
      <c r="H841" s="1418">
        <v>0.13930103182792666</v>
      </c>
      <c r="I841" s="1418">
        <v>0.13553707003593449</v>
      </c>
      <c r="J841" s="1418">
        <v>0.15462444424629215</v>
      </c>
      <c r="K841" s="1419">
        <v>0.15737473368644717</v>
      </c>
      <c r="M841" s="1560" t="s">
        <v>278</v>
      </c>
      <c r="N841" s="1480">
        <f t="shared" si="318"/>
        <v>950</v>
      </c>
      <c r="O841" s="1401">
        <v>0.86210853437184176</v>
      </c>
      <c r="P841" s="1401">
        <v>1.879603914783496</v>
      </c>
      <c r="Q841" s="1401">
        <v>2.3097903440058851</v>
      </c>
      <c r="R841" s="1401">
        <v>2.5677244022987589</v>
      </c>
      <c r="S841" s="1401">
        <v>3.355056020909946</v>
      </c>
      <c r="T841" s="1414">
        <v>3.9616206508524812</v>
      </c>
      <c r="U841" s="517"/>
      <c r="V841" s="517"/>
      <c r="W841" s="517"/>
      <c r="X841" s="517"/>
    </row>
    <row r="842" spans="1:24" outlineLevel="1">
      <c r="C842" s="81"/>
      <c r="D842" s="1555"/>
      <c r="E842" s="1480">
        <f t="shared" si="317"/>
        <v>1000</v>
      </c>
      <c r="F842" s="1418">
        <v>-4.5002833008766188E-2</v>
      </c>
      <c r="G842" s="1418">
        <v>0.10785412192344665</v>
      </c>
      <c r="H842" s="1418">
        <v>0.12545487284660339</v>
      </c>
      <c r="I842" s="1418">
        <v>0.12356407046318052</v>
      </c>
      <c r="J842" s="1418">
        <v>0.14345307946205141</v>
      </c>
      <c r="K842" s="1419">
        <v>0.14721197485923773</v>
      </c>
      <c r="M842" s="1558"/>
      <c r="N842" s="1480">
        <f t="shared" si="318"/>
        <v>1000</v>
      </c>
      <c r="O842" s="1401">
        <v>0.81598173270260088</v>
      </c>
      <c r="P842" s="1401">
        <v>1.7415547595439778</v>
      </c>
      <c r="Q842" s="1401">
        <v>2.1354239691295893</v>
      </c>
      <c r="R842" s="1401">
        <v>2.3735282536088902</v>
      </c>
      <c r="S842" s="1401">
        <v>3.0913675443820998</v>
      </c>
      <c r="T842" s="1414">
        <v>3.6458128341009544</v>
      </c>
      <c r="U842" s="517"/>
      <c r="V842" s="517"/>
      <c r="W842" s="517"/>
      <c r="X842" s="517"/>
    </row>
    <row r="843" spans="1:24" outlineLevel="1">
      <c r="C843" s="81"/>
      <c r="D843" s="1409"/>
      <c r="E843" s="1480">
        <f t="shared" si="317"/>
        <v>1050</v>
      </c>
      <c r="F843" s="1418">
        <v>-5.5305543541908253E-2</v>
      </c>
      <c r="G843" s="1418">
        <v>9.4064965844154386E-2</v>
      </c>
      <c r="H843" s="1418">
        <v>0.11325637698173521</v>
      </c>
      <c r="I843" s="1418">
        <v>0.11299802660942077</v>
      </c>
      <c r="J843" s="1418">
        <v>0.13355522751808166</v>
      </c>
      <c r="K843" s="1419">
        <v>0.13818927407264711</v>
      </c>
      <c r="M843" s="1558"/>
      <c r="N843" s="1480">
        <f t="shared" si="318"/>
        <v>1050</v>
      </c>
      <c r="O843" s="1401">
        <v>0.77781416537696613</v>
      </c>
      <c r="P843" s="1401">
        <v>1.6273261497948466</v>
      </c>
      <c r="Q843" s="1401">
        <v>1.9911447190714657</v>
      </c>
      <c r="R843" s="1401">
        <v>2.2128408807307887</v>
      </c>
      <c r="S843" s="1401">
        <v>2.8731788272662122</v>
      </c>
      <c r="T843" s="1414">
        <v>3.3844980307409052</v>
      </c>
      <c r="U843" s="517"/>
      <c r="V843" s="517"/>
      <c r="W843" s="517"/>
      <c r="X843" s="517"/>
    </row>
    <row r="844" spans="1:24" outlineLevel="1">
      <c r="C844" s="81"/>
      <c r="D844" s="1409"/>
      <c r="E844" s="1480">
        <f t="shared" si="317"/>
        <v>1100</v>
      </c>
      <c r="F844" s="1418">
        <v>-6.4279070496559149E-2</v>
      </c>
      <c r="G844" s="1418">
        <v>8.1840905547142018E-2</v>
      </c>
      <c r="H844" s="1418">
        <v>0.10240336060523988</v>
      </c>
      <c r="I844" s="1418">
        <v>0.10358311533927916</v>
      </c>
      <c r="J844" s="1418">
        <v>0.12470262646675109</v>
      </c>
      <c r="K844" s="1419">
        <v>0.13010391592979434</v>
      </c>
      <c r="M844" s="1558"/>
      <c r="N844" s="1480">
        <f t="shared" si="318"/>
        <v>1100</v>
      </c>
      <c r="O844" s="1401">
        <v>0.74570938640652806</v>
      </c>
      <c r="P844" s="1401">
        <v>1.5312423664924397</v>
      </c>
      <c r="Q844" s="1401">
        <v>1.8697837375444726</v>
      </c>
      <c r="R844" s="1401">
        <v>2.0776781509299052</v>
      </c>
      <c r="S844" s="1401">
        <v>2.6896486463383793</v>
      </c>
      <c r="T844" s="1414">
        <v>3.1646921958025294</v>
      </c>
      <c r="U844" s="517"/>
      <c r="V844" s="517"/>
      <c r="W844" s="517"/>
      <c r="X844" s="517"/>
    </row>
    <row r="845" spans="1:24" outlineLevel="1">
      <c r="C845" s="81"/>
      <c r="D845" s="1409"/>
      <c r="E845" s="1480">
        <f t="shared" si="317"/>
        <v>1150</v>
      </c>
      <c r="F845" s="1418">
        <v>-7.217134535312654E-2</v>
      </c>
      <c r="G845" s="1418">
        <v>7.0911177992820748E-2</v>
      </c>
      <c r="H845" s="1418">
        <v>9.2666938900947557E-2</v>
      </c>
      <c r="I845" s="1418">
        <v>9.5125219225883476E-2</v>
      </c>
      <c r="J845" s="1418">
        <v>0.11672162413597106</v>
      </c>
      <c r="K845" s="1419">
        <v>0.12280150055885314</v>
      </c>
      <c r="M845" s="1409"/>
      <c r="N845" s="1480">
        <f t="shared" si="318"/>
        <v>1150</v>
      </c>
      <c r="O845" s="1401">
        <v>0.71832910710758946</v>
      </c>
      <c r="P845" s="1401">
        <v>1.4492981542198367</v>
      </c>
      <c r="Q845" s="1401">
        <v>1.7662820883581594</v>
      </c>
      <c r="R845" s="1401">
        <v>1.9624058017209955</v>
      </c>
      <c r="S845" s="1401">
        <v>2.5331265404482894</v>
      </c>
      <c r="T845" s="1414">
        <v>2.9772327163994525</v>
      </c>
      <c r="U845" s="517"/>
      <c r="V845" s="517"/>
      <c r="W845" s="517"/>
      <c r="X845" s="517"/>
    </row>
    <row r="846" spans="1:24" outlineLevel="1">
      <c r="C846" s="81"/>
      <c r="D846" s="1409"/>
      <c r="E846" s="1480">
        <f t="shared" si="317"/>
        <v>1200</v>
      </c>
      <c r="F846" s="1418">
        <v>-7.9171100258827232E-2</v>
      </c>
      <c r="G846" s="1418">
        <v>6.1066827178001395E-2</v>
      </c>
      <c r="H846" s="1418">
        <v>8.3869943022727961E-2</v>
      </c>
      <c r="I846" s="1418">
        <v>8.7473776936531092E-2</v>
      </c>
      <c r="J846" s="1418">
        <v>0.10947727560997009</v>
      </c>
      <c r="K846" s="1419">
        <v>0.1161618411540985</v>
      </c>
      <c r="M846" s="1409"/>
      <c r="N846" s="1480">
        <f t="shared" si="318"/>
        <v>1200</v>
      </c>
      <c r="O846" s="1401">
        <v>0.69470192533500819</v>
      </c>
      <c r="P846" s="1401">
        <v>1.3785862824585127</v>
      </c>
      <c r="Q846" s="1401">
        <v>1.6769677226284514</v>
      </c>
      <c r="R846" s="1401">
        <v>1.8629341813487035</v>
      </c>
      <c r="S846" s="1401">
        <v>2.3980593920486863</v>
      </c>
      <c r="T846" s="1414">
        <v>2.8154688736536402</v>
      </c>
      <c r="U846" s="517"/>
      <c r="V846" s="517"/>
      <c r="W846" s="517"/>
      <c r="X846" s="517"/>
    </row>
    <row r="847" spans="1:24" outlineLevel="1">
      <c r="C847" s="81"/>
      <c r="D847" s="1556"/>
      <c r="E847" s="1481">
        <f t="shared" si="317"/>
        <v>1250</v>
      </c>
      <c r="F847" s="1420">
        <v>-8.5424795746803284E-2</v>
      </c>
      <c r="G847" s="1420">
        <v>5.2143511176109311E-2</v>
      </c>
      <c r="H847" s="1420">
        <v>7.587259709835055E-2</v>
      </c>
      <c r="I847" s="1420">
        <v>8.0509826540946974E-2</v>
      </c>
      <c r="J847" s="1420">
        <v>0.10286267399787904</v>
      </c>
      <c r="K847" s="1421">
        <v>0.11008962988853455</v>
      </c>
      <c r="M847" s="1556"/>
      <c r="N847" s="1481">
        <f t="shared" si="318"/>
        <v>1250</v>
      </c>
      <c r="O847" s="1415">
        <v>0.6741056639779005</v>
      </c>
      <c r="P847" s="1415">
        <v>1.3169454060363983</v>
      </c>
      <c r="Q847" s="1415">
        <v>1.599110700270918</v>
      </c>
      <c r="R847" s="1415">
        <v>1.7762228879527115</v>
      </c>
      <c r="S847" s="1415">
        <v>2.280318803434525</v>
      </c>
      <c r="T847" s="1416">
        <v>2.6744562714994045</v>
      </c>
      <c r="U847" s="517"/>
      <c r="V847" s="517"/>
      <c r="W847" s="517"/>
      <c r="X847" s="517"/>
    </row>
    <row r="848" spans="1:24" outlineLevel="1">
      <c r="C848" s="81"/>
      <c r="G848" s="58"/>
      <c r="H848" s="1561"/>
      <c r="I848" s="1418"/>
      <c r="J848" s="1418"/>
      <c r="K848" s="1418"/>
      <c r="L848" s="1418"/>
      <c r="M848" s="1418"/>
      <c r="N848" s="1418"/>
      <c r="P848" s="58"/>
      <c r="Q848" s="517"/>
      <c r="R848" s="517"/>
      <c r="S848" s="517"/>
      <c r="T848" s="517"/>
      <c r="U848" s="517"/>
      <c r="V848" s="517"/>
      <c r="W848" s="517"/>
      <c r="X848" s="517"/>
    </row>
    <row r="849" spans="1:24" outlineLevel="1">
      <c r="C849" s="81"/>
      <c r="G849" s="58"/>
      <c r="H849" s="1561"/>
      <c r="I849" s="1418"/>
      <c r="J849" s="1418"/>
      <c r="K849" s="1418"/>
      <c r="L849" s="1418"/>
      <c r="M849" s="1418"/>
      <c r="N849" s="1418"/>
      <c r="P849" s="58"/>
      <c r="Q849"/>
      <c r="R849"/>
      <c r="S849"/>
      <c r="T849"/>
      <c r="U849"/>
      <c r="V849"/>
      <c r="W849"/>
      <c r="X849"/>
    </row>
    <row r="850" spans="1:24" outlineLevel="1">
      <c r="C850" s="81"/>
      <c r="P850" s="1402"/>
      <c r="Q850"/>
      <c r="R850"/>
      <c r="S850"/>
      <c r="T850"/>
      <c r="U850"/>
      <c r="V850"/>
      <c r="W850"/>
      <c r="X850"/>
    </row>
    <row r="851" spans="1:24" ht="4" customHeight="1">
      <c r="C851" s="81"/>
    </row>
    <row r="852" spans="1:24">
      <c r="A852" s="52" t="s">
        <v>63</v>
      </c>
      <c r="C852" s="670" t="s">
        <v>174</v>
      </c>
      <c r="D852" s="244"/>
      <c r="E852" s="244"/>
      <c r="F852" s="244"/>
      <c r="G852" s="244"/>
      <c r="H852" s="244"/>
      <c r="I852" s="244"/>
      <c r="J852" s="244"/>
      <c r="K852" s="244"/>
      <c r="L852" s="244"/>
      <c r="M852" s="244"/>
      <c r="N852" s="244"/>
      <c r="O852" s="244"/>
      <c r="P852" s="244"/>
      <c r="Q852" s="244"/>
      <c r="R852" s="244"/>
      <c r="S852" s="244"/>
      <c r="T852" s="244"/>
      <c r="U852" s="244"/>
      <c r="V852" s="244"/>
      <c r="W852" s="244"/>
    </row>
    <row r="853" spans="1:24" s="14" customFormat="1" ht="6" customHeight="1" outlineLevel="1">
      <c r="K853" s="638"/>
      <c r="L853" s="638"/>
      <c r="M853" s="638"/>
      <c r="N853" s="638"/>
    </row>
    <row r="854" spans="1:24" s="58" customFormat="1" outlineLevel="1">
      <c r="B854" s="57"/>
      <c r="C854" s="241" t="str">
        <f>units</f>
        <v>($ '000)</v>
      </c>
      <c r="K854" s="444" t="s">
        <v>122</v>
      </c>
      <c r="L854" s="444" t="s">
        <v>123</v>
      </c>
      <c r="M854" s="466"/>
      <c r="N854" s="444" t="s">
        <v>203</v>
      </c>
      <c r="O854" s="254" t="s">
        <v>35</v>
      </c>
      <c r="P854" s="254"/>
      <c r="Q854" s="254"/>
      <c r="R854" s="36" t="s">
        <v>138</v>
      </c>
    </row>
    <row r="855" spans="1:24" s="58" customFormat="1" ht="16" outlineLevel="1">
      <c r="B855" s="57"/>
      <c r="C855" s="57"/>
      <c r="D855" s="57"/>
      <c r="E855" s="57"/>
      <c r="F855" s="751" t="str">
        <f>$F$125</f>
        <v>Fiscal Years Ended September 30</v>
      </c>
      <c r="G855" s="76"/>
      <c r="H855" s="19"/>
      <c r="I855" s="19"/>
      <c r="J855" s="77"/>
      <c r="K855" s="6" t="s">
        <v>50</v>
      </c>
      <c r="L855" s="6" t="s">
        <v>124</v>
      </c>
      <c r="M855" s="6" t="s">
        <v>203</v>
      </c>
      <c r="N855" s="6" t="s">
        <v>124</v>
      </c>
      <c r="O855" s="179" t="s">
        <v>129</v>
      </c>
      <c r="P855" s="179" t="s">
        <v>127</v>
      </c>
      <c r="Q855" s="179" t="s">
        <v>36</v>
      </c>
      <c r="R855" s="114" t="s">
        <v>125</v>
      </c>
    </row>
    <row r="856" spans="1:24" s="58" customFormat="1" outlineLevel="1">
      <c r="B856" s="57"/>
      <c r="C856" s="57"/>
      <c r="D856" s="57"/>
      <c r="E856" s="57"/>
      <c r="F856" s="760" t="str">
        <f>F$126</f>
        <v>2017</v>
      </c>
      <c r="G856" s="760" t="str">
        <f>G$126</f>
        <v>2018</v>
      </c>
      <c r="H856" s="760" t="str">
        <f>H$126</f>
        <v>2019</v>
      </c>
      <c r="I856" s="760" t="str">
        <f>I$126</f>
        <v>2020</v>
      </c>
      <c r="J856" s="761" t="str">
        <f>J$126</f>
        <v>2021</v>
      </c>
      <c r="K856" s="738">
        <f>$Q$14</f>
        <v>44681</v>
      </c>
      <c r="L856" s="114" t="s">
        <v>125</v>
      </c>
      <c r="M856" s="22" t="s">
        <v>204</v>
      </c>
      <c r="N856" s="114" t="s">
        <v>125</v>
      </c>
      <c r="O856" s="56" t="s">
        <v>128</v>
      </c>
      <c r="P856" s="56" t="s">
        <v>128</v>
      </c>
      <c r="Q856" s="56" t="s">
        <v>126</v>
      </c>
      <c r="R856" s="738">
        <f>K856</f>
        <v>44681</v>
      </c>
    </row>
    <row r="857" spans="1:24" s="58" customFormat="1" outlineLevel="1">
      <c r="A857" s="52"/>
      <c r="C857" s="21" t="s">
        <v>1</v>
      </c>
      <c r="D857" s="21"/>
      <c r="E857" s="21"/>
      <c r="F857" s="759"/>
      <c r="G857" s="759"/>
      <c r="H857" s="759"/>
      <c r="I857" s="759"/>
      <c r="J857" s="759"/>
      <c r="K857" s="21"/>
      <c r="L857" s="21"/>
      <c r="M857" s="21"/>
      <c r="N857" s="21"/>
      <c r="O857" s="21"/>
      <c r="P857" s="21"/>
      <c r="Q857" s="21"/>
      <c r="R857" s="21"/>
    </row>
    <row r="858" spans="1:24" s="58" customFormat="1" ht="4" customHeight="1" outlineLevel="1">
      <c r="A858" s="52"/>
      <c r="C858" s="115"/>
      <c r="D858" s="57"/>
      <c r="E858" s="57"/>
      <c r="F858" s="93"/>
      <c r="G858" s="93"/>
      <c r="H858" s="93"/>
      <c r="I858" s="93"/>
      <c r="J858" s="93"/>
      <c r="K858" s="89"/>
      <c r="L858" s="116"/>
      <c r="M858" s="89"/>
      <c r="N858" s="102"/>
      <c r="O858" s="102"/>
      <c r="P858" s="102"/>
      <c r="Q858" s="102"/>
      <c r="R858" s="102"/>
    </row>
    <row r="859" spans="1:24" s="58" customFormat="1" outlineLevel="1">
      <c r="A859" s="52"/>
      <c r="C859" s="115" t="s">
        <v>185</v>
      </c>
      <c r="D859" s="57"/>
      <c r="E859" s="57"/>
      <c r="F859" s="117"/>
      <c r="G859" s="117"/>
      <c r="H859" s="117"/>
      <c r="I859" s="117"/>
      <c r="J859" s="117"/>
      <c r="K859" s="89"/>
      <c r="L859" s="116"/>
      <c r="M859" s="118"/>
      <c r="N859" s="407"/>
      <c r="O859" s="119"/>
      <c r="P859" s="119"/>
      <c r="Q859" s="119"/>
      <c r="R859" s="95"/>
    </row>
    <row r="860" spans="1:24" s="58" customFormat="1" outlineLevel="1">
      <c r="A860" s="52"/>
      <c r="C860" s="255" t="s">
        <v>2</v>
      </c>
      <c r="D860" s="57"/>
      <c r="E860" s="57"/>
      <c r="F860" s="1142">
        <v>8.9559999999999995</v>
      </c>
      <c r="G860" s="1142">
        <v>32.762</v>
      </c>
      <c r="H860" s="1142">
        <v>85.441000000000003</v>
      </c>
      <c r="I860" s="1142">
        <v>296.464</v>
      </c>
      <c r="J860" s="1142">
        <v>169.09279999999998</v>
      </c>
      <c r="K860" s="116">
        <v>39.464760000000005</v>
      </c>
      <c r="L860" s="1140">
        <v>0</v>
      </c>
      <c r="M860" s="118" t="str">
        <f>IFERROR((INDEX(#REF!,(MATCH($C860,#REF!,0)),(MATCH(#REF!,#REF!,0)))),"")</f>
        <v/>
      </c>
      <c r="N860" s="407">
        <f>SUM(L860:M860)</f>
        <v>0</v>
      </c>
      <c r="O860" s="119">
        <f ca="1">SUM(-$E$20,$E$17)</f>
        <v>-2117.2933648571284</v>
      </c>
      <c r="P860" s="119">
        <f ca="1">$E$31</f>
        <v>2192.2933648571284</v>
      </c>
      <c r="Q860" s="119"/>
      <c r="R860" s="407">
        <f ca="1">SUM(N860:Q860)</f>
        <v>75</v>
      </c>
    </row>
    <row r="861" spans="1:24" s="58" customFormat="1" outlineLevel="1">
      <c r="A861" s="52"/>
      <c r="C861" s="255" t="s">
        <v>12</v>
      </c>
      <c r="D861" s="57"/>
      <c r="E861" s="57"/>
      <c r="F861" s="1142">
        <v>239.07900000000001</v>
      </c>
      <c r="G861" s="1142">
        <v>248.006</v>
      </c>
      <c r="H861" s="1142">
        <v>253.76</v>
      </c>
      <c r="I861" s="1142">
        <v>183.91800000000001</v>
      </c>
      <c r="J861" s="1142">
        <v>211.52600000000001</v>
      </c>
      <c r="K861" s="116">
        <v>325.18796999999995</v>
      </c>
      <c r="L861" s="1140">
        <v>228.56800000000001</v>
      </c>
      <c r="M861" s="118" t="str">
        <f>IFERROR((INDEX(#REF!,(MATCH($C861,#REF!,0)),(MATCH(#REF!,#REF!,0)))),"")</f>
        <v/>
      </c>
      <c r="N861" s="407">
        <f>SUM(L861:M861)</f>
        <v>228.56800000000001</v>
      </c>
      <c r="O861" s="119"/>
      <c r="P861" s="119"/>
      <c r="Q861" s="119"/>
      <c r="R861" s="407">
        <f>SUM(N861:Q861)</f>
        <v>228.56800000000001</v>
      </c>
    </row>
    <row r="862" spans="1:24" s="58" customFormat="1" outlineLevel="1">
      <c r="A862" s="52"/>
      <c r="C862" s="256" t="s">
        <v>3</v>
      </c>
      <c r="D862" s="51"/>
      <c r="E862" s="57"/>
      <c r="F862" s="1142">
        <v>223.61</v>
      </c>
      <c r="G862" s="1142">
        <v>219.655</v>
      </c>
      <c r="H862" s="1142">
        <v>204.93899999999999</v>
      </c>
      <c r="I862" s="1142">
        <v>204.61199999999999</v>
      </c>
      <c r="J862" s="1142">
        <v>249.62799999999999</v>
      </c>
      <c r="K862" s="116">
        <v>253.62810000000002</v>
      </c>
      <c r="L862" s="1140">
        <v>218.79499999999999</v>
      </c>
      <c r="M862" s="118" t="str">
        <f>IFERROR((INDEX(#REF!,(MATCH($C862,#REF!,0)),(MATCH(#REF!,#REF!,0)))),"")</f>
        <v/>
      </c>
      <c r="N862" s="407">
        <f>SUM(L862:M862)</f>
        <v>218.79499999999999</v>
      </c>
      <c r="O862" s="119"/>
      <c r="P862" s="119"/>
      <c r="Q862" s="119"/>
      <c r="R862" s="407">
        <f>SUM(N862:Q862)</f>
        <v>218.79499999999999</v>
      </c>
    </row>
    <row r="863" spans="1:24" s="58" customFormat="1" outlineLevel="1">
      <c r="A863" s="52"/>
      <c r="C863" s="255" t="s">
        <v>31</v>
      </c>
      <c r="D863" s="57"/>
      <c r="E863" s="57"/>
      <c r="F863" s="1142">
        <v>0</v>
      </c>
      <c r="G863" s="1142">
        <v>0</v>
      </c>
      <c r="H863" s="1142">
        <v>0</v>
      </c>
      <c r="I863" s="1142">
        <v>0</v>
      </c>
      <c r="J863" s="1142">
        <v>0</v>
      </c>
      <c r="K863" s="116">
        <v>83.195490000000007</v>
      </c>
      <c r="L863" s="120">
        <v>0</v>
      </c>
      <c r="M863" s="118" t="str">
        <f>IFERROR((INDEX(#REF!,(MATCH($C863,#REF!,0)),(MATCH(#REF!,#REF!,0)))),"")</f>
        <v/>
      </c>
      <c r="N863" s="407">
        <f>SUM(L863:M863)</f>
        <v>0</v>
      </c>
      <c r="O863" s="119"/>
      <c r="P863" s="119"/>
      <c r="Q863" s="119"/>
      <c r="R863" s="407">
        <f>SUM(N863:Q863)</f>
        <v>0</v>
      </c>
    </row>
    <row r="864" spans="1:24" s="58" customFormat="1" outlineLevel="1">
      <c r="A864" s="52"/>
      <c r="C864" s="255" t="s">
        <v>13</v>
      </c>
      <c r="D864" s="57"/>
      <c r="E864" s="57"/>
      <c r="F864" s="1142">
        <v>10.776999999999999</v>
      </c>
      <c r="G864" s="1142">
        <v>4.9729999999999999</v>
      </c>
      <c r="H864" s="1142">
        <v>5.29</v>
      </c>
      <c r="I864" s="1142">
        <v>6.2939999999999996</v>
      </c>
      <c r="J864" s="1142">
        <v>8.2100000000000009</v>
      </c>
      <c r="K864" s="116">
        <v>0</v>
      </c>
      <c r="L864" s="120">
        <v>0</v>
      </c>
      <c r="M864" s="118" t="str">
        <f>IFERROR((INDEX(#REF!,(MATCH($C864,#REF!,0)),(MATCH(#REF!,#REF!,0)))),"")</f>
        <v/>
      </c>
      <c r="N864" s="407">
        <f>SUM(L864:M864)</f>
        <v>0</v>
      </c>
      <c r="O864" s="119"/>
      <c r="P864" s="119"/>
      <c r="Q864" s="119"/>
      <c r="R864" s="407">
        <f>SUM(N864:Q864)</f>
        <v>0</v>
      </c>
    </row>
    <row r="865" spans="1:22" s="58" customFormat="1" outlineLevel="1">
      <c r="A865" s="52"/>
      <c r="C865" s="122" t="str">
        <f>_xlfn.CONCAT("Total ",$C$859)</f>
        <v>Total Current Assets</v>
      </c>
      <c r="D865" s="59"/>
      <c r="E865" s="59"/>
      <c r="F865" s="1144">
        <f>SUM(F$860:F$864)</f>
        <v>482.42199999999997</v>
      </c>
      <c r="G865" s="1144">
        <f>SUM(G$860:G$864)</f>
        <v>505.39600000000002</v>
      </c>
      <c r="H865" s="1144">
        <f>SUM(H$860:H$864)</f>
        <v>549.42999999999995</v>
      </c>
      <c r="I865" s="1144">
        <f t="shared" ref="I865:L865" si="319">SUM(I$860:I$864)</f>
        <v>691.28800000000001</v>
      </c>
      <c r="J865" s="1144">
        <f t="shared" si="319"/>
        <v>638.45679999999993</v>
      </c>
      <c r="K865" s="124">
        <f>SUM(K$860:K$864)</f>
        <v>701.47631999999999</v>
      </c>
      <c r="L865" s="1186">
        <f t="shared" si="319"/>
        <v>447.363</v>
      </c>
      <c r="M865" s="123"/>
      <c r="N865" s="96"/>
      <c r="O865" s="125"/>
      <c r="P865" s="125"/>
      <c r="Q865" s="125"/>
      <c r="R865" s="1187">
        <f ca="1">SUM(R$860:R$864)</f>
        <v>522.36299999999994</v>
      </c>
      <c r="V865" s="58" t="s">
        <v>104</v>
      </c>
    </row>
    <row r="866" spans="1:22" s="58" customFormat="1" outlineLevel="1">
      <c r="A866" s="52"/>
      <c r="C866" s="127"/>
      <c r="E866" s="65"/>
      <c r="F866" s="118"/>
      <c r="G866" s="118"/>
      <c r="H866" s="118"/>
      <c r="I866" s="118"/>
      <c r="J866" s="118"/>
      <c r="K866" s="102"/>
      <c r="L866" s="89"/>
      <c r="M866" s="118"/>
      <c r="N866" s="102"/>
      <c r="O866" s="118"/>
      <c r="P866" s="118"/>
      <c r="Q866" s="118"/>
      <c r="R866" s="102"/>
    </row>
    <row r="867" spans="1:22" s="58" customFormat="1" outlineLevel="1">
      <c r="A867" s="52"/>
      <c r="C867" s="127" t="s">
        <v>388</v>
      </c>
      <c r="D867" s="127"/>
      <c r="E867" s="57"/>
      <c r="F867" s="118"/>
      <c r="G867" s="118"/>
      <c r="H867" s="118"/>
      <c r="I867" s="118"/>
      <c r="J867" s="118"/>
      <c r="K867" s="89"/>
      <c r="L867" s="88"/>
      <c r="M867" s="118"/>
      <c r="N867" s="95"/>
      <c r="O867" s="119"/>
      <c r="P867" s="119"/>
      <c r="Q867" s="119"/>
      <c r="R867" s="95"/>
    </row>
    <row r="868" spans="1:22" s="58" customFormat="1" ht="4.5" customHeight="1" outlineLevel="1">
      <c r="A868" s="52"/>
      <c r="C868" s="127"/>
      <c r="D868" s="127"/>
      <c r="E868" s="57"/>
      <c r="F868" s="118"/>
      <c r="G868" s="118"/>
      <c r="H868" s="118"/>
      <c r="I868" s="118"/>
      <c r="J868" s="118"/>
      <c r="K868" s="89"/>
      <c r="L868" s="88"/>
      <c r="M868" s="118"/>
      <c r="N868" s="95"/>
      <c r="O868" s="119"/>
      <c r="P868" s="119"/>
      <c r="Q868" s="119"/>
      <c r="R868" s="95"/>
    </row>
    <row r="869" spans="1:22" s="58" customFormat="1" outlineLevel="1">
      <c r="A869" s="52"/>
      <c r="C869" s="1183" t="s">
        <v>68</v>
      </c>
      <c r="D869" s="57"/>
      <c r="E869" s="57"/>
      <c r="F869" s="1142"/>
      <c r="G869" s="1142"/>
      <c r="H869" s="1142"/>
      <c r="I869" s="1142"/>
      <c r="J869" s="1142"/>
      <c r="K869" s="63"/>
      <c r="L869" s="1140">
        <v>208.6138784602544</v>
      </c>
      <c r="M869" s="1143">
        <f>IFERROR((INDEX($G$38:$I$45,MATCH($C869,$C$38:$C$45,0),MATCH($M$856,$G$37:$I$37,0))),0)</f>
        <v>308.8738496706456</v>
      </c>
      <c r="N869" s="407">
        <f t="shared" ref="N869:N872" si="320">SUM(L869:M869)</f>
        <v>517.4877281309</v>
      </c>
      <c r="O869" s="119"/>
      <c r="P869" s="119"/>
      <c r="Q869" s="119"/>
      <c r="R869" s="407">
        <f>SUM(N869:Q869)</f>
        <v>517.4877281309</v>
      </c>
    </row>
    <row r="870" spans="1:22" s="58" customFormat="1" outlineLevel="1">
      <c r="A870" s="52"/>
      <c r="C870" s="1183" t="s">
        <v>67</v>
      </c>
      <c r="D870" s="57"/>
      <c r="E870" s="57"/>
      <c r="F870" s="1142"/>
      <c r="G870" s="1142"/>
      <c r="H870" s="1142"/>
      <c r="I870" s="1142"/>
      <c r="J870" s="1142"/>
      <c r="K870" s="63"/>
      <c r="L870" s="1140">
        <v>0.24844320911999995</v>
      </c>
      <c r="M870" s="1143">
        <f>IFERROR((INDEX($G$38:$I$45,MATCH($C870,$C$38:$C$45,0),MATCH($M$856,$G$37:$I$37,0))),0)</f>
        <v>2.8110281565187667</v>
      </c>
      <c r="N870" s="407">
        <f t="shared" si="320"/>
        <v>3.0594713656387666</v>
      </c>
      <c r="O870" s="119"/>
      <c r="P870" s="119"/>
      <c r="Q870" s="119"/>
      <c r="R870" s="407">
        <f t="shared" ref="R870:R872" si="321">SUM(N870:Q870)</f>
        <v>3.0594713656387666</v>
      </c>
    </row>
    <row r="871" spans="1:22" s="58" customFormat="1" outlineLevel="1">
      <c r="A871" s="52"/>
      <c r="C871" s="1183" t="s">
        <v>66</v>
      </c>
      <c r="D871" s="57"/>
      <c r="E871" s="57"/>
      <c r="F871" s="1142"/>
      <c r="G871" s="1142"/>
      <c r="H871" s="1142"/>
      <c r="I871" s="1142"/>
      <c r="J871" s="1142"/>
      <c r="K871" s="63"/>
      <c r="L871" s="1140">
        <v>1.2199775953599996</v>
      </c>
      <c r="M871" s="1143">
        <f>IFERROR((INDEX($G$38:$I$45,MATCH($C871,$C$38:$C$45,0),MATCH($M$856,$G$37:$I$37,0))),0)</f>
        <v>19.759254626162974</v>
      </c>
      <c r="N871" s="407">
        <f t="shared" si="320"/>
        <v>20.979232221522974</v>
      </c>
      <c r="O871" s="119"/>
      <c r="P871" s="119"/>
      <c r="Q871" s="119"/>
      <c r="R871" s="407">
        <f t="shared" si="321"/>
        <v>20.979232221522974</v>
      </c>
    </row>
    <row r="872" spans="1:22" s="58" customFormat="1" outlineLevel="1">
      <c r="A872" s="52"/>
      <c r="C872" s="1183" t="s">
        <v>69</v>
      </c>
      <c r="D872" s="57"/>
      <c r="E872" s="57"/>
      <c r="F872" s="1142"/>
      <c r="G872" s="1142"/>
      <c r="H872" s="1142"/>
      <c r="I872" s="1142"/>
      <c r="J872" s="1142"/>
      <c r="K872" s="63"/>
      <c r="L872" s="1140">
        <v>5.8621991999999992</v>
      </c>
      <c r="M872" s="1143">
        <f>IFERROR((INDEX($G$38:$I$45,MATCH($C872,$C$38:$C$45,0),MATCH($M$856,$G$37:$I$37,0))),0)</f>
        <v>7.2498209384518582</v>
      </c>
      <c r="N872" s="407">
        <f t="shared" si="320"/>
        <v>13.112020138451857</v>
      </c>
      <c r="O872" s="119"/>
      <c r="P872" s="119"/>
      <c r="Q872" s="119"/>
      <c r="R872" s="407">
        <f t="shared" si="321"/>
        <v>13.112020138451857</v>
      </c>
    </row>
    <row r="873" spans="1:22" s="58" customFormat="1" outlineLevel="1">
      <c r="A873" s="52"/>
      <c r="C873" s="1188" t="s">
        <v>623</v>
      </c>
      <c r="D873" s="59"/>
      <c r="E873" s="59"/>
      <c r="F873" s="1184">
        <v>799.78499999999997</v>
      </c>
      <c r="G873" s="1184">
        <v>696.62900000000002</v>
      </c>
      <c r="H873" s="1184">
        <v>632.64300000000003</v>
      </c>
      <c r="I873" s="1184">
        <v>506.51900000000001</v>
      </c>
      <c r="J873" s="1184">
        <v>412.25845999999996</v>
      </c>
      <c r="K873" s="1185">
        <v>375.04064999999991</v>
      </c>
      <c r="L873" s="1186">
        <f>SUM(L$869:L$872)</f>
        <v>215.94449846473441</v>
      </c>
      <c r="M873" s="1144">
        <f>SUM(M869:M872)</f>
        <v>338.69395339177925</v>
      </c>
      <c r="N873" s="1186"/>
      <c r="O873" s="125"/>
      <c r="P873" s="125"/>
      <c r="Q873" s="125"/>
      <c r="R873" s="1186">
        <f>SUM(R$869:R$872)</f>
        <v>554.63845185651348</v>
      </c>
    </row>
    <row r="874" spans="1:22" s="58" customFormat="1" ht="7" customHeight="1" outlineLevel="1">
      <c r="A874" s="52"/>
      <c r="C874" s="1138"/>
      <c r="D874" s="57"/>
      <c r="E874" s="57"/>
      <c r="F874" s="1142"/>
      <c r="G874" s="1142"/>
      <c r="H874" s="1142"/>
      <c r="I874" s="1142"/>
      <c r="J874" s="1142"/>
      <c r="K874" s="63"/>
      <c r="L874"/>
      <c r="M874" s="1143"/>
      <c r="N874" s="407"/>
      <c r="O874" s="119"/>
      <c r="P874" s="119"/>
      <c r="Q874" s="119"/>
      <c r="R874" s="407"/>
    </row>
    <row r="875" spans="1:22" s="58" customFormat="1" outlineLevel="1">
      <c r="A875" s="52"/>
      <c r="C875" s="216" t="s">
        <v>277</v>
      </c>
      <c r="D875" s="57"/>
      <c r="E875" s="57"/>
      <c r="F875" s="1142">
        <v>0</v>
      </c>
      <c r="G875" s="1142">
        <v>0</v>
      </c>
      <c r="H875" s="1142">
        <v>0</v>
      </c>
      <c r="I875" s="1142">
        <v>0</v>
      </c>
      <c r="J875" s="1142">
        <v>0</v>
      </c>
      <c r="K875" s="102">
        <f>J875</f>
        <v>0</v>
      </c>
      <c r="L875" s="1140">
        <v>41.086156695156696</v>
      </c>
      <c r="M875" s="1143">
        <f>IFERROR((INDEX($G$38:$I$45,MATCH($C875,$C$38:$C$45,0),MATCH($M$856,$G$37:$I$37,0))),0)</f>
        <v>627.62687036588807</v>
      </c>
      <c r="N875" s="407">
        <f>SUM(L875:M875)</f>
        <v>668.71302706104473</v>
      </c>
      <c r="O875" s="119"/>
      <c r="P875" s="119"/>
      <c r="Q875" s="119"/>
      <c r="R875" s="407">
        <f>SUM(N875:Q875)</f>
        <v>668.71302706104473</v>
      </c>
    </row>
    <row r="876" spans="1:22" s="58" customFormat="1" outlineLevel="1">
      <c r="A876" s="52"/>
      <c r="C876" s="216" t="s">
        <v>184</v>
      </c>
      <c r="D876" s="57"/>
      <c r="E876" s="57"/>
      <c r="F876" s="1142">
        <v>0</v>
      </c>
      <c r="G876" s="1142">
        <v>0</v>
      </c>
      <c r="H876" s="1142">
        <v>0</v>
      </c>
      <c r="I876" s="1142">
        <v>0</v>
      </c>
      <c r="J876" s="1142">
        <v>0</v>
      </c>
      <c r="K876" s="102">
        <f>J876</f>
        <v>0</v>
      </c>
      <c r="L876" s="1140">
        <v>133.01599999999999</v>
      </c>
      <c r="M876" s="1143">
        <f>IFERROR((INDEX($G$38:$I$45,MATCH($C876,$C$38:$C$45,0),MATCH($M$856,$G$37:$I$37,0))),0)</f>
        <v>-15.007818753933265</v>
      </c>
      <c r="N876" s="407">
        <f>SUM(L876:M876)</f>
        <v>118.00818124606673</v>
      </c>
      <c r="O876" s="119"/>
      <c r="P876" s="119"/>
      <c r="Q876" s="119"/>
      <c r="R876" s="407">
        <f>SUM(N876:Q876)</f>
        <v>118.00818124606673</v>
      </c>
    </row>
    <row r="877" spans="1:22" s="58" customFormat="1" outlineLevel="1">
      <c r="A877" s="52"/>
      <c r="C877" s="122" t="str">
        <f>_xlfn.CONCAT("Total ",$C$867)</f>
        <v>Total Property, Plant, &amp; Equipment</v>
      </c>
      <c r="D877" s="59"/>
      <c r="E877" s="59"/>
      <c r="F877" s="1144">
        <f t="shared" ref="F877:K877" si="322">SUM(F$869:F$876)</f>
        <v>799.78499999999997</v>
      </c>
      <c r="G877" s="1144">
        <f t="shared" si="322"/>
        <v>696.62900000000002</v>
      </c>
      <c r="H877" s="1144">
        <f t="shared" si="322"/>
        <v>632.64300000000003</v>
      </c>
      <c r="I877" s="1144">
        <f t="shared" si="322"/>
        <v>506.51900000000001</v>
      </c>
      <c r="J877" s="1144">
        <f t="shared" si="322"/>
        <v>412.25845999999996</v>
      </c>
      <c r="K877" s="124">
        <f t="shared" si="322"/>
        <v>375.04064999999991</v>
      </c>
      <c r="L877" s="1186">
        <f>SUM(L$873:L$876)</f>
        <v>390.04665515989109</v>
      </c>
      <c r="M877" s="1144">
        <f>SUM(M$873:M$876)</f>
        <v>951.31300500373402</v>
      </c>
      <c r="N877" s="67"/>
      <c r="O877" s="125"/>
      <c r="P877" s="125"/>
      <c r="Q877" s="125"/>
      <c r="R877" s="1187">
        <f>SUM(R$873:R$876)</f>
        <v>1341.359660163625</v>
      </c>
    </row>
    <row r="878" spans="1:22" s="58" customFormat="1" outlineLevel="1">
      <c r="A878" s="52"/>
      <c r="C878" s="255"/>
      <c r="D878" s="57"/>
      <c r="E878" s="57"/>
      <c r="F878" s="117"/>
      <c r="G878" s="117"/>
      <c r="H878" s="117"/>
      <c r="I878" s="117"/>
      <c r="J878" s="117"/>
      <c r="K878" s="89"/>
      <c r="L878" s="116"/>
      <c r="M878" s="119"/>
      <c r="N878" s="95"/>
      <c r="O878" s="119"/>
      <c r="P878" s="119"/>
      <c r="Q878" s="119"/>
      <c r="R878" s="95"/>
    </row>
    <row r="879" spans="1:22" s="58" customFormat="1" outlineLevel="1">
      <c r="A879" s="52"/>
      <c r="C879" s="115" t="s">
        <v>386</v>
      </c>
      <c r="D879" s="57"/>
      <c r="E879" s="57"/>
      <c r="F879" s="117"/>
      <c r="G879" s="117"/>
      <c r="H879" s="117"/>
      <c r="I879" s="117"/>
      <c r="J879" s="117"/>
      <c r="K879" s="89"/>
      <c r="L879" s="116"/>
      <c r="M879" s="119"/>
      <c r="N879" s="407"/>
      <c r="O879" s="119"/>
      <c r="P879" s="119"/>
      <c r="Q879" s="119"/>
      <c r="R879" s="95"/>
    </row>
    <row r="880" spans="1:22" s="58" customFormat="1" outlineLevel="1">
      <c r="A880" s="52"/>
      <c r="C880" s="256" t="s">
        <v>264</v>
      </c>
      <c r="E880" s="51"/>
      <c r="F880" s="1142">
        <v>0</v>
      </c>
      <c r="G880" s="1142">
        <v>0</v>
      </c>
      <c r="H880" s="1142">
        <v>0</v>
      </c>
      <c r="I880" s="1142">
        <v>0</v>
      </c>
      <c r="J880" s="1142">
        <v>0</v>
      </c>
      <c r="K880" s="102">
        <f>J880</f>
        <v>0</v>
      </c>
      <c r="L880" s="120">
        <v>0</v>
      </c>
      <c r="M880" s="1143">
        <f t="shared" ref="M880:M885" si="323">IFERROR((INDEX($G$38:$I$45,MATCH($C880,$C$38:$C$45,0),MATCH($M$856,$G$37:$I$37,0))),0)</f>
        <v>0</v>
      </c>
      <c r="N880" s="407">
        <f t="shared" ref="N880:N885" si="324">SUM(L880:M880)</f>
        <v>0</v>
      </c>
      <c r="O880" s="119">
        <f>$E$18</f>
        <v>209</v>
      </c>
      <c r="P880" s="119"/>
      <c r="Q880" s="119"/>
      <c r="R880" s="407">
        <f t="shared" ref="R880:R885" si="325">SUM(N880:Q880)</f>
        <v>209</v>
      </c>
    </row>
    <row r="881" spans="1:18" s="58" customFormat="1" outlineLevel="1">
      <c r="A881" s="52"/>
      <c r="C881" s="256" t="s">
        <v>226</v>
      </c>
      <c r="D881" s="57"/>
      <c r="E881" s="57"/>
      <c r="F881" s="1142">
        <v>0</v>
      </c>
      <c r="G881" s="1142">
        <v>0</v>
      </c>
      <c r="H881" s="1142">
        <v>0</v>
      </c>
      <c r="I881" s="1142">
        <v>0</v>
      </c>
      <c r="J881" s="1142">
        <v>0</v>
      </c>
      <c r="K881" s="102">
        <f>J881</f>
        <v>0</v>
      </c>
      <c r="L881" s="120">
        <v>0</v>
      </c>
      <c r="M881" s="1143">
        <f t="shared" si="323"/>
        <v>0</v>
      </c>
      <c r="N881" s="407">
        <f t="shared" si="324"/>
        <v>0</v>
      </c>
      <c r="O881" s="119">
        <f ca="1">$E$19</f>
        <v>8.2933648571283118</v>
      </c>
      <c r="P881" s="119"/>
      <c r="Q881" s="119"/>
      <c r="R881" s="407">
        <f ca="1">SUM(N881:Q881)</f>
        <v>8.2933648571283118</v>
      </c>
    </row>
    <row r="882" spans="1:18" s="58" customFormat="1" outlineLevel="1">
      <c r="A882" s="52"/>
      <c r="C882" s="255" t="s">
        <v>4</v>
      </c>
      <c r="D882" s="57"/>
      <c r="E882" s="57"/>
      <c r="F882" s="1142">
        <v>0</v>
      </c>
      <c r="G882" s="1142">
        <v>0</v>
      </c>
      <c r="H882" s="1142">
        <v>0</v>
      </c>
      <c r="I882" s="1142">
        <v>0</v>
      </c>
      <c r="J882" s="1142">
        <v>0</v>
      </c>
      <c r="K882" s="102">
        <f>J882</f>
        <v>0</v>
      </c>
      <c r="L882" s="120">
        <v>0</v>
      </c>
      <c r="M882" s="1143">
        <f t="shared" si="323"/>
        <v>0</v>
      </c>
      <c r="N882" s="407">
        <f t="shared" si="324"/>
        <v>0</v>
      </c>
      <c r="O882" s="119"/>
      <c r="P882" s="119"/>
      <c r="Q882" s="119">
        <f>$Q$43</f>
        <v>147.5166060415354</v>
      </c>
      <c r="R882" s="407">
        <f t="shared" si="325"/>
        <v>147.5166060415354</v>
      </c>
    </row>
    <row r="883" spans="1:18" s="58" customFormat="1" outlineLevel="1">
      <c r="A883" s="52"/>
      <c r="C883" s="216" t="s">
        <v>681</v>
      </c>
      <c r="D883" s="57"/>
      <c r="E883" s="57"/>
      <c r="F883" s="1142">
        <v>0</v>
      </c>
      <c r="G883" s="1142">
        <v>0</v>
      </c>
      <c r="H883" s="1142">
        <v>0</v>
      </c>
      <c r="I883" s="1142">
        <v>0</v>
      </c>
      <c r="J883" s="1142">
        <v>0</v>
      </c>
      <c r="K883" s="102">
        <f>J883</f>
        <v>0</v>
      </c>
      <c r="L883" s="120">
        <v>0</v>
      </c>
      <c r="M883" s="1143">
        <f t="shared" si="323"/>
        <v>43.706733794839522</v>
      </c>
      <c r="N883" s="407">
        <f t="shared" si="324"/>
        <v>43.706733794839522</v>
      </c>
      <c r="O883" s="119"/>
      <c r="P883" s="119"/>
      <c r="Q883" s="119"/>
      <c r="R883" s="407">
        <f t="shared" si="325"/>
        <v>43.706733794839522</v>
      </c>
    </row>
    <row r="884" spans="1:18" s="58" customFormat="1" outlineLevel="1">
      <c r="A884" s="52"/>
      <c r="C884" s="255" t="s">
        <v>387</v>
      </c>
      <c r="D884" s="57"/>
      <c r="E884" s="57"/>
      <c r="F884" s="1142">
        <v>2.5</v>
      </c>
      <c r="G884" s="1142">
        <v>2.5</v>
      </c>
      <c r="H884" s="1142">
        <v>2.5</v>
      </c>
      <c r="I884" s="1142">
        <v>2.5</v>
      </c>
      <c r="J884" s="1142">
        <v>2.5</v>
      </c>
      <c r="K884" s="89">
        <v>5.2445900000000005</v>
      </c>
      <c r="L884" s="120">
        <v>0</v>
      </c>
      <c r="M884" s="1143">
        <f t="shared" si="323"/>
        <v>0</v>
      </c>
      <c r="N884" s="407">
        <f t="shared" si="324"/>
        <v>0</v>
      </c>
      <c r="O884" s="119"/>
      <c r="P884" s="119"/>
      <c r="Q884" s="119"/>
      <c r="R884" s="407">
        <f t="shared" si="325"/>
        <v>0</v>
      </c>
    </row>
    <row r="885" spans="1:18" s="58" customFormat="1" outlineLevel="1">
      <c r="A885" s="52"/>
      <c r="C885" s="256" t="s">
        <v>276</v>
      </c>
      <c r="D885" s="51"/>
      <c r="E885" s="51"/>
      <c r="F885" s="1142">
        <v>0</v>
      </c>
      <c r="G885" s="1142">
        <v>0</v>
      </c>
      <c r="H885" s="1142">
        <v>0</v>
      </c>
      <c r="I885" s="1142">
        <v>0</v>
      </c>
      <c r="J885" s="1142">
        <v>0</v>
      </c>
      <c r="K885" s="102">
        <f>J885</f>
        <v>0</v>
      </c>
      <c r="L885" s="120">
        <v>0</v>
      </c>
      <c r="M885" s="1143">
        <f t="shared" si="323"/>
        <v>3.9</v>
      </c>
      <c r="N885" s="407">
        <f t="shared" si="324"/>
        <v>3.9</v>
      </c>
      <c r="O885" s="119"/>
      <c r="P885" s="119"/>
      <c r="Q885" s="119"/>
      <c r="R885" s="407">
        <f t="shared" si="325"/>
        <v>3.9</v>
      </c>
    </row>
    <row r="886" spans="1:18" s="58" customFormat="1" outlineLevel="1">
      <c r="A886" s="52"/>
      <c r="C886" s="122" t="str">
        <f>_xlfn.CONCAT("Total ",$C$879)</f>
        <v>Total Other Assets</v>
      </c>
      <c r="D886" s="59"/>
      <c r="E886" s="59"/>
      <c r="F886" s="1144">
        <f t="shared" ref="F886:M886" si="326">SUM(F$880:F$885)</f>
        <v>2.5</v>
      </c>
      <c r="G886" s="1144">
        <f t="shared" si="326"/>
        <v>2.5</v>
      </c>
      <c r="H886" s="1144">
        <f t="shared" si="326"/>
        <v>2.5</v>
      </c>
      <c r="I886" s="1144">
        <f t="shared" si="326"/>
        <v>2.5</v>
      </c>
      <c r="J886" s="1144">
        <f t="shared" si="326"/>
        <v>2.5</v>
      </c>
      <c r="K886" s="124">
        <f t="shared" si="326"/>
        <v>5.2445900000000005</v>
      </c>
      <c r="L886" s="67">
        <f t="shared" si="326"/>
        <v>0</v>
      </c>
      <c r="M886" s="1144">
        <f t="shared" si="326"/>
        <v>47.606733794839521</v>
      </c>
      <c r="N886" s="67"/>
      <c r="O886" s="125"/>
      <c r="P886" s="125"/>
      <c r="Q886" s="125"/>
      <c r="R886" s="1187">
        <f ca="1">SUM(R$880:R$885)</f>
        <v>412.41670469350322</v>
      </c>
    </row>
    <row r="887" spans="1:18" s="14" customFormat="1" ht="6.65" customHeight="1" outlineLevel="1" thickBot="1">
      <c r="B887" s="502"/>
      <c r="C887" s="502"/>
      <c r="D887" s="502"/>
      <c r="E887" s="502"/>
      <c r="F887" s="503"/>
      <c r="G887" s="503"/>
      <c r="H887" s="503"/>
      <c r="I887" s="503"/>
      <c r="J887" s="503"/>
      <c r="K887" s="502"/>
      <c r="L887" s="502"/>
      <c r="M887" s="503"/>
      <c r="N887" s="502"/>
      <c r="O887" s="503"/>
      <c r="P887" s="503"/>
      <c r="Q887" s="503"/>
      <c r="R887" s="502"/>
    </row>
    <row r="888" spans="1:18" s="18" customFormat="1" ht="15" outlineLevel="1" thickTop="1">
      <c r="A888" s="36"/>
      <c r="C888" s="127" t="s">
        <v>16</v>
      </c>
      <c r="D888" s="58"/>
      <c r="E888" s="58"/>
      <c r="F888" s="504">
        <f t="shared" ref="F888:L888" si="327">SUM(F$865,F$877,F$886)</f>
        <v>1284.7069999999999</v>
      </c>
      <c r="G888" s="504">
        <f t="shared" si="327"/>
        <v>1204.5250000000001</v>
      </c>
      <c r="H888" s="504">
        <f t="shared" si="327"/>
        <v>1184.5729999999999</v>
      </c>
      <c r="I888" s="504">
        <f t="shared" si="327"/>
        <v>1200.307</v>
      </c>
      <c r="J888" s="504">
        <f t="shared" si="327"/>
        <v>1053.2152599999999</v>
      </c>
      <c r="K888" s="99">
        <f t="shared" si="327"/>
        <v>1081.7615599999999</v>
      </c>
      <c r="L888" s="99">
        <f t="shared" si="327"/>
        <v>837.40965515989114</v>
      </c>
      <c r="M888" s="117"/>
      <c r="N888" s="99"/>
      <c r="O888" s="129"/>
      <c r="P888" s="129"/>
      <c r="Q888" s="129"/>
      <c r="R888" s="1187">
        <f ca="1">SUM(R$865,R$877,R$886)</f>
        <v>2276.1393648571279</v>
      </c>
    </row>
    <row r="889" spans="1:18" customFormat="1" ht="8.5" customHeight="1" outlineLevel="1"/>
    <row r="890" spans="1:18" s="58" customFormat="1" outlineLevel="1">
      <c r="A890" s="52"/>
      <c r="C890" s="50" t="s">
        <v>130</v>
      </c>
      <c r="D890" s="35"/>
      <c r="E890" s="35"/>
      <c r="F890" s="35"/>
      <c r="G890" s="35"/>
      <c r="H890" s="35"/>
      <c r="I890" s="35"/>
      <c r="J890" s="35"/>
      <c r="K890" s="35"/>
      <c r="L890" s="35"/>
      <c r="M890" s="35" t="str">
        <f>IFERROR((INDEX(#REF!,(MATCH($C890,#REF!,0)),(MATCH(#REF!,#REF!,0)))),"")</f>
        <v/>
      </c>
      <c r="N890" s="35"/>
      <c r="O890" s="35"/>
      <c r="P890" s="35"/>
      <c r="Q890" s="35"/>
      <c r="R890" s="35"/>
    </row>
    <row r="891" spans="1:18" s="58" customFormat="1" ht="4" customHeight="1" outlineLevel="1">
      <c r="A891" s="52"/>
      <c r="C891" s="115"/>
      <c r="D891" s="57"/>
      <c r="E891" s="51"/>
      <c r="F891" s="93"/>
      <c r="G891" s="93"/>
      <c r="H891" s="93"/>
      <c r="I891" s="93"/>
      <c r="J891" s="93"/>
      <c r="K891" s="89"/>
      <c r="L891" s="116"/>
      <c r="M891" s="89"/>
      <c r="N891" s="102"/>
      <c r="O891" s="102"/>
      <c r="P891" s="102"/>
      <c r="Q891" s="102"/>
      <c r="R891" s="102"/>
    </row>
    <row r="892" spans="1:18" s="58" customFormat="1" outlineLevel="1">
      <c r="A892" s="52"/>
      <c r="C892" s="115" t="s">
        <v>186</v>
      </c>
      <c r="D892" s="57"/>
      <c r="E892" s="57"/>
      <c r="F892" s="117"/>
      <c r="G892" s="117"/>
      <c r="H892" s="117"/>
      <c r="I892" s="117"/>
      <c r="J892" s="117"/>
      <c r="K892" s="89"/>
      <c r="L892" s="116"/>
      <c r="M892" s="118"/>
      <c r="N892" s="95"/>
      <c r="O892" s="119"/>
      <c r="P892" s="119"/>
      <c r="Q892" s="119"/>
      <c r="R892" s="95"/>
    </row>
    <row r="893" spans="1:18" s="58" customFormat="1" outlineLevel="1">
      <c r="A893" s="52"/>
      <c r="C893" s="255" t="s">
        <v>11</v>
      </c>
      <c r="D893" s="93"/>
      <c r="E893" s="93"/>
      <c r="F893" s="1142">
        <v>74.441000000000003</v>
      </c>
      <c r="G893" s="1142">
        <v>86.602999999999994</v>
      </c>
      <c r="H893" s="1142">
        <v>86.805000000000007</v>
      </c>
      <c r="I893" s="1142">
        <v>48.393999999999998</v>
      </c>
      <c r="J893" s="1142">
        <v>87.918000000000006</v>
      </c>
      <c r="K893" s="116">
        <v>122.35409</v>
      </c>
      <c r="L893" s="1140">
        <v>83.846000000000004</v>
      </c>
      <c r="M893" s="118" t="str">
        <f>IFERROR((INDEX(#REF!,(MATCH($C893,#REF!,0)),(MATCH(#REF!,#REF!,0)))),"")</f>
        <v/>
      </c>
      <c r="N893" s="407">
        <f>SUM(L893:M893)</f>
        <v>83.846000000000004</v>
      </c>
      <c r="O893" s="119"/>
      <c r="P893" s="119"/>
      <c r="Q893" s="119"/>
      <c r="R893" s="95">
        <f>SUM(N893:Q893)</f>
        <v>83.846000000000004</v>
      </c>
    </row>
    <row r="894" spans="1:18" s="58" customFormat="1" outlineLevel="1">
      <c r="A894" s="52"/>
      <c r="C894" s="255" t="s">
        <v>17</v>
      </c>
      <c r="D894" s="116"/>
      <c r="E894" s="116"/>
      <c r="F894" s="1142">
        <v>0</v>
      </c>
      <c r="G894" s="1142">
        <v>0</v>
      </c>
      <c r="H894" s="1142">
        <v>0</v>
      </c>
      <c r="I894" s="1142">
        <v>0</v>
      </c>
      <c r="J894" s="1142">
        <v>0</v>
      </c>
      <c r="K894" s="116">
        <v>0</v>
      </c>
      <c r="L894" s="120">
        <v>0</v>
      </c>
      <c r="M894" s="118" t="str">
        <f>IFERROR((INDEX(#REF!,(MATCH($C894,#REF!,0)),(MATCH(#REF!,#REF!,0)))),"")</f>
        <v/>
      </c>
      <c r="N894" s="407">
        <f>SUM(L894:M894)</f>
        <v>0</v>
      </c>
      <c r="O894" s="119"/>
      <c r="P894" s="119"/>
      <c r="Q894" s="119"/>
      <c r="R894" s="95">
        <f>SUM(N894:Q894)</f>
        <v>0</v>
      </c>
    </row>
    <row r="895" spans="1:18" s="58" customFormat="1" outlineLevel="1">
      <c r="A895" s="52"/>
      <c r="C895" s="255" t="s">
        <v>14</v>
      </c>
      <c r="D895" s="93"/>
      <c r="E895" s="93"/>
      <c r="F895" s="1142">
        <v>23.312999999999999</v>
      </c>
      <c r="G895" s="1142">
        <v>21.695</v>
      </c>
      <c r="H895" s="1142">
        <v>28.864000000000001</v>
      </c>
      <c r="I895" s="1142">
        <v>44.904000000000003</v>
      </c>
      <c r="J895" s="1142">
        <v>23.748999999999999</v>
      </c>
      <c r="K895" s="116">
        <v>29.850999999999999</v>
      </c>
      <c r="L895" s="120">
        <v>0</v>
      </c>
      <c r="M895" s="118" t="str">
        <f>IFERROR((INDEX(#REF!,(MATCH($C895,#REF!,0)),(MATCH(#REF!,#REF!,0)))),"")</f>
        <v/>
      </c>
      <c r="N895" s="407">
        <f>SUM(L895:M895)</f>
        <v>0</v>
      </c>
      <c r="O895" s="119"/>
      <c r="P895" s="119"/>
      <c r="Q895" s="119"/>
      <c r="R895" s="95">
        <f>SUM(N895:Q895)</f>
        <v>0</v>
      </c>
    </row>
    <row r="896" spans="1:18" s="58" customFormat="1" outlineLevel="1">
      <c r="A896" s="52"/>
      <c r="C896" s="122" t="s">
        <v>18</v>
      </c>
      <c r="D896" s="59"/>
      <c r="E896" s="59"/>
      <c r="F896" s="123">
        <f>SUM(F$893:F$895)</f>
        <v>97.754000000000005</v>
      </c>
      <c r="G896" s="123">
        <f>SUM(G$893:G$895)</f>
        <v>108.298</v>
      </c>
      <c r="H896" s="123">
        <f>SUM(H$893:H$895)</f>
        <v>115.66900000000001</v>
      </c>
      <c r="I896" s="123">
        <f t="shared" ref="I896:L896" si="328">SUM(I$893:I$895)</f>
        <v>93.298000000000002</v>
      </c>
      <c r="J896" s="123">
        <f t="shared" si="328"/>
        <v>111.667</v>
      </c>
      <c r="K896" s="124">
        <f t="shared" si="328"/>
        <v>152.20508999999998</v>
      </c>
      <c r="L896" s="1186">
        <f t="shared" si="328"/>
        <v>83.846000000000004</v>
      </c>
      <c r="M896" s="123"/>
      <c r="N896" s="67"/>
      <c r="O896" s="125"/>
      <c r="P896" s="125"/>
      <c r="Q896" s="125"/>
      <c r="R896" s="126">
        <f>SUM(R$893:R$895)</f>
        <v>83.846000000000004</v>
      </c>
    </row>
    <row r="897" spans="1:22" s="58" customFormat="1" outlineLevel="1">
      <c r="A897" s="52"/>
      <c r="C897" s="130"/>
      <c r="D897" s="89"/>
      <c r="E897" s="89"/>
      <c r="F897" s="118"/>
      <c r="G897" s="118"/>
      <c r="H897" s="118"/>
      <c r="I897" s="118"/>
      <c r="J897" s="118"/>
      <c r="K897" s="102"/>
      <c r="L897" s="89"/>
      <c r="M897" s="118"/>
      <c r="N897" s="102"/>
      <c r="O897" s="118"/>
      <c r="P897" s="118"/>
      <c r="Q897" s="118"/>
      <c r="R897" s="102"/>
      <c r="S897" s="65"/>
    </row>
    <row r="898" spans="1:22" s="58" customFormat="1" outlineLevel="1">
      <c r="A898" s="52"/>
      <c r="C898" s="131" t="s">
        <v>187</v>
      </c>
      <c r="D898" s="61"/>
      <c r="E898" s="93"/>
      <c r="F898" s="1142">
        <v>619.654</v>
      </c>
      <c r="G898" s="1142">
        <v>562.21699999999998</v>
      </c>
      <c r="H898" s="1142">
        <v>555.36099999999999</v>
      </c>
      <c r="I898" s="1142">
        <v>560.65800000000002</v>
      </c>
      <c r="J898" s="1142">
        <v>268.84800000000001</v>
      </c>
      <c r="K898" s="1141">
        <v>291.14078000000001</v>
      </c>
      <c r="L898" s="120">
        <v>0</v>
      </c>
      <c r="M898" s="118" t="str">
        <f>IFERROR((INDEX(#REF!,(MATCH($C898,#REF!,0)),(MATCH(#REF!,#REF!,0)))),"")</f>
        <v/>
      </c>
      <c r="N898" s="95">
        <f>SUM(L898:M898)</f>
        <v>0</v>
      </c>
      <c r="O898" s="119"/>
      <c r="P898" s="119"/>
      <c r="Q898" s="119"/>
      <c r="R898" s="95">
        <f>SUM(N898:Q898)</f>
        <v>0</v>
      </c>
    </row>
    <row r="899" spans="1:22" s="58" customFormat="1" ht="4" customHeight="1" outlineLevel="1">
      <c r="A899" s="52"/>
      <c r="C899" s="131"/>
      <c r="D899" s="61"/>
      <c r="E899" s="93"/>
      <c r="F899" s="117"/>
      <c r="G899" s="117"/>
      <c r="H899" s="117"/>
      <c r="I899" s="117"/>
      <c r="J899" s="117"/>
      <c r="K899" s="116"/>
      <c r="L899" s="116"/>
      <c r="M899" s="118"/>
      <c r="N899" s="95"/>
      <c r="O899" s="119"/>
      <c r="P899" s="119"/>
      <c r="Q899" s="119"/>
      <c r="R899" s="95"/>
    </row>
    <row r="900" spans="1:22" s="58" customFormat="1" outlineLevel="1">
      <c r="A900" s="52"/>
      <c r="C900" s="131" t="s">
        <v>188</v>
      </c>
      <c r="D900" s="93"/>
      <c r="E900" s="93"/>
      <c r="F900" s="117"/>
      <c r="G900" s="117"/>
      <c r="H900" s="117"/>
      <c r="I900" s="117"/>
      <c r="J900" s="117"/>
      <c r="K900" s="102"/>
      <c r="L900" s="116"/>
      <c r="M900" s="118"/>
      <c r="N900" s="95"/>
      <c r="O900" s="119"/>
      <c r="P900" s="119"/>
      <c r="Q900" s="119"/>
      <c r="R900" s="95"/>
    </row>
    <row r="901" spans="1:22" s="58" customFormat="1" outlineLevel="1">
      <c r="A901" s="52"/>
      <c r="C901" s="255" t="str">
        <f>C23</f>
        <v xml:space="preserve">Revolver </v>
      </c>
      <c r="D901" s="116"/>
      <c r="E901" s="116"/>
      <c r="F901" s="121"/>
      <c r="G901" s="121"/>
      <c r="H901" s="121"/>
      <c r="I901" s="121"/>
      <c r="J901" s="121"/>
      <c r="K901" s="116"/>
      <c r="L901" s="120">
        <v>0</v>
      </c>
      <c r="M901" s="118"/>
      <c r="N901" s="95"/>
      <c r="O901" s="119"/>
      <c r="P901" s="119">
        <f ca="1">$E$23</f>
        <v>0</v>
      </c>
      <c r="Q901" s="119"/>
      <c r="R901" s="95">
        <f ca="1">SUM(N901:Q901)</f>
        <v>0</v>
      </c>
    </row>
    <row r="902" spans="1:22" s="58" customFormat="1" outlineLevel="1">
      <c r="A902" s="52"/>
      <c r="C902" s="255" t="str">
        <f>C24</f>
        <v>Term Loan</v>
      </c>
      <c r="D902" s="116"/>
      <c r="E902" s="116"/>
      <c r="F902" s="121"/>
      <c r="G902" s="121"/>
      <c r="H902" s="121"/>
      <c r="I902" s="121"/>
      <c r="J902" s="121"/>
      <c r="K902" s="116"/>
      <c r="L902" s="120">
        <v>0</v>
      </c>
      <c r="M902" s="118"/>
      <c r="N902" s="95"/>
      <c r="O902" s="119"/>
      <c r="P902" s="119">
        <f ca="1">$E$24</f>
        <v>552.89099047522086</v>
      </c>
      <c r="Q902" s="119"/>
      <c r="R902" s="95">
        <f ca="1">SUM(N902:Q902)</f>
        <v>552.89099047522086</v>
      </c>
    </row>
    <row r="903" spans="1:22" s="58" customFormat="1" outlineLevel="1">
      <c r="A903" s="52"/>
      <c r="C903" s="255" t="str">
        <f>C25</f>
        <v>CRE Loan</v>
      </c>
      <c r="D903" s="116"/>
      <c r="E903" s="116"/>
      <c r="F903" s="121"/>
      <c r="G903" s="121"/>
      <c r="H903" s="121"/>
      <c r="I903" s="121"/>
      <c r="J903" s="121"/>
      <c r="K903" s="116"/>
      <c r="L903" s="120">
        <v>0</v>
      </c>
      <c r="M903" s="118"/>
      <c r="N903" s="95"/>
      <c r="O903" s="119"/>
      <c r="P903" s="119">
        <f ca="1">$E$25</f>
        <v>850</v>
      </c>
      <c r="Q903" s="119"/>
      <c r="R903" s="95">
        <f ca="1">SUM(N903:Q903)</f>
        <v>850</v>
      </c>
    </row>
    <row r="904" spans="1:22" s="58" customFormat="1" outlineLevel="1">
      <c r="A904" s="52"/>
      <c r="C904" s="255" t="str">
        <f>C26</f>
        <v>Seller Note</v>
      </c>
      <c r="D904" s="116"/>
      <c r="E904" s="116"/>
      <c r="F904" s="121"/>
      <c r="G904" s="121"/>
      <c r="H904" s="121"/>
      <c r="I904" s="121"/>
      <c r="J904" s="121"/>
      <c r="K904" s="116"/>
      <c r="L904" s="120">
        <v>0</v>
      </c>
      <c r="M904" s="118"/>
      <c r="N904" s="95"/>
      <c r="O904" s="119"/>
      <c r="P904" s="119">
        <f ca="1">$E$26</f>
        <v>162.61499719859438</v>
      </c>
      <c r="Q904" s="119"/>
      <c r="R904" s="95">
        <f ca="1">SUM(N904:Q904)</f>
        <v>162.61499719859438</v>
      </c>
    </row>
    <row r="905" spans="1:22" s="58" customFormat="1" outlineLevel="1">
      <c r="A905" s="52"/>
      <c r="C905" s="718" t="s">
        <v>19</v>
      </c>
      <c r="D905" s="507"/>
      <c r="E905" s="507"/>
      <c r="F905" s="123">
        <f t="shared" ref="F905:K905" si="329">SUM(F898:F904)</f>
        <v>619.654</v>
      </c>
      <c r="G905" s="123">
        <f t="shared" si="329"/>
        <v>562.21699999999998</v>
      </c>
      <c r="H905" s="123">
        <f t="shared" si="329"/>
        <v>555.36099999999999</v>
      </c>
      <c r="I905" s="123">
        <f t="shared" si="329"/>
        <v>560.65800000000002</v>
      </c>
      <c r="J905" s="123">
        <f t="shared" si="329"/>
        <v>268.84800000000001</v>
      </c>
      <c r="K905" s="124">
        <f t="shared" si="329"/>
        <v>291.14078000000001</v>
      </c>
      <c r="L905" s="67"/>
      <c r="M905" s="123"/>
      <c r="N905" s="67">
        <f>SUM(N902:N904)</f>
        <v>0</v>
      </c>
      <c r="O905" s="125"/>
      <c r="P905" s="125"/>
      <c r="Q905" s="125"/>
      <c r="R905" s="67">
        <f ca="1">SUM(R898:R904)</f>
        <v>1565.5059876738153</v>
      </c>
    </row>
    <row r="906" spans="1:22" s="18" customFormat="1" outlineLevel="1">
      <c r="A906" s="36"/>
      <c r="C906" s="122" t="s">
        <v>20</v>
      </c>
      <c r="D906" s="719"/>
      <c r="E906" s="719"/>
      <c r="F906" s="123">
        <f>SUM(F$905,F$896)</f>
        <v>717.40800000000002</v>
      </c>
      <c r="G906" s="123">
        <f>SUM(G$905,G$896)</f>
        <v>670.51499999999999</v>
      </c>
      <c r="H906" s="123">
        <f>SUM(H$905,H$896)</f>
        <v>671.03</v>
      </c>
      <c r="I906" s="123">
        <f t="shared" ref="I906:L906" si="330">SUM(I$905,I$896)</f>
        <v>653.95600000000002</v>
      </c>
      <c r="J906" s="123">
        <f t="shared" si="330"/>
        <v>380.51499999999999</v>
      </c>
      <c r="K906" s="124">
        <f t="shared" si="330"/>
        <v>443.34586999999999</v>
      </c>
      <c r="L906" s="124">
        <f t="shared" si="330"/>
        <v>83.846000000000004</v>
      </c>
      <c r="M906" s="123"/>
      <c r="N906" s="67"/>
      <c r="O906" s="125"/>
      <c r="P906" s="125"/>
      <c r="Q906" s="125"/>
      <c r="R906" s="67">
        <f ca="1">SUM(R$905,R$896)</f>
        <v>1649.3519876738153</v>
      </c>
      <c r="U906" s="58"/>
      <c r="V906" s="58"/>
    </row>
    <row r="907" spans="1:22" s="58" customFormat="1" ht="8.5" customHeight="1" outlineLevel="1">
      <c r="A907" s="52"/>
      <c r="C907" s="131"/>
      <c r="D907" s="116"/>
      <c r="E907" s="116"/>
      <c r="F907" s="121"/>
      <c r="G907" s="121"/>
      <c r="H907" s="121"/>
      <c r="I907" s="121"/>
      <c r="J907" s="121"/>
      <c r="K907" s="102"/>
      <c r="L907" s="116"/>
      <c r="M907" s="118"/>
      <c r="N907" s="88"/>
      <c r="O907" s="119"/>
      <c r="P907" s="128"/>
      <c r="Q907" s="128"/>
      <c r="R907" s="133"/>
    </row>
    <row r="908" spans="1:22" s="58" customFormat="1" outlineLevel="1">
      <c r="A908" s="52"/>
      <c r="C908" s="131" t="s">
        <v>190</v>
      </c>
      <c r="D908" s="116"/>
      <c r="E908" s="116"/>
      <c r="F908" s="121"/>
      <c r="G908" s="121"/>
      <c r="H908" s="121"/>
      <c r="I908" s="121"/>
      <c r="J908" s="121"/>
      <c r="K908" s="102"/>
      <c r="L908" s="57"/>
      <c r="M908" s="118"/>
      <c r="N908" s="88"/>
      <c r="O908" s="118"/>
      <c r="P908" s="118"/>
      <c r="Q908" s="118"/>
      <c r="R908" s="95"/>
    </row>
    <row r="909" spans="1:22" outlineLevel="1">
      <c r="A909" s="97"/>
      <c r="B909" s="65"/>
      <c r="C909" s="256" t="s">
        <v>189</v>
      </c>
      <c r="D909" s="134"/>
      <c r="E909" s="134"/>
      <c r="F909" s="117">
        <v>2.835</v>
      </c>
      <c r="G909" s="117">
        <v>2.835</v>
      </c>
      <c r="H909" s="117">
        <v>2.835</v>
      </c>
      <c r="I909" s="117">
        <v>2.835</v>
      </c>
      <c r="J909" s="117">
        <v>2.8349099999999998</v>
      </c>
      <c r="K909" s="116">
        <v>2.8349099999999998</v>
      </c>
      <c r="L909" s="120">
        <v>0</v>
      </c>
      <c r="M909" s="118"/>
      <c r="N909" s="88"/>
      <c r="O909" s="119"/>
      <c r="P909" s="128"/>
      <c r="Q909" s="128"/>
      <c r="R909" s="95">
        <f>SUM(N909:Q909)</f>
        <v>0</v>
      </c>
    </row>
    <row r="910" spans="1:22" s="58" customFormat="1" outlineLevel="1">
      <c r="A910" s="52"/>
      <c r="C910" s="255" t="s">
        <v>10</v>
      </c>
      <c r="D910" s="93"/>
      <c r="E910" s="93"/>
      <c r="F910" s="117">
        <v>564.46400000000006</v>
      </c>
      <c r="G910" s="117">
        <v>531.17499999999995</v>
      </c>
      <c r="H910" s="117">
        <v>510.70800000000003</v>
      </c>
      <c r="I910" s="117">
        <v>543.51599999999996</v>
      </c>
      <c r="J910" s="117">
        <v>669.86500000000001</v>
      </c>
      <c r="K910" s="116">
        <v>635.58078</v>
      </c>
      <c r="L910" s="120">
        <v>0</v>
      </c>
      <c r="M910" s="118"/>
      <c r="N910" s="88"/>
      <c r="O910" s="121"/>
      <c r="P910" s="121"/>
      <c r="Q910" s="121"/>
      <c r="R910" s="95">
        <f>SUM(N910:Q910)</f>
        <v>0</v>
      </c>
    </row>
    <row r="911" spans="1:22" s="58" customFormat="1" ht="5.15" customHeight="1" outlineLevel="1">
      <c r="A911" s="52"/>
      <c r="C911" s="131"/>
      <c r="D911" s="116"/>
      <c r="E911" s="116"/>
      <c r="F911" s="121"/>
      <c r="G911" s="121"/>
      <c r="H911" s="121"/>
      <c r="I911" s="121"/>
      <c r="J911" s="121"/>
      <c r="K911" s="102"/>
      <c r="L911" s="116"/>
      <c r="M911" s="118"/>
      <c r="N911" s="88"/>
      <c r="O911" s="119"/>
      <c r="P911" s="128"/>
      <c r="Q911" s="128"/>
      <c r="R911" s="133"/>
    </row>
    <row r="912" spans="1:22" s="58" customFormat="1" outlineLevel="1">
      <c r="A912" s="52"/>
      <c r="C912" s="131" t="s">
        <v>191</v>
      </c>
      <c r="D912" s="89"/>
      <c r="E912" s="89"/>
      <c r="F912" s="118"/>
      <c r="G912" s="118"/>
      <c r="H912" s="118"/>
      <c r="I912" s="118"/>
      <c r="J912" s="118"/>
      <c r="K912" s="89"/>
      <c r="L912" s="57"/>
      <c r="M912" s="118"/>
      <c r="N912" s="88"/>
      <c r="O912" s="118"/>
      <c r="P912" s="118"/>
      <c r="Q912" s="118"/>
      <c r="R912" s="88"/>
      <c r="U912" s="57"/>
      <c r="V912" s="57"/>
    </row>
    <row r="913" spans="1:22" s="58" customFormat="1" outlineLevel="1">
      <c r="A913" s="52"/>
      <c r="C913" s="257" t="str">
        <f>C27</f>
        <v>Preferred Equity - A</v>
      </c>
      <c r="D913" s="89"/>
      <c r="E913" s="89"/>
      <c r="F913" s="118"/>
      <c r="G913" s="118"/>
      <c r="H913" s="118"/>
      <c r="I913" s="118"/>
      <c r="J913" s="118"/>
      <c r="K913" s="89"/>
      <c r="L913" s="57"/>
      <c r="M913" s="118"/>
      <c r="N913" s="88"/>
      <c r="O913" s="119"/>
      <c r="P913" s="118">
        <f ca="1">$E$27</f>
        <v>150</v>
      </c>
      <c r="Q913" s="119"/>
      <c r="R913" s="95">
        <f ca="1">SUM(N913:Q913)</f>
        <v>150</v>
      </c>
      <c r="U913" s="57"/>
      <c r="V913" s="57"/>
    </row>
    <row r="914" spans="1:22" s="58" customFormat="1" outlineLevel="1">
      <c r="A914" s="52"/>
      <c r="C914" s="257" t="str">
        <f>C28</f>
        <v>Preferred Equity - B</v>
      </c>
      <c r="D914" s="116"/>
      <c r="E914" s="116"/>
      <c r="F914" s="121"/>
      <c r="G914" s="121"/>
      <c r="H914" s="121"/>
      <c r="I914" s="121"/>
      <c r="J914" s="121"/>
      <c r="K914" s="102"/>
      <c r="L914" s="57"/>
      <c r="M914" s="118"/>
      <c r="N914" s="88"/>
      <c r="O914" s="119"/>
      <c r="P914" s="118">
        <f ca="1">$E$28</f>
        <v>476.78737718331308</v>
      </c>
      <c r="Q914" s="121"/>
      <c r="R914" s="95">
        <f ca="1">SUM(N914:Q914)</f>
        <v>476.78737718331308</v>
      </c>
    </row>
    <row r="915" spans="1:22" s="58" customFormat="1" ht="6" customHeight="1" outlineLevel="1">
      <c r="A915" s="52"/>
      <c r="C915" s="131"/>
      <c r="D915" s="116"/>
      <c r="E915" s="116"/>
      <c r="F915" s="121"/>
      <c r="G915" s="121"/>
      <c r="H915" s="121"/>
      <c r="I915" s="121"/>
      <c r="J915" s="121"/>
      <c r="K915" s="102"/>
      <c r="M915" s="118"/>
      <c r="N915" s="88"/>
      <c r="O915" s="119"/>
      <c r="P915" s="118"/>
      <c r="Q915" s="128"/>
      <c r="R915" s="133"/>
    </row>
    <row r="916" spans="1:22" s="58" customFormat="1" outlineLevel="1">
      <c r="A916" s="52"/>
      <c r="C916" s="122" t="s">
        <v>389</v>
      </c>
      <c r="D916" s="507"/>
      <c r="E916" s="507"/>
      <c r="F916" s="123">
        <f>SUM(F$909:F$914)</f>
        <v>567.29900000000009</v>
      </c>
      <c r="G916" s="123">
        <f>SUM(G$909:G$914)</f>
        <v>534.01</v>
      </c>
      <c r="H916" s="123">
        <f>SUM(H$909:H$914)</f>
        <v>513.54300000000001</v>
      </c>
      <c r="I916" s="123">
        <f t="shared" ref="I916:K916" si="331">SUM(I$909:I$914)</f>
        <v>546.351</v>
      </c>
      <c r="J916" s="123">
        <f t="shared" si="331"/>
        <v>672.69991000000005</v>
      </c>
      <c r="K916" s="507">
        <f t="shared" si="331"/>
        <v>638.41569000000004</v>
      </c>
      <c r="L916" s="96">
        <f>SUM($L$888,-$L$906)</f>
        <v>753.56365515989114</v>
      </c>
      <c r="M916" s="1144">
        <f>SUM(M$877,M$886)</f>
        <v>998.91973879857358</v>
      </c>
      <c r="N916" s="67">
        <f>SUM($L$916:$M$916)</f>
        <v>1752.4833939584646</v>
      </c>
      <c r="O916" s="125">
        <f>-SUM($E$13:$E$14)</f>
        <v>-1900</v>
      </c>
      <c r="P916" s="123">
        <f ca="1">SUM(P$912:P$915)</f>
        <v>626.78737718331308</v>
      </c>
      <c r="Q916" s="123">
        <f>$Q$882</f>
        <v>147.5166060415354</v>
      </c>
      <c r="R916" s="67">
        <f ca="1">SUM($N$916:$Q$916)</f>
        <v>626.78737718331308</v>
      </c>
    </row>
    <row r="917" spans="1:22" s="18" customFormat="1" ht="5.15" customHeight="1" outlineLevel="1" thickBot="1">
      <c r="A917" s="36"/>
      <c r="C917" s="135"/>
      <c r="D917" s="136"/>
      <c r="E917" s="136"/>
      <c r="F917" s="137"/>
      <c r="G917" s="137"/>
      <c r="H917" s="137"/>
      <c r="I917" s="137"/>
      <c r="J917" s="137"/>
      <c r="K917" s="138"/>
      <c r="L917" s="91"/>
      <c r="M917" s="137"/>
      <c r="N917" s="139"/>
      <c r="O917" s="137"/>
      <c r="P917" s="137"/>
      <c r="Q917" s="137"/>
      <c r="R917" s="140"/>
    </row>
    <row r="918" spans="1:22" s="18" customFormat="1" ht="15" outlineLevel="1" thickTop="1">
      <c r="A918" s="36"/>
      <c r="C918" s="127" t="s">
        <v>49</v>
      </c>
      <c r="D918" s="99"/>
      <c r="E918" s="99"/>
      <c r="F918" s="128">
        <f>SUM(F$906,F$916)</f>
        <v>1284.7070000000001</v>
      </c>
      <c r="G918" s="128">
        <f>SUM(G$906,G$916)</f>
        <v>1204.5250000000001</v>
      </c>
      <c r="H918" s="128">
        <f>SUM(H$906,H$916)</f>
        <v>1184.5729999999999</v>
      </c>
      <c r="I918" s="128">
        <f t="shared" ref="I918:K918" si="332">SUM(I$906,I$916)</f>
        <v>1200.307</v>
      </c>
      <c r="J918" s="128">
        <f t="shared" si="332"/>
        <v>1053.2149100000001</v>
      </c>
      <c r="K918" s="132">
        <f t="shared" si="332"/>
        <v>1081.7615599999999</v>
      </c>
      <c r="M918" s="128"/>
      <c r="N918" s="86"/>
      <c r="O918" s="128"/>
      <c r="P918" s="128"/>
      <c r="Q918" s="128"/>
      <c r="R918" s="141">
        <f ca="1">SUM(R$906,R$916)</f>
        <v>2276.1393648571284</v>
      </c>
    </row>
    <row r="919" spans="1:22" s="14" customFormat="1" ht="6" customHeight="1" outlineLevel="1"/>
    <row r="920" spans="1:22" s="58" customFormat="1" outlineLevel="1">
      <c r="A920" s="52"/>
      <c r="C920" s="505" t="s">
        <v>21</v>
      </c>
      <c r="D920" s="506"/>
      <c r="E920" s="506"/>
      <c r="F920" s="95">
        <f>INT(ABS(SUM(F$888,-F$918)))</f>
        <v>0</v>
      </c>
      <c r="G920" s="95">
        <f>INT(ABS(SUM(G$888,-G$918)))</f>
        <v>0</v>
      </c>
      <c r="H920" s="95">
        <f>INT(ABS(SUM(H$888,-H$918)))</f>
        <v>0</v>
      </c>
      <c r="I920" s="95">
        <f t="shared" ref="I920:K920" si="333">INT(ABS(SUM(I$888,-I$918)))</f>
        <v>0</v>
      </c>
      <c r="J920" s="95">
        <f t="shared" si="333"/>
        <v>0</v>
      </c>
      <c r="K920" s="95">
        <f t="shared" si="333"/>
        <v>0</v>
      </c>
      <c r="L920" s="95"/>
      <c r="M920" s="95"/>
      <c r="N920" s="95"/>
      <c r="O920" s="95"/>
      <c r="P920" s="95"/>
      <c r="Q920" s="95"/>
      <c r="R920" s="95">
        <f ca="1">INT(ABS(SUM(R$888,-R$918)))</f>
        <v>0</v>
      </c>
    </row>
    <row r="921" spans="1:22" outlineLevel="1">
      <c r="C921" s="62"/>
    </row>
    <row r="922" spans="1:22" outlineLevel="1">
      <c r="D922" s="142"/>
    </row>
    <row r="923" spans="1:22">
      <c r="F923" s="143"/>
      <c r="G923" s="143"/>
      <c r="H923" s="143"/>
      <c r="I923" s="143"/>
    </row>
    <row r="924" spans="1:22">
      <c r="B924" s="51"/>
      <c r="C924" s="245"/>
    </row>
    <row r="925" spans="1:22">
      <c r="B925" s="51"/>
      <c r="C925" s="51"/>
    </row>
  </sheetData>
  <sheetProtection algorithmName="SHA-512" hashValue="WbkILCUS3OtrI5kvTr/VjXBZk8X/6kzRA9re6Lm6kzts/ExiYlG589WWXPizqimkRFuIcBMh3OwS4/96zuJQyg==" saltValue="XHb1QXOX2T8vnqK0W6v5Qg==" spinCount="100000" sheet="1" objects="1" scenarios="1"/>
  <conditionalFormatting sqref="M487:W487 V13:V16 Q11">
    <cfRule type="cellIs" dxfId="64" priority="83" operator="equal">
      <formula>FALSE</formula>
    </cfRule>
  </conditionalFormatting>
  <conditionalFormatting sqref="N687:W687">
    <cfRule type="cellIs" dxfId="63" priority="76" operator="equal">
      <formula>FALSE</formula>
    </cfRule>
  </conditionalFormatting>
  <conditionalFormatting sqref="N728:W728">
    <cfRule type="cellIs" dxfId="62" priority="71" operator="equal">
      <formula>TRUE</formula>
    </cfRule>
  </conditionalFormatting>
  <conditionalFormatting sqref="N686:W686">
    <cfRule type="cellIs" dxfId="61" priority="91" operator="lessThan">
      <formula>$K$686</formula>
    </cfRule>
  </conditionalFormatting>
  <conditionalFormatting sqref="Q43">
    <cfRule type="cellIs" dxfId="60" priority="68" operator="lessThan">
      <formula>0</formula>
    </cfRule>
  </conditionalFormatting>
  <conditionalFormatting sqref="M710:W710">
    <cfRule type="cellIs" dxfId="59" priority="66" operator="equal">
      <formula>FALSE</formula>
    </cfRule>
  </conditionalFormatting>
  <conditionalFormatting sqref="N689:W691">
    <cfRule type="cellIs" dxfId="58" priority="64" operator="lessThan">
      <formula>1</formula>
    </cfRule>
  </conditionalFormatting>
  <conditionalFormatting sqref="N695:W696">
    <cfRule type="cellIs" dxfId="57" priority="63" operator="lessThan">
      <formula>$K$686</formula>
    </cfRule>
  </conditionalFormatting>
  <conditionalFormatting sqref="N698:W700">
    <cfRule type="cellIs" dxfId="56" priority="62" operator="lessThan">
      <formula>1</formula>
    </cfRule>
  </conditionalFormatting>
  <conditionalFormatting sqref="U11">
    <cfRule type="expression" dxfId="55" priority="60">
      <formula>$V$11="ON"</formula>
    </cfRule>
  </conditionalFormatting>
  <conditionalFormatting sqref="N446:W446">
    <cfRule type="cellIs" dxfId="54" priority="54" operator="lessThan">
      <formula>0</formula>
    </cfRule>
    <cfRule type="cellIs" dxfId="53" priority="55" operator="greaterThan">
      <formula>0</formula>
    </cfRule>
  </conditionalFormatting>
  <conditionalFormatting sqref="N467:W467">
    <cfRule type="cellIs" dxfId="52" priority="52" operator="lessThan">
      <formula>0</formula>
    </cfRule>
    <cfRule type="cellIs" dxfId="51" priority="53" operator="greaterThan">
      <formula>0</formula>
    </cfRule>
  </conditionalFormatting>
  <conditionalFormatting sqref="N479:W479">
    <cfRule type="cellIs" dxfId="50" priority="50" operator="lessThan">
      <formula>0</formula>
    </cfRule>
    <cfRule type="cellIs" dxfId="49" priority="51" operator="greaterThan">
      <formula>0</formula>
    </cfRule>
  </conditionalFormatting>
  <conditionalFormatting sqref="F920:R920">
    <cfRule type="cellIs" dxfId="48" priority="49" operator="notEqual">
      <formula>0</formula>
    </cfRule>
  </conditionalFormatting>
  <conditionalFormatting sqref="N725">
    <cfRule type="cellIs" dxfId="47" priority="48" operator="equal">
      <formula>1</formula>
    </cfRule>
  </conditionalFormatting>
  <conditionalFormatting sqref="N791">
    <cfRule type="cellIs" dxfId="46" priority="47" operator="equal">
      <formula>1</formula>
    </cfRule>
  </conditionalFormatting>
  <conditionalFormatting sqref="N505">
    <cfRule type="cellIs" dxfId="45" priority="46" operator="equal">
      <formula>1</formula>
    </cfRule>
  </conditionalFormatting>
  <conditionalFormatting sqref="Q15">
    <cfRule type="cellIs" dxfId="44" priority="44" operator="equal">
      <formula>1</formula>
    </cfRule>
    <cfRule type="cellIs" dxfId="43" priority="45" operator="equal">
      <formula>1</formula>
    </cfRule>
  </conditionalFormatting>
  <conditionalFormatting sqref="N125">
    <cfRule type="cellIs" dxfId="42" priority="43" operator="equal">
      <formula>1</formula>
    </cfRule>
  </conditionalFormatting>
  <conditionalFormatting sqref="N140">
    <cfRule type="cellIs" dxfId="41" priority="42" operator="equal">
      <formula>1</formula>
    </cfRule>
  </conditionalFormatting>
  <conditionalFormatting sqref="N427">
    <cfRule type="cellIs" dxfId="40" priority="41" operator="equal">
      <formula>1</formula>
    </cfRule>
  </conditionalFormatting>
  <conditionalFormatting sqref="N457">
    <cfRule type="cellIs" dxfId="39" priority="40" operator="equal">
      <formula>1</formula>
    </cfRule>
  </conditionalFormatting>
  <conditionalFormatting sqref="N494">
    <cfRule type="cellIs" dxfId="38" priority="39" operator="equal">
      <formula>1</formula>
    </cfRule>
  </conditionalFormatting>
  <conditionalFormatting sqref="N587">
    <cfRule type="cellIs" dxfId="37" priority="38" operator="equal">
      <formula>1</formula>
    </cfRule>
  </conditionalFormatting>
  <conditionalFormatting sqref="N605">
    <cfRule type="cellIs" dxfId="36" priority="37" operator="equal">
      <formula>1</formula>
    </cfRule>
  </conditionalFormatting>
  <conditionalFormatting sqref="M486:W486">
    <cfRule type="cellIs" dxfId="35" priority="36" operator="equal">
      <formula>0</formula>
    </cfRule>
  </conditionalFormatting>
  <conditionalFormatting sqref="N768:W768">
    <cfRule type="cellIs" dxfId="34" priority="34" operator="lessThan">
      <formula>0</formula>
    </cfRule>
    <cfRule type="cellIs" dxfId="33" priority="35" operator="greaterThan">
      <formula>0</formula>
    </cfRule>
  </conditionalFormatting>
  <conditionalFormatting sqref="N761:W761">
    <cfRule type="cellIs" dxfId="32" priority="32" operator="lessThan">
      <formula>0</formula>
    </cfRule>
    <cfRule type="cellIs" dxfId="31" priority="33" operator="greaterThan">
      <formula>0</formula>
    </cfRule>
  </conditionalFormatting>
  <conditionalFormatting sqref="N417:W417">
    <cfRule type="cellIs" dxfId="30" priority="30" operator="greaterThan">
      <formula>0</formula>
    </cfRule>
  </conditionalFormatting>
  <conditionalFormatting sqref="N443:W443">
    <cfRule type="cellIs" dxfId="29" priority="27" operator="lessThan">
      <formula>0</formula>
    </cfRule>
    <cfRule type="cellIs" dxfId="28" priority="28" operator="greaterThan">
      <formula>0</formula>
    </cfRule>
  </conditionalFormatting>
  <conditionalFormatting sqref="N190">
    <cfRule type="cellIs" dxfId="27" priority="26" operator="equal">
      <formula>1</formula>
    </cfRule>
  </conditionalFormatting>
  <conditionalFormatting sqref="N223">
    <cfRule type="cellIs" dxfId="26" priority="25" operator="equal">
      <formula>1</formula>
    </cfRule>
  </conditionalFormatting>
  <conditionalFormatting sqref="N256">
    <cfRule type="cellIs" dxfId="25" priority="24" operator="equal">
      <formula>1</formula>
    </cfRule>
  </conditionalFormatting>
  <conditionalFormatting sqref="M712:W712">
    <cfRule type="cellIs" dxfId="24" priority="22" operator="equal">
      <formula>"NM"</formula>
    </cfRule>
  </conditionalFormatting>
  <conditionalFormatting sqref="M716:W719">
    <cfRule type="cellIs" dxfId="23" priority="21" operator="equal">
      <formula>"NM"</formula>
    </cfRule>
  </conditionalFormatting>
  <conditionalFormatting sqref="N262:W262">
    <cfRule type="cellIs" dxfId="22" priority="18" operator="equal">
      <formula>"NM"</formula>
    </cfRule>
  </conditionalFormatting>
  <conditionalFormatting sqref="N627">
    <cfRule type="cellIs" dxfId="21" priority="17" operator="equal">
      <formula>1</formula>
    </cfRule>
  </conditionalFormatting>
  <conditionalFormatting sqref="M709">
    <cfRule type="cellIs" dxfId="20" priority="16" operator="greaterThan">
      <formula>$K$709</formula>
    </cfRule>
  </conditionalFormatting>
  <conditionalFormatting sqref="N709:W709">
    <cfRule type="cellIs" dxfId="19" priority="15" operator="greaterThan">
      <formula>$K$709</formula>
    </cfRule>
  </conditionalFormatting>
  <conditionalFormatting sqref="O836:T847">
    <cfRule type="cellIs" dxfId="18" priority="11" operator="greaterThan">
      <formula>$E$829</formula>
    </cfRule>
    <cfRule type="cellIs" dxfId="17" priority="13" operator="lessThan">
      <formula>1</formula>
    </cfRule>
  </conditionalFormatting>
  <conditionalFormatting sqref="F836:K847 I848:N849">
    <cfRule type="cellIs" dxfId="16" priority="136" operator="lessThan">
      <formula>0</formula>
    </cfRule>
    <cfRule type="cellIs" dxfId="15" priority="137" operator="greaterThan">
      <formula>$E$828</formula>
    </cfRule>
  </conditionalFormatting>
  <conditionalFormatting sqref="N91:W91">
    <cfRule type="cellIs" dxfId="14" priority="4" operator="equal">
      <formula>TRUE</formula>
    </cfRule>
  </conditionalFormatting>
  <conditionalFormatting sqref="N92:W92">
    <cfRule type="cellIs" dxfId="13" priority="3" operator="equal">
      <formula>TRUE</formula>
    </cfRule>
  </conditionalFormatting>
  <conditionalFormatting sqref="J93:K93 J95:K95">
    <cfRule type="expression" dxfId="12" priority="142">
      <formula>AND(#REF!=0,J$98&lt;&gt;0)</formula>
    </cfRule>
  </conditionalFormatting>
  <conditionalFormatting sqref="N110:W110">
    <cfRule type="cellIs" dxfId="11" priority="2" operator="equal">
      <formula>TRUE</formula>
    </cfRule>
  </conditionalFormatting>
  <conditionalFormatting sqref="N100:W100">
    <cfRule type="cellIs" dxfId="10" priority="1" operator="equal">
      <formula>TRUE</formula>
    </cfRule>
  </conditionalFormatting>
  <conditionalFormatting sqref="N447:W447">
    <cfRule type="cellIs" dxfId="9" priority="143" operator="greaterThanOrEqual">
      <formula>$Q$26</formula>
    </cfRule>
  </conditionalFormatting>
  <conditionalFormatting sqref="M572:W572">
    <cfRule type="cellIs" dxfId="8" priority="144" operator="greaterThan">
      <formula>$Q$26</formula>
    </cfRule>
  </conditionalFormatting>
  <dataValidations count="5">
    <dataValidation type="list" allowBlank="1" showInputMessage="1" showErrorMessage="1" sqref="V11 F437" xr:uid="{C726B4BE-AFBA-4A28-9990-0CAFE9141061}">
      <formula1>"ON,OFF"</formula1>
    </dataValidation>
    <dataValidation type="whole" showInputMessage="1" showErrorMessage="1" errorTitle="Validation Error" error="Enter either 0 or 1." sqref="G92:K92 E56:E62 J38" xr:uid="{1625EB8D-6DA0-43F4-B761-FC4042BE1126}">
      <formula1>0</formula1>
      <formula2>1</formula2>
    </dataValidation>
    <dataValidation type="list" allowBlank="1" showInputMessage="1" showErrorMessage="1" sqref="E69" xr:uid="{A4BB3083-6907-4E27-98EF-7613B9BAD852}">
      <formula1>$G$69:$K$69</formula1>
    </dataValidation>
    <dataValidation type="custom" allowBlank="1" showInputMessage="1" showErrorMessage="1" sqref="N41" xr:uid="{7BC4BD63-B7C5-4F2E-B090-2734BEA4102D}">
      <formula1>5</formula1>
    </dataValidation>
    <dataValidation type="list" allowBlank="1" showInputMessage="1" showErrorMessage="1" sqref="V19" xr:uid="{25B70093-6560-4CB4-93AA-219158271BB4}">
      <formula1>"Base,Upside,Downside"</formula1>
    </dataValidation>
  </dataValidations>
  <pageMargins left="0.25" right="0.25" top="0.25" bottom="0.25" header="0.3" footer="0.3"/>
  <pageSetup scale="54" fitToHeight="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5662278-D4A5-4339-9B1C-0F059BDE199A}">
          <x14:formula1>
            <xm:f>'Data Validation'!$C$9:$C$19</xm:f>
          </x14:formula1>
          <xm:sqref>V23 E512:E517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0EBF6-6623-4EEB-8522-E7928D8A9174}">
  <sheetPr>
    <outlinePr summaryBelow="0"/>
    <pageSetUpPr autoPageBreaks="0" fitToPage="1"/>
  </sheetPr>
  <dimension ref="A1:BE659"/>
  <sheetViews>
    <sheetView showGridLines="0" zoomScale="80" zoomScaleNormal="80" workbookViewId="0">
      <selection activeCell="I41" sqref="I41"/>
    </sheetView>
  </sheetViews>
  <sheetFormatPr defaultColWidth="8.7265625" defaultRowHeight="14.5" outlineLevelRow="4" outlineLevelCol="1"/>
  <cols>
    <col min="1" max="1" width="2.1796875" style="380" customWidth="1"/>
    <col min="2" max="5" width="11.453125" style="517" customWidth="1"/>
    <col min="6" max="6" width="3.54296875" style="517" customWidth="1"/>
    <col min="7" max="9" width="11.453125" style="517" customWidth="1" outlineLevel="1"/>
    <col min="10" max="10" width="3.81640625" style="517" customWidth="1"/>
    <col min="11" max="15" width="11.26953125" style="517" customWidth="1" outlineLevel="1"/>
    <col min="16" max="16" width="11.26953125" style="468" customWidth="1" outlineLevel="1"/>
    <col min="17" max="17" width="7.1796875" style="517" customWidth="1" outlineLevel="1"/>
    <col min="18" max="27" width="11.26953125" style="517" customWidth="1"/>
    <col min="28" max="28" width="3.1796875" style="517" customWidth="1"/>
    <col min="29" max="29" width="3.36328125" style="14" customWidth="1"/>
    <col min="30" max="30" width="11.6328125" style="14" customWidth="1"/>
    <col min="31" max="42" width="8.7265625" style="14"/>
    <col min="43" max="16384" width="8.7265625" style="517"/>
  </cols>
  <sheetData>
    <row r="1" spans="1:56" ht="7.5" customHeight="1"/>
    <row r="2" spans="1:56" ht="17">
      <c r="B2" s="270" t="s">
        <v>383</v>
      </c>
    </row>
    <row r="3" spans="1:56" ht="5.15" customHeight="1" thickBot="1">
      <c r="B3" s="27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</row>
    <row r="4" spans="1:56" ht="7" customHeight="1">
      <c r="B4" s="275"/>
      <c r="C4" s="276"/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469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6"/>
      <c r="AL4" s="276"/>
      <c r="AM4" s="276"/>
      <c r="AN4" s="276"/>
      <c r="AO4" s="276"/>
      <c r="AP4" s="276"/>
      <c r="AQ4" s="276"/>
      <c r="AR4" s="276"/>
      <c r="AS4" s="276"/>
      <c r="AT4" s="276"/>
      <c r="AU4" s="276"/>
      <c r="AV4" s="276"/>
      <c r="AW4" s="276"/>
      <c r="AX4" s="276"/>
      <c r="AY4" s="276"/>
      <c r="AZ4" s="276"/>
      <c r="BA4" s="276"/>
      <c r="BB4" s="276"/>
      <c r="BC4" s="276"/>
      <c r="BD4" s="276"/>
    </row>
    <row r="5" spans="1:56" s="3" customFormat="1" collapsed="1">
      <c r="A5" s="168"/>
      <c r="B5" s="943" t="s">
        <v>774</v>
      </c>
      <c r="C5" s="579" t="str">
        <f>operating_case</f>
        <v>Base</v>
      </c>
      <c r="D5"/>
      <c r="E5" s="150"/>
      <c r="F5" s="150"/>
      <c r="G5" s="150"/>
      <c r="H5" s="150"/>
      <c r="I5" s="150"/>
      <c r="J5" s="150"/>
      <c r="M5"/>
      <c r="N5"/>
      <c r="O5"/>
      <c r="P5"/>
      <c r="Q5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</row>
    <row r="6" spans="1:56" s="3" customFormat="1" ht="11.5" hidden="1" customHeight="1" outlineLevel="1">
      <c r="A6" s="168"/>
      <c r="B6"/>
      <c r="C6"/>
      <c r="D6" s="517"/>
      <c r="E6" s="150"/>
      <c r="F6" s="150"/>
      <c r="G6" s="150"/>
      <c r="H6" s="150"/>
      <c r="I6" s="150"/>
      <c r="J6" s="150"/>
      <c r="K6" s="478"/>
      <c r="L6" s="478"/>
      <c r="M6" s="468"/>
      <c r="N6" s="468"/>
      <c r="O6" s="468"/>
      <c r="P6" s="517"/>
      <c r="Q6" s="517"/>
      <c r="S6" s="478"/>
      <c r="T6" s="478"/>
      <c r="U6" s="478"/>
      <c r="V6" s="478"/>
      <c r="W6" s="478"/>
      <c r="X6" s="478"/>
      <c r="Y6" s="478"/>
      <c r="Z6" s="478"/>
      <c r="AA6" s="478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</row>
    <row r="7" spans="1:56" s="3" customFormat="1" hidden="1" outlineLevel="1">
      <c r="A7" s="168"/>
      <c r="B7" s="69" t="s">
        <v>249</v>
      </c>
      <c r="C7" s="579"/>
      <c r="D7" s="579"/>
      <c r="E7" s="150"/>
      <c r="F7" s="150"/>
      <c r="G7" s="150"/>
      <c r="H7" s="150"/>
      <c r="I7" s="150"/>
      <c r="J7" s="150"/>
      <c r="K7" s="1126">
        <v>42643</v>
      </c>
      <c r="L7" s="1081">
        <f>K$8+1</f>
        <v>43009</v>
      </c>
      <c r="M7" s="1081">
        <f>L$8+1</f>
        <v>43374</v>
      </c>
      <c r="N7" s="1081">
        <f>M$8+1</f>
        <v>43739</v>
      </c>
      <c r="O7" s="1081">
        <f>N$8+1</f>
        <v>44105</v>
      </c>
      <c r="P7" s="442" t="s">
        <v>177</v>
      </c>
      <c r="R7" s="580">
        <f>closing_date</f>
        <v>44775</v>
      </c>
      <c r="S7" s="1081">
        <f>R8+1</f>
        <v>44927</v>
      </c>
      <c r="T7" s="1081">
        <f t="shared" ref="T7:AA7" si="0">S8+1</f>
        <v>45292</v>
      </c>
      <c r="U7" s="1081">
        <f t="shared" si="0"/>
        <v>45658</v>
      </c>
      <c r="V7" s="1081">
        <f t="shared" si="0"/>
        <v>46023</v>
      </c>
      <c r="W7" s="1081">
        <f t="shared" si="0"/>
        <v>46388</v>
      </c>
      <c r="X7" s="1081">
        <f t="shared" si="0"/>
        <v>46753</v>
      </c>
      <c r="Y7" s="1081">
        <f t="shared" si="0"/>
        <v>47119</v>
      </c>
      <c r="Z7" s="1081">
        <f t="shared" si="0"/>
        <v>47484</v>
      </c>
      <c r="AA7" s="1081">
        <f t="shared" si="0"/>
        <v>47849</v>
      </c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</row>
    <row r="8" spans="1:56" s="3" customFormat="1" hidden="1" outlineLevel="1">
      <c r="A8" s="168"/>
      <c r="B8" s="69" t="s">
        <v>248</v>
      </c>
      <c r="C8" s="579"/>
      <c r="D8" s="579"/>
      <c r="E8" s="150"/>
      <c r="F8" s="150"/>
      <c r="G8" s="150"/>
      <c r="H8" s="150"/>
      <c r="I8" s="150"/>
      <c r="J8" s="150"/>
      <c r="K8" s="1081">
        <f>EDATE(K7,12)</f>
        <v>43008</v>
      </c>
      <c r="L8" s="1081">
        <f>EOMONTH(L7,11)</f>
        <v>43373</v>
      </c>
      <c r="M8" s="1081">
        <f>EOMONTH(M7,11)</f>
        <v>43738</v>
      </c>
      <c r="N8" s="1081">
        <f>EOMONTH(N7,11)</f>
        <v>44104</v>
      </c>
      <c r="O8" s="1081">
        <f>EOMONTH(O7,11)</f>
        <v>44469</v>
      </c>
      <c r="P8" s="673">
        <f>LTM_Date</f>
        <v>44681</v>
      </c>
      <c r="R8" s="580">
        <f>Next_FYE</f>
        <v>44926</v>
      </c>
      <c r="S8" s="1081">
        <f>EOMONTH(S7,11)</f>
        <v>45291</v>
      </c>
      <c r="T8" s="1081">
        <f t="shared" ref="T8:AA8" si="1">EOMONTH(T7,11)</f>
        <v>45657</v>
      </c>
      <c r="U8" s="1081">
        <f t="shared" si="1"/>
        <v>46022</v>
      </c>
      <c r="V8" s="1081">
        <f t="shared" si="1"/>
        <v>46387</v>
      </c>
      <c r="W8" s="1081">
        <f t="shared" si="1"/>
        <v>46752</v>
      </c>
      <c r="X8" s="1081">
        <f t="shared" si="1"/>
        <v>47118</v>
      </c>
      <c r="Y8" s="1081">
        <f t="shared" si="1"/>
        <v>47483</v>
      </c>
      <c r="Z8" s="1081">
        <f t="shared" si="1"/>
        <v>47848</v>
      </c>
      <c r="AA8" s="1081">
        <f t="shared" si="1"/>
        <v>48213</v>
      </c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</row>
    <row r="9" spans="1:56" s="3" customFormat="1" ht="4.5" hidden="1" customHeight="1" outlineLevel="1">
      <c r="A9" s="168"/>
      <c r="B9" s="69"/>
      <c r="C9" s="579"/>
      <c r="D9" s="579"/>
      <c r="E9" s="150"/>
      <c r="F9" s="150"/>
      <c r="G9" s="150"/>
      <c r="H9" s="150"/>
      <c r="I9" s="150"/>
      <c r="J9" s="150"/>
      <c r="K9" s="1081"/>
      <c r="L9" s="1081"/>
      <c r="M9" s="1081"/>
      <c r="N9" s="1081"/>
      <c r="O9" s="1081"/>
      <c r="P9" s="673"/>
      <c r="R9" s="580"/>
      <c r="S9" s="1081"/>
      <c r="T9" s="1081"/>
      <c r="U9" s="1081"/>
      <c r="V9" s="1081"/>
      <c r="W9" s="1081"/>
      <c r="X9" s="1081"/>
      <c r="Y9" s="1081"/>
      <c r="Z9" s="1081"/>
      <c r="AA9" s="1081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</row>
    <row r="10" spans="1:56" hidden="1" outlineLevel="1">
      <c r="B10" s="1224">
        <v>1000</v>
      </c>
      <c r="C10" s="174"/>
      <c r="D10" s="174"/>
      <c r="K10" s="1082">
        <f t="shared" ref="K10:O10" si="2">YEARFRAC(K7,K8)</f>
        <v>1</v>
      </c>
      <c r="L10" s="1082">
        <f t="shared" si="2"/>
        <v>0.99722222222222223</v>
      </c>
      <c r="M10" s="1082">
        <f t="shared" si="2"/>
        <v>0.99722222222222223</v>
      </c>
      <c r="N10" s="1082">
        <f t="shared" si="2"/>
        <v>0.99722222222222223</v>
      </c>
      <c r="O10" s="1082">
        <f t="shared" si="2"/>
        <v>0.99722222222222223</v>
      </c>
      <c r="P10" s="1323">
        <v>1</v>
      </c>
      <c r="Q10"/>
      <c r="R10" s="674">
        <f t="shared" ref="R10:AA10" si="3">YEARFRAC(R7,R8)</f>
        <v>0.41388888888888886</v>
      </c>
      <c r="S10" s="1082">
        <f t="shared" si="3"/>
        <v>1</v>
      </c>
      <c r="T10" s="1082">
        <f t="shared" si="3"/>
        <v>1</v>
      </c>
      <c r="U10" s="1082">
        <f t="shared" si="3"/>
        <v>1</v>
      </c>
      <c r="V10" s="1082">
        <f t="shared" si="3"/>
        <v>1</v>
      </c>
      <c r="W10" s="1082">
        <f t="shared" si="3"/>
        <v>1</v>
      </c>
      <c r="X10" s="1082">
        <f t="shared" si="3"/>
        <v>1</v>
      </c>
      <c r="Y10" s="1082">
        <f t="shared" si="3"/>
        <v>1</v>
      </c>
      <c r="Z10" s="1082">
        <f t="shared" si="3"/>
        <v>1</v>
      </c>
      <c r="AA10" s="1082">
        <f t="shared" si="3"/>
        <v>1</v>
      </c>
    </row>
    <row r="11" spans="1:56" ht="16">
      <c r="R11" s="940" t="str">
        <f>_xlfn.CONCAT((MONTH(R8)-MONTH(R7))," Months")</f>
        <v>4 Months</v>
      </c>
      <c r="S11" s="764" t="str">
        <f>"Projected Fiscal Years Ending "&amp;TEXT(HoldCo!$Q$16,"mmmm dd")</f>
        <v>Projected Fiscal Years Ending December 31</v>
      </c>
      <c r="T11" s="439"/>
      <c r="U11" s="439"/>
      <c r="V11" s="439"/>
      <c r="W11" s="439"/>
      <c r="X11" s="439"/>
      <c r="Y11" s="439"/>
      <c r="Z11" s="439"/>
      <c r="AA11" s="439"/>
    </row>
    <row r="12" spans="1:56" s="1" customFormat="1">
      <c r="A12" s="6"/>
      <c r="K12" s="23" t="str">
        <f>_xlfn.CONCAT("Fiscal Years Ended ",TEXT($K$8,"mmmm dd"))</f>
        <v>Fiscal Years Ended September 30</v>
      </c>
      <c r="L12" s="440"/>
      <c r="M12" s="23"/>
      <c r="N12" s="23"/>
      <c r="O12" s="25"/>
      <c r="P12" s="953" t="s">
        <v>177</v>
      </c>
      <c r="Q12" s="475"/>
      <c r="R12" s="940">
        <v>1</v>
      </c>
      <c r="S12" s="441">
        <f t="shared" ref="S12:AA12" si="4">SUM(R12,1)</f>
        <v>2</v>
      </c>
      <c r="T12" s="441">
        <f t="shared" si="4"/>
        <v>3</v>
      </c>
      <c r="U12" s="441">
        <f t="shared" si="4"/>
        <v>4</v>
      </c>
      <c r="V12" s="441">
        <f t="shared" si="4"/>
        <v>5</v>
      </c>
      <c r="W12" s="441">
        <f t="shared" si="4"/>
        <v>6</v>
      </c>
      <c r="X12" s="441">
        <f t="shared" si="4"/>
        <v>7</v>
      </c>
      <c r="Y12" s="441">
        <f t="shared" si="4"/>
        <v>8</v>
      </c>
      <c r="Z12" s="441">
        <f t="shared" si="4"/>
        <v>9</v>
      </c>
      <c r="AA12" s="441">
        <f t="shared" si="4"/>
        <v>10</v>
      </c>
      <c r="AC12" s="379"/>
      <c r="AD12" s="379"/>
      <c r="AE12" s="379"/>
      <c r="AF12" s="379"/>
      <c r="AG12" s="379"/>
      <c r="AH12" s="379"/>
      <c r="AI12" s="379"/>
      <c r="AJ12" s="379"/>
      <c r="AK12" s="379"/>
      <c r="AL12" s="379"/>
      <c r="AM12" s="379"/>
      <c r="AN12" s="379"/>
      <c r="AO12" s="379"/>
      <c r="AP12" s="379"/>
    </row>
    <row r="13" spans="1:56" s="54" customFormat="1">
      <c r="A13" s="114"/>
      <c r="K13" s="789">
        <f>YEAR(VALUE(K8))</f>
        <v>2017</v>
      </c>
      <c r="L13" s="789">
        <f>YEAR(VALUE(L8))</f>
        <v>2018</v>
      </c>
      <c r="M13" s="789">
        <f>YEAR(VALUE(M8))</f>
        <v>2019</v>
      </c>
      <c r="N13" s="789">
        <f>YEAR(VALUE(N8))</f>
        <v>2020</v>
      </c>
      <c r="O13" s="789">
        <f>YEAR(VALUE(O8))</f>
        <v>2021</v>
      </c>
      <c r="P13" s="762">
        <f>LTM_Date</f>
        <v>44681</v>
      </c>
      <c r="Q13" s="763"/>
      <c r="R13" s="941">
        <f>Next_FYE</f>
        <v>44926</v>
      </c>
      <c r="S13" s="747">
        <f>S$8</f>
        <v>45291</v>
      </c>
      <c r="T13" s="747">
        <f t="shared" ref="T13:AA13" si="5">T$8</f>
        <v>45657</v>
      </c>
      <c r="U13" s="747">
        <f t="shared" si="5"/>
        <v>46022</v>
      </c>
      <c r="V13" s="747">
        <f t="shared" si="5"/>
        <v>46387</v>
      </c>
      <c r="W13" s="747">
        <f t="shared" si="5"/>
        <v>46752</v>
      </c>
      <c r="X13" s="747">
        <f t="shared" si="5"/>
        <v>47118</v>
      </c>
      <c r="Y13" s="747">
        <f t="shared" si="5"/>
        <v>47483</v>
      </c>
      <c r="Z13" s="747">
        <f t="shared" si="5"/>
        <v>47848</v>
      </c>
      <c r="AA13" s="747">
        <f t="shared" si="5"/>
        <v>48213</v>
      </c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</row>
    <row r="14" spans="1:56" s="54" customFormat="1" ht="12" customHeight="1">
      <c r="A14" s="114"/>
      <c r="K14" s="789"/>
      <c r="L14" s="789"/>
      <c r="M14" s="789"/>
      <c r="N14" s="789"/>
      <c r="O14" s="789"/>
      <c r="P14" s="762"/>
      <c r="Q14" s="763"/>
      <c r="R14" s="1371" t="s">
        <v>773</v>
      </c>
      <c r="S14" s="747"/>
      <c r="T14" s="747"/>
      <c r="U14" s="747"/>
      <c r="V14" s="747"/>
      <c r="W14" s="747"/>
      <c r="X14" s="747"/>
      <c r="Y14" s="747"/>
      <c r="Z14" s="747"/>
      <c r="AA14" s="747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</row>
    <row r="15" spans="1:56" s="54" customFormat="1" ht="4.5" customHeight="1">
      <c r="A15" s="114"/>
      <c r="K15" s="789"/>
      <c r="L15" s="789"/>
      <c r="M15" s="789"/>
      <c r="N15" s="789"/>
      <c r="O15" s="789"/>
      <c r="P15" s="762"/>
      <c r="Q15" s="763"/>
      <c r="R15" s="1371"/>
      <c r="S15" s="747"/>
      <c r="T15" s="747"/>
      <c r="U15" s="747"/>
      <c r="V15" s="747"/>
      <c r="W15" s="747"/>
      <c r="X15" s="747"/>
      <c r="Y15" s="747"/>
      <c r="Z15" s="747"/>
      <c r="AA15" s="747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</row>
    <row r="16" spans="1:56" ht="6" customHeight="1">
      <c r="AC16" s="517"/>
      <c r="AD16" s="517"/>
      <c r="AE16" s="517"/>
      <c r="AF16" s="517"/>
      <c r="AG16" s="517"/>
      <c r="AH16" s="517"/>
      <c r="AI16" s="517"/>
      <c r="AJ16" s="517"/>
      <c r="AK16" s="517"/>
      <c r="AL16" s="517"/>
      <c r="AM16" s="517"/>
      <c r="AN16" s="517"/>
      <c r="AO16" s="517"/>
      <c r="AP16" s="517"/>
    </row>
    <row r="17" spans="1:42">
      <c r="A17" s="380" t="s">
        <v>63</v>
      </c>
      <c r="B17" s="670" t="s">
        <v>167</v>
      </c>
      <c r="C17" s="518"/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  <c r="O17" s="518"/>
      <c r="P17" s="518"/>
      <c r="Q17" s="518"/>
      <c r="R17" s="518"/>
      <c r="S17" s="518"/>
      <c r="T17" s="518"/>
      <c r="U17" s="518"/>
      <c r="V17" s="518"/>
      <c r="W17" s="518"/>
      <c r="X17" s="518"/>
      <c r="Y17" s="518"/>
      <c r="Z17" s="518"/>
      <c r="AA17" s="518"/>
      <c r="AC17" s="517"/>
      <c r="AD17" s="517"/>
      <c r="AE17" s="517"/>
      <c r="AF17" s="517"/>
      <c r="AG17" s="517"/>
      <c r="AH17" s="517"/>
      <c r="AI17" s="517"/>
      <c r="AJ17" s="517"/>
      <c r="AK17" s="517"/>
      <c r="AL17" s="517"/>
      <c r="AM17" s="517"/>
      <c r="AN17" s="517"/>
      <c r="AO17" s="517"/>
      <c r="AP17" s="517"/>
    </row>
    <row r="18" spans="1:42" ht="6" customHeight="1" outlineLevel="1">
      <c r="AC18" s="517"/>
      <c r="AD18" s="517"/>
      <c r="AE18" s="517"/>
      <c r="AF18" s="517"/>
      <c r="AG18" s="517"/>
      <c r="AH18" s="517"/>
      <c r="AI18" s="517"/>
      <c r="AJ18" s="517"/>
      <c r="AK18" s="517"/>
      <c r="AL18" s="517"/>
      <c r="AM18" s="517"/>
      <c r="AN18" s="517"/>
      <c r="AO18" s="517"/>
      <c r="AP18" s="517"/>
    </row>
    <row r="19" spans="1:42" outlineLevel="1">
      <c r="B19" s="65" t="s">
        <v>470</v>
      </c>
      <c r="C19" s="174"/>
      <c r="K19" s="671">
        <f t="shared" ref="K19:O19" si="6">K$32</f>
        <v>2.4172011441717722E-2</v>
      </c>
      <c r="L19" s="671">
        <f t="shared" si="6"/>
        <v>8.61017434032159E-2</v>
      </c>
      <c r="M19" s="671">
        <f t="shared" si="6"/>
        <v>-0.10010435200963287</v>
      </c>
      <c r="N19" s="671">
        <f t="shared" si="6"/>
        <v>4.0449772951871993E-2</v>
      </c>
      <c r="O19" s="671">
        <f t="shared" si="6"/>
        <v>-1.0290105107841995E-2</v>
      </c>
      <c r="P19" s="671">
        <f>P$52</f>
        <v>6.2E-2</v>
      </c>
      <c r="Q19" s="671"/>
      <c r="R19" s="671">
        <f t="shared" ref="R19:AA19" ca="1" si="7">R$32</f>
        <v>2.3749999999999941E-2</v>
      </c>
      <c r="S19" s="671">
        <f t="shared" ca="1" si="7"/>
        <v>2.3750000000000243E-2</v>
      </c>
      <c r="T19" s="671">
        <f t="shared" ca="1" si="7"/>
        <v>2.37499999999999E-2</v>
      </c>
      <c r="U19" s="671">
        <f t="shared" ca="1" si="7"/>
        <v>2.3749999999999959E-2</v>
      </c>
      <c r="V19" s="671">
        <f t="shared" ca="1" si="7"/>
        <v>2.3749999999999934E-2</v>
      </c>
      <c r="W19" s="671">
        <f t="shared" ca="1" si="7"/>
        <v>2.3749999999999934E-2</v>
      </c>
      <c r="X19" s="671">
        <f t="shared" ca="1" si="7"/>
        <v>2.3749999999999865E-2</v>
      </c>
      <c r="Y19" s="671">
        <f t="shared" ca="1" si="7"/>
        <v>2.3749999999999979E-2</v>
      </c>
      <c r="Z19" s="671">
        <f t="shared" ca="1" si="7"/>
        <v>2.3749999999999938E-2</v>
      </c>
      <c r="AA19" s="671">
        <f t="shared" ca="1" si="7"/>
        <v>2.3749999999999952E-2</v>
      </c>
      <c r="AC19" s="517"/>
      <c r="AD19" s="517"/>
      <c r="AE19" s="517"/>
      <c r="AF19" s="517"/>
      <c r="AG19" s="517"/>
      <c r="AH19" s="517"/>
      <c r="AI19" s="517"/>
      <c r="AJ19" s="517"/>
      <c r="AK19" s="517"/>
      <c r="AL19" s="517"/>
      <c r="AM19" s="517"/>
      <c r="AN19" s="517"/>
      <c r="AO19" s="517"/>
      <c r="AP19" s="517"/>
    </row>
    <row r="20" spans="1:42" outlineLevel="1">
      <c r="B20" s="65" t="s">
        <v>8</v>
      </c>
      <c r="C20" s="174"/>
      <c r="K20" s="671">
        <f t="shared" ref="K20:P20" si="8">K$35</f>
        <v>0.57244451563983534</v>
      </c>
      <c r="L20" s="671">
        <f t="shared" si="8"/>
        <v>0.56813515634659106</v>
      </c>
      <c r="M20" s="671">
        <f t="shared" si="8"/>
        <v>0.55478542710547329</v>
      </c>
      <c r="N20" s="671">
        <f t="shared" si="8"/>
        <v>0.54734921337767484</v>
      </c>
      <c r="O20" s="671">
        <f t="shared" si="8"/>
        <v>0.57231796387103795</v>
      </c>
      <c r="P20" s="671">
        <f t="shared" si="8"/>
        <v>0.56559644411198651</v>
      </c>
      <c r="Q20" s="671"/>
      <c r="R20" s="671">
        <f t="shared" ref="R20:AA20" ca="1" si="9">R$35</f>
        <v>0.56925311306022297</v>
      </c>
      <c r="S20" s="671">
        <f t="shared" ca="1" si="9"/>
        <v>0.56219533882551509</v>
      </c>
      <c r="T20" s="671">
        <f t="shared" ca="1" si="9"/>
        <v>0.55538125461535226</v>
      </c>
      <c r="U20" s="671">
        <f t="shared" ca="1" si="9"/>
        <v>0.5487157597096598</v>
      </c>
      <c r="V20" s="671">
        <f t="shared" ca="1" si="9"/>
        <v>0.54219491966922406</v>
      </c>
      <c r="W20" s="671">
        <f t="shared" ca="1" si="9"/>
        <v>0.53581491432476347</v>
      </c>
      <c r="X20" s="671">
        <f t="shared" ca="1" si="9"/>
        <v>0.52957203416049681</v>
      </c>
      <c r="Y20" s="671">
        <f t="shared" ca="1" si="9"/>
        <v>0.52346267682225145</v>
      </c>
      <c r="Z20" s="671">
        <f t="shared" ca="1" si="9"/>
        <v>0.51748334374550176</v>
      </c>
      <c r="AA20" s="671">
        <f t="shared" ca="1" si="9"/>
        <v>0.51163063689890431</v>
      </c>
      <c r="AC20" s="517"/>
      <c r="AD20" s="517"/>
      <c r="AE20" s="517"/>
      <c r="AF20" s="517"/>
      <c r="AG20" s="517"/>
      <c r="AH20" s="517"/>
      <c r="AI20" s="517"/>
      <c r="AJ20" s="517"/>
      <c r="AK20" s="517"/>
      <c r="AL20" s="517"/>
      <c r="AM20" s="517"/>
      <c r="AN20" s="517"/>
      <c r="AO20" s="517"/>
      <c r="AP20" s="517"/>
    </row>
    <row r="21" spans="1:42" outlineLevel="1">
      <c r="B21" s="65" t="s">
        <v>0</v>
      </c>
      <c r="C21" s="174"/>
      <c r="K21" s="671">
        <f t="shared" ref="K21:P21" si="10">K$41</f>
        <v>0.27298161269283699</v>
      </c>
      <c r="L21" s="671">
        <f t="shared" si="10"/>
        <v>0.2513407370450122</v>
      </c>
      <c r="M21" s="671">
        <f t="shared" si="10"/>
        <v>0.25848210890252499</v>
      </c>
      <c r="N21" s="671">
        <f t="shared" si="10"/>
        <v>0.25049895602119854</v>
      </c>
      <c r="O21" s="671">
        <f t="shared" si="10"/>
        <v>0.25529696888721481</v>
      </c>
      <c r="P21" s="671">
        <f t="shared" si="10"/>
        <v>0.26597008203423833</v>
      </c>
      <c r="Q21" s="671"/>
      <c r="R21" s="671">
        <f t="shared" ref="R21:AA21" ca="1" si="11">R$41</f>
        <v>0.30094238323298339</v>
      </c>
      <c r="S21" s="671">
        <f t="shared" ca="1" si="11"/>
        <v>0.33105754498941958</v>
      </c>
      <c r="T21" s="671">
        <f t="shared" ca="1" si="11"/>
        <v>0.30942621649486107</v>
      </c>
      <c r="U21" s="671">
        <f t="shared" ca="1" si="11"/>
        <v>0.30660010151944578</v>
      </c>
      <c r="V21" s="671">
        <f t="shared" ca="1" si="11"/>
        <v>0.34729478102227351</v>
      </c>
      <c r="W21" s="671">
        <f t="shared" ca="1" si="11"/>
        <v>0.29544738876928284</v>
      </c>
      <c r="X21" s="671">
        <f t="shared" ca="1" si="11"/>
        <v>0.29559576017302991</v>
      </c>
      <c r="Y21" s="671">
        <f t="shared" ca="1" si="11"/>
        <v>0.31323253425650677</v>
      </c>
      <c r="Z21" s="671">
        <f t="shared" ca="1" si="11"/>
        <v>0.29740752159995698</v>
      </c>
      <c r="AA21" s="671">
        <f t="shared" ca="1" si="11"/>
        <v>0.29867227233090415</v>
      </c>
      <c r="AB21"/>
      <c r="AC21" s="517"/>
      <c r="AD21" s="517"/>
      <c r="AE21" s="517"/>
      <c r="AF21" s="517"/>
      <c r="AG21" s="517"/>
      <c r="AH21" s="517"/>
      <c r="AI21" s="517"/>
      <c r="AJ21" s="517"/>
      <c r="AK21" s="517"/>
      <c r="AL21" s="517"/>
      <c r="AM21" s="517"/>
      <c r="AN21" s="517"/>
      <c r="AO21" s="517"/>
      <c r="AP21" s="517"/>
    </row>
    <row r="22" spans="1:42" outlineLevel="1">
      <c r="B22" s="978" t="s">
        <v>571</v>
      </c>
      <c r="C22" s="174"/>
      <c r="K22" s="609">
        <f t="shared" ref="K22:P22" si="12">K$592</f>
        <v>34.079161409114093</v>
      </c>
      <c r="L22" s="609">
        <f t="shared" si="12"/>
        <v>29.86530745878331</v>
      </c>
      <c r="M22" s="609">
        <f t="shared" si="12"/>
        <v>34.187812464182471</v>
      </c>
      <c r="N22" s="609">
        <f t="shared" si="12"/>
        <v>28.661814477410356</v>
      </c>
      <c r="O22" s="609">
        <f t="shared" si="12"/>
        <v>26.165319459425163</v>
      </c>
      <c r="P22" s="609">
        <f t="shared" si="12"/>
        <v>39.053085678964059</v>
      </c>
      <c r="R22" s="609">
        <f t="shared" ref="R22:AA22" ca="1" si="13">R$592</f>
        <v>29.3</v>
      </c>
      <c r="S22" s="609">
        <f t="shared" ca="1" si="13"/>
        <v>30</v>
      </c>
      <c r="T22" s="609">
        <f t="shared" ca="1" si="13"/>
        <v>30</v>
      </c>
      <c r="U22" s="609">
        <f t="shared" ca="1" si="13"/>
        <v>30</v>
      </c>
      <c r="V22" s="609">
        <f t="shared" ca="1" si="13"/>
        <v>30</v>
      </c>
      <c r="W22" s="609">
        <f t="shared" ca="1" si="13"/>
        <v>30</v>
      </c>
      <c r="X22" s="609">
        <f t="shared" ca="1" si="13"/>
        <v>30</v>
      </c>
      <c r="Y22" s="609">
        <f t="shared" ca="1" si="13"/>
        <v>30</v>
      </c>
      <c r="Z22" s="609">
        <f t="shared" ca="1" si="13"/>
        <v>30</v>
      </c>
      <c r="AA22" s="609">
        <f t="shared" ca="1" si="13"/>
        <v>30</v>
      </c>
      <c r="AB22"/>
      <c r="AC22" s="517"/>
      <c r="AD22" s="517"/>
      <c r="AE22" s="517"/>
      <c r="AF22" s="517"/>
      <c r="AG22" s="517"/>
      <c r="AH22" s="517"/>
      <c r="AI22" s="517"/>
      <c r="AJ22" s="517"/>
      <c r="AK22" s="517"/>
      <c r="AL22" s="517"/>
      <c r="AM22" s="517"/>
      <c r="AN22" s="517"/>
      <c r="AO22" s="517"/>
      <c r="AP22" s="517"/>
    </row>
    <row r="23" spans="1:42" outlineLevel="1">
      <c r="B23" s="978" t="s">
        <v>572</v>
      </c>
      <c r="C23" s="174"/>
      <c r="K23" s="609">
        <f t="shared" ref="K23:P23" si="14">K$593</f>
        <v>46.208047937242988</v>
      </c>
      <c r="L23" s="609">
        <f t="shared" si="14"/>
        <v>42.516102163673906</v>
      </c>
      <c r="M23" s="609">
        <f t="shared" si="14"/>
        <v>45.107082660448675</v>
      </c>
      <c r="N23" s="609">
        <f t="shared" si="14"/>
        <v>41.64746158805162</v>
      </c>
      <c r="O23" s="609">
        <f t="shared" si="14"/>
        <v>45.968950101407167</v>
      </c>
      <c r="P23" s="609">
        <f t="shared" si="14"/>
        <v>46.393628179190891</v>
      </c>
      <c r="R23" s="609">
        <f t="shared" ref="R23:AA23" ca="1" si="15">R$593</f>
        <v>45.9</v>
      </c>
      <c r="S23" s="609">
        <f t="shared" ca="1" si="15"/>
        <v>45.5</v>
      </c>
      <c r="T23" s="609">
        <f t="shared" ca="1" si="15"/>
        <v>45</v>
      </c>
      <c r="U23" s="609">
        <f t="shared" ca="1" si="15"/>
        <v>44</v>
      </c>
      <c r="V23" s="609">
        <f t="shared" ca="1" si="15"/>
        <v>44</v>
      </c>
      <c r="W23" s="609">
        <f t="shared" ca="1" si="15"/>
        <v>44</v>
      </c>
      <c r="X23" s="609">
        <f t="shared" ca="1" si="15"/>
        <v>44</v>
      </c>
      <c r="Y23" s="609">
        <f t="shared" ca="1" si="15"/>
        <v>44</v>
      </c>
      <c r="Z23" s="609">
        <f t="shared" ca="1" si="15"/>
        <v>44</v>
      </c>
      <c r="AA23" s="609">
        <f t="shared" ca="1" si="15"/>
        <v>44</v>
      </c>
      <c r="AB23"/>
      <c r="AC23" s="517"/>
      <c r="AD23" s="517"/>
      <c r="AE23" s="517"/>
      <c r="AF23" s="517"/>
      <c r="AG23" s="517"/>
      <c r="AH23" s="517"/>
      <c r="AI23" s="517"/>
      <c r="AJ23" s="517"/>
      <c r="AK23" s="517"/>
      <c r="AL23" s="517"/>
      <c r="AM23" s="517"/>
      <c r="AN23" s="517"/>
      <c r="AO23" s="517"/>
      <c r="AP23" s="517"/>
    </row>
    <row r="24" spans="1:42" outlineLevel="1">
      <c r="B24" s="978" t="s">
        <v>573</v>
      </c>
      <c r="C24" s="174"/>
      <c r="K24" s="609">
        <f t="shared" ref="K24:P24" si="16">K$594</f>
        <v>15.170690019835712</v>
      </c>
      <c r="L24" s="609">
        <f t="shared" si="16"/>
        <v>17.322366431874936</v>
      </c>
      <c r="M24" s="609">
        <f t="shared" si="16"/>
        <v>21.212549383402887</v>
      </c>
      <c r="N24" s="609">
        <f t="shared" si="16"/>
        <v>16.108295696544989</v>
      </c>
      <c r="O24" s="609">
        <f t="shared" si="16"/>
        <v>15.692864869182403</v>
      </c>
      <c r="P24" s="609">
        <f t="shared" si="16"/>
        <v>16.413608696004957</v>
      </c>
      <c r="R24" s="609">
        <f t="shared" ref="R24:AA24" ca="1" si="17">R$594</f>
        <v>15.7</v>
      </c>
      <c r="S24" s="609">
        <f t="shared" ca="1" si="17"/>
        <v>16</v>
      </c>
      <c r="T24" s="609">
        <f t="shared" ca="1" si="17"/>
        <v>17</v>
      </c>
      <c r="U24" s="609">
        <f t="shared" ca="1" si="17"/>
        <v>17</v>
      </c>
      <c r="V24" s="609">
        <f t="shared" ca="1" si="17"/>
        <v>17</v>
      </c>
      <c r="W24" s="609">
        <f t="shared" ca="1" si="17"/>
        <v>17</v>
      </c>
      <c r="X24" s="609">
        <f t="shared" ca="1" si="17"/>
        <v>17</v>
      </c>
      <c r="Y24" s="609">
        <f t="shared" ca="1" si="17"/>
        <v>17</v>
      </c>
      <c r="Z24" s="609">
        <f t="shared" ca="1" si="17"/>
        <v>17</v>
      </c>
      <c r="AA24" s="609">
        <f t="shared" ca="1" si="17"/>
        <v>17</v>
      </c>
      <c r="AB24"/>
      <c r="AC24" s="517"/>
      <c r="AD24" s="517"/>
      <c r="AE24" s="517"/>
      <c r="AF24" s="517"/>
      <c r="AG24" s="517"/>
      <c r="AH24" s="517"/>
      <c r="AI24" s="517"/>
      <c r="AJ24" s="517"/>
      <c r="AK24" s="517"/>
      <c r="AL24" s="517"/>
      <c r="AM24" s="517"/>
      <c r="AN24" s="517"/>
      <c r="AO24" s="517"/>
      <c r="AP24" s="517"/>
    </row>
    <row r="25" spans="1:42" s="174" customFormat="1" outlineLevel="1">
      <c r="A25" s="906"/>
      <c r="B25" s="65" t="s">
        <v>691</v>
      </c>
      <c r="K25" s="907">
        <f>K$628</f>
        <v>0.31723603923660704</v>
      </c>
      <c r="L25" s="907">
        <f t="shared" ref="L25:P25" si="18">L$628</f>
        <v>1.6247802761934969E-2</v>
      </c>
      <c r="M25" s="907">
        <f t="shared" si="18"/>
        <v>2.9723648286153443E-2</v>
      </c>
      <c r="N25" s="907">
        <f t="shared" si="18"/>
        <v>5.493294943542032E-3</v>
      </c>
      <c r="O25" s="907">
        <f t="shared" si="18"/>
        <v>1.5979624208035976E-3</v>
      </c>
      <c r="P25" s="907">
        <f t="shared" si="18"/>
        <v>3.0000000000000001E-3</v>
      </c>
      <c r="R25" s="907">
        <f ca="1">R$628</f>
        <v>2.5000000000000001E-2</v>
      </c>
      <c r="S25" s="907">
        <f t="shared" ref="S25:AA25" ca="1" si="19">S$628</f>
        <v>2.5000000000000001E-2</v>
      </c>
      <c r="T25" s="907">
        <f t="shared" ca="1" si="19"/>
        <v>2.5000000000000001E-2</v>
      </c>
      <c r="U25" s="907">
        <f t="shared" ca="1" si="19"/>
        <v>2.5000000000000001E-2</v>
      </c>
      <c r="V25" s="907">
        <f t="shared" ca="1" si="19"/>
        <v>2.5000000000000001E-2</v>
      </c>
      <c r="W25" s="907">
        <f t="shared" ca="1" si="19"/>
        <v>2.5000000000000001E-2</v>
      </c>
      <c r="X25" s="907">
        <f t="shared" ca="1" si="19"/>
        <v>2.5000000000000001E-2</v>
      </c>
      <c r="Y25" s="907">
        <f t="shared" ca="1" si="19"/>
        <v>2.5000000000000001E-2</v>
      </c>
      <c r="Z25" s="907">
        <f t="shared" ca="1" si="19"/>
        <v>2.5000000000000001E-2</v>
      </c>
      <c r="AA25" s="907">
        <f t="shared" ca="1" si="19"/>
        <v>2.5000000000000001E-2</v>
      </c>
      <c r="AB25"/>
    </row>
    <row r="26" spans="1:42" ht="4" customHeight="1">
      <c r="AB26"/>
      <c r="AC26" s="517"/>
      <c r="AD26" s="517"/>
      <c r="AE26" s="517"/>
      <c r="AF26" s="517"/>
      <c r="AG26" s="517"/>
      <c r="AH26" s="517"/>
      <c r="AI26" s="517"/>
      <c r="AJ26" s="517"/>
      <c r="AK26" s="517"/>
      <c r="AL26" s="517"/>
      <c r="AM26" s="517"/>
      <c r="AN26" s="517"/>
      <c r="AO26" s="517"/>
      <c r="AP26" s="517"/>
    </row>
    <row r="27" spans="1:42">
      <c r="A27" s="380" t="s">
        <v>63</v>
      </c>
      <c r="B27" s="518" t="s">
        <v>369</v>
      </c>
      <c r="C27" s="518"/>
      <c r="D27" s="518"/>
      <c r="E27" s="518"/>
      <c r="F27" s="518"/>
      <c r="G27" s="518"/>
      <c r="H27" s="518"/>
      <c r="I27" s="518"/>
      <c r="J27" s="518"/>
      <c r="K27" s="518"/>
      <c r="L27" s="518"/>
      <c r="M27" s="518"/>
      <c r="N27" s="518"/>
      <c r="O27" s="518"/>
      <c r="P27" s="518"/>
      <c r="Q27" s="518"/>
      <c r="R27" s="518"/>
      <c r="S27" s="518"/>
      <c r="T27" s="518"/>
      <c r="U27" s="518"/>
      <c r="V27" s="518"/>
      <c r="W27" s="518"/>
      <c r="X27" s="518"/>
      <c r="Y27" s="518"/>
      <c r="Z27" s="518"/>
      <c r="AA27" s="518"/>
      <c r="AC27" s="517"/>
      <c r="AD27" s="517"/>
      <c r="AE27" s="517"/>
      <c r="AF27" s="517"/>
      <c r="AG27" s="517"/>
      <c r="AH27" s="517"/>
      <c r="AI27" s="517"/>
      <c r="AJ27" s="517"/>
      <c r="AK27" s="517"/>
      <c r="AL27" s="517"/>
      <c r="AM27" s="517"/>
      <c r="AN27" s="517"/>
      <c r="AO27" s="517"/>
      <c r="AP27" s="517"/>
    </row>
    <row r="28" spans="1:42" ht="2" customHeight="1" outlineLevel="1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3"/>
      <c r="AC28" s="517"/>
      <c r="AD28" s="517"/>
      <c r="AE28" s="517"/>
      <c r="AF28" s="517"/>
      <c r="AG28" s="517"/>
      <c r="AH28" s="517"/>
      <c r="AI28" s="517"/>
      <c r="AJ28" s="517"/>
      <c r="AK28" s="517"/>
      <c r="AL28" s="517"/>
      <c r="AM28" s="517"/>
      <c r="AN28" s="517"/>
      <c r="AO28" s="517"/>
      <c r="AP28" s="517"/>
    </row>
    <row r="29" spans="1:42" outlineLevel="1">
      <c r="B29" s="241" t="str">
        <f>units</f>
        <v>($ '000)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3"/>
      <c r="AC29" s="517"/>
      <c r="AD29" s="517"/>
      <c r="AE29" s="517"/>
      <c r="AF29" s="517"/>
      <c r="AG29" s="517"/>
      <c r="AH29" s="517"/>
      <c r="AI29" s="517"/>
      <c r="AJ29" s="517"/>
      <c r="AK29" s="517"/>
      <c r="AL29" s="517"/>
      <c r="AM29" s="517"/>
      <c r="AN29" s="517"/>
      <c r="AO29" s="517"/>
      <c r="AP29" s="517"/>
    </row>
    <row r="30" spans="1:42" s="14" customFormat="1" ht="4.5" customHeight="1" outlineLevel="1">
      <c r="A30" s="456"/>
      <c r="C30" s="379"/>
      <c r="D30" s="379"/>
      <c r="E30" s="379"/>
      <c r="G30" s="379"/>
      <c r="H30" s="379"/>
      <c r="I30" s="379"/>
      <c r="J30" s="379"/>
      <c r="K30" s="379"/>
      <c r="L30" s="379"/>
      <c r="M30" s="379"/>
      <c r="N30" s="379"/>
      <c r="O30" s="379"/>
      <c r="P30" s="445"/>
    </row>
    <row r="31" spans="1:42" s="14" customFormat="1" outlineLevel="1">
      <c r="A31" s="456"/>
      <c r="B31" s="1" t="s">
        <v>342</v>
      </c>
      <c r="C31" s="379"/>
      <c r="D31" s="379"/>
      <c r="E31" s="379"/>
      <c r="F31" s="379"/>
      <c r="G31" s="379"/>
      <c r="H31" s="379"/>
      <c r="I31" s="379"/>
      <c r="J31" s="379"/>
      <c r="K31" s="448">
        <f t="shared" ref="K31:P31" si="20">K$51</f>
        <v>2740.502</v>
      </c>
      <c r="L31" s="448">
        <f t="shared" si="20"/>
        <v>2976.4639999999999</v>
      </c>
      <c r="M31" s="448">
        <f t="shared" si="20"/>
        <v>2678.5070000000001</v>
      </c>
      <c r="N31" s="448">
        <f t="shared" si="20"/>
        <v>2786.8519999999999</v>
      </c>
      <c r="O31" s="448">
        <f t="shared" si="20"/>
        <v>2758.1750000000002</v>
      </c>
      <c r="P31" s="448">
        <f t="shared" si="20"/>
        <v>2769.9409999999998</v>
      </c>
      <c r="R31" s="498">
        <f ca="1">R$51</f>
        <v>2835.7270987499996</v>
      </c>
      <c r="S31" s="498">
        <f t="shared" ref="S31:AA31" ca="1" si="21">S$51</f>
        <v>2903.0756173453128</v>
      </c>
      <c r="T31" s="498">
        <f t="shared" ca="1" si="21"/>
        <v>2972.0236632572637</v>
      </c>
      <c r="U31" s="498">
        <f t="shared" ca="1" si="21"/>
        <v>3042.6092252596236</v>
      </c>
      <c r="V31" s="498">
        <f t="shared" ca="1" si="21"/>
        <v>3114.8711943595395</v>
      </c>
      <c r="W31" s="498">
        <f t="shared" ca="1" si="21"/>
        <v>3188.8493852255783</v>
      </c>
      <c r="X31" s="498">
        <f t="shared" ca="1" si="21"/>
        <v>3264.5845581246854</v>
      </c>
      <c r="Y31" s="498">
        <f t="shared" ca="1" si="21"/>
        <v>3342.1184413801466</v>
      </c>
      <c r="Z31" s="498">
        <f t="shared" ca="1" si="21"/>
        <v>3421.4937543629248</v>
      </c>
      <c r="AA31" s="498">
        <f t="shared" ca="1" si="21"/>
        <v>3502.7542310290441</v>
      </c>
    </row>
    <row r="32" spans="1:42" s="3" customFormat="1" outlineLevel="1">
      <c r="A32" s="168"/>
      <c r="B32" s="546" t="s">
        <v>377</v>
      </c>
      <c r="C32" s="1"/>
      <c r="D32" s="1"/>
      <c r="E32" s="1"/>
      <c r="F32" s="1"/>
      <c r="G32" s="1"/>
      <c r="H32" s="1"/>
      <c r="I32" s="1"/>
      <c r="J32" s="1"/>
      <c r="K32" s="491">
        <v>2.4172011441717722E-2</v>
      </c>
      <c r="L32" s="490">
        <f>((L$31-K$31)/K$31)</f>
        <v>8.61017434032159E-2</v>
      </c>
      <c r="M32" s="490">
        <f t="shared" ref="M32:O32" si="22">((M$31-L$31)/L$31)</f>
        <v>-0.10010435200963287</v>
      </c>
      <c r="N32" s="490">
        <f t="shared" si="22"/>
        <v>4.0449772951871993E-2</v>
      </c>
      <c r="O32" s="490">
        <f t="shared" si="22"/>
        <v>-1.0290105107841995E-2</v>
      </c>
      <c r="P32" s="1475">
        <f>P52</f>
        <v>6.2E-2</v>
      </c>
      <c r="R32" s="490">
        <f ca="1">IFERROR(((R$31-P$31)/P$31),0)</f>
        <v>2.3749999999999941E-2</v>
      </c>
      <c r="S32" s="545">
        <f ca="1">IFERROR(((S$31-R$31)/R$31),0)</f>
        <v>2.3750000000000243E-2</v>
      </c>
      <c r="T32" s="545">
        <f t="shared" ref="T32:AA32" ca="1" si="23">IFERROR(((T$31-S$31)/S$31),0)</f>
        <v>2.37499999999999E-2</v>
      </c>
      <c r="U32" s="545">
        <f t="shared" ca="1" si="23"/>
        <v>2.3749999999999959E-2</v>
      </c>
      <c r="V32" s="545">
        <f t="shared" ca="1" si="23"/>
        <v>2.3749999999999934E-2</v>
      </c>
      <c r="W32" s="545">
        <f t="shared" ca="1" si="23"/>
        <v>2.3749999999999934E-2</v>
      </c>
      <c r="X32" s="545">
        <f t="shared" ca="1" si="23"/>
        <v>2.3749999999999865E-2</v>
      </c>
      <c r="Y32" s="545">
        <f t="shared" ca="1" si="23"/>
        <v>2.3749999999999979E-2</v>
      </c>
      <c r="Z32" s="545">
        <f t="shared" ca="1" si="23"/>
        <v>2.3749999999999938E-2</v>
      </c>
      <c r="AA32" s="545">
        <f t="shared" ca="1" si="23"/>
        <v>2.3749999999999952E-2</v>
      </c>
    </row>
    <row r="33" spans="1:42" ht="12.65" customHeight="1" outlineLevel="1">
      <c r="B33" s="500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3"/>
      <c r="AC33" s="517"/>
      <c r="AD33" s="517"/>
      <c r="AE33" s="517"/>
      <c r="AF33" s="517"/>
      <c r="AG33" s="517"/>
      <c r="AH33" s="517"/>
      <c r="AI33" s="517"/>
      <c r="AJ33" s="517"/>
      <c r="AK33" s="517"/>
      <c r="AL33" s="517"/>
      <c r="AM33" s="517"/>
      <c r="AN33" s="517"/>
      <c r="AO33" s="517"/>
      <c r="AP33" s="517"/>
    </row>
    <row r="34" spans="1:42" outlineLevel="1">
      <c r="B34" s="1" t="s">
        <v>331</v>
      </c>
      <c r="C34" s="1"/>
      <c r="D34" s="1"/>
      <c r="E34" s="1"/>
      <c r="F34" s="1"/>
      <c r="G34" s="1"/>
      <c r="H34" s="1" t="s">
        <v>201</v>
      </c>
      <c r="I34" s="1"/>
      <c r="J34" s="1"/>
      <c r="K34" s="501">
        <f t="shared" ref="K34:P34" si="24">K$92</f>
        <v>1568.7853399999999</v>
      </c>
      <c r="L34" s="501">
        <f t="shared" si="24"/>
        <v>1691.0338399999998</v>
      </c>
      <c r="M34" s="501">
        <f t="shared" si="24"/>
        <v>1485.99665</v>
      </c>
      <c r="N34" s="501">
        <f t="shared" si="24"/>
        <v>1525.3812499999997</v>
      </c>
      <c r="O34" s="501">
        <f t="shared" si="24"/>
        <v>1578.5531000000001</v>
      </c>
      <c r="P34" s="501">
        <f t="shared" si="24"/>
        <v>1566.66878</v>
      </c>
      <c r="Q34" s="501"/>
      <c r="R34" s="501">
        <f t="shared" ref="R34:AA34" ca="1" si="25">R$92</f>
        <v>1614.2464787526715</v>
      </c>
      <c r="S34" s="501">
        <f t="shared" ca="1" si="25"/>
        <v>1632.0955803295396</v>
      </c>
      <c r="T34" s="501">
        <f t="shared" ca="1" si="25"/>
        <v>1650.6062308463343</v>
      </c>
      <c r="U34" s="501">
        <f t="shared" ca="1" si="25"/>
        <v>1669.5276325379537</v>
      </c>
      <c r="V34" s="501">
        <f t="shared" ca="1" si="25"/>
        <v>1688.8673370057504</v>
      </c>
      <c r="W34" s="501">
        <f t="shared" ca="1" si="25"/>
        <v>1708.6330601392178</v>
      </c>
      <c r="X34" s="501">
        <f t="shared" ca="1" si="25"/>
        <v>1728.8326851350362</v>
      </c>
      <c r="Y34" s="501">
        <f t="shared" ca="1" si="25"/>
        <v>1749.4742655818623</v>
      </c>
      <c r="Z34" s="501">
        <f t="shared" ca="1" si="25"/>
        <v>1770.5660286120769</v>
      </c>
      <c r="AA34" s="501">
        <f t="shared" ca="1" si="25"/>
        <v>1792.1163781217217</v>
      </c>
      <c r="AC34" s="517"/>
      <c r="AD34" s="517"/>
      <c r="AE34" s="517"/>
      <c r="AF34" s="517"/>
      <c r="AG34" s="517"/>
      <c r="AH34" s="517"/>
      <c r="AI34" s="517"/>
      <c r="AJ34" s="517"/>
      <c r="AK34" s="517"/>
      <c r="AL34" s="517"/>
      <c r="AM34" s="517"/>
      <c r="AN34" s="517"/>
      <c r="AO34" s="517"/>
      <c r="AP34" s="517"/>
    </row>
    <row r="35" spans="1:42" s="3" customFormat="1" outlineLevel="1">
      <c r="A35" s="168"/>
      <c r="B35" s="546" t="s">
        <v>385</v>
      </c>
      <c r="C35" s="1"/>
      <c r="D35" s="1"/>
      <c r="E35" s="1"/>
      <c r="F35" s="1"/>
      <c r="G35" s="1"/>
      <c r="H35" s="1"/>
      <c r="I35" s="1"/>
      <c r="J35" s="1"/>
      <c r="K35" s="490">
        <f t="shared" ref="K35:P35" si="26">K$34/K$31</f>
        <v>0.57244451563983534</v>
      </c>
      <c r="L35" s="490">
        <f t="shared" si="26"/>
        <v>0.56813515634659106</v>
      </c>
      <c r="M35" s="490">
        <f t="shared" si="26"/>
        <v>0.55478542710547329</v>
      </c>
      <c r="N35" s="490">
        <f t="shared" si="26"/>
        <v>0.54734921337767484</v>
      </c>
      <c r="O35" s="490">
        <f t="shared" si="26"/>
        <v>0.57231796387103795</v>
      </c>
      <c r="P35" s="490">
        <f t="shared" si="26"/>
        <v>0.56559644411198651</v>
      </c>
      <c r="Q35" s="490"/>
      <c r="R35" s="490">
        <f t="shared" ref="R35:AA35" ca="1" si="27">R$34/R$31</f>
        <v>0.56925311306022297</v>
      </c>
      <c r="S35" s="490">
        <f t="shared" ca="1" si="27"/>
        <v>0.56219533882551509</v>
      </c>
      <c r="T35" s="490">
        <f t="shared" ca="1" si="27"/>
        <v>0.55538125461535226</v>
      </c>
      <c r="U35" s="490">
        <f t="shared" ca="1" si="27"/>
        <v>0.5487157597096598</v>
      </c>
      <c r="V35" s="490">
        <f t="shared" ca="1" si="27"/>
        <v>0.54219491966922406</v>
      </c>
      <c r="W35" s="490">
        <f t="shared" ca="1" si="27"/>
        <v>0.53581491432476347</v>
      </c>
      <c r="X35" s="490">
        <f t="shared" ca="1" si="27"/>
        <v>0.52957203416049681</v>
      </c>
      <c r="Y35" s="490">
        <f t="shared" ca="1" si="27"/>
        <v>0.52346267682225145</v>
      </c>
      <c r="Z35" s="490">
        <f t="shared" ca="1" si="27"/>
        <v>0.51748334374550176</v>
      </c>
      <c r="AA35" s="490">
        <f t="shared" ca="1" si="27"/>
        <v>0.51163063689890431</v>
      </c>
    </row>
    <row r="36" spans="1:42" ht="16" customHeight="1" outlineLevel="1">
      <c r="B36" s="500"/>
      <c r="C36" s="1"/>
      <c r="D36" s="1"/>
      <c r="E36" s="3"/>
      <c r="F36" s="1"/>
      <c r="G36" s="1"/>
      <c r="H36" s="1"/>
      <c r="I36" s="1"/>
      <c r="J36" s="1"/>
      <c r="K36" s="1"/>
      <c r="L36" s="1"/>
      <c r="M36" s="1"/>
      <c r="N36" s="1"/>
      <c r="O36" s="1"/>
      <c r="P36" s="13"/>
      <c r="AC36" s="517"/>
      <c r="AD36" s="517"/>
      <c r="AE36" s="517"/>
      <c r="AF36" s="517"/>
      <c r="AG36" s="517"/>
      <c r="AH36" s="517"/>
      <c r="AI36" s="517"/>
      <c r="AJ36" s="517"/>
      <c r="AK36" s="517"/>
      <c r="AL36" s="517"/>
      <c r="AM36" s="517"/>
      <c r="AN36" s="517"/>
      <c r="AO36" s="517"/>
      <c r="AP36" s="517"/>
    </row>
    <row r="37" spans="1:42" s="14" customFormat="1" outlineLevel="1">
      <c r="A37" s="456"/>
      <c r="B37" s="379" t="s">
        <v>37</v>
      </c>
      <c r="C37" s="379"/>
      <c r="D37" s="379"/>
      <c r="E37" s="379"/>
      <c r="F37" s="379"/>
      <c r="G37" s="379"/>
      <c r="H37" s="379"/>
      <c r="I37" s="379"/>
      <c r="J37" s="379"/>
      <c r="K37" s="448">
        <f t="shared" ref="K37:P37" si="28">SUM(K$31,-K$34)</f>
        <v>1171.71666</v>
      </c>
      <c r="L37" s="448">
        <f t="shared" si="28"/>
        <v>1285.4301600000001</v>
      </c>
      <c r="M37" s="448">
        <f t="shared" si="28"/>
        <v>1192.51035</v>
      </c>
      <c r="N37" s="448">
        <f t="shared" si="28"/>
        <v>1261.4707500000002</v>
      </c>
      <c r="O37" s="448">
        <f t="shared" si="28"/>
        <v>1179.6219000000001</v>
      </c>
      <c r="P37" s="448">
        <f t="shared" si="28"/>
        <v>1203.2722199999998</v>
      </c>
      <c r="R37" s="448">
        <f t="shared" ref="R37:AA37" ca="1" si="29">SUM(R$31,-R$34)</f>
        <v>1221.4806199973282</v>
      </c>
      <c r="S37" s="448">
        <f t="shared" ca="1" si="29"/>
        <v>1270.9800370157732</v>
      </c>
      <c r="T37" s="448">
        <f t="shared" ca="1" si="29"/>
        <v>1321.4174324109295</v>
      </c>
      <c r="U37" s="448">
        <f t="shared" ca="1" si="29"/>
        <v>1373.0815927216699</v>
      </c>
      <c r="V37" s="448">
        <f t="shared" ca="1" si="29"/>
        <v>1426.003857353789</v>
      </c>
      <c r="W37" s="448">
        <f t="shared" ca="1" si="29"/>
        <v>1480.2163250863605</v>
      </c>
      <c r="X37" s="448">
        <f t="shared" ca="1" si="29"/>
        <v>1535.7518729896492</v>
      </c>
      <c r="Y37" s="448">
        <f t="shared" ca="1" si="29"/>
        <v>1592.6441757982843</v>
      </c>
      <c r="Z37" s="448">
        <f t="shared" ca="1" si="29"/>
        <v>1650.9277257508479</v>
      </c>
      <c r="AA37" s="448">
        <f t="shared" ca="1" si="29"/>
        <v>1710.6378529073224</v>
      </c>
    </row>
    <row r="38" spans="1:42" s="3" customFormat="1" outlineLevel="1">
      <c r="A38" s="168"/>
      <c r="B38" s="546" t="s">
        <v>385</v>
      </c>
      <c r="C38" s="1"/>
      <c r="D38" s="1"/>
      <c r="E38" s="1"/>
      <c r="F38" s="1"/>
      <c r="G38" s="1"/>
      <c r="H38" s="1"/>
      <c r="I38" s="1"/>
      <c r="J38" s="1"/>
      <c r="K38" s="490">
        <f t="shared" ref="K38:P38" si="30">K$37/K$31</f>
        <v>0.42755548436016472</v>
      </c>
      <c r="L38" s="490">
        <f t="shared" si="30"/>
        <v>0.43186484365340894</v>
      </c>
      <c r="M38" s="490">
        <f t="shared" si="30"/>
        <v>0.44521457289452671</v>
      </c>
      <c r="N38" s="490">
        <f t="shared" si="30"/>
        <v>0.45265078662232522</v>
      </c>
      <c r="O38" s="490">
        <f t="shared" si="30"/>
        <v>0.42768203612896211</v>
      </c>
      <c r="P38" s="490">
        <f t="shared" si="30"/>
        <v>0.43440355588801349</v>
      </c>
      <c r="R38" s="490">
        <f t="shared" ref="R38:AA38" ca="1" si="31">R$37/R$31</f>
        <v>0.43074688693977708</v>
      </c>
      <c r="S38" s="490">
        <f t="shared" ca="1" si="31"/>
        <v>0.43780466117448485</v>
      </c>
      <c r="T38" s="490">
        <f t="shared" ca="1" si="31"/>
        <v>0.44461874538464774</v>
      </c>
      <c r="U38" s="490">
        <f t="shared" ca="1" si="31"/>
        <v>0.45128424029034025</v>
      </c>
      <c r="V38" s="490">
        <f t="shared" ca="1" si="31"/>
        <v>0.45780508033077599</v>
      </c>
      <c r="W38" s="490">
        <f t="shared" ca="1" si="31"/>
        <v>0.46418508567523653</v>
      </c>
      <c r="X38" s="490">
        <f t="shared" ca="1" si="31"/>
        <v>0.47042796583950319</v>
      </c>
      <c r="Y38" s="490">
        <f t="shared" ca="1" si="31"/>
        <v>0.47653732317774861</v>
      </c>
      <c r="Z38" s="490">
        <f t="shared" ca="1" si="31"/>
        <v>0.48251665625449819</v>
      </c>
      <c r="AA38" s="490">
        <f t="shared" ca="1" si="31"/>
        <v>0.48836936310109569</v>
      </c>
    </row>
    <row r="39" spans="1:42" outlineLevel="1">
      <c r="C39" s="1"/>
      <c r="D39" s="1"/>
      <c r="E39" s="1"/>
      <c r="F39" s="1"/>
      <c r="G39" s="1"/>
      <c r="H39" s="1"/>
      <c r="I39" s="1"/>
      <c r="J39" s="1"/>
      <c r="K39" s="3"/>
      <c r="L39" s="3"/>
      <c r="M39" s="3"/>
      <c r="N39" s="3"/>
      <c r="O39" s="3"/>
      <c r="P39" s="478"/>
      <c r="AC39" s="517"/>
      <c r="AD39" s="517"/>
      <c r="AE39" s="517"/>
      <c r="AF39" s="517"/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</row>
    <row r="40" spans="1:42" outlineLevel="1">
      <c r="B40" s="1" t="s">
        <v>44</v>
      </c>
      <c r="C40" s="1"/>
      <c r="D40" s="1"/>
      <c r="E40" s="1"/>
      <c r="F40" s="1"/>
      <c r="G40" s="1"/>
      <c r="H40" s="1"/>
      <c r="I40" s="1"/>
      <c r="J40" s="1"/>
      <c r="K40" s="942">
        <f>L40</f>
        <v>748.10665554794514</v>
      </c>
      <c r="L40" s="494">
        <f>L341/$B$10</f>
        <v>748.10665554794514</v>
      </c>
      <c r="M40" s="494">
        <f>M341/$B$10</f>
        <v>692.34613807017547</v>
      </c>
      <c r="N40" s="494">
        <f>N341/$B$10</f>
        <v>698.1035165855892</v>
      </c>
      <c r="O40" s="494">
        <f>O341/$B$10</f>
        <v>704.15371716049378</v>
      </c>
      <c r="P40" s="494">
        <f>P$341/$B$10</f>
        <v>736.72143500000004</v>
      </c>
      <c r="R40" s="494">
        <f t="shared" ref="R40:AA40" ca="1" si="32">R$341/$B$10</f>
        <v>853.39047129617848</v>
      </c>
      <c r="S40" s="494">
        <f t="shared" ca="1" si="32"/>
        <v>961.08508679698286</v>
      </c>
      <c r="T40" s="494">
        <f t="shared" ca="1" si="32"/>
        <v>919.62203745489217</v>
      </c>
      <c r="U40" s="494">
        <f t="shared" ca="1" si="32"/>
        <v>932.86429734860292</v>
      </c>
      <c r="V40" s="494">
        <f t="shared" ca="1" si="32"/>
        <v>1081.7785093576838</v>
      </c>
      <c r="W40" s="494">
        <f t="shared" ca="1" si="32"/>
        <v>942.13722404343002</v>
      </c>
      <c r="X40" s="494">
        <f t="shared" ca="1" si="32"/>
        <v>964.99735410800133</v>
      </c>
      <c r="Y40" s="494">
        <f t="shared" ca="1" si="32"/>
        <v>1046.8602291789098</v>
      </c>
      <c r="Z40" s="494">
        <f t="shared" ca="1" si="32"/>
        <v>1017.5779776548095</v>
      </c>
      <c r="AA40" s="494">
        <f t="shared" ca="1" si="32"/>
        <v>1046.1755655981335</v>
      </c>
      <c r="AC40" s="517"/>
      <c r="AD40" s="517"/>
      <c r="AE40" s="517"/>
      <c r="AF40" s="517"/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</row>
    <row r="41" spans="1:42" s="3" customFormat="1" outlineLevel="1">
      <c r="A41" s="168"/>
      <c r="B41" s="546" t="s">
        <v>385</v>
      </c>
      <c r="C41" s="1"/>
      <c r="D41" s="1"/>
      <c r="E41" s="1"/>
      <c r="F41" s="1"/>
      <c r="G41" s="1"/>
      <c r="H41" s="1"/>
      <c r="I41" s="1"/>
      <c r="J41" s="1"/>
      <c r="K41" s="490">
        <f t="shared" ref="K41:P41" si="33">K$40/K$31</f>
        <v>0.27298161269283699</v>
      </c>
      <c r="L41" s="490">
        <f t="shared" si="33"/>
        <v>0.2513407370450122</v>
      </c>
      <c r="M41" s="490">
        <f t="shared" si="33"/>
        <v>0.25848210890252499</v>
      </c>
      <c r="N41" s="490">
        <f t="shared" si="33"/>
        <v>0.25049895602119854</v>
      </c>
      <c r="O41" s="490">
        <f t="shared" si="33"/>
        <v>0.25529696888721481</v>
      </c>
      <c r="P41" s="490">
        <f t="shared" si="33"/>
        <v>0.26597008203423833</v>
      </c>
      <c r="R41" s="490">
        <f t="shared" ref="R41:AA41" ca="1" si="34">R$40/R$31</f>
        <v>0.30094238323298339</v>
      </c>
      <c r="S41" s="490">
        <f t="shared" ca="1" si="34"/>
        <v>0.33105754498941958</v>
      </c>
      <c r="T41" s="490">
        <f t="shared" ca="1" si="34"/>
        <v>0.30942621649486107</v>
      </c>
      <c r="U41" s="490">
        <f t="shared" ca="1" si="34"/>
        <v>0.30660010151944578</v>
      </c>
      <c r="V41" s="490">
        <f t="shared" ca="1" si="34"/>
        <v>0.34729478102227351</v>
      </c>
      <c r="W41" s="490">
        <f t="shared" ca="1" si="34"/>
        <v>0.29544738876928284</v>
      </c>
      <c r="X41" s="490">
        <f t="shared" ca="1" si="34"/>
        <v>0.29559576017302991</v>
      </c>
      <c r="Y41" s="490">
        <f t="shared" ca="1" si="34"/>
        <v>0.31323253425650677</v>
      </c>
      <c r="Z41" s="490">
        <f t="shared" ca="1" si="34"/>
        <v>0.29740752159995698</v>
      </c>
      <c r="AA41" s="490">
        <f t="shared" ca="1" si="34"/>
        <v>0.29867227233090415</v>
      </c>
    </row>
    <row r="42" spans="1:42" outlineLevel="1">
      <c r="B42" s="14"/>
      <c r="C42" s="379"/>
      <c r="D42" s="379"/>
      <c r="E42" s="379"/>
      <c r="F42" s="1"/>
      <c r="G42" s="1"/>
      <c r="H42" s="1"/>
      <c r="I42" s="1"/>
      <c r="J42" s="1"/>
      <c r="K42" s="150"/>
      <c r="L42" s="150"/>
      <c r="M42" s="150"/>
      <c r="N42" s="150"/>
      <c r="O42" s="150"/>
      <c r="P42" s="480"/>
      <c r="R42" s="14"/>
      <c r="S42" s="14"/>
      <c r="T42" s="14"/>
      <c r="U42" s="14"/>
      <c r="V42" s="14"/>
      <c r="W42" s="14"/>
      <c r="X42" s="14"/>
      <c r="Y42" s="14"/>
      <c r="Z42" s="14"/>
      <c r="AA42" s="14"/>
      <c r="AC42" s="517"/>
      <c r="AD42" s="517"/>
      <c r="AE42" s="517"/>
      <c r="AF42" s="517"/>
      <c r="AG42" s="517"/>
      <c r="AH42" s="517"/>
      <c r="AI42" s="517"/>
      <c r="AJ42" s="517"/>
      <c r="AK42" s="517"/>
      <c r="AL42" s="517"/>
      <c r="AM42" s="517"/>
      <c r="AN42" s="517"/>
      <c r="AO42" s="517"/>
      <c r="AP42" s="517"/>
    </row>
    <row r="43" spans="1:42" outlineLevel="1">
      <c r="B43" s="1" t="s">
        <v>156</v>
      </c>
      <c r="C43" s="1"/>
      <c r="D43" s="1"/>
      <c r="E43" s="1"/>
      <c r="F43" s="1"/>
      <c r="G43" s="1"/>
      <c r="H43" s="1"/>
      <c r="I43" s="1"/>
      <c r="J43" s="1"/>
      <c r="K43" s="448">
        <f>SUM(K$37,-K$40)</f>
        <v>423.61000445205491</v>
      </c>
      <c r="L43" s="448">
        <f t="shared" ref="L43:P43" si="35">SUM(L$37,-L$40)</f>
        <v>537.32350445205498</v>
      </c>
      <c r="M43" s="448">
        <f t="shared" si="35"/>
        <v>500.16421192982455</v>
      </c>
      <c r="N43" s="448">
        <f t="shared" si="35"/>
        <v>563.36723341441098</v>
      </c>
      <c r="O43" s="448">
        <f t="shared" si="35"/>
        <v>475.46818283950631</v>
      </c>
      <c r="P43" s="448">
        <f t="shared" si="35"/>
        <v>466.55078499999979</v>
      </c>
      <c r="R43" s="448">
        <f t="shared" ref="R43:AA43" ca="1" si="36">SUM(R$37,-R$40)</f>
        <v>368.0901487011497</v>
      </c>
      <c r="S43" s="448">
        <f t="shared" ca="1" si="36"/>
        <v>309.89495021879031</v>
      </c>
      <c r="T43" s="448">
        <f t="shared" ca="1" si="36"/>
        <v>401.79539495603728</v>
      </c>
      <c r="U43" s="448">
        <f t="shared" ca="1" si="36"/>
        <v>440.21729537306703</v>
      </c>
      <c r="V43" s="448">
        <f t="shared" ca="1" si="36"/>
        <v>344.22534799610526</v>
      </c>
      <c r="W43" s="448">
        <f t="shared" ca="1" si="36"/>
        <v>538.07910104293046</v>
      </c>
      <c r="X43" s="448">
        <f t="shared" ca="1" si="36"/>
        <v>570.75451888164787</v>
      </c>
      <c r="Y43" s="448">
        <f t="shared" ca="1" si="36"/>
        <v>545.78394661937455</v>
      </c>
      <c r="Z43" s="448">
        <f t="shared" ca="1" si="36"/>
        <v>633.34974809603841</v>
      </c>
      <c r="AA43" s="448">
        <f t="shared" ca="1" si="36"/>
        <v>664.46228730918892</v>
      </c>
      <c r="AC43" s="517"/>
      <c r="AD43" s="517"/>
      <c r="AE43" s="517"/>
      <c r="AF43" s="517"/>
      <c r="AG43" s="517"/>
      <c r="AH43" s="517"/>
      <c r="AI43" s="517"/>
      <c r="AJ43" s="517"/>
      <c r="AK43" s="517"/>
      <c r="AL43" s="517"/>
      <c r="AM43" s="517"/>
      <c r="AN43" s="517"/>
      <c r="AO43" s="517"/>
      <c r="AP43" s="517"/>
    </row>
    <row r="44" spans="1:42" s="3" customFormat="1" outlineLevel="1">
      <c r="A44" s="168"/>
      <c r="B44" s="546" t="s">
        <v>385</v>
      </c>
      <c r="C44" s="1"/>
      <c r="D44" s="1"/>
      <c r="E44" s="1"/>
      <c r="F44" s="1"/>
      <c r="G44" s="1"/>
      <c r="H44" s="1"/>
      <c r="I44" s="1"/>
      <c r="J44" s="1"/>
      <c r="K44" s="490">
        <f t="shared" ref="K44:P44" si="37">K$43/K$31</f>
        <v>0.15457387166732769</v>
      </c>
      <c r="L44" s="490">
        <f t="shared" si="37"/>
        <v>0.18052410660839674</v>
      </c>
      <c r="M44" s="490">
        <f t="shared" si="37"/>
        <v>0.18673246399200172</v>
      </c>
      <c r="N44" s="490">
        <f t="shared" si="37"/>
        <v>0.20215183060112665</v>
      </c>
      <c r="O44" s="490">
        <f t="shared" si="37"/>
        <v>0.17238506724174726</v>
      </c>
      <c r="P44" s="490">
        <f t="shared" si="37"/>
        <v>0.16843347385377516</v>
      </c>
      <c r="Q44" s="625"/>
      <c r="R44" s="490">
        <f t="shared" ref="R44:AA44" ca="1" si="38">R$43/R$31</f>
        <v>0.12980450370679372</v>
      </c>
      <c r="S44" s="490">
        <f t="shared" ca="1" si="38"/>
        <v>0.10674711618506531</v>
      </c>
      <c r="T44" s="490">
        <f t="shared" ca="1" si="38"/>
        <v>0.1351925288897867</v>
      </c>
      <c r="U44" s="490">
        <f t="shared" ca="1" si="38"/>
        <v>0.14468413877089445</v>
      </c>
      <c r="V44" s="490">
        <f t="shared" ca="1" si="38"/>
        <v>0.11051029930850247</v>
      </c>
      <c r="W44" s="490">
        <f t="shared" ca="1" si="38"/>
        <v>0.16873769690595372</v>
      </c>
      <c r="X44" s="490">
        <f t="shared" ca="1" si="38"/>
        <v>0.17483220566647331</v>
      </c>
      <c r="Y44" s="490">
        <f t="shared" ca="1" si="38"/>
        <v>0.16330478892124181</v>
      </c>
      <c r="Z44" s="490">
        <f t="shared" ca="1" si="38"/>
        <v>0.18510913465454121</v>
      </c>
      <c r="AA44" s="490">
        <f t="shared" ca="1" si="38"/>
        <v>0.18969709077019151</v>
      </c>
    </row>
    <row r="45" spans="1:42" outlineLevel="1">
      <c r="C45" s="1"/>
      <c r="D45" s="1"/>
      <c r="E45" s="1"/>
      <c r="F45" s="1"/>
      <c r="G45" s="1"/>
      <c r="H45" s="1"/>
      <c r="I45" s="1"/>
      <c r="J45" s="1"/>
      <c r="K45" s="3"/>
      <c r="L45" s="3"/>
      <c r="M45" s="3"/>
      <c r="N45" s="3"/>
      <c r="O45" s="3"/>
      <c r="P45" s="478"/>
      <c r="AC45" s="517"/>
      <c r="AD45" s="517"/>
      <c r="AE45" s="517"/>
      <c r="AF45" s="517"/>
      <c r="AG45" s="517"/>
      <c r="AH45" s="517"/>
      <c r="AI45" s="517"/>
      <c r="AJ45" s="517"/>
      <c r="AK45" s="517"/>
      <c r="AL45" s="517"/>
      <c r="AM45" s="517"/>
      <c r="AN45" s="517"/>
      <c r="AO45" s="517"/>
      <c r="AP45" s="517"/>
    </row>
    <row r="46" spans="1:42" ht="4" customHeight="1">
      <c r="B46" s="1"/>
      <c r="C46" s="1"/>
      <c r="D46" s="1"/>
      <c r="E46" s="1"/>
      <c r="F46" s="1"/>
      <c r="G46" s="1"/>
      <c r="H46" s="1"/>
      <c r="I46" s="1"/>
      <c r="J46" s="1"/>
      <c r="K46" s="3"/>
      <c r="L46" s="3"/>
      <c r="M46" s="3"/>
      <c r="N46" s="3"/>
      <c r="O46" s="3"/>
      <c r="P46" s="478"/>
      <c r="AC46" s="517"/>
      <c r="AD46" s="517"/>
      <c r="AE46" s="517"/>
      <c r="AF46" s="517"/>
      <c r="AG46" s="517"/>
      <c r="AH46" s="517"/>
      <c r="AI46" s="517"/>
      <c r="AJ46" s="517"/>
      <c r="AK46" s="517"/>
      <c r="AL46" s="517"/>
      <c r="AM46" s="517"/>
      <c r="AN46" s="517"/>
      <c r="AO46" s="517"/>
      <c r="AP46" s="517"/>
    </row>
    <row r="47" spans="1:42">
      <c r="A47" s="380" t="s">
        <v>63</v>
      </c>
      <c r="B47" s="518" t="s">
        <v>342</v>
      </c>
      <c r="C47" s="518"/>
      <c r="D47" s="518"/>
      <c r="E47" s="518"/>
      <c r="F47" s="518"/>
      <c r="G47" s="518"/>
      <c r="H47" s="518"/>
      <c r="I47" s="518"/>
      <c r="J47" s="518"/>
      <c r="K47" s="518"/>
      <c r="L47" s="518"/>
      <c r="M47" s="518"/>
      <c r="N47" s="518"/>
      <c r="O47" s="518"/>
      <c r="P47" s="518"/>
      <c r="Q47" s="518"/>
      <c r="R47" s="518"/>
      <c r="S47" s="518"/>
      <c r="T47" s="518"/>
      <c r="U47" s="518"/>
      <c r="V47" s="518"/>
      <c r="W47" s="518"/>
      <c r="X47" s="518"/>
      <c r="Y47" s="518"/>
      <c r="Z47" s="518"/>
      <c r="AA47" s="518"/>
      <c r="AC47" s="517"/>
      <c r="AD47" s="517"/>
      <c r="AE47" s="517"/>
      <c r="AF47" s="517"/>
      <c r="AG47" s="517"/>
      <c r="AH47" s="517"/>
      <c r="AI47" s="517"/>
      <c r="AJ47" s="517"/>
      <c r="AK47" s="517"/>
      <c r="AL47" s="517"/>
      <c r="AM47" s="517"/>
      <c r="AN47" s="517"/>
      <c r="AO47" s="517"/>
      <c r="AP47" s="517"/>
    </row>
    <row r="48" spans="1:42" ht="6" customHeight="1" outlineLevel="1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3"/>
      <c r="AC48" s="517"/>
      <c r="AD48" s="517"/>
      <c r="AE48" s="517"/>
      <c r="AF48" s="517"/>
      <c r="AG48" s="517"/>
      <c r="AH48" s="517"/>
      <c r="AI48" s="517"/>
      <c r="AJ48" s="517"/>
      <c r="AK48" s="517"/>
      <c r="AL48" s="517"/>
      <c r="AM48" s="517"/>
      <c r="AN48" s="517"/>
      <c r="AO48" s="517"/>
      <c r="AP48" s="517"/>
    </row>
    <row r="49" spans="1:57" outlineLevel="1">
      <c r="B49" s="241" t="str">
        <f>units</f>
        <v>($ '000)</v>
      </c>
      <c r="C49" s="1"/>
      <c r="D49" s="1"/>
      <c r="E49" s="1"/>
      <c r="F49" s="1"/>
      <c r="G49" s="1"/>
      <c r="H49" s="1"/>
      <c r="I49" s="1"/>
      <c r="J49" s="1"/>
      <c r="K49" s="3"/>
      <c r="L49" s="3"/>
      <c r="M49" s="3"/>
      <c r="N49" s="3"/>
      <c r="O49" s="3"/>
      <c r="P49" s="478"/>
      <c r="AC49" s="517"/>
      <c r="AD49" s="972" t="s">
        <v>538</v>
      </c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</row>
    <row r="50" spans="1:57" ht="4" customHeight="1" outlineLevel="1">
      <c r="B50" s="241"/>
      <c r="C50" s="1"/>
      <c r="D50" s="1"/>
      <c r="E50" s="1"/>
      <c r="F50" s="1"/>
      <c r="G50" s="1"/>
      <c r="H50" s="1"/>
      <c r="I50" s="1"/>
      <c r="J50" s="1"/>
      <c r="K50" s="3"/>
      <c r="L50" s="3"/>
      <c r="M50" s="3"/>
      <c r="N50" s="3"/>
      <c r="O50" s="3"/>
      <c r="P50" s="478"/>
      <c r="AC50" s="517"/>
      <c r="AD50" s="517"/>
      <c r="AE50" s="517"/>
      <c r="AF50" s="517"/>
      <c r="AG50" s="517"/>
      <c r="AH50" s="517"/>
      <c r="AI50" s="517"/>
      <c r="AJ50" s="517"/>
      <c r="AK50" s="517"/>
      <c r="AL50" s="517"/>
      <c r="AM50" s="517"/>
      <c r="AN50" s="517"/>
      <c r="AO50" s="517"/>
      <c r="AP50" s="517"/>
    </row>
    <row r="51" spans="1:57" outlineLevel="1">
      <c r="B51" s="1" t="s">
        <v>342</v>
      </c>
      <c r="C51" s="1"/>
      <c r="D51" s="1"/>
      <c r="E51" s="1"/>
      <c r="F51" s="1"/>
      <c r="G51" s="1"/>
      <c r="H51" s="1"/>
      <c r="I51" s="1"/>
      <c r="J51" s="1"/>
      <c r="K51" s="482">
        <v>2740.502</v>
      </c>
      <c r="L51" s="482">
        <v>2976.4639999999999</v>
      </c>
      <c r="M51" s="482">
        <v>2678.5070000000001</v>
      </c>
      <c r="N51" s="482">
        <v>2786.8519999999999</v>
      </c>
      <c r="O51" s="482">
        <v>2758.1750000000002</v>
      </c>
      <c r="P51" s="482">
        <v>2769.9409999999998</v>
      </c>
      <c r="R51" s="327">
        <f t="shared" ref="R51:AA51" ca="1" si="39">PRODUCT(R$57,R$54)</f>
        <v>2835.7270987499996</v>
      </c>
      <c r="S51" s="327">
        <f ca="1">PRODUCT(S$57,S$54)</f>
        <v>2903.0756173453128</v>
      </c>
      <c r="T51" s="327">
        <f t="shared" ca="1" si="39"/>
        <v>2972.0236632572637</v>
      </c>
      <c r="U51" s="327">
        <f t="shared" ca="1" si="39"/>
        <v>3042.6092252596236</v>
      </c>
      <c r="V51" s="327">
        <f t="shared" ca="1" si="39"/>
        <v>3114.8711943595395</v>
      </c>
      <c r="W51" s="327">
        <f t="shared" ca="1" si="39"/>
        <v>3188.8493852255783</v>
      </c>
      <c r="X51" s="327">
        <f t="shared" ca="1" si="39"/>
        <v>3264.5845581246854</v>
      </c>
      <c r="Y51" s="327">
        <f t="shared" ca="1" si="39"/>
        <v>3342.1184413801466</v>
      </c>
      <c r="Z51" s="327">
        <f t="shared" ca="1" si="39"/>
        <v>3421.4937543629248</v>
      </c>
      <c r="AA51" s="327">
        <f t="shared" ca="1" si="39"/>
        <v>3502.7542310290441</v>
      </c>
      <c r="AC51" s="517"/>
      <c r="AD51" s="150" t="s">
        <v>763</v>
      </c>
      <c r="AE51" s="1"/>
      <c r="AF51" s="1"/>
      <c r="AG51" s="1"/>
      <c r="AH51" s="1"/>
      <c r="AI51" s="1"/>
      <c r="AJ51" s="1"/>
      <c r="AK51" s="1"/>
      <c r="AL51" s="1"/>
      <c r="AM51" s="455"/>
      <c r="AN51" s="454"/>
      <c r="AO51" s="454"/>
      <c r="AP51" s="604" t="s">
        <v>425</v>
      </c>
      <c r="AR51" s="376"/>
      <c r="AT51" s="363"/>
      <c r="AU51" s="363"/>
      <c r="AV51" s="363"/>
      <c r="AW51" s="363"/>
    </row>
    <row r="52" spans="1:57" s="363" customFormat="1" outlineLevel="1">
      <c r="A52" s="278"/>
      <c r="B52" s="1262" t="s">
        <v>377</v>
      </c>
      <c r="C52" s="544"/>
      <c r="D52" s="544"/>
      <c r="E52" s="544"/>
      <c r="F52" s="544"/>
      <c r="G52" s="544"/>
      <c r="H52" s="544"/>
      <c r="I52" s="544"/>
      <c r="J52" s="544"/>
      <c r="K52" s="1263">
        <v>2.4172011441717722E-2</v>
      </c>
      <c r="L52" s="1264">
        <f>((L51-K51)/K51)</f>
        <v>8.61017434032159E-2</v>
      </c>
      <c r="M52" s="1264">
        <f>((M51-L51)/L51)</f>
        <v>-0.10010435200963287</v>
      </c>
      <c r="N52" s="1264">
        <f>((N51-M51)/M51)</f>
        <v>4.0449772951871993E-2</v>
      </c>
      <c r="O52" s="1264">
        <f>((O51-N51)/N51)</f>
        <v>-1.0290105107841995E-2</v>
      </c>
      <c r="P52" s="1263">
        <v>6.2E-2</v>
      </c>
      <c r="Q52" s="544"/>
      <c r="R52" s="1264">
        <f ca="1">IFERROR(((R51-P51)/P51),0)</f>
        <v>2.3749999999999941E-2</v>
      </c>
      <c r="S52" s="1265">
        <f ca="1">IFERROR(((S51-R51)/R51),0)</f>
        <v>2.3750000000000243E-2</v>
      </c>
      <c r="T52" s="1265">
        <f t="shared" ref="T52:AA52" ca="1" si="40">IFERROR(((T51-S51)/S51),0)</f>
        <v>2.37499999999999E-2</v>
      </c>
      <c r="U52" s="1265">
        <f t="shared" ca="1" si="40"/>
        <v>2.3749999999999959E-2</v>
      </c>
      <c r="V52" s="1265">
        <f t="shared" ca="1" si="40"/>
        <v>2.3749999999999934E-2</v>
      </c>
      <c r="W52" s="1265">
        <f t="shared" ca="1" si="40"/>
        <v>2.3749999999999934E-2</v>
      </c>
      <c r="X52" s="1265">
        <f t="shared" ca="1" si="40"/>
        <v>2.3749999999999865E-2</v>
      </c>
      <c r="Y52" s="1265">
        <f t="shared" ca="1" si="40"/>
        <v>2.3749999999999979E-2</v>
      </c>
      <c r="Z52" s="1265">
        <f t="shared" ca="1" si="40"/>
        <v>2.3749999999999938E-2</v>
      </c>
      <c r="AA52" s="1265">
        <f t="shared" ca="1" si="40"/>
        <v>2.3749999999999952E-2</v>
      </c>
      <c r="AD52" s="541" t="s">
        <v>469</v>
      </c>
      <c r="AE52" s="3"/>
      <c r="AF52" s="3"/>
      <c r="AG52" s="3"/>
      <c r="AH52" s="3"/>
      <c r="AI52" s="3"/>
      <c r="AJ52" s="3"/>
      <c r="AL52" s="3"/>
      <c r="AM52" s="454"/>
      <c r="AN52" s="454"/>
      <c r="AO52" s="454"/>
      <c r="AP52" s="3" t="s">
        <v>715</v>
      </c>
      <c r="AT52" s="3"/>
      <c r="AU52" s="3"/>
      <c r="AV52" s="3"/>
      <c r="AW52" s="3"/>
    </row>
    <row r="53" spans="1:57" ht="8" customHeight="1" outlineLevel="1">
      <c r="B53" s="150"/>
      <c r="C53" s="150"/>
      <c r="D53" s="379"/>
      <c r="E53" s="14"/>
      <c r="F53" s="379"/>
      <c r="G53" s="379"/>
      <c r="H53" s="379"/>
      <c r="I53" s="379"/>
      <c r="J53" s="379"/>
      <c r="K53" s="793"/>
      <c r="L53" s="793"/>
      <c r="M53" s="793"/>
      <c r="N53" s="793"/>
      <c r="O53" s="793"/>
      <c r="P53" s="793"/>
      <c r="Q53" s="14"/>
      <c r="R53" s="1127"/>
      <c r="S53" s="793"/>
      <c r="T53" s="793"/>
      <c r="U53" s="793"/>
      <c r="V53" s="793"/>
      <c r="W53" s="793"/>
      <c r="X53" s="793"/>
      <c r="Y53" s="793"/>
      <c r="Z53" s="793"/>
      <c r="AA53" s="793"/>
      <c r="AC53" s="517"/>
      <c r="AD53" s="517"/>
      <c r="AE53" s="517"/>
      <c r="AF53" s="517"/>
      <c r="AG53" s="517"/>
      <c r="AH53" s="517"/>
      <c r="AI53" s="517"/>
      <c r="AJ53" s="517"/>
      <c r="AK53" s="517"/>
      <c r="AL53" s="517"/>
      <c r="AM53" s="517"/>
      <c r="AN53" s="517"/>
      <c r="AO53" s="517"/>
      <c r="AP53" s="517"/>
    </row>
    <row r="54" spans="1:57" outlineLevel="1">
      <c r="B54" s="517" t="s">
        <v>381</v>
      </c>
      <c r="D54" s="379"/>
      <c r="E54" s="14"/>
      <c r="F54" s="379"/>
      <c r="G54" s="379"/>
      <c r="H54" s="379"/>
      <c r="I54" s="379"/>
      <c r="J54" s="379"/>
      <c r="K54" s="483">
        <v>145.66800000000001</v>
      </c>
      <c r="L54" s="483">
        <v>167.45500000000001</v>
      </c>
      <c r="M54" s="483">
        <v>144.786</v>
      </c>
      <c r="N54" s="483">
        <v>162.822</v>
      </c>
      <c r="O54" s="483">
        <v>170.73699999999999</v>
      </c>
      <c r="P54" s="577">
        <f>O54</f>
        <v>170.73699999999999</v>
      </c>
      <c r="Q54" s="14"/>
      <c r="R54" s="577">
        <f ca="1">PRODUCT(P$54,1+R$55)</f>
        <v>166.46857499999999</v>
      </c>
      <c r="S54" s="577">
        <f t="shared" ref="S54:AA54" ca="1" si="41">PRODUCT(R$54,1+S$55)</f>
        <v>162.30686062499998</v>
      </c>
      <c r="T54" s="577">
        <f t="shared" ca="1" si="41"/>
        <v>158.24918910937498</v>
      </c>
      <c r="U54" s="577">
        <f t="shared" ca="1" si="41"/>
        <v>154.2929593816406</v>
      </c>
      <c r="V54" s="577">
        <f t="shared" ca="1" si="41"/>
        <v>150.43563539709959</v>
      </c>
      <c r="W54" s="577">
        <f t="shared" ca="1" si="41"/>
        <v>146.67474451217208</v>
      </c>
      <c r="X54" s="577">
        <f t="shared" ca="1" si="41"/>
        <v>143.00787589936778</v>
      </c>
      <c r="Y54" s="577">
        <f t="shared" ca="1" si="41"/>
        <v>139.43267900188357</v>
      </c>
      <c r="Z54" s="577">
        <f t="shared" ca="1" si="41"/>
        <v>135.94686202683647</v>
      </c>
      <c r="AA54" s="577">
        <f t="shared" ca="1" si="41"/>
        <v>132.54819047616556</v>
      </c>
      <c r="AC54" s="517"/>
      <c r="AR54" s="3"/>
    </row>
    <row r="55" spans="1:57" s="363" customFormat="1" outlineLevel="1">
      <c r="A55" s="278"/>
      <c r="B55" s="481" t="s">
        <v>535</v>
      </c>
      <c r="C55" s="544"/>
      <c r="D55" s="564"/>
      <c r="E55" s="564"/>
      <c r="F55" s="564"/>
      <c r="G55" s="564"/>
      <c r="H55" s="564"/>
      <c r="I55" s="564"/>
      <c r="J55" s="564"/>
      <c r="K55" s="919" t="str">
        <f>IFERROR(((K$54-#REF!)/#REF!),"")</f>
        <v/>
      </c>
      <c r="L55" s="1367">
        <f>IFERROR(((L$54-K$54)/K$54),"")</f>
        <v>0.149566136694401</v>
      </c>
      <c r="M55" s="1367">
        <f>IFERROR(((M$54-L$54)/L$54),"")</f>
        <v>-0.13537368248186085</v>
      </c>
      <c r="N55" s="1367">
        <f>IFERROR(((N$54-M$54)/M$54),"")</f>
        <v>0.12457005511582613</v>
      </c>
      <c r="O55" s="1367">
        <f>IFERROR(((O$54-N$54)/N$54),"")</f>
        <v>4.8611367014285492E-2</v>
      </c>
      <c r="P55" s="1367">
        <f>IFERROR(((P$54-O$54)/O$54),"")</f>
        <v>0</v>
      </c>
      <c r="Q55" s="376"/>
      <c r="R55" s="1367">
        <f t="shared" ref="R55:AA55" ca="1" si="42">OFFSET(R$71,MATCH($C$5,$B$72:$B$74,0),0)</f>
        <v>-2.5000000000000001E-2</v>
      </c>
      <c r="S55" s="1367">
        <f t="shared" ca="1" si="42"/>
        <v>-2.5000000000000001E-2</v>
      </c>
      <c r="T55" s="1367">
        <f t="shared" ca="1" si="42"/>
        <v>-2.5000000000000001E-2</v>
      </c>
      <c r="U55" s="1367">
        <f t="shared" ca="1" si="42"/>
        <v>-2.5000000000000001E-2</v>
      </c>
      <c r="V55" s="1367">
        <f t="shared" ca="1" si="42"/>
        <v>-2.5000000000000001E-2</v>
      </c>
      <c r="W55" s="1367">
        <f t="shared" ca="1" si="42"/>
        <v>-2.5000000000000001E-2</v>
      </c>
      <c r="X55" s="1367">
        <f t="shared" ca="1" si="42"/>
        <v>-2.5000000000000001E-2</v>
      </c>
      <c r="Y55" s="1367">
        <f t="shared" ca="1" si="42"/>
        <v>-2.5000000000000001E-2</v>
      </c>
      <c r="Z55" s="1367">
        <f t="shared" ca="1" si="42"/>
        <v>-2.5000000000000001E-2</v>
      </c>
      <c r="AA55" s="1367">
        <f t="shared" ca="1" si="42"/>
        <v>-2.5000000000000001E-2</v>
      </c>
    </row>
    <row r="56" spans="1:57" s="363" customFormat="1" ht="8.5" customHeight="1" outlineLevel="1">
      <c r="A56" s="278"/>
      <c r="C56" s="544"/>
      <c r="D56" s="564"/>
      <c r="E56" s="564"/>
      <c r="F56" s="564"/>
      <c r="G56" s="564"/>
      <c r="H56" s="564"/>
      <c r="I56" s="564"/>
      <c r="J56" s="564"/>
      <c r="K56" s="919"/>
      <c r="L56" s="1367"/>
      <c r="M56" s="1367"/>
      <c r="N56" s="1367"/>
      <c r="O56" s="1367"/>
      <c r="P56" s="1367"/>
      <c r="Q56" s="376"/>
      <c r="R56" s="1367"/>
      <c r="S56" s="1367"/>
      <c r="T56" s="1367"/>
      <c r="U56" s="1367"/>
      <c r="V56" s="1367"/>
      <c r="W56" s="1367"/>
      <c r="X56" s="1367"/>
      <c r="Y56" s="1367"/>
      <c r="Z56" s="1367"/>
      <c r="AA56" s="1367"/>
    </row>
    <row r="57" spans="1:57" outlineLevel="1">
      <c r="B57" s="517" t="s">
        <v>810</v>
      </c>
      <c r="D57" s="379"/>
      <c r="E57" s="14"/>
      <c r="F57" s="379"/>
      <c r="G57" s="379"/>
      <c r="H57" s="379"/>
      <c r="I57" s="379"/>
      <c r="J57" s="379"/>
      <c r="K57" s="793">
        <f>K$51/K$54</f>
        <v>18.813342669632313</v>
      </c>
      <c r="L57" s="793">
        <f t="shared" ref="L57:P57" si="43">L$51/L$54</f>
        <v>17.774709623480934</v>
      </c>
      <c r="M57" s="793">
        <f t="shared" si="43"/>
        <v>18.499765170665672</v>
      </c>
      <c r="N57" s="793">
        <f t="shared" si="43"/>
        <v>17.115942563044303</v>
      </c>
      <c r="O57" s="793">
        <f>O$51/O$54</f>
        <v>16.1545242097495</v>
      </c>
      <c r="P57" s="793">
        <f t="shared" si="43"/>
        <v>16.223437216303438</v>
      </c>
      <c r="Q57" s="14"/>
      <c r="R57" s="1127">
        <f ca="1">PRODUCT(P$57,1+R$58)</f>
        <v>17.03460907711861</v>
      </c>
      <c r="S57" s="793">
        <f t="shared" ref="S57:AA57" ca="1" si="44">PRODUCT(R$57,1+S$58)</f>
        <v>17.886339530974542</v>
      </c>
      <c r="T57" s="793">
        <f t="shared" ca="1" si="44"/>
        <v>18.780656507523268</v>
      </c>
      <c r="U57" s="793">
        <f t="shared" ca="1" si="44"/>
        <v>19.719689332899431</v>
      </c>
      <c r="V57" s="793">
        <f t="shared" ca="1" si="44"/>
        <v>20.705673799544403</v>
      </c>
      <c r="W57" s="793">
        <f t="shared" ca="1" si="44"/>
        <v>21.740957489521623</v>
      </c>
      <c r="X57" s="793">
        <f t="shared" ca="1" si="44"/>
        <v>22.828005363997704</v>
      </c>
      <c r="Y57" s="793">
        <f t="shared" ca="1" si="44"/>
        <v>23.969405632197589</v>
      </c>
      <c r="Z57" s="793">
        <f t="shared" ca="1" si="44"/>
        <v>25.167875913807467</v>
      </c>
      <c r="AA57" s="793">
        <f t="shared" ca="1" si="44"/>
        <v>26.426269709497841</v>
      </c>
      <c r="AC57" s="517"/>
      <c r="AD57" s="517"/>
      <c r="AE57" s="517"/>
      <c r="AF57" s="517"/>
      <c r="AG57" s="517"/>
      <c r="AH57" s="517"/>
      <c r="AI57" s="517"/>
      <c r="AJ57" s="517"/>
      <c r="AK57" s="517"/>
      <c r="AL57" s="517"/>
      <c r="AM57" s="517"/>
      <c r="AN57" s="517"/>
      <c r="AO57" s="517"/>
      <c r="AP57" s="517"/>
    </row>
    <row r="58" spans="1:57" outlineLevel="1">
      <c r="B58" s="481" t="s">
        <v>535</v>
      </c>
      <c r="D58" s="379"/>
      <c r="E58" s="14"/>
      <c r="F58" s="379"/>
      <c r="G58" s="379"/>
      <c r="H58" s="379"/>
      <c r="I58" s="379"/>
      <c r="J58" s="379"/>
      <c r="K58" s="793"/>
      <c r="L58" s="1367">
        <f>IFERROR(((L$57-K$57)/K$57),"")</f>
        <v>-5.5207257125438711E-2</v>
      </c>
      <c r="M58" s="1367">
        <f>IFERROR(((M$57-L$57)/L$57),"")</f>
        <v>4.0791414461528938E-2</v>
      </c>
      <c r="N58" s="1367">
        <f>IFERROR(((N$57-M$57)/M$57),"")</f>
        <v>-7.4802171533271136E-2</v>
      </c>
      <c r="O58" s="1367">
        <f>IFERROR(((O$57-N$57)/N$57),"")</f>
        <v>-5.6170926593936993E-2</v>
      </c>
      <c r="P58" s="1367">
        <f>IFERROR(((P$57-O$57)/O$57),"")</f>
        <v>4.2658642036853068E-3</v>
      </c>
      <c r="Q58" s="376"/>
      <c r="R58" s="1367">
        <f t="shared" ref="R58:AA58" ca="1" si="45">OFFSET(R$66,MATCH($C$5,$B$67:$B$69,0),0)</f>
        <v>0.05</v>
      </c>
      <c r="S58" s="1367">
        <f t="shared" ca="1" si="45"/>
        <v>0.05</v>
      </c>
      <c r="T58" s="1367">
        <f t="shared" ca="1" si="45"/>
        <v>0.05</v>
      </c>
      <c r="U58" s="1367">
        <f t="shared" ca="1" si="45"/>
        <v>0.05</v>
      </c>
      <c r="V58" s="1367">
        <f t="shared" ca="1" si="45"/>
        <v>0.05</v>
      </c>
      <c r="W58" s="1367">
        <f t="shared" ca="1" si="45"/>
        <v>0.05</v>
      </c>
      <c r="X58" s="1367">
        <f t="shared" ca="1" si="45"/>
        <v>0.05</v>
      </c>
      <c r="Y58" s="1367">
        <f t="shared" ca="1" si="45"/>
        <v>0.05</v>
      </c>
      <c r="Z58" s="1367">
        <f t="shared" ca="1" si="45"/>
        <v>0.05</v>
      </c>
      <c r="AA58" s="1367">
        <f t="shared" ca="1" si="45"/>
        <v>0.05</v>
      </c>
      <c r="AC58" s="517"/>
      <c r="AD58" s="517"/>
      <c r="AE58" s="517"/>
      <c r="AF58" s="517"/>
      <c r="AG58" s="517"/>
      <c r="AH58" s="517"/>
      <c r="AI58" s="517"/>
      <c r="AJ58" s="517"/>
      <c r="AK58" s="517"/>
      <c r="AL58" s="517"/>
      <c r="AM58" s="517"/>
      <c r="AN58" s="517"/>
      <c r="AO58" s="517"/>
      <c r="AP58" s="517"/>
    </row>
    <row r="59" spans="1:57" outlineLevel="1">
      <c r="B59" s="297"/>
      <c r="C59" s="638"/>
      <c r="D59" s="14"/>
      <c r="E59" s="14"/>
      <c r="F59" s="14"/>
      <c r="G59" s="14"/>
      <c r="H59" s="14"/>
      <c r="I59" s="14"/>
      <c r="J59" s="14"/>
      <c r="K59" s="791"/>
      <c r="L59" s="1128"/>
      <c r="M59" s="1128"/>
      <c r="N59" s="1128"/>
      <c r="O59" s="1128"/>
      <c r="P59" s="1128"/>
      <c r="Q59" s="14"/>
      <c r="R59" s="792"/>
      <c r="S59" s="792"/>
      <c r="T59" s="792"/>
      <c r="U59" s="792"/>
      <c r="V59" s="792"/>
      <c r="W59" s="792"/>
      <c r="X59" s="792"/>
      <c r="Y59" s="792"/>
      <c r="Z59" s="792"/>
      <c r="AA59" s="792"/>
    </row>
    <row r="60" spans="1:57" ht="15.5" customHeight="1" outlineLevel="1">
      <c r="B60" s="1345" t="s">
        <v>757</v>
      </c>
      <c r="C60" s="638"/>
      <c r="D60" s="14"/>
      <c r="E60" s="14"/>
      <c r="F60" s="14"/>
      <c r="G60" s="14"/>
      <c r="H60" s="14"/>
      <c r="I60" s="14"/>
      <c r="J60" s="14"/>
      <c r="K60" s="791"/>
      <c r="L60" s="791"/>
      <c r="M60" s="791"/>
      <c r="N60" s="791"/>
      <c r="O60" s="791"/>
      <c r="P60" s="791"/>
      <c r="Q60" s="14"/>
      <c r="R60" s="792"/>
      <c r="S60" s="792"/>
      <c r="T60" s="792"/>
      <c r="U60" s="792"/>
      <c r="V60" s="792"/>
      <c r="W60" s="792"/>
      <c r="X60" s="792"/>
      <c r="Y60" s="792"/>
      <c r="Z60" s="792"/>
      <c r="AA60" s="792"/>
    </row>
    <row r="61" spans="1:57" s="3" customFormat="1" outlineLevel="1">
      <c r="A61" s="168"/>
      <c r="B61" s="514" t="s">
        <v>761</v>
      </c>
      <c r="C61" s="533"/>
      <c r="D61" s="475"/>
      <c r="E61" s="379"/>
      <c r="F61" s="379"/>
      <c r="G61" s="379"/>
      <c r="H61" s="379"/>
      <c r="I61" s="379"/>
      <c r="J61" s="379"/>
      <c r="K61" s="791"/>
      <c r="L61" s="1368">
        <f>(L$55/L$58)</f>
        <v>-2.7091752874910187</v>
      </c>
      <c r="M61" s="1368">
        <f>(M$55/M$58)</f>
        <v>-3.3186807633143984</v>
      </c>
      <c r="N61" s="1368">
        <f>(N$55/N$58)</f>
        <v>-1.6653267219711505</v>
      </c>
      <c r="O61" s="1368">
        <f>(O$55/O$58)</f>
        <v>-0.86541864202632779</v>
      </c>
      <c r="P61" s="1369">
        <f>(P$55/P$58)</f>
        <v>0</v>
      </c>
      <c r="Q61" s="1368"/>
      <c r="R61" s="1369">
        <f t="shared" ref="R61:AA61" ca="1" si="46">IFERROR((R$55/R$58),0)</f>
        <v>-0.5</v>
      </c>
      <c r="S61" s="1368">
        <f t="shared" ca="1" si="46"/>
        <v>-0.5</v>
      </c>
      <c r="T61" s="1368">
        <f t="shared" ca="1" si="46"/>
        <v>-0.5</v>
      </c>
      <c r="U61" s="1368">
        <f t="shared" ca="1" si="46"/>
        <v>-0.5</v>
      </c>
      <c r="V61" s="1368">
        <f t="shared" ca="1" si="46"/>
        <v>-0.5</v>
      </c>
      <c r="W61" s="1368">
        <f t="shared" ca="1" si="46"/>
        <v>-0.5</v>
      </c>
      <c r="X61" s="1368">
        <f t="shared" ca="1" si="46"/>
        <v>-0.5</v>
      </c>
      <c r="Y61" s="1368">
        <f t="shared" ca="1" si="46"/>
        <v>-0.5</v>
      </c>
      <c r="Z61" s="1368">
        <f t="shared" ca="1" si="46"/>
        <v>-0.5</v>
      </c>
      <c r="AA61" s="1368">
        <f t="shared" ca="1" si="46"/>
        <v>-0.5</v>
      </c>
      <c r="AD61" s="3" t="s">
        <v>541</v>
      </c>
    </row>
    <row r="62" spans="1:57" s="3" customFormat="1" outlineLevel="1">
      <c r="A62" s="168"/>
      <c r="B62" s="514" t="s">
        <v>762</v>
      </c>
      <c r="C62" s="511"/>
      <c r="D62" s="1"/>
      <c r="E62" s="1"/>
      <c r="F62" s="1"/>
      <c r="G62" s="1"/>
      <c r="H62" s="1"/>
      <c r="I62" s="1"/>
      <c r="J62" s="1"/>
      <c r="K62" s="455"/>
      <c r="L62" s="1369">
        <v>0</v>
      </c>
      <c r="M62" s="1370">
        <f>_xlfn.XLOOKUP(M$13,'Top Customer Analysis'!$AP$6:$AR$6,'Top Customer Analysis'!$AP$34:$AR$34,0)</f>
        <v>-0.17478382115752975</v>
      </c>
      <c r="N62" s="1370">
        <f>_xlfn.XLOOKUP(N$13,'Top Customer Analysis'!$AP$6:$AR$6,'Top Customer Analysis'!$AP$34:$AR$34,0)</f>
        <v>0.25821009830546693</v>
      </c>
      <c r="O62" s="1370">
        <f>_xlfn.XLOOKUP(O$13,'Top Customer Analysis'!$AP$6:$AR$6,'Top Customer Analysis'!$AP$34:$AR$34,0)</f>
        <v>-0.33355607159693723</v>
      </c>
      <c r="P62" s="1369">
        <v>0</v>
      </c>
      <c r="AD62" s="207" t="s">
        <v>695</v>
      </c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</row>
    <row r="63" spans="1:57" outlineLevel="1">
      <c r="B63" s="511"/>
      <c r="C63" s="511"/>
      <c r="D63" s="1"/>
      <c r="E63" s="1"/>
      <c r="F63" s="1"/>
      <c r="G63" s="1"/>
      <c r="H63" s="1"/>
      <c r="I63" s="1"/>
      <c r="J63" s="1"/>
      <c r="K63" s="455"/>
      <c r="L63" s="454"/>
      <c r="M63" s="454"/>
      <c r="N63" s="454"/>
      <c r="O63" s="454"/>
      <c r="P63" s="454"/>
      <c r="AC63" s="517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517"/>
    </row>
    <row r="64" spans="1:57" outlineLevel="1">
      <c r="B64" s="852" t="s">
        <v>406</v>
      </c>
      <c r="C64" s="853"/>
      <c r="D64" s="853"/>
      <c r="E64" s="853"/>
      <c r="F64" s="853"/>
      <c r="G64" s="853"/>
      <c r="H64" s="853"/>
      <c r="I64" s="853"/>
      <c r="J64" s="853"/>
      <c r="K64" s="853"/>
      <c r="L64" s="853"/>
      <c r="M64" s="853"/>
      <c r="N64" s="853"/>
      <c r="O64" s="853"/>
      <c r="P64" s="854"/>
      <c r="Q64" s="854"/>
      <c r="R64" s="854"/>
      <c r="S64" s="854"/>
      <c r="T64" s="854"/>
      <c r="U64" s="854"/>
      <c r="V64" s="854"/>
      <c r="W64" s="854"/>
      <c r="X64" s="854"/>
      <c r="Y64" s="854"/>
      <c r="Z64" s="854"/>
      <c r="AA64" s="854"/>
      <c r="AC64" s="517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517"/>
    </row>
    <row r="65" spans="1:52" ht="4.5" customHeight="1" outlineLevel="2">
      <c r="B65" s="1"/>
      <c r="C65" s="1"/>
      <c r="D65" s="1"/>
      <c r="E65" s="1"/>
      <c r="F65" s="1"/>
      <c r="G65" s="1"/>
      <c r="H65" s="1"/>
      <c r="I65" s="1"/>
      <c r="J65" s="1"/>
      <c r="K65" s="455"/>
      <c r="L65" s="454"/>
      <c r="M65" s="454"/>
      <c r="N65" s="454"/>
      <c r="O65" s="454"/>
      <c r="P65" s="454"/>
      <c r="AC65" s="517"/>
      <c r="AD65" s="174"/>
      <c r="AE65" s="174"/>
      <c r="AF65" s="174"/>
      <c r="AG65" s="174"/>
      <c r="AH65" s="174"/>
      <c r="AI65" s="174"/>
      <c r="AJ65" s="174"/>
      <c r="AK65" s="174"/>
      <c r="AL65" s="174"/>
      <c r="AM65" s="174"/>
      <c r="AN65" s="174"/>
      <c r="AO65" s="174"/>
      <c r="AP65" s="517"/>
    </row>
    <row r="66" spans="1:52" s="14" customFormat="1" outlineLevel="2">
      <c r="A66" s="456"/>
      <c r="B66" s="376" t="s">
        <v>488</v>
      </c>
      <c r="C66" s="379"/>
      <c r="D66" s="379"/>
      <c r="E66" s="379"/>
      <c r="F66" s="379"/>
      <c r="G66" s="379"/>
      <c r="H66" s="379"/>
      <c r="I66" s="379"/>
      <c r="J66" s="379"/>
      <c r="K66" s="455"/>
      <c r="L66" s="454"/>
      <c r="M66" s="454"/>
      <c r="N66" s="454"/>
      <c r="O66" s="454"/>
      <c r="P66" s="454"/>
      <c r="AD66" s="150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</row>
    <row r="67" spans="1:52" s="363" customFormat="1" outlineLevel="2">
      <c r="A67" s="278"/>
      <c r="B67" s="1266" t="s">
        <v>5</v>
      </c>
      <c r="C67" s="664"/>
      <c r="D67" s="664"/>
      <c r="E67" s="664"/>
      <c r="F67" s="564"/>
      <c r="G67" s="564"/>
      <c r="H67" s="564"/>
      <c r="L67" s="569"/>
      <c r="M67" s="569"/>
      <c r="N67" s="569"/>
      <c r="O67" s="569"/>
      <c r="P67" s="569"/>
      <c r="Q67" s="376"/>
      <c r="R67" s="666">
        <v>0.05</v>
      </c>
      <c r="S67" s="666">
        <v>0.05</v>
      </c>
      <c r="T67" s="666">
        <v>0.05</v>
      </c>
      <c r="U67" s="666">
        <v>0.05</v>
      </c>
      <c r="V67" s="666">
        <v>0.05</v>
      </c>
      <c r="W67" s="666">
        <v>0.05</v>
      </c>
      <c r="X67" s="666">
        <v>0.05</v>
      </c>
      <c r="Y67" s="666">
        <v>0.05</v>
      </c>
      <c r="Z67" s="666">
        <v>0.05</v>
      </c>
      <c r="AA67" s="666">
        <v>0.05</v>
      </c>
      <c r="AD67" s="3" t="s">
        <v>579</v>
      </c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</row>
    <row r="68" spans="1:52" s="363" customFormat="1" outlineLevel="2">
      <c r="A68" s="278"/>
      <c r="B68" s="1267" t="s">
        <v>47</v>
      </c>
      <c r="C68" s="544"/>
      <c r="D68" s="544"/>
      <c r="E68" s="544"/>
      <c r="F68" s="544"/>
      <c r="G68" s="544"/>
      <c r="H68" s="544"/>
      <c r="I68" s="544"/>
      <c r="J68" s="544"/>
      <c r="K68" s="665"/>
      <c r="L68" s="569"/>
      <c r="M68" s="569"/>
      <c r="N68" s="569"/>
      <c r="O68" s="569"/>
      <c r="P68" s="569"/>
      <c r="R68" s="666">
        <v>0.05</v>
      </c>
      <c r="S68" s="666">
        <v>0.05</v>
      </c>
      <c r="T68" s="666">
        <v>0.05</v>
      </c>
      <c r="U68" s="666">
        <v>0.05</v>
      </c>
      <c r="V68" s="666">
        <v>0.05</v>
      </c>
      <c r="W68" s="666">
        <v>0.05</v>
      </c>
      <c r="X68" s="666">
        <v>0.05</v>
      </c>
      <c r="Y68" s="666">
        <v>0.05</v>
      </c>
      <c r="Z68" s="666">
        <v>0.05</v>
      </c>
      <c r="AA68" s="666">
        <v>0.05</v>
      </c>
      <c r="AC68"/>
      <c r="AD68"/>
      <c r="AE68"/>
      <c r="AF68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</row>
    <row r="69" spans="1:52" s="363" customFormat="1" outlineLevel="2">
      <c r="A69" s="278"/>
      <c r="B69" s="1267" t="s">
        <v>48</v>
      </c>
      <c r="C69" s="544"/>
      <c r="D69" s="544"/>
      <c r="E69" s="544"/>
      <c r="F69" s="544"/>
      <c r="G69" s="544"/>
      <c r="H69" s="544"/>
      <c r="I69" s="544"/>
      <c r="J69" s="544"/>
      <c r="K69" s="665"/>
      <c r="L69" s="569"/>
      <c r="M69" s="569"/>
      <c r="N69" s="569"/>
      <c r="O69" s="569"/>
      <c r="P69" s="569"/>
      <c r="R69" s="666">
        <v>0.05</v>
      </c>
      <c r="S69" s="666">
        <v>2.5000000000000001E-2</v>
      </c>
      <c r="T69" s="666">
        <v>2.5000000000000001E-2</v>
      </c>
      <c r="U69" s="666">
        <v>2.5000000000000001E-2</v>
      </c>
      <c r="V69" s="666">
        <v>2.5000000000000001E-2</v>
      </c>
      <c r="W69" s="666">
        <v>2.5000000000000001E-2</v>
      </c>
      <c r="X69" s="666">
        <v>2.5000000000000001E-2</v>
      </c>
      <c r="Y69" s="666">
        <v>2.5000000000000001E-2</v>
      </c>
      <c r="Z69" s="666">
        <v>2.5000000000000001E-2</v>
      </c>
      <c r="AA69" s="666">
        <v>2.5000000000000001E-2</v>
      </c>
      <c r="AC69"/>
      <c r="AD69"/>
      <c r="AE69"/>
      <c r="AF69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</row>
    <row r="70" spans="1:52" ht="5" customHeight="1" outlineLevel="2">
      <c r="B70" s="375"/>
      <c r="C70" s="1"/>
      <c r="D70" s="1"/>
      <c r="E70" s="1"/>
      <c r="F70" s="1"/>
      <c r="G70" s="1"/>
      <c r="H70" s="1"/>
      <c r="I70" s="1"/>
      <c r="J70" s="1"/>
      <c r="K70" s="455"/>
      <c r="L70" s="454"/>
      <c r="M70" s="454"/>
      <c r="N70" s="454"/>
      <c r="O70" s="454"/>
      <c r="P70" s="454"/>
      <c r="R70" s="1285"/>
      <c r="S70" s="496"/>
      <c r="T70" s="496"/>
      <c r="U70" s="496"/>
      <c r="V70" s="496"/>
      <c r="W70" s="496"/>
      <c r="X70" s="496"/>
      <c r="Y70" s="496"/>
      <c r="Z70" s="496"/>
      <c r="AA70" s="496"/>
      <c r="AC70" s="517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</row>
    <row r="71" spans="1:52" s="14" customFormat="1" outlineLevel="2">
      <c r="A71" s="456"/>
      <c r="B71" s="1129" t="s">
        <v>489</v>
      </c>
      <c r="C71" s="379"/>
      <c r="D71" s="379"/>
      <c r="E71" s="379"/>
      <c r="F71" s="379"/>
      <c r="G71" s="379"/>
      <c r="H71" s="379"/>
      <c r="I71" s="379"/>
      <c r="J71" s="379"/>
      <c r="K71" s="455"/>
      <c r="L71" s="454"/>
      <c r="M71" s="454"/>
      <c r="N71" s="454"/>
      <c r="O71"/>
      <c r="P71" s="454"/>
      <c r="R71" s="1286"/>
      <c r="S71" s="496"/>
      <c r="T71" s="496"/>
      <c r="U71" s="496"/>
      <c r="V71" s="496"/>
      <c r="W71" s="496"/>
      <c r="X71" s="496"/>
      <c r="Y71" s="496"/>
      <c r="Z71" s="496"/>
      <c r="AA71" s="496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</row>
    <row r="72" spans="1:52" s="363" customFormat="1" outlineLevel="2">
      <c r="A72" s="278"/>
      <c r="B72" s="1268" t="s">
        <v>5</v>
      </c>
      <c r="C72" s="664"/>
      <c r="D72" s="664"/>
      <c r="E72" s="664"/>
      <c r="F72" s="564"/>
      <c r="G72" s="564"/>
      <c r="H72" s="564"/>
      <c r="I72" s="564"/>
      <c r="J72" s="564"/>
      <c r="K72" s="665"/>
      <c r="L72" s="569"/>
      <c r="M72" s="569"/>
      <c r="N72" s="569"/>
      <c r="O72" s="569"/>
      <c r="P72" s="569"/>
      <c r="Q72" s="376"/>
      <c r="R72" s="666">
        <v>-2.5000000000000001E-2</v>
      </c>
      <c r="S72" s="666">
        <v>-2.5000000000000001E-2</v>
      </c>
      <c r="T72" s="666">
        <v>-2.5000000000000001E-2</v>
      </c>
      <c r="U72" s="666">
        <v>-2.5000000000000001E-2</v>
      </c>
      <c r="V72" s="666">
        <v>-2.5000000000000001E-2</v>
      </c>
      <c r="W72" s="666">
        <v>-2.5000000000000001E-2</v>
      </c>
      <c r="X72" s="666">
        <v>-2.5000000000000001E-2</v>
      </c>
      <c r="Y72" s="666">
        <v>-2.5000000000000001E-2</v>
      </c>
      <c r="Z72" s="666">
        <v>-2.5000000000000001E-2</v>
      </c>
      <c r="AA72" s="666">
        <v>-2.5000000000000001E-2</v>
      </c>
      <c r="AB72" s="1284"/>
      <c r="AC72" s="1284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</row>
    <row r="73" spans="1:52" s="363" customFormat="1" outlineLevel="2">
      <c r="A73" s="278"/>
      <c r="B73" s="1267" t="s">
        <v>47</v>
      </c>
      <c r="C73" s="544"/>
      <c r="D73" s="544"/>
      <c r="E73" s="544"/>
      <c r="F73" s="544"/>
      <c r="G73" s="544"/>
      <c r="H73" s="544"/>
      <c r="I73" s="544"/>
      <c r="J73" s="544"/>
      <c r="K73" s="665"/>
      <c r="L73" s="569"/>
      <c r="M73" s="569"/>
      <c r="N73" s="569"/>
      <c r="O73" s="569"/>
      <c r="P73" s="569"/>
      <c r="R73" s="666">
        <v>-2.5000000000000001E-2</v>
      </c>
      <c r="S73" s="666">
        <v>-0.01</v>
      </c>
      <c r="T73" s="666">
        <v>-0.01</v>
      </c>
      <c r="U73" s="666">
        <v>-0.01</v>
      </c>
      <c r="V73" s="666">
        <v>-0.01</v>
      </c>
      <c r="W73" s="666">
        <v>-0.01</v>
      </c>
      <c r="X73" s="666">
        <v>-0.01</v>
      </c>
      <c r="Y73" s="666">
        <v>-0.01</v>
      </c>
      <c r="Z73" s="666">
        <v>-0.01</v>
      </c>
      <c r="AA73" s="666">
        <v>-0.01</v>
      </c>
      <c r="AB73" s="666"/>
      <c r="AC73" s="1284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</row>
    <row r="74" spans="1:52" s="363" customFormat="1" outlineLevel="2">
      <c r="A74" s="278"/>
      <c r="B74" s="1267" t="s">
        <v>48</v>
      </c>
      <c r="C74" s="544"/>
      <c r="D74" s="544"/>
      <c r="E74" s="544"/>
      <c r="F74" s="544"/>
      <c r="G74" s="544"/>
      <c r="H74" s="544"/>
      <c r="I74" s="544"/>
      <c r="J74" s="544"/>
      <c r="K74" s="665"/>
      <c r="L74" s="569"/>
      <c r="M74" s="569"/>
      <c r="N74" s="569"/>
      <c r="O74" s="569"/>
      <c r="P74" s="569"/>
      <c r="R74" s="666">
        <v>-2.5000000000000001E-2</v>
      </c>
      <c r="S74" s="666">
        <v>-7.4999999999999997E-2</v>
      </c>
      <c r="T74" s="666">
        <v>-0.05</v>
      </c>
      <c r="U74" s="666">
        <v>-2.5000000000000001E-2</v>
      </c>
      <c r="V74" s="666">
        <v>-2.5000000000000001E-2</v>
      </c>
      <c r="W74" s="666">
        <v>-2.5000000000000001E-2</v>
      </c>
      <c r="X74" s="666">
        <v>-1.4999999999999999E-2</v>
      </c>
      <c r="Y74" s="666">
        <v>-1.4999999999999999E-2</v>
      </c>
      <c r="Z74" s="666">
        <v>-1.4999999999999999E-2</v>
      </c>
      <c r="AA74" s="666">
        <v>-1.4999999999999999E-2</v>
      </c>
      <c r="AB74" s="1284"/>
      <c r="AC74" s="1284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</row>
    <row r="75" spans="1:52" s="363" customFormat="1" ht="4.5" customHeight="1" outlineLevel="2">
      <c r="A75" s="278"/>
      <c r="B75" s="1267"/>
      <c r="C75" s="544"/>
      <c r="D75" s="544"/>
      <c r="E75" s="544"/>
      <c r="F75" s="544"/>
      <c r="G75" s="544"/>
      <c r="H75" s="544"/>
      <c r="I75" s="544"/>
      <c r="J75" s="544"/>
      <c r="K75" s="665"/>
      <c r="L75" s="569"/>
      <c r="M75" s="569"/>
      <c r="N75" s="569"/>
      <c r="O75" s="569"/>
      <c r="P75" s="569"/>
      <c r="R75" s="666"/>
      <c r="S75" s="666"/>
      <c r="T75" s="666"/>
      <c r="U75" s="666"/>
      <c r="V75" s="666"/>
      <c r="W75" s="666"/>
      <c r="X75" s="666"/>
      <c r="Y75" s="666"/>
      <c r="Z75" s="666"/>
      <c r="AA75" s="666"/>
      <c r="AB75" s="1284"/>
      <c r="AC75" s="1284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</row>
    <row r="76" spans="1:52" s="363" customFormat="1" outlineLevel="2">
      <c r="A76" s="278"/>
      <c r="B76" s="1366" t="s">
        <v>764</v>
      </c>
      <c r="C76" s="458"/>
      <c r="D76" s="458"/>
      <c r="E76" s="458"/>
      <c r="F76" s="544"/>
      <c r="G76" s="544"/>
      <c r="H76" s="544"/>
      <c r="I76" s="544"/>
      <c r="J76" s="544"/>
      <c r="K76" s="665"/>
      <c r="L76" s="569"/>
      <c r="M76" s="569"/>
      <c r="N76" s="569"/>
      <c r="O76" s="569"/>
      <c r="P76" s="569"/>
      <c r="R76" s="666"/>
      <c r="S76" s="666"/>
      <c r="T76" s="666"/>
      <c r="U76" s="666"/>
      <c r="V76" s="666"/>
      <c r="W76" s="666"/>
      <c r="X76" s="666"/>
      <c r="Y76" s="666"/>
      <c r="Z76" s="666"/>
      <c r="AA76" s="666"/>
      <c r="AB76" s="1284"/>
      <c r="AC76" s="1284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</row>
    <row r="77" spans="1:52" s="363" customFormat="1" outlineLevel="2">
      <c r="A77" s="278"/>
      <c r="B77" s="1365" t="s">
        <v>5</v>
      </c>
      <c r="C77" s="544"/>
      <c r="D77" s="544"/>
      <c r="E77" s="544"/>
      <c r="F77" s="544"/>
      <c r="G77" s="544"/>
      <c r="H77" s="544"/>
      <c r="I77" s="544"/>
      <c r="J77" s="544"/>
      <c r="K77" s="665"/>
      <c r="L77" s="569"/>
      <c r="M77" s="569"/>
      <c r="N77" s="569"/>
      <c r="O77" s="569"/>
      <c r="P77" s="569"/>
      <c r="R77" s="1369">
        <f>IFERROR((R72/R67),0)</f>
        <v>-0.5</v>
      </c>
      <c r="S77" s="1369">
        <f t="shared" ref="S77:AA77" si="47">IFERROR((S72/S67),0)</f>
        <v>-0.5</v>
      </c>
      <c r="T77" s="1369">
        <f t="shared" si="47"/>
        <v>-0.5</v>
      </c>
      <c r="U77" s="1369">
        <f t="shared" si="47"/>
        <v>-0.5</v>
      </c>
      <c r="V77" s="1369">
        <f t="shared" si="47"/>
        <v>-0.5</v>
      </c>
      <c r="W77" s="1369">
        <f t="shared" si="47"/>
        <v>-0.5</v>
      </c>
      <c r="X77" s="1369">
        <f t="shared" si="47"/>
        <v>-0.5</v>
      </c>
      <c r="Y77" s="1369">
        <f t="shared" si="47"/>
        <v>-0.5</v>
      </c>
      <c r="Z77" s="1369">
        <f t="shared" si="47"/>
        <v>-0.5</v>
      </c>
      <c r="AA77" s="1369">
        <f t="shared" si="47"/>
        <v>-0.5</v>
      </c>
      <c r="AB77" s="1284"/>
      <c r="AC77" s="1284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</row>
    <row r="78" spans="1:52" s="363" customFormat="1" outlineLevel="2">
      <c r="A78" s="278"/>
      <c r="B78" s="1267" t="s">
        <v>47</v>
      </c>
      <c r="C78" s="544"/>
      <c r="D78" s="544"/>
      <c r="E78" s="544"/>
      <c r="F78" s="544"/>
      <c r="G78" s="544"/>
      <c r="H78" s="544"/>
      <c r="I78" s="544"/>
      <c r="J78" s="544"/>
      <c r="K78" s="665"/>
      <c r="L78" s="569"/>
      <c r="M78" s="569"/>
      <c r="N78" s="569"/>
      <c r="O78" s="569"/>
      <c r="P78" s="569"/>
      <c r="R78" s="1369">
        <f>IFERROR((R73/R68),0)</f>
        <v>-0.5</v>
      </c>
      <c r="S78" s="1369">
        <f t="shared" ref="S78:AA78" si="48">IFERROR((S73/S68),0)</f>
        <v>-0.19999999999999998</v>
      </c>
      <c r="T78" s="1369">
        <f t="shared" si="48"/>
        <v>-0.19999999999999998</v>
      </c>
      <c r="U78" s="1369">
        <f t="shared" si="48"/>
        <v>-0.19999999999999998</v>
      </c>
      <c r="V78" s="1369">
        <f t="shared" si="48"/>
        <v>-0.19999999999999998</v>
      </c>
      <c r="W78" s="1369">
        <f t="shared" si="48"/>
        <v>-0.19999999999999998</v>
      </c>
      <c r="X78" s="1369">
        <f t="shared" si="48"/>
        <v>-0.19999999999999998</v>
      </c>
      <c r="Y78" s="1369">
        <f t="shared" si="48"/>
        <v>-0.19999999999999998</v>
      </c>
      <c r="Z78" s="1369">
        <f t="shared" si="48"/>
        <v>-0.19999999999999998</v>
      </c>
      <c r="AA78" s="1369">
        <f t="shared" si="48"/>
        <v>-0.19999999999999998</v>
      </c>
      <c r="AB78" s="1284"/>
      <c r="AC78" s="1284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</row>
    <row r="79" spans="1:52" s="363" customFormat="1" outlineLevel="2">
      <c r="A79" s="278"/>
      <c r="B79" s="1267" t="s">
        <v>48</v>
      </c>
      <c r="C79" s="544"/>
      <c r="D79" s="544"/>
      <c r="E79" s="544"/>
      <c r="F79" s="544"/>
      <c r="G79" s="544"/>
      <c r="H79" s="544"/>
      <c r="I79" s="544"/>
      <c r="J79" s="544"/>
      <c r="K79" s="665"/>
      <c r="L79" s="569"/>
      <c r="M79" s="569"/>
      <c r="N79" s="569"/>
      <c r="O79" s="569"/>
      <c r="P79" s="569"/>
      <c r="R79" s="1369">
        <f>IFERROR((R74/R69),0)</f>
        <v>-0.5</v>
      </c>
      <c r="S79" s="1369">
        <f t="shared" ref="S79:AA79" si="49">IFERROR((S74/S69),0)</f>
        <v>-2.9999999999999996</v>
      </c>
      <c r="T79" s="1369">
        <f t="shared" si="49"/>
        <v>-2</v>
      </c>
      <c r="U79" s="1369">
        <f t="shared" si="49"/>
        <v>-1</v>
      </c>
      <c r="V79" s="1369">
        <f t="shared" si="49"/>
        <v>-1</v>
      </c>
      <c r="W79" s="1369">
        <f t="shared" si="49"/>
        <v>-1</v>
      </c>
      <c r="X79" s="1369">
        <f t="shared" si="49"/>
        <v>-0.6</v>
      </c>
      <c r="Y79" s="1369">
        <f t="shared" si="49"/>
        <v>-0.6</v>
      </c>
      <c r="Z79" s="1369">
        <f t="shared" si="49"/>
        <v>-0.6</v>
      </c>
      <c r="AA79" s="1369">
        <f t="shared" si="49"/>
        <v>-0.6</v>
      </c>
      <c r="AB79" s="1284"/>
      <c r="AC79" s="1284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</row>
    <row r="80" spans="1:52" ht="4.5" customHeight="1">
      <c r="B80" s="1"/>
      <c r="C80" s="1"/>
      <c r="D80" s="1"/>
      <c r="E80" s="1"/>
      <c r="F80" s="1"/>
      <c r="G80" s="1"/>
      <c r="H80" s="1"/>
      <c r="I80" s="1"/>
      <c r="J80" s="1"/>
      <c r="K80" s="455"/>
      <c r="L80" s="454"/>
      <c r="M80" s="454"/>
      <c r="N80" s="454"/>
      <c r="O80" s="454"/>
      <c r="P80" s="454"/>
      <c r="R80" s="334"/>
      <c r="S80" s="334"/>
      <c r="T80" s="334"/>
      <c r="U80" s="334"/>
      <c r="V80" s="334"/>
      <c r="W80" s="334"/>
      <c r="X80" s="334"/>
      <c r="Y80" s="334"/>
      <c r="Z80" s="334"/>
      <c r="AA80" s="334"/>
      <c r="AC80" s="517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</row>
    <row r="81" spans="1:54">
      <c r="A81" s="380" t="s">
        <v>63</v>
      </c>
      <c r="B81" s="518" t="s">
        <v>370</v>
      </c>
      <c r="C81" s="518"/>
      <c r="D81" s="518"/>
      <c r="E81" s="518"/>
      <c r="F81" s="518"/>
      <c r="G81" s="518"/>
      <c r="H81" s="518"/>
      <c r="I81" s="518"/>
      <c r="J81" s="518"/>
      <c r="K81" s="518"/>
      <c r="L81" s="518"/>
      <c r="M81" s="518"/>
      <c r="N81" s="518"/>
      <c r="O81" s="518"/>
      <c r="P81" s="518"/>
      <c r="Q81" s="518"/>
      <c r="R81" s="518"/>
      <c r="S81" s="518"/>
      <c r="T81" s="518"/>
      <c r="U81" s="518"/>
      <c r="V81" s="518"/>
      <c r="W81" s="518"/>
      <c r="X81" s="518"/>
      <c r="Y81" s="518"/>
      <c r="Z81" s="518"/>
      <c r="AA81" s="518"/>
      <c r="AC81" s="517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</row>
    <row r="82" spans="1:54" ht="6" customHeight="1" outlineLevel="1">
      <c r="B82" s="1"/>
      <c r="C82" s="1"/>
      <c r="D82" s="1"/>
      <c r="E82" s="1"/>
      <c r="F82" s="1"/>
      <c r="G82" s="1"/>
      <c r="H82" s="1"/>
      <c r="I82" s="1"/>
      <c r="J82" s="1"/>
      <c r="K82" s="455"/>
      <c r="L82" s="455"/>
      <c r="M82" s="455"/>
      <c r="N82" s="455"/>
      <c r="O82" s="455"/>
      <c r="P82" s="455"/>
      <c r="AC82" s="517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</row>
    <row r="83" spans="1:54" outlineLevel="1">
      <c r="B83" s="391" t="s">
        <v>375</v>
      </c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470"/>
      <c r="Q83" s="470"/>
      <c r="R83" s="470"/>
      <c r="S83" s="470"/>
      <c r="T83" s="470"/>
      <c r="U83" s="470"/>
      <c r="V83" s="470"/>
      <c r="W83" s="470"/>
      <c r="X83" s="470"/>
      <c r="Y83" s="470"/>
      <c r="Z83" s="470"/>
      <c r="AA83" s="470"/>
      <c r="AC83" s="517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</row>
    <row r="84" spans="1:54" customFormat="1" ht="6" customHeight="1" outlineLevel="2">
      <c r="A84" s="380"/>
      <c r="D84" s="517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</row>
    <row r="85" spans="1:54" s="1" customFormat="1" outlineLevel="2">
      <c r="A85" s="6"/>
      <c r="B85" s="241" t="str">
        <f>units</f>
        <v>($ '000)</v>
      </c>
      <c r="C85" s="150"/>
      <c r="D85" s="150"/>
      <c r="E85" s="150"/>
      <c r="F85" s="517"/>
      <c r="G85" s="517"/>
      <c r="H85" s="517"/>
      <c r="I85" s="517"/>
      <c r="J85" s="380"/>
      <c r="K85" s="517"/>
      <c r="L85" s="517"/>
      <c r="M85" s="517"/>
      <c r="N85" s="517"/>
      <c r="O85" s="460"/>
      <c r="P85" s="471"/>
      <c r="Q85" s="460"/>
      <c r="R85" s="460"/>
    </row>
    <row r="86" spans="1:54" s="1" customFormat="1" ht="4" customHeight="1" outlineLevel="2">
      <c r="A86" s="6"/>
      <c r="B86" s="241"/>
      <c r="C86" s="150"/>
      <c r="D86" s="150"/>
      <c r="E86" s="150"/>
      <c r="F86" s="517"/>
      <c r="G86" s="517"/>
      <c r="H86" s="517"/>
      <c r="I86" s="517"/>
      <c r="J86" s="380"/>
      <c r="K86" s="517"/>
      <c r="L86" s="517"/>
      <c r="M86" s="517"/>
      <c r="N86" s="517"/>
      <c r="O86" s="460"/>
      <c r="P86" s="471"/>
      <c r="Q86" s="460"/>
      <c r="R86" s="460"/>
    </row>
    <row r="87" spans="1:54" s="1" customFormat="1" outlineLevel="2">
      <c r="A87" s="6"/>
      <c r="B87" s="954" t="s">
        <v>340</v>
      </c>
      <c r="C87" s="475"/>
      <c r="D87" s="475"/>
      <c r="E87" s="153"/>
      <c r="F87" s="517"/>
      <c r="G87" s="473"/>
      <c r="H87" s="488"/>
      <c r="I87" s="517"/>
      <c r="J87" s="517"/>
      <c r="K87" s="483">
        <v>407.10700000000003</v>
      </c>
      <c r="L87" s="483">
        <v>421.88</v>
      </c>
      <c r="M87" s="483">
        <v>376.084</v>
      </c>
      <c r="N87" s="483">
        <v>390.74</v>
      </c>
      <c r="O87" s="483">
        <v>497.65946000000002</v>
      </c>
      <c r="P87" s="483">
        <v>513.36680999999999</v>
      </c>
      <c r="Q87" s="460"/>
      <c r="R87" s="522">
        <f ca="1">R$126</f>
        <v>512.22298047374989</v>
      </c>
      <c r="S87" s="522">
        <f t="shared" ref="S87:AA87" ca="1" si="50">S$126</f>
        <v>511.09642821826247</v>
      </c>
      <c r="T87" s="522">
        <f t="shared" ca="1" si="50"/>
        <v>509.9868091174003</v>
      </c>
      <c r="U87" s="522">
        <f t="shared" ca="1" si="50"/>
        <v>508.89378597811964</v>
      </c>
      <c r="V87" s="522">
        <f t="shared" ca="1" si="50"/>
        <v>507.8170283911457</v>
      </c>
      <c r="W87" s="522">
        <f t="shared" ca="1" si="50"/>
        <v>506.75621259444955</v>
      </c>
      <c r="X87" s="522">
        <f t="shared" ca="1" si="50"/>
        <v>505.71102133947488</v>
      </c>
      <c r="Y87" s="522">
        <f t="shared" ca="1" si="50"/>
        <v>504.68114376005417</v>
      </c>
      <c r="Z87" s="522">
        <f t="shared" ca="1" si="50"/>
        <v>503.66627524396625</v>
      </c>
      <c r="AA87" s="522">
        <f t="shared" ca="1" si="50"/>
        <v>502.66611730707581</v>
      </c>
    </row>
    <row r="88" spans="1:54" s="1" customFormat="1" outlineLevel="2">
      <c r="A88" s="6"/>
      <c r="B88" s="954" t="s">
        <v>333</v>
      </c>
      <c r="C88" s="294"/>
      <c r="D88" s="294"/>
      <c r="F88" s="517"/>
      <c r="G88" s="517"/>
      <c r="H88" s="517"/>
      <c r="I88" s="517"/>
      <c r="J88" s="488"/>
      <c r="K88" s="483">
        <v>823.48</v>
      </c>
      <c r="L88" s="483">
        <v>836.09100000000001</v>
      </c>
      <c r="M88" s="483">
        <v>765.18700000000001</v>
      </c>
      <c r="N88" s="483">
        <v>781.72799999999995</v>
      </c>
      <c r="O88" s="483">
        <v>759.47345999999993</v>
      </c>
      <c r="P88" s="483">
        <v>735.87026999999978</v>
      </c>
      <c r="Q88" s="460"/>
      <c r="R88" s="522">
        <f t="shared" ref="R88:AA88" ca="1" si="51">R$185/$B$10</f>
        <v>747.1612621375001</v>
      </c>
      <c r="S88" s="522">
        <f t="shared" ca="1" si="51"/>
        <v>762.10448738025013</v>
      </c>
      <c r="T88" s="522">
        <f t="shared" ca="1" si="51"/>
        <v>777.3465771278552</v>
      </c>
      <c r="U88" s="522">
        <f t="shared" ca="1" si="51"/>
        <v>792.8935086704123</v>
      </c>
      <c r="V88" s="522">
        <f t="shared" ca="1" si="51"/>
        <v>808.75137884382059</v>
      </c>
      <c r="W88" s="522">
        <f t="shared" ca="1" si="51"/>
        <v>824.92640642069705</v>
      </c>
      <c r="X88" s="522">
        <f t="shared" ca="1" si="51"/>
        <v>841.42493454911096</v>
      </c>
      <c r="Y88" s="522">
        <f t="shared" ca="1" si="51"/>
        <v>858.25343324009327</v>
      </c>
      <c r="Z88" s="522">
        <f t="shared" ca="1" si="51"/>
        <v>875.41850190489504</v>
      </c>
      <c r="AA88" s="522">
        <f t="shared" ca="1" si="51"/>
        <v>892.92687194299299</v>
      </c>
    </row>
    <row r="89" spans="1:54" s="1" customFormat="1" outlineLevel="2">
      <c r="A89" s="6"/>
      <c r="B89" s="954" t="s">
        <v>332</v>
      </c>
      <c r="C89" s="294"/>
      <c r="D89" s="294"/>
      <c r="F89" s="517"/>
      <c r="G89" s="517"/>
      <c r="H89" s="517"/>
      <c r="I89" s="517"/>
      <c r="J89" s="517"/>
      <c r="K89" s="483">
        <v>160.61799999999999</v>
      </c>
      <c r="L89" s="483">
        <v>163.56800000000001</v>
      </c>
      <c r="M89" s="483">
        <v>100.133</v>
      </c>
      <c r="N89" s="483">
        <v>130.81100000000001</v>
      </c>
      <c r="O89" s="483">
        <v>139.73611</v>
      </c>
      <c r="P89" s="483">
        <v>138.74717999999999</v>
      </c>
      <c r="Q89" s="460"/>
      <c r="R89" s="522">
        <f t="shared" ref="R89:AA89" si="52">R$267/$B$10</f>
        <v>139.71731879968542</v>
      </c>
      <c r="S89" s="522">
        <f t="shared" si="52"/>
        <v>142.27002680625</v>
      </c>
      <c r="T89" s="522">
        <f t="shared" si="52"/>
        <v>145.11542734237497</v>
      </c>
      <c r="U89" s="522">
        <f t="shared" si="52"/>
        <v>148.01773588922251</v>
      </c>
      <c r="V89" s="522">
        <f t="shared" si="52"/>
        <v>150.97809060700695</v>
      </c>
      <c r="W89" s="522">
        <f t="shared" si="52"/>
        <v>153.99765241914707</v>
      </c>
      <c r="X89" s="522">
        <f t="shared" si="52"/>
        <v>157.07760546753002</v>
      </c>
      <c r="Y89" s="522">
        <f t="shared" si="52"/>
        <v>160.21915757688063</v>
      </c>
      <c r="Z89" s="522">
        <f t="shared" si="52"/>
        <v>163.42354072841823</v>
      </c>
      <c r="AA89" s="522">
        <f t="shared" si="52"/>
        <v>166.69201154298662</v>
      </c>
    </row>
    <row r="90" spans="1:54" s="1" customFormat="1" outlineLevel="2">
      <c r="A90" s="6"/>
      <c r="B90" s="954" t="s">
        <v>395</v>
      </c>
      <c r="C90" s="375"/>
      <c r="D90" s="294"/>
      <c r="F90" s="517"/>
      <c r="G90" s="517"/>
      <c r="H90" s="517"/>
      <c r="I90" s="517"/>
      <c r="J90" s="517"/>
      <c r="K90" s="483">
        <v>82.329340000000002</v>
      </c>
      <c r="L90" s="483">
        <v>82.286339999999996</v>
      </c>
      <c r="M90" s="483">
        <v>73.323149999999998</v>
      </c>
      <c r="N90" s="483">
        <v>78.118250000000003</v>
      </c>
      <c r="O90" s="483">
        <v>76.550290000000004</v>
      </c>
      <c r="P90" s="483">
        <v>79.787000000000006</v>
      </c>
      <c r="Q90" s="460"/>
      <c r="R90" s="522">
        <f t="shared" ref="R90:AA90" ca="1" si="53">SUM(R$195,R$277)/$B$10</f>
        <v>79.316343291735819</v>
      </c>
      <c r="S90" s="522">
        <f t="shared" ca="1" si="53"/>
        <v>80.880956733558406</v>
      </c>
      <c r="T90" s="522">
        <f t="shared" ca="1" si="53"/>
        <v>82.49857586822958</v>
      </c>
      <c r="U90" s="522">
        <f t="shared" ca="1" si="53"/>
        <v>84.148547385594185</v>
      </c>
      <c r="V90" s="522">
        <f t="shared" ca="1" si="53"/>
        <v>85.83151833330605</v>
      </c>
      <c r="W90" s="522">
        <f t="shared" ca="1" si="53"/>
        <v>87.548148699972188</v>
      </c>
      <c r="X90" s="522">
        <f t="shared" ca="1" si="53"/>
        <v>89.299111673971623</v>
      </c>
      <c r="Y90" s="522">
        <f t="shared" ca="1" si="53"/>
        <v>91.085093907451068</v>
      </c>
      <c r="Z90" s="522">
        <f t="shared" ca="1" si="53"/>
        <v>92.906795785600082</v>
      </c>
      <c r="AA90" s="522">
        <f t="shared" ca="1" si="53"/>
        <v>94.764931701312094</v>
      </c>
    </row>
    <row r="91" spans="1:54" s="1" customFormat="1" outlineLevel="2">
      <c r="A91" s="6"/>
      <c r="B91" s="955" t="s">
        <v>374</v>
      </c>
      <c r="C91" s="375"/>
      <c r="D91" s="375"/>
      <c r="E91" s="294"/>
      <c r="F91" s="517"/>
      <c r="G91" s="517"/>
      <c r="H91" s="517"/>
      <c r="I91" s="517"/>
      <c r="J91" s="517"/>
      <c r="K91" s="577">
        <f>K$306</f>
        <v>95.251000000000005</v>
      </c>
      <c r="L91" s="577">
        <f t="shared" ref="L91:P91" si="54">L$306</f>
        <v>187.20849999999999</v>
      </c>
      <c r="M91" s="577">
        <f t="shared" si="54"/>
        <v>171.26949999999999</v>
      </c>
      <c r="N91" s="577">
        <f t="shared" si="54"/>
        <v>143.98400000000001</v>
      </c>
      <c r="O91" s="577">
        <f t="shared" si="54"/>
        <v>105.13378</v>
      </c>
      <c r="P91" s="577">
        <f t="shared" si="54"/>
        <v>98.897520000000014</v>
      </c>
      <c r="Q91" s="460"/>
      <c r="R91" s="577">
        <f t="shared" ref="R91:AA91" ca="1" si="55">R$317</f>
        <v>135.82857404999999</v>
      </c>
      <c r="S91" s="577">
        <f t="shared" ca="1" si="55"/>
        <v>135.74368119121871</v>
      </c>
      <c r="T91" s="577">
        <f t="shared" ca="1" si="55"/>
        <v>135.65884139047421</v>
      </c>
      <c r="U91" s="577">
        <f t="shared" ca="1" si="55"/>
        <v>135.57405461460513</v>
      </c>
      <c r="V91" s="577">
        <f t="shared" ca="1" si="55"/>
        <v>135.489320830471</v>
      </c>
      <c r="W91" s="577">
        <f t="shared" ca="1" si="55"/>
        <v>135.40464000495194</v>
      </c>
      <c r="X91" s="577">
        <f t="shared" ca="1" si="55"/>
        <v>135.32001210494883</v>
      </c>
      <c r="Y91" s="577">
        <f t="shared" ca="1" si="55"/>
        <v>135.2354370973832</v>
      </c>
      <c r="Z91" s="577">
        <f t="shared" ca="1" si="55"/>
        <v>135.1509149491973</v>
      </c>
      <c r="AA91" s="577">
        <f t="shared" ca="1" si="55"/>
        <v>135.06644562735406</v>
      </c>
    </row>
    <row r="92" spans="1:54" s="1" customFormat="1" outlineLevel="2">
      <c r="A92" s="6"/>
      <c r="B92" s="639" t="s">
        <v>376</v>
      </c>
      <c r="C92" s="583"/>
      <c r="D92" s="583"/>
      <c r="E92" s="583"/>
      <c r="F92" s="517"/>
      <c r="G92" s="517"/>
      <c r="H92" s="517"/>
      <c r="I92" s="517"/>
      <c r="J92" s="517"/>
      <c r="K92" s="640">
        <f t="shared" ref="K92:P92" si="56">SUM(K$87:K$91)</f>
        <v>1568.7853399999999</v>
      </c>
      <c r="L92" s="640">
        <f t="shared" si="56"/>
        <v>1691.0338399999998</v>
      </c>
      <c r="M92" s="640">
        <f t="shared" si="56"/>
        <v>1485.99665</v>
      </c>
      <c r="N92" s="640">
        <f t="shared" si="56"/>
        <v>1525.3812499999997</v>
      </c>
      <c r="O92" s="640">
        <f t="shared" si="56"/>
        <v>1578.5531000000001</v>
      </c>
      <c r="P92" s="640">
        <f t="shared" si="56"/>
        <v>1566.66878</v>
      </c>
      <c r="Q92" s="460"/>
      <c r="R92" s="640">
        <f t="shared" ref="R92:AA92" ca="1" si="57">SUM(R$87:R$91)</f>
        <v>1614.2464787526715</v>
      </c>
      <c r="S92" s="640">
        <f t="shared" ca="1" si="57"/>
        <v>1632.0955803295396</v>
      </c>
      <c r="T92" s="640">
        <f t="shared" ca="1" si="57"/>
        <v>1650.6062308463343</v>
      </c>
      <c r="U92" s="640">
        <f t="shared" ca="1" si="57"/>
        <v>1669.5276325379537</v>
      </c>
      <c r="V92" s="640">
        <f t="shared" ca="1" si="57"/>
        <v>1688.8673370057504</v>
      </c>
      <c r="W92" s="640">
        <f t="shared" ca="1" si="57"/>
        <v>1708.6330601392178</v>
      </c>
      <c r="X92" s="640">
        <f t="shared" ca="1" si="57"/>
        <v>1728.8326851350362</v>
      </c>
      <c r="Y92" s="640">
        <f t="shared" ca="1" si="57"/>
        <v>1749.4742655818623</v>
      </c>
      <c r="Z92" s="640">
        <f t="shared" ca="1" si="57"/>
        <v>1770.5660286120769</v>
      </c>
      <c r="AA92" s="640">
        <f t="shared" ca="1" si="57"/>
        <v>1792.1163781217217</v>
      </c>
    </row>
    <row r="93" spans="1:54" s="1" customFormat="1" outlineLevel="2">
      <c r="A93" s="6"/>
      <c r="B93" s="546" t="s">
        <v>385</v>
      </c>
      <c r="C93" s="379"/>
      <c r="D93" s="379"/>
      <c r="E93" s="379"/>
      <c r="F93" s="571"/>
      <c r="G93" s="497"/>
      <c r="H93" s="497"/>
      <c r="I93" s="587"/>
      <c r="J93" s="587"/>
      <c r="K93" s="490">
        <f t="shared" ref="K93:P93" si="58">K$92/K$51</f>
        <v>0.57244451563983534</v>
      </c>
      <c r="L93" s="490">
        <f t="shared" si="58"/>
        <v>0.56813515634659106</v>
      </c>
      <c r="M93" s="490">
        <f t="shared" si="58"/>
        <v>0.55478542710547329</v>
      </c>
      <c r="N93" s="490">
        <f t="shared" si="58"/>
        <v>0.54734921337767484</v>
      </c>
      <c r="O93" s="490">
        <f t="shared" si="58"/>
        <v>0.57231796387103795</v>
      </c>
      <c r="P93" s="490">
        <f t="shared" si="58"/>
        <v>0.56559644411198651</v>
      </c>
      <c r="Q93" s="490"/>
      <c r="R93" s="490">
        <f t="shared" ref="R93:AA93" ca="1" si="59">R$92/R$51</f>
        <v>0.56925311306022297</v>
      </c>
      <c r="S93" s="490">
        <f t="shared" ca="1" si="59"/>
        <v>0.56219533882551509</v>
      </c>
      <c r="T93" s="490">
        <f t="shared" ca="1" si="59"/>
        <v>0.55538125461535226</v>
      </c>
      <c r="U93" s="490">
        <f t="shared" ca="1" si="59"/>
        <v>0.5487157597096598</v>
      </c>
      <c r="V93" s="490">
        <f t="shared" ca="1" si="59"/>
        <v>0.54219491966922406</v>
      </c>
      <c r="W93" s="490">
        <f t="shared" ca="1" si="59"/>
        <v>0.53581491432476347</v>
      </c>
      <c r="X93" s="490">
        <f t="shared" ca="1" si="59"/>
        <v>0.52957203416049681</v>
      </c>
      <c r="Y93" s="490">
        <f t="shared" ca="1" si="59"/>
        <v>0.52346267682225145</v>
      </c>
      <c r="Z93" s="490">
        <f t="shared" ca="1" si="59"/>
        <v>0.51748334374550176</v>
      </c>
      <c r="AA93" s="490">
        <f t="shared" ca="1" si="59"/>
        <v>0.51163063689890431</v>
      </c>
    </row>
    <row r="94" spans="1:54" ht="5.25" customHeight="1" outlineLevel="1">
      <c r="P94" s="517"/>
      <c r="AC94"/>
      <c r="AD94" s="517"/>
      <c r="AE94" s="517"/>
      <c r="AF94" s="517"/>
      <c r="AG94" s="517"/>
      <c r="AH94" s="517"/>
      <c r="AI94" s="517"/>
      <c r="AJ94" s="517"/>
      <c r="AK94" s="517"/>
      <c r="AL94" s="517"/>
      <c r="AM94" s="517"/>
      <c r="AN94" s="517"/>
      <c r="AO94" s="517"/>
      <c r="AP94" s="517"/>
    </row>
    <row r="95" spans="1:54" outlineLevel="1">
      <c r="B95" s="391" t="s">
        <v>340</v>
      </c>
      <c r="C95" s="389"/>
      <c r="D95" s="389"/>
      <c r="E95" s="389"/>
      <c r="F95" s="389"/>
      <c r="G95" s="389"/>
      <c r="H95" s="389"/>
      <c r="I95" s="389"/>
      <c r="J95" s="389"/>
      <c r="K95" s="389"/>
      <c r="L95" s="389"/>
      <c r="M95" s="389"/>
      <c r="N95" s="389"/>
      <c r="O95" s="389"/>
      <c r="P95" s="470"/>
      <c r="Q95" s="470"/>
      <c r="R95" s="470"/>
      <c r="S95" s="470"/>
      <c r="T95" s="470"/>
      <c r="U95" s="470"/>
      <c r="V95" s="470"/>
      <c r="W95" s="470"/>
      <c r="X95" s="470"/>
      <c r="Y95" s="470"/>
      <c r="Z95" s="470"/>
      <c r="AA95" s="470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</row>
    <row r="96" spans="1:54" ht="5" customHeight="1" outlineLevel="2">
      <c r="P96" s="517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</row>
    <row r="97" spans="1:54" hidden="1" outlineLevel="2" collapsed="1">
      <c r="B97" s="293" t="s">
        <v>701</v>
      </c>
      <c r="P97" s="51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</row>
    <row r="98" spans="1:54" ht="4" hidden="1" customHeight="1" outlineLevel="3">
      <c r="B98" s="293"/>
      <c r="P98" s="517"/>
      <c r="AC98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</row>
    <row r="99" spans="1:54" hidden="1" outlineLevel="3">
      <c r="B99" s="241" t="str">
        <f>units</f>
        <v>($ '000)</v>
      </c>
      <c r="G99"/>
      <c r="H99"/>
      <c r="I99"/>
      <c r="P99" s="517"/>
      <c r="AC99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</row>
    <row r="100" spans="1:54" ht="2" hidden="1" customHeight="1" outlineLevel="3">
      <c r="G100"/>
      <c r="H100"/>
      <c r="I100"/>
      <c r="P100" s="517"/>
      <c r="AC100" s="517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</row>
    <row r="101" spans="1:54" s="1" customFormat="1" hidden="1" outlineLevel="3">
      <c r="A101" s="6"/>
      <c r="B101" s="840" t="s">
        <v>826</v>
      </c>
      <c r="C101" s="840"/>
      <c r="D101" s="840"/>
      <c r="E101" s="650"/>
      <c r="F101" s="517"/>
      <c r="G101"/>
      <c r="H101"/>
      <c r="I101"/>
      <c r="J101" s="517"/>
      <c r="K101"/>
      <c r="L101" s="842">
        <v>194.45497999999998</v>
      </c>
      <c r="M101" s="842">
        <v>162.22613000000004</v>
      </c>
      <c r="N101" s="842">
        <v>132.09719000000001</v>
      </c>
      <c r="O101" s="842">
        <v>198.49047999999999</v>
      </c>
      <c r="P101" s="843">
        <v>205.66354999999999</v>
      </c>
      <c r="Q101" s="460"/>
      <c r="R101"/>
      <c r="S101"/>
      <c r="T101"/>
      <c r="U101"/>
      <c r="V101"/>
      <c r="W101"/>
      <c r="X101"/>
      <c r="Y101"/>
      <c r="Z101"/>
      <c r="AA101"/>
      <c r="AD101" s="3" t="s">
        <v>591</v>
      </c>
      <c r="AE101" s="3"/>
      <c r="AF101" s="3"/>
      <c r="AG101" s="3"/>
      <c r="AH101" s="3"/>
      <c r="AI101" s="3"/>
      <c r="AJ101" s="3"/>
      <c r="AL101" s="3"/>
      <c r="AM101" s="3"/>
      <c r="AN101" s="3"/>
      <c r="AO101" s="3"/>
      <c r="AP101" s="3" t="s">
        <v>589</v>
      </c>
      <c r="AQ101" s="3"/>
      <c r="AR101" s="3"/>
      <c r="AS101" s="3"/>
      <c r="AU101" s="3"/>
      <c r="AV101" s="3"/>
      <c r="AW101" s="3"/>
      <c r="AX101" s="3"/>
      <c r="AY101" s="3"/>
    </row>
    <row r="102" spans="1:54" s="3" customFormat="1" hidden="1" outlineLevel="3">
      <c r="A102" s="168"/>
      <c r="B102" s="495" t="s">
        <v>827</v>
      </c>
      <c r="C102" s="150"/>
      <c r="D102" s="150"/>
      <c r="E102" s="150"/>
      <c r="F102" s="442"/>
      <c r="G102"/>
      <c r="H102"/>
      <c r="I102"/>
      <c r="J102" s="488"/>
      <c r="K102"/>
      <c r="L102" s="483">
        <v>46.337810000000012</v>
      </c>
      <c r="M102" s="483">
        <v>41.26099</v>
      </c>
      <c r="N102" s="483">
        <v>45.860740000000007</v>
      </c>
      <c r="O102" s="483">
        <v>58.654449999999997</v>
      </c>
      <c r="P102" s="492">
        <v>50.499529999999993</v>
      </c>
      <c r="Q102" s="485"/>
      <c r="R102"/>
      <c r="S102"/>
      <c r="T102"/>
      <c r="U102"/>
      <c r="V102"/>
      <c r="W102"/>
      <c r="X102"/>
      <c r="Y102"/>
      <c r="Z102"/>
      <c r="AA102"/>
    </row>
    <row r="103" spans="1:54" s="1" customFormat="1" hidden="1" outlineLevel="3">
      <c r="A103" s="6"/>
      <c r="B103" s="840" t="s">
        <v>828</v>
      </c>
      <c r="C103" s="840"/>
      <c r="D103" s="840"/>
      <c r="E103" s="650"/>
      <c r="F103" s="517"/>
      <c r="G103"/>
      <c r="H103"/>
      <c r="I103"/>
      <c r="J103" s="517"/>
      <c r="K103"/>
      <c r="L103" s="842">
        <v>21.58914</v>
      </c>
      <c r="M103" s="842">
        <v>40.079009999999997</v>
      </c>
      <c r="N103" s="842">
        <v>39.592110000000005</v>
      </c>
      <c r="O103" s="842">
        <v>51.991080000000004</v>
      </c>
      <c r="P103" s="843">
        <v>57.947800000000008</v>
      </c>
      <c r="Q103" s="460"/>
      <c r="R103"/>
      <c r="S103"/>
      <c r="T103"/>
      <c r="U103"/>
      <c r="V103"/>
      <c r="W103"/>
      <c r="X103"/>
      <c r="Y103"/>
      <c r="Z103"/>
      <c r="AA103"/>
      <c r="AD103" s="159" t="s">
        <v>590</v>
      </c>
      <c r="AE103" s="159"/>
      <c r="AF103" s="159"/>
      <c r="AG103" s="159"/>
      <c r="AH103" s="159"/>
      <c r="AI103" s="159"/>
      <c r="AJ103" s="159"/>
      <c r="AK103" s="159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</row>
    <row r="104" spans="1:54" s="3" customFormat="1" hidden="1" outlineLevel="3">
      <c r="A104" s="168"/>
      <c r="B104" s="495" t="s">
        <v>829</v>
      </c>
      <c r="C104" s="150"/>
      <c r="D104" s="150"/>
      <c r="E104" s="150"/>
      <c r="F104" s="442"/>
      <c r="G104"/>
      <c r="H104"/>
      <c r="I104"/>
      <c r="J104" s="488"/>
      <c r="K104"/>
      <c r="L104" s="483">
        <v>75.070780000000013</v>
      </c>
      <c r="M104" s="483">
        <v>34.242499999999993</v>
      </c>
      <c r="N104" s="483">
        <v>42.756439999999998</v>
      </c>
      <c r="O104" s="483">
        <v>34.909109999999984</v>
      </c>
      <c r="P104" s="492">
        <v>35.351449999999986</v>
      </c>
      <c r="Q104" s="485"/>
      <c r="R104"/>
      <c r="S104"/>
      <c r="T104"/>
      <c r="U104"/>
      <c r="V104"/>
      <c r="W104"/>
      <c r="X104"/>
      <c r="Y104"/>
      <c r="Z104"/>
      <c r="AA104"/>
      <c r="AD104" s="1513">
        <v>2008</v>
      </c>
      <c r="AE104" s="1513">
        <v>2009</v>
      </c>
      <c r="AF104" s="1514">
        <v>2016</v>
      </c>
      <c r="AG104" s="1514">
        <v>2017</v>
      </c>
      <c r="AH104" s="1514">
        <v>2018</v>
      </c>
      <c r="AI104" s="1514">
        <v>2019</v>
      </c>
      <c r="AJ104" s="1514">
        <v>2020</v>
      </c>
      <c r="AK104" s="1514">
        <v>2021</v>
      </c>
    </row>
    <row r="105" spans="1:54" s="1" customFormat="1" hidden="1" outlineLevel="3">
      <c r="A105" s="6"/>
      <c r="B105" s="840" t="s">
        <v>830</v>
      </c>
      <c r="C105" s="840"/>
      <c r="D105" s="840"/>
      <c r="E105" s="650"/>
      <c r="F105" s="517"/>
      <c r="G105"/>
      <c r="H105"/>
      <c r="I105"/>
      <c r="J105" s="517"/>
      <c r="K105"/>
      <c r="L105" s="842">
        <v>28.307510000000015</v>
      </c>
      <c r="M105" s="842">
        <v>25.74577</v>
      </c>
      <c r="N105" s="842">
        <v>26.470669999999991</v>
      </c>
      <c r="O105" s="842">
        <v>26.835219999999989</v>
      </c>
      <c r="P105" s="843">
        <v>25.594629999999984</v>
      </c>
      <c r="Q105" s="460"/>
      <c r="R105"/>
      <c r="S105"/>
      <c r="T105"/>
      <c r="U105"/>
      <c r="V105"/>
      <c r="W105"/>
      <c r="X105"/>
      <c r="Y105"/>
      <c r="Z105"/>
      <c r="AA105"/>
      <c r="AD105" s="981">
        <v>0.16827605884519811</v>
      </c>
      <c r="AE105" s="981">
        <v>0.15038094758737097</v>
      </c>
      <c r="AF105" s="980">
        <v>0.13504261494224953</v>
      </c>
      <c r="AG105" s="980">
        <v>0.14855198062252828</v>
      </c>
      <c r="AH105" s="980">
        <v>0.14173865365077487</v>
      </c>
      <c r="AI105" s="980">
        <v>0.14040807061545854</v>
      </c>
      <c r="AJ105" s="980">
        <v>0.14020837848583276</v>
      </c>
      <c r="AK105" s="980">
        <v>0.18043070508579043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</row>
    <row r="106" spans="1:54" s="3" customFormat="1" hidden="1" outlineLevel="3">
      <c r="A106" s="168"/>
      <c r="B106" s="495" t="s">
        <v>831</v>
      </c>
      <c r="C106" s="517"/>
      <c r="D106" s="517"/>
      <c r="E106" s="489"/>
      <c r="F106" s="442"/>
      <c r="G106"/>
      <c r="H106"/>
      <c r="I106"/>
      <c r="J106" s="488"/>
      <c r="K106"/>
      <c r="L106" s="483">
        <v>0.59302999999999995</v>
      </c>
      <c r="M106" s="483">
        <v>17.183140000000002</v>
      </c>
      <c r="N106" s="483">
        <v>19.700209999999998</v>
      </c>
      <c r="O106" s="483">
        <v>18.920060000000003</v>
      </c>
      <c r="P106" s="492">
        <v>13.933330000000002</v>
      </c>
      <c r="Q106" s="485"/>
      <c r="R106"/>
      <c r="S106"/>
      <c r="T106"/>
      <c r="U106"/>
      <c r="V106"/>
      <c r="W106"/>
      <c r="X106"/>
      <c r="Y106"/>
      <c r="Z106"/>
      <c r="AA106"/>
    </row>
    <row r="107" spans="1:54" s="1" customFormat="1" hidden="1" outlineLevel="3">
      <c r="A107" s="6"/>
      <c r="B107" s="840" t="s">
        <v>832</v>
      </c>
      <c r="C107" s="840"/>
      <c r="D107" s="840"/>
      <c r="E107" s="650"/>
      <c r="F107" s="517"/>
      <c r="G107"/>
      <c r="H107"/>
      <c r="I107"/>
      <c r="J107" s="517"/>
      <c r="K107"/>
      <c r="L107" s="842">
        <v>14.063350000000002</v>
      </c>
      <c r="M107" s="842">
        <v>14.695230000000009</v>
      </c>
      <c r="N107" s="842">
        <v>16.823780000000003</v>
      </c>
      <c r="O107" s="842">
        <v>16.526599999999998</v>
      </c>
      <c r="P107" s="843">
        <v>16.609229999999997</v>
      </c>
      <c r="Q107" s="460"/>
      <c r="R107"/>
      <c r="S107"/>
      <c r="T107"/>
      <c r="U107"/>
      <c r="V107"/>
      <c r="W107"/>
      <c r="X107"/>
      <c r="Y107"/>
      <c r="Z107"/>
      <c r="AA107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</row>
    <row r="108" spans="1:54" s="3" customFormat="1" hidden="1" outlineLevel="3">
      <c r="A108" s="168"/>
      <c r="B108" s="495" t="s">
        <v>833</v>
      </c>
      <c r="C108" s="517"/>
      <c r="D108" s="517"/>
      <c r="E108" s="489"/>
      <c r="F108" s="442"/>
      <c r="G108"/>
      <c r="H108"/>
      <c r="I108"/>
      <c r="J108" s="488"/>
      <c r="K108"/>
      <c r="L108" s="483">
        <v>6.2652099999999997</v>
      </c>
      <c r="M108" s="483">
        <v>10.134690000000001</v>
      </c>
      <c r="N108" s="483">
        <v>9.9154199999999992</v>
      </c>
      <c r="O108" s="483">
        <v>13.645109999999999</v>
      </c>
      <c r="P108" s="492">
        <v>11.98105</v>
      </c>
      <c r="Q108" s="485"/>
      <c r="R108"/>
      <c r="S108"/>
      <c r="T108"/>
      <c r="U108"/>
      <c r="V108"/>
      <c r="W108"/>
      <c r="X108"/>
      <c r="Y108"/>
      <c r="Z108"/>
      <c r="AA108"/>
    </row>
    <row r="109" spans="1:54" s="3" customFormat="1" hidden="1" outlineLevel="3">
      <c r="A109" s="168"/>
      <c r="B109" s="840" t="s">
        <v>558</v>
      </c>
      <c r="C109" s="840"/>
      <c r="D109" s="840"/>
      <c r="E109" s="650"/>
      <c r="F109" s="517"/>
      <c r="G109" s="517"/>
      <c r="H109" s="517"/>
      <c r="I109" s="517"/>
      <c r="J109" s="517"/>
      <c r="K109" s="517"/>
      <c r="L109" s="842" cm="1">
        <f t="array" ref="L109">SUM(-L101:L108,L110)</f>
        <v>35.198189999999897</v>
      </c>
      <c r="M109" s="842" cm="1">
        <f t="array" ref="M109">SUM(-M101:M108,M110)</f>
        <v>30.51654000000002</v>
      </c>
      <c r="N109" s="842" cm="1">
        <f t="array" ref="N109">SUM(-N101:N108,N110)</f>
        <v>57.523440000000051</v>
      </c>
      <c r="O109" s="842" cm="1">
        <f t="array" ref="O109">SUM(-O101:O108,O110)</f>
        <v>77.687350000000094</v>
      </c>
      <c r="P109" s="843" cm="1">
        <f t="array" ref="P109">SUM(-P101:P108,P110)</f>
        <v>95.786240000000021</v>
      </c>
      <c r="Q109" s="485"/>
      <c r="R109"/>
      <c r="S109"/>
      <c r="T109"/>
      <c r="U109"/>
      <c r="V109"/>
      <c r="W109"/>
      <c r="X109"/>
      <c r="Y109"/>
      <c r="Z109"/>
      <c r="AA109"/>
    </row>
    <row r="110" spans="1:54" s="1" customFormat="1" hidden="1" outlineLevel="3">
      <c r="A110" s="6"/>
      <c r="B110" s="464" t="str">
        <f>_xlfn.CONCAT("Total ",$B$95)</f>
        <v>Total Purchases</v>
      </c>
      <c r="C110" s="7"/>
      <c r="D110" s="7"/>
      <c r="E110" s="7"/>
      <c r="F110" s="571"/>
      <c r="G110"/>
      <c r="H110"/>
      <c r="I110"/>
      <c r="J110" s="587"/>
      <c r="K110" s="447">
        <f t="shared" ref="K110:P110" si="60">K$87</f>
        <v>407.10700000000003</v>
      </c>
      <c r="L110" s="447">
        <f t="shared" si="60"/>
        <v>421.88</v>
      </c>
      <c r="M110" s="447">
        <f t="shared" si="60"/>
        <v>376.084</v>
      </c>
      <c r="N110" s="447">
        <f t="shared" si="60"/>
        <v>390.74</v>
      </c>
      <c r="O110" s="447">
        <f t="shared" si="60"/>
        <v>497.65946000000002</v>
      </c>
      <c r="P110" s="447">
        <f t="shared" si="60"/>
        <v>513.36680999999999</v>
      </c>
      <c r="Q110" s="460"/>
      <c r="R110"/>
      <c r="S110"/>
      <c r="T110"/>
      <c r="U110"/>
      <c r="V110"/>
      <c r="W110"/>
      <c r="X110"/>
      <c r="Y110"/>
      <c r="Z110"/>
      <c r="AA110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</row>
    <row r="111" spans="1:54" s="1" customFormat="1" hidden="1" outlineLevel="3">
      <c r="A111" s="6"/>
      <c r="B111" s="546" t="s">
        <v>385</v>
      </c>
      <c r="C111" s="379"/>
      <c r="D111" s="379"/>
      <c r="E111" s="379"/>
      <c r="F111" s="571"/>
      <c r="G111" s="497"/>
      <c r="H111" s="497"/>
      <c r="I111" s="587"/>
      <c r="J111" s="587"/>
      <c r="K111" s="490">
        <f t="shared" ref="K111:P111" si="61">K$110/K$51</f>
        <v>0.14855198062252831</v>
      </c>
      <c r="L111" s="490">
        <f t="shared" si="61"/>
        <v>0.14173865365077487</v>
      </c>
      <c r="M111" s="490">
        <f t="shared" si="61"/>
        <v>0.14040807061545854</v>
      </c>
      <c r="N111" s="490">
        <f t="shared" si="61"/>
        <v>0.14020837848583276</v>
      </c>
      <c r="O111" s="490">
        <f t="shared" si="61"/>
        <v>0.18043070508579043</v>
      </c>
      <c r="P111" s="490">
        <f t="shared" si="61"/>
        <v>0.18533492590636408</v>
      </c>
      <c r="Q111" s="460"/>
      <c r="R111"/>
      <c r="S111"/>
      <c r="T111"/>
      <c r="U111"/>
      <c r="V111"/>
      <c r="W111"/>
      <c r="X111"/>
      <c r="Y111"/>
      <c r="Z111"/>
      <c r="AA111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</row>
    <row r="112" spans="1:54" s="1" customFormat="1" ht="7" hidden="1" customHeight="1" outlineLevel="2">
      <c r="A112" s="6"/>
      <c r="B112" s="546"/>
      <c r="C112" s="379"/>
      <c r="D112" s="379"/>
      <c r="E112" s="379"/>
      <c r="F112" s="571"/>
      <c r="G112" s="497"/>
      <c r="H112" s="497"/>
      <c r="I112" s="587"/>
      <c r="J112" s="587"/>
      <c r="K112" s="490"/>
      <c r="L112" s="490"/>
      <c r="M112" s="490"/>
      <c r="N112" s="490"/>
      <c r="O112" s="490"/>
      <c r="P112" s="490"/>
      <c r="Q112" s="460"/>
      <c r="R112" s="517"/>
      <c r="S112" s="517"/>
      <c r="T112" s="517"/>
      <c r="U112" s="517"/>
      <c r="V112" s="517"/>
      <c r="W112" s="517"/>
      <c r="X112" s="517"/>
      <c r="Y112" s="517"/>
      <c r="Z112" s="517"/>
      <c r="AA112" s="517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</row>
    <row r="113" spans="1:51" s="3" customFormat="1" outlineLevel="2">
      <c r="A113" s="168"/>
      <c r="B113" s="598" t="s">
        <v>592</v>
      </c>
      <c r="C113" s="379"/>
      <c r="D113" s="379"/>
      <c r="E113" s="379"/>
      <c r="F113" s="442"/>
      <c r="G113" s="497"/>
      <c r="H113" s="497"/>
      <c r="I113" s="497"/>
      <c r="J113" s="497"/>
      <c r="K113" s="508"/>
      <c r="L113" s="508"/>
      <c r="M113" s="508"/>
      <c r="N113" s="508"/>
      <c r="O113" s="508"/>
      <c r="P113" s="508"/>
      <c r="Q113" s="485"/>
      <c r="R113" s="517"/>
      <c r="S113" s="517"/>
      <c r="T113" s="517"/>
      <c r="U113" s="517"/>
      <c r="V113" s="517"/>
      <c r="W113" s="517"/>
    </row>
    <row r="114" spans="1:51" s="3" customFormat="1" ht="5" customHeight="1" outlineLevel="2">
      <c r="A114" s="168"/>
      <c r="B114" s="466"/>
      <c r="C114" s="379"/>
      <c r="D114" s="379"/>
      <c r="E114" s="379"/>
      <c r="F114" s="442"/>
      <c r="G114" s="497"/>
      <c r="H114" s="497"/>
      <c r="I114" s="497"/>
      <c r="J114" s="497"/>
      <c r="K114" s="508"/>
      <c r="L114" s="508"/>
      <c r="M114" s="508"/>
      <c r="N114" s="508"/>
      <c r="O114" s="508"/>
      <c r="P114" s="508"/>
      <c r="Q114" s="485"/>
      <c r="R114" s="517"/>
      <c r="S114" s="517"/>
      <c r="T114" s="517"/>
      <c r="U114" s="517"/>
      <c r="V114" s="517"/>
      <c r="W114" s="517"/>
    </row>
    <row r="115" spans="1:51" s="3" customFormat="1" outlineLevel="2">
      <c r="A115" s="168"/>
      <c r="B115" s="979" t="s">
        <v>583</v>
      </c>
      <c r="C115" s="970"/>
      <c r="D115" s="970"/>
      <c r="E115" s="970"/>
      <c r="F115" s="442"/>
      <c r="G115" s="497"/>
      <c r="H115" s="497"/>
      <c r="I115" s="497"/>
      <c r="J115" s="497"/>
      <c r="K115" s="508"/>
      <c r="L115" s="976">
        <f>L$101/L$124</f>
        <v>1.161237227911976</v>
      </c>
      <c r="M115" s="976">
        <f>M$101/M$54</f>
        <v>1.1204545328968274</v>
      </c>
      <c r="N115" s="976">
        <f>N$101/N$54</f>
        <v>0.81129816609549088</v>
      </c>
      <c r="O115" s="976">
        <f>O$101/O$54</f>
        <v>1.1625510580600573</v>
      </c>
      <c r="P115" s="976">
        <f>P$101/P$54</f>
        <v>1.2045634513901498</v>
      </c>
      <c r="Q115" s="485"/>
      <c r="R115" s="1510">
        <f t="shared" ref="R115:R121" ca="1" si="62">PRODUCT(P115,(1+OFFSET(R$132,(MATCH($B115,$B$133:$B$139,0)),0)))</f>
        <v>1.2346775376749033</v>
      </c>
      <c r="S115" s="977">
        <f t="shared" ref="S115:AA115" ca="1" si="63">PRODUCT(R115,(1+OFFSET(S$132,(MATCH($B115,$B$133:$B$139,0)),0)))</f>
        <v>1.2655444761167758</v>
      </c>
      <c r="T115" s="977">
        <f t="shared" ca="1" si="63"/>
        <v>1.2971830880196951</v>
      </c>
      <c r="U115" s="977">
        <f t="shared" ca="1" si="63"/>
        <v>1.3296126652201874</v>
      </c>
      <c r="V115" s="977">
        <f t="shared" ca="1" si="63"/>
        <v>1.362852981850692</v>
      </c>
      <c r="W115" s="977">
        <f t="shared" ca="1" si="63"/>
        <v>1.3969243063969592</v>
      </c>
      <c r="X115" s="977">
        <f t="shared" ca="1" si="63"/>
        <v>1.4318474140568831</v>
      </c>
      <c r="Y115" s="977">
        <f t="shared" ca="1" si="63"/>
        <v>1.467643599408305</v>
      </c>
      <c r="Z115" s="977">
        <f t="shared" ca="1" si="63"/>
        <v>1.5043346893935126</v>
      </c>
      <c r="AA115" s="977">
        <f t="shared" ca="1" si="63"/>
        <v>1.5419430566283503</v>
      </c>
    </row>
    <row r="116" spans="1:51" s="3" customFormat="1" outlineLevel="2">
      <c r="A116" s="168"/>
      <c r="B116" s="584" t="s">
        <v>584</v>
      </c>
      <c r="C116" s="379"/>
      <c r="D116" s="379"/>
      <c r="E116" s="379"/>
      <c r="F116" s="442"/>
      <c r="G116" s="497"/>
      <c r="H116" s="497"/>
      <c r="I116" s="497"/>
      <c r="J116" s="497"/>
      <c r="K116" s="508"/>
      <c r="L116" s="966">
        <f>L$103/L$54</f>
        <v>0.12892502463348363</v>
      </c>
      <c r="M116" s="966">
        <f>M$103/M$54</f>
        <v>0.27681550702415975</v>
      </c>
      <c r="N116" s="966">
        <f>N$103/N$54</f>
        <v>0.24316191915097471</v>
      </c>
      <c r="O116" s="966">
        <f>O$103/O$54</f>
        <v>0.3045097430551082</v>
      </c>
      <c r="P116" s="966">
        <f>P$103/P$54</f>
        <v>0.33939802151847587</v>
      </c>
      <c r="Q116" s="485"/>
      <c r="R116" s="1510">
        <f t="shared" ca="1" si="62"/>
        <v>0.34788297205643776</v>
      </c>
      <c r="S116" s="974">
        <f t="shared" ref="S116:AA116" ca="1" si="64">PRODUCT(R116,(1+OFFSET(S$132,(MATCH($B116,$B$133:$B$139,0)),0)))</f>
        <v>0.35658004635784868</v>
      </c>
      <c r="T116" s="974">
        <f t="shared" ca="1" si="64"/>
        <v>0.36549454751679489</v>
      </c>
      <c r="U116" s="974">
        <f t="shared" ca="1" si="64"/>
        <v>0.37463191120471473</v>
      </c>
      <c r="V116" s="974">
        <f t="shared" ca="1" si="64"/>
        <v>0.38399770898483254</v>
      </c>
      <c r="W116" s="974">
        <f t="shared" ca="1" si="64"/>
        <v>0.39359765170945332</v>
      </c>
      <c r="X116" s="974">
        <f t="shared" ca="1" si="64"/>
        <v>0.40343759300218962</v>
      </c>
      <c r="Y116" s="974">
        <f t="shared" ca="1" si="64"/>
        <v>0.4135235328272443</v>
      </c>
      <c r="Z116" s="974">
        <f t="shared" ca="1" si="64"/>
        <v>0.42386162114792536</v>
      </c>
      <c r="AA116" s="974">
        <f t="shared" ca="1" si="64"/>
        <v>0.43445816167662343</v>
      </c>
    </row>
    <row r="117" spans="1:51" s="3" customFormat="1" outlineLevel="2">
      <c r="A117" s="168"/>
      <c r="B117" s="979" t="s">
        <v>585</v>
      </c>
      <c r="C117" s="970"/>
      <c r="D117" s="970"/>
      <c r="E117" s="970"/>
      <c r="F117" s="442"/>
      <c r="G117" s="497"/>
      <c r="H117" s="497"/>
      <c r="I117" s="497"/>
      <c r="J117" s="497"/>
      <c r="K117" s="508"/>
      <c r="L117" s="976">
        <f>SUM(L$102,L$108)/L$54</f>
        <v>0.31413227434236068</v>
      </c>
      <c r="M117" s="976">
        <f>SUM(M$102,M$108)/M$54</f>
        <v>0.35497686240382353</v>
      </c>
      <c r="N117" s="976">
        <f>SUM(N$102,N$108)/N$54</f>
        <v>0.34255911363329283</v>
      </c>
      <c r="O117" s="976">
        <f>SUM(O$102,O$108)/O$54</f>
        <v>0.42345572430111811</v>
      </c>
      <c r="P117" s="976">
        <f>SUM(P$102,P$108)/P$54</f>
        <v>0.36594633852064867</v>
      </c>
      <c r="Q117" s="485"/>
      <c r="R117" s="1510">
        <f t="shared" ca="1" si="62"/>
        <v>0.37509499698366483</v>
      </c>
      <c r="S117" s="977">
        <f t="shared" ref="S117:AA117" ca="1" si="65">PRODUCT(R117,(1+OFFSET(S$132,(MATCH($B117,$B$133:$B$139,0)),0)))</f>
        <v>0.38447237190825639</v>
      </c>
      <c r="T117" s="977">
        <f t="shared" ca="1" si="65"/>
        <v>0.39408418120596278</v>
      </c>
      <c r="U117" s="977">
        <f t="shared" ca="1" si="65"/>
        <v>0.40393628573611179</v>
      </c>
      <c r="V117" s="977">
        <f t="shared" ca="1" si="65"/>
        <v>0.41403469287951455</v>
      </c>
      <c r="W117" s="977">
        <f t="shared" ca="1" si="65"/>
        <v>0.42438556020150237</v>
      </c>
      <c r="X117" s="977">
        <f t="shared" ca="1" si="65"/>
        <v>0.4349951992065399</v>
      </c>
      <c r="Y117" s="977">
        <f t="shared" ca="1" si="65"/>
        <v>0.44587007918670335</v>
      </c>
      <c r="Z117" s="977">
        <f t="shared" ca="1" si="65"/>
        <v>0.45701683116637087</v>
      </c>
      <c r="AA117" s="977">
        <f t="shared" ca="1" si="65"/>
        <v>0.46844225194553013</v>
      </c>
    </row>
    <row r="118" spans="1:51" s="3" customFormat="1" outlineLevel="2">
      <c r="A118" s="168"/>
      <c r="B118" s="538" t="s">
        <v>586</v>
      </c>
      <c r="C118" s="379"/>
      <c r="D118" s="379"/>
      <c r="E118" s="379"/>
      <c r="F118" s="442"/>
      <c r="G118" s="497"/>
      <c r="H118" s="497"/>
      <c r="I118" s="497"/>
      <c r="J118" s="497"/>
      <c r="K118" s="508"/>
      <c r="L118" s="966">
        <f>SUM(L$104,L$106)/L$54</f>
        <v>0.45184563016929924</v>
      </c>
      <c r="M118" s="966">
        <f>SUM(M$104,M$106)/M$54</f>
        <v>0.35518378848783716</v>
      </c>
      <c r="N118" s="966">
        <f>SUM(N$104,N$106)/N$54</f>
        <v>0.38358851997887261</v>
      </c>
      <c r="O118" s="966">
        <f>SUM(O$104,O$106)/O$54</f>
        <v>0.31527536503511244</v>
      </c>
      <c r="P118" s="966">
        <f>SUM(P$104,P$106)/P$54</f>
        <v>0.28865904871234699</v>
      </c>
      <c r="Q118" s="485"/>
      <c r="R118" s="1510">
        <f t="shared" ca="1" si="62"/>
        <v>0.29587552493015562</v>
      </c>
      <c r="S118" s="974">
        <f t="shared" ref="S118:AA118" ca="1" si="66">PRODUCT(R118,(1+OFFSET(S$132,(MATCH($B118,$B$133:$B$139,0)),0)))</f>
        <v>0.30327241305340946</v>
      </c>
      <c r="T118" s="974">
        <f t="shared" ca="1" si="66"/>
        <v>0.31085422337974467</v>
      </c>
      <c r="U118" s="974">
        <f t="shared" ca="1" si="66"/>
        <v>0.31862557896423827</v>
      </c>
      <c r="V118" s="974">
        <f t="shared" ca="1" si="66"/>
        <v>0.32659121843834421</v>
      </c>
      <c r="W118" s="974">
        <f t="shared" ca="1" si="66"/>
        <v>0.3347559988993028</v>
      </c>
      <c r="X118" s="974">
        <f t="shared" ca="1" si="66"/>
        <v>0.34312489887178532</v>
      </c>
      <c r="Y118" s="974">
        <f t="shared" ca="1" si="66"/>
        <v>0.35170302134357995</v>
      </c>
      <c r="Z118" s="974">
        <f t="shared" ca="1" si="66"/>
        <v>0.36049559687716942</v>
      </c>
      <c r="AA118" s="974">
        <f t="shared" ca="1" si="66"/>
        <v>0.36950798679909863</v>
      </c>
    </row>
    <row r="119" spans="1:51" s="3" customFormat="1" outlineLevel="2">
      <c r="A119" s="168"/>
      <c r="B119" s="979" t="s">
        <v>588</v>
      </c>
      <c r="C119" s="970"/>
      <c r="D119" s="970"/>
      <c r="E119" s="970"/>
      <c r="F119" s="442"/>
      <c r="G119" s="497"/>
      <c r="H119" s="497"/>
      <c r="I119" s="497"/>
      <c r="J119" s="497"/>
      <c r="K119" s="508"/>
      <c r="L119" s="976">
        <f>L$105/L$54</f>
        <v>0.16904547490370556</v>
      </c>
      <c r="M119" s="976">
        <f>M$105/M$54</f>
        <v>0.17781947149586286</v>
      </c>
      <c r="N119" s="976">
        <f>N$105/N$54</f>
        <v>0.16257428357347281</v>
      </c>
      <c r="O119" s="976">
        <f>O$105/O$54</f>
        <v>0.15717284478466875</v>
      </c>
      <c r="P119" s="976">
        <f>P$105/P$54</f>
        <v>0.14990675717624175</v>
      </c>
      <c r="Q119" s="485"/>
      <c r="R119" s="1510">
        <f t="shared" ca="1" si="62"/>
        <v>0.15065629096212294</v>
      </c>
      <c r="S119" s="977">
        <f t="shared" ref="S119:AA119" ca="1" si="67">PRODUCT(R119,(1+OFFSET(S$132,(MATCH($B119,$B$133:$B$139,0)),0)))</f>
        <v>0.15140957241693354</v>
      </c>
      <c r="T119" s="977">
        <f t="shared" ca="1" si="67"/>
        <v>0.1521666202790182</v>
      </c>
      <c r="U119" s="977">
        <f t="shared" ca="1" si="67"/>
        <v>0.15292745338041328</v>
      </c>
      <c r="V119" s="977">
        <f t="shared" ca="1" si="67"/>
        <v>0.15369209064731532</v>
      </c>
      <c r="W119" s="977">
        <f t="shared" ca="1" si="67"/>
        <v>0.15446055110055187</v>
      </c>
      <c r="X119" s="977">
        <f t="shared" ca="1" si="67"/>
        <v>0.15523285385605462</v>
      </c>
      <c r="Y119" s="977">
        <f t="shared" ca="1" si="67"/>
        <v>0.15600901812533488</v>
      </c>
      <c r="Z119" s="977">
        <f t="shared" ca="1" si="67"/>
        <v>0.15678906321596153</v>
      </c>
      <c r="AA119" s="977">
        <f t="shared" ca="1" si="67"/>
        <v>0.15757300853204131</v>
      </c>
    </row>
    <row r="120" spans="1:51" s="3" customFormat="1" outlineLevel="2">
      <c r="A120" s="168"/>
      <c r="B120" s="538" t="s">
        <v>587</v>
      </c>
      <c r="C120" s="379"/>
      <c r="D120" s="379"/>
      <c r="E120" s="379"/>
      <c r="F120" s="442"/>
      <c r="G120" s="497"/>
      <c r="H120" s="497"/>
      <c r="I120" s="497"/>
      <c r="J120" s="497"/>
      <c r="K120" s="508"/>
      <c r="L120" s="966">
        <f>L$107/L$54</f>
        <v>8.3982861067152373E-2</v>
      </c>
      <c r="M120" s="966">
        <f>M$107/M$54</f>
        <v>0.10149620819692518</v>
      </c>
      <c r="N120" s="966">
        <f>N$107/N$54</f>
        <v>0.10332620898895728</v>
      </c>
      <c r="O120" s="966">
        <f>O$107/O$54</f>
        <v>9.6795656477506334E-2</v>
      </c>
      <c r="P120" s="966">
        <f>P$107/P$54</f>
        <v>9.7279617189009987E-2</v>
      </c>
      <c r="Q120" s="485"/>
      <c r="R120" s="1510">
        <f t="shared" ca="1" si="62"/>
        <v>9.7766015274955029E-2</v>
      </c>
      <c r="S120" s="974">
        <f t="shared" ref="S120:AA120" ca="1" si="68">PRODUCT(R120,(1+OFFSET(S$132,(MATCH($B120,$B$133:$B$139,0)),0)))</f>
        <v>9.8254845351329792E-2</v>
      </c>
      <c r="T120" s="974">
        <f t="shared" ca="1" si="68"/>
        <v>9.8746119578086433E-2</v>
      </c>
      <c r="U120" s="974">
        <f t="shared" ca="1" si="68"/>
        <v>9.9239850175976849E-2</v>
      </c>
      <c r="V120" s="974">
        <f t="shared" ca="1" si="68"/>
        <v>9.9736049426856724E-2</v>
      </c>
      <c r="W120" s="974">
        <f t="shared" ca="1" si="68"/>
        <v>0.100234729673991</v>
      </c>
      <c r="X120" s="974">
        <f t="shared" ca="1" si="68"/>
        <v>0.10073590332236095</v>
      </c>
      <c r="Y120" s="974">
        <f t="shared" ca="1" si="68"/>
        <v>0.10123958283897273</v>
      </c>
      <c r="Z120" s="974">
        <f t="shared" ca="1" si="68"/>
        <v>0.10174578075316759</v>
      </c>
      <c r="AA120" s="974">
        <f t="shared" ca="1" si="68"/>
        <v>0.10225450965693342</v>
      </c>
    </row>
    <row r="121" spans="1:51" s="3" customFormat="1" outlineLevel="2">
      <c r="A121" s="168"/>
      <c r="B121" s="979" t="s">
        <v>372</v>
      </c>
      <c r="C121" s="970"/>
      <c r="D121" s="970"/>
      <c r="E121" s="970"/>
      <c r="F121" s="442"/>
      <c r="G121" s="497"/>
      <c r="H121" s="497"/>
      <c r="I121" s="497"/>
      <c r="J121" s="497"/>
      <c r="K121" s="508"/>
      <c r="L121" s="976">
        <f>L$109/L$54</f>
        <v>0.21019491803768114</v>
      </c>
      <c r="M121" s="976">
        <f>M$109/M$54</f>
        <v>0.21076996394679057</v>
      </c>
      <c r="N121" s="976">
        <f>N$109/N$54</f>
        <v>0.35329034160002981</v>
      </c>
      <c r="O121" s="976">
        <f>O$109/O$54</f>
        <v>0.45501180177700262</v>
      </c>
      <c r="P121" s="976">
        <f>P$109/P$54</f>
        <v>0.56101629992327395</v>
      </c>
      <c r="Q121" s="485"/>
      <c r="R121" s="1510">
        <f t="shared" ca="1" si="62"/>
        <v>0.57504170742135574</v>
      </c>
      <c r="S121" s="977">
        <f t="shared" ref="S121:AA121" ca="1" si="69">PRODUCT(R121,(1+OFFSET(S$132,(MATCH($B121,$B$133:$B$139,0)),0)))</f>
        <v>0.58941775010688957</v>
      </c>
      <c r="T121" s="977">
        <f t="shared" ca="1" si="69"/>
        <v>0.60415319385956179</v>
      </c>
      <c r="U121" s="977">
        <f t="shared" ca="1" si="69"/>
        <v>0.61925702370605074</v>
      </c>
      <c r="V121" s="977">
        <f t="shared" ca="1" si="69"/>
        <v>0.63473844929870193</v>
      </c>
      <c r="W121" s="977">
        <f t="shared" ca="1" si="69"/>
        <v>0.65060691053116948</v>
      </c>
      <c r="X121" s="977">
        <f t="shared" ca="1" si="69"/>
        <v>0.66687208329444869</v>
      </c>
      <c r="Y121" s="977">
        <f t="shared" ca="1" si="69"/>
        <v>0.68354388537680988</v>
      </c>
      <c r="Z121" s="977">
        <f t="shared" ca="1" si="69"/>
        <v>0.70063248251123011</v>
      </c>
      <c r="AA121" s="977">
        <f t="shared" ca="1" si="69"/>
        <v>0.71814829457401086</v>
      </c>
    </row>
    <row r="122" spans="1:51" s="3" customFormat="1" outlineLevel="2">
      <c r="A122" s="168"/>
      <c r="B122" s="615" t="s">
        <v>26</v>
      </c>
      <c r="C122" s="7"/>
      <c r="D122" s="7"/>
      <c r="E122" s="7"/>
      <c r="F122" s="571"/>
      <c r="G122" s="587"/>
      <c r="H122" s="587"/>
      <c r="I122" s="587"/>
      <c r="J122" s="587"/>
      <c r="K122" s="448"/>
      <c r="L122" s="967">
        <f t="shared" ref="L122:O122" si="70">SUM(L$115:L$121)</f>
        <v>2.5193634110656582</v>
      </c>
      <c r="M122" s="967">
        <f t="shared" si="70"/>
        <v>2.5975163344522261</v>
      </c>
      <c r="N122" s="967">
        <f t="shared" si="70"/>
        <v>2.3997985530210912</v>
      </c>
      <c r="O122" s="967">
        <f t="shared" si="70"/>
        <v>2.9147721934905739</v>
      </c>
      <c r="P122" s="967">
        <f>SUM(P$115:P$121)</f>
        <v>3.0067695344301466</v>
      </c>
      <c r="Q122" s="485"/>
      <c r="R122" s="967">
        <f ca="1">SUM(R$115:R$121)</f>
        <v>3.0769950453035952</v>
      </c>
      <c r="S122" s="967">
        <f t="shared" ref="S122:AA122" ca="1" si="71">SUM(S$115:S$121)</f>
        <v>3.1489514753114429</v>
      </c>
      <c r="T122" s="967">
        <f t="shared" ca="1" si="71"/>
        <v>3.2226819738388643</v>
      </c>
      <c r="U122" s="967">
        <f t="shared" ca="1" si="71"/>
        <v>3.2982307683876932</v>
      </c>
      <c r="V122" s="967">
        <f t="shared" ca="1" si="71"/>
        <v>3.3756431915262577</v>
      </c>
      <c r="W122" s="967">
        <f t="shared" ca="1" si="71"/>
        <v>3.4549657085129297</v>
      </c>
      <c r="X122" s="967">
        <f t="shared" ca="1" si="71"/>
        <v>3.5362459456102626</v>
      </c>
      <c r="Y122" s="967">
        <f t="shared" ca="1" si="71"/>
        <v>3.61953271910695</v>
      </c>
      <c r="Z122" s="967">
        <f t="shared" ca="1" si="71"/>
        <v>3.7048760650653376</v>
      </c>
      <c r="AA122" s="967">
        <f t="shared" ca="1" si="71"/>
        <v>3.7923272698125881</v>
      </c>
    </row>
    <row r="123" spans="1:51" s="3" customFormat="1" ht="4.5" customHeight="1" outlineLevel="2">
      <c r="A123" s="168"/>
      <c r="B123" s="466"/>
      <c r="C123" s="379"/>
      <c r="D123" s="379"/>
      <c r="E123" s="379"/>
      <c r="F123" s="571"/>
      <c r="G123" s="587"/>
      <c r="H123" s="587"/>
      <c r="I123" s="587"/>
      <c r="J123" s="587"/>
      <c r="K123" s="448"/>
      <c r="L123" s="975"/>
      <c r="M123" s="975"/>
      <c r="N123" s="975"/>
      <c r="O123" s="975"/>
      <c r="P123" s="975"/>
      <c r="Q123" s="485"/>
      <c r="R123" s="975"/>
      <c r="S123" s="975"/>
      <c r="T123" s="975"/>
      <c r="U123" s="975"/>
      <c r="V123" s="975"/>
      <c r="W123" s="975"/>
      <c r="X123" s="975"/>
      <c r="Y123" s="975"/>
      <c r="Z123" s="975"/>
      <c r="AA123" s="975"/>
    </row>
    <row r="124" spans="1:51" s="3" customFormat="1" outlineLevel="2">
      <c r="A124" s="168"/>
      <c r="B124" s="150" t="s">
        <v>381</v>
      </c>
      <c r="C124" s="379"/>
      <c r="D124" s="379"/>
      <c r="E124" s="379"/>
      <c r="F124" s="571"/>
      <c r="G124" s="587"/>
      <c r="H124" s="587"/>
      <c r="I124" s="587"/>
      <c r="J124" s="587"/>
      <c r="K124" s="448"/>
      <c r="L124" s="508">
        <f>L$54</f>
        <v>167.45500000000001</v>
      </c>
      <c r="M124" s="508">
        <f>M$54</f>
        <v>144.786</v>
      </c>
      <c r="N124" s="508">
        <f>N$54</f>
        <v>162.822</v>
      </c>
      <c r="O124" s="508">
        <f>O$54</f>
        <v>170.73699999999999</v>
      </c>
      <c r="P124" s="508">
        <f>P$54</f>
        <v>170.73699999999999</v>
      </c>
      <c r="Q124" s="508"/>
      <c r="R124" s="508">
        <f t="shared" ref="R124:AA124" ca="1" si="72">R$54</f>
        <v>166.46857499999999</v>
      </c>
      <c r="S124" s="508">
        <f t="shared" ca="1" si="72"/>
        <v>162.30686062499998</v>
      </c>
      <c r="T124" s="508">
        <f t="shared" ca="1" si="72"/>
        <v>158.24918910937498</v>
      </c>
      <c r="U124" s="508">
        <f t="shared" ca="1" si="72"/>
        <v>154.2929593816406</v>
      </c>
      <c r="V124" s="508">
        <f t="shared" ca="1" si="72"/>
        <v>150.43563539709959</v>
      </c>
      <c r="W124" s="508">
        <f t="shared" ca="1" si="72"/>
        <v>146.67474451217208</v>
      </c>
      <c r="X124" s="508">
        <f t="shared" ca="1" si="72"/>
        <v>143.00787589936778</v>
      </c>
      <c r="Y124" s="508">
        <f t="shared" ca="1" si="72"/>
        <v>139.43267900188357</v>
      </c>
      <c r="Z124" s="508">
        <f t="shared" ca="1" si="72"/>
        <v>135.94686202683647</v>
      </c>
      <c r="AA124" s="508">
        <f t="shared" ca="1" si="72"/>
        <v>132.54819047616556</v>
      </c>
    </row>
    <row r="125" spans="1:51" s="3" customFormat="1" ht="4.5" customHeight="1" outlineLevel="2">
      <c r="A125" s="168"/>
      <c r="B125" s="150"/>
      <c r="C125" s="379"/>
      <c r="D125" s="379"/>
      <c r="E125" s="379"/>
      <c r="F125" s="571"/>
      <c r="G125" s="587"/>
      <c r="H125" s="587"/>
      <c r="I125" s="587"/>
      <c r="J125" s="587"/>
      <c r="K125" s="448"/>
      <c r="L125" s="508"/>
      <c r="M125" s="508"/>
      <c r="N125" s="508"/>
      <c r="O125" s="508"/>
      <c r="P125" s="508"/>
      <c r="Q125" s="508"/>
      <c r="R125" s="508"/>
      <c r="S125" s="508"/>
      <c r="T125" s="508"/>
      <c r="U125" s="508"/>
      <c r="V125" s="508"/>
      <c r="W125" s="508"/>
      <c r="X125" s="508"/>
      <c r="Y125" s="508"/>
      <c r="Z125" s="508"/>
      <c r="AA125" s="508"/>
    </row>
    <row r="126" spans="1:51" s="3" customFormat="1" outlineLevel="2">
      <c r="A126" s="168"/>
      <c r="B126" s="464" t="str">
        <f>_xlfn.CONCAT("Total ",$B$95)</f>
        <v>Total Purchases</v>
      </c>
      <c r="C126" s="7"/>
      <c r="D126" s="7"/>
      <c r="E126" s="7"/>
      <c r="F126" s="571"/>
      <c r="G126" s="587"/>
      <c r="H126" s="587"/>
      <c r="I126" s="587"/>
      <c r="J126" s="587"/>
      <c r="K126" s="448"/>
      <c r="L126" s="447">
        <f>PRODUCT(L$122,L$124)</f>
        <v>421.87999999999982</v>
      </c>
      <c r="M126" s="447">
        <f>PRODUCT(M$122,M$124)</f>
        <v>376.084</v>
      </c>
      <c r="N126" s="447">
        <f>PRODUCT(N$122,N$124)</f>
        <v>390.74000000000012</v>
      </c>
      <c r="O126" s="447">
        <f>PRODUCT(O$122,O$124)</f>
        <v>497.65946000000008</v>
      </c>
      <c r="P126" s="447">
        <f>PRODUCT(P$122,P$124)</f>
        <v>513.36680999999987</v>
      </c>
      <c r="Q126" s="448"/>
      <c r="R126" s="447">
        <f t="shared" ref="R126:AA126" ca="1" si="73">PRODUCT(R$122,R$124)</f>
        <v>512.22298047374989</v>
      </c>
      <c r="S126" s="447">
        <f t="shared" ca="1" si="73"/>
        <v>511.09642821826247</v>
      </c>
      <c r="T126" s="447">
        <f t="shared" ca="1" si="73"/>
        <v>509.9868091174003</v>
      </c>
      <c r="U126" s="447">
        <f t="shared" ca="1" si="73"/>
        <v>508.89378597811964</v>
      </c>
      <c r="V126" s="447">
        <f t="shared" ca="1" si="73"/>
        <v>507.8170283911457</v>
      </c>
      <c r="W126" s="447">
        <f t="shared" ca="1" si="73"/>
        <v>506.75621259444955</v>
      </c>
      <c r="X126" s="447">
        <f t="shared" ca="1" si="73"/>
        <v>505.71102133947488</v>
      </c>
      <c r="Y126" s="447">
        <f t="shared" ca="1" si="73"/>
        <v>504.68114376005417</v>
      </c>
      <c r="Z126" s="447">
        <f t="shared" ca="1" si="73"/>
        <v>503.66627524396625</v>
      </c>
      <c r="AA126" s="447">
        <f t="shared" ca="1" si="73"/>
        <v>502.66611730707581</v>
      </c>
    </row>
    <row r="127" spans="1:51" s="1" customFormat="1" outlineLevel="2">
      <c r="A127" s="6"/>
      <c r="B127" s="546" t="s">
        <v>385</v>
      </c>
      <c r="C127" s="379"/>
      <c r="D127" s="379"/>
      <c r="E127" s="379"/>
      <c r="F127" s="571"/>
      <c r="G127" s="497"/>
      <c r="H127" s="497"/>
      <c r="I127" s="587"/>
      <c r="J127" s="587"/>
      <c r="K127" s="490"/>
      <c r="L127" s="490">
        <f>L$126/L$51</f>
        <v>0.14173865365077482</v>
      </c>
      <c r="M127" s="490">
        <f>M$126/M$51</f>
        <v>0.14040807061545854</v>
      </c>
      <c r="N127" s="490">
        <f>N$126/N$51</f>
        <v>0.14020837848583281</v>
      </c>
      <c r="O127" s="490">
        <f>O$126/O$51</f>
        <v>0.18043070508579043</v>
      </c>
      <c r="P127" s="490">
        <f>P$126/P$51</f>
        <v>0.18533492590636405</v>
      </c>
      <c r="Q127" s="490"/>
      <c r="R127" s="490">
        <f t="shared" ref="R127:AA127" ca="1" si="74">R$126/R$51</f>
        <v>0.18063197290724481</v>
      </c>
      <c r="S127" s="490">
        <f t="shared" ca="1" si="74"/>
        <v>0.17605343283673378</v>
      </c>
      <c r="T127" s="490">
        <f t="shared" ca="1" si="74"/>
        <v>0.1715958104312223</v>
      </c>
      <c r="U127" s="490">
        <f t="shared" ca="1" si="74"/>
        <v>0.16725571649270737</v>
      </c>
      <c r="V127" s="490">
        <f t="shared" ca="1" si="74"/>
        <v>0.16302986438434733</v>
      </c>
      <c r="W127" s="490">
        <f t="shared" ca="1" si="74"/>
        <v>0.15891506665141594</v>
      </c>
      <c r="X127" s="490">
        <f t="shared" ca="1" si="74"/>
        <v>0.15490823176287294</v>
      </c>
      <c r="Y127" s="490">
        <f t="shared" ca="1" si="74"/>
        <v>0.15100636096895576</v>
      </c>
      <c r="Z127" s="490">
        <f t="shared" ca="1" si="74"/>
        <v>0.14720654527038524</v>
      </c>
      <c r="AA127" s="490">
        <f t="shared" ca="1" si="74"/>
        <v>0.1435059624949484</v>
      </c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</row>
    <row r="128" spans="1:51" s="3" customFormat="1" outlineLevel="2">
      <c r="A128" s="168"/>
      <c r="B128" s="638"/>
      <c r="C128" s="379"/>
      <c r="D128" s="379"/>
      <c r="E128" s="379"/>
      <c r="F128" s="442"/>
      <c r="G128" s="497"/>
      <c r="H128" s="497"/>
      <c r="I128" s="497"/>
      <c r="J128" s="497"/>
      <c r="K128" s="508"/>
      <c r="L128" s="508"/>
      <c r="M128" s="508"/>
      <c r="N128" s="508"/>
      <c r="O128" s="508"/>
      <c r="P128" s="508"/>
      <c r="Q128" s="485"/>
      <c r="R128" s="517"/>
      <c r="S128" s="517"/>
      <c r="T128" s="517"/>
      <c r="U128" s="517"/>
      <c r="V128" s="517"/>
      <c r="W128" s="517"/>
    </row>
    <row r="129" spans="1:42" outlineLevel="2">
      <c r="B129" s="852" t="str">
        <f>_xlfn.CONCAT(B95," Assumptions")</f>
        <v>Purchases Assumptions</v>
      </c>
      <c r="C129" s="853"/>
      <c r="D129" s="853"/>
      <c r="E129" s="853"/>
      <c r="F129" s="853"/>
      <c r="G129" s="853"/>
      <c r="H129" s="853"/>
      <c r="I129" s="853"/>
      <c r="J129" s="853"/>
      <c r="K129" s="853"/>
      <c r="L129" s="853"/>
      <c r="M129" s="853"/>
      <c r="N129" s="853"/>
      <c r="O129" s="853"/>
      <c r="P129" s="854"/>
      <c r="Q129" s="854"/>
      <c r="R129" s="854"/>
      <c r="S129" s="854"/>
      <c r="T129" s="854"/>
      <c r="U129" s="854"/>
      <c r="V129" s="854"/>
      <c r="W129" s="854"/>
      <c r="X129" s="854"/>
      <c r="Y129" s="854"/>
      <c r="Z129" s="854"/>
      <c r="AA129" s="854"/>
      <c r="AC129" s="517"/>
      <c r="AD129" s="517"/>
      <c r="AE129" s="517"/>
      <c r="AF129" s="517"/>
      <c r="AG129" s="517"/>
      <c r="AH129" s="517"/>
      <c r="AI129" s="517"/>
      <c r="AJ129" s="517"/>
      <c r="AK129" s="517"/>
      <c r="AL129" s="517"/>
      <c r="AM129" s="517"/>
      <c r="AN129" s="517"/>
      <c r="AO129" s="517"/>
      <c r="AP129" s="517"/>
    </row>
    <row r="130" spans="1:42" s="3" customFormat="1" ht="7.5" customHeight="1" outlineLevel="2">
      <c r="A130" s="168"/>
      <c r="B130" s="638"/>
      <c r="C130" s="379"/>
      <c r="D130" s="379"/>
      <c r="E130" s="379"/>
      <c r="F130" s="442"/>
      <c r="G130" s="497"/>
      <c r="H130"/>
      <c r="I130" s="497"/>
      <c r="J130" s="497"/>
      <c r="K130" s="508"/>
      <c r="L130" s="508"/>
      <c r="M130" s="508"/>
      <c r="N130" s="508"/>
      <c r="O130" s="508"/>
      <c r="P130" s="508"/>
      <c r="Q130" s="485"/>
      <c r="R130" s="517"/>
      <c r="S130" s="517"/>
      <c r="T130" s="517"/>
      <c r="U130" s="517"/>
      <c r="V130" s="517"/>
      <c r="W130" s="517"/>
    </row>
    <row r="131" spans="1:42" outlineLevel="2">
      <c r="A131" s="517"/>
      <c r="B131" s="972" t="s">
        <v>593</v>
      </c>
      <c r="P131" s="517"/>
      <c r="AC131" s="517"/>
      <c r="AD131" s="517"/>
      <c r="AE131" s="517"/>
      <c r="AF131" s="517"/>
      <c r="AG131" s="517"/>
      <c r="AH131" s="517"/>
      <c r="AI131" s="517"/>
      <c r="AJ131" s="517"/>
      <c r="AK131" s="517"/>
      <c r="AL131" s="517"/>
      <c r="AM131" s="517"/>
      <c r="AN131" s="517"/>
      <c r="AO131" s="517"/>
      <c r="AP131" s="517"/>
    </row>
    <row r="132" spans="1:42" ht="6" customHeight="1" outlineLevel="2">
      <c r="A132" s="517"/>
      <c r="P132" s="517"/>
      <c r="AC132" s="517"/>
      <c r="AD132" s="517"/>
      <c r="AE132" s="517"/>
      <c r="AF132" s="517"/>
      <c r="AG132" s="517"/>
      <c r="AH132" s="517"/>
      <c r="AI132" s="517"/>
      <c r="AJ132" s="517"/>
      <c r="AK132" s="517"/>
      <c r="AL132" s="517"/>
      <c r="AM132" s="517"/>
      <c r="AN132" s="517"/>
      <c r="AO132" s="517"/>
      <c r="AP132" s="517"/>
    </row>
    <row r="133" spans="1:42" outlineLevel="2">
      <c r="A133" s="517"/>
      <c r="B133" s="969" t="s">
        <v>583</v>
      </c>
      <c r="C133" s="970"/>
      <c r="D133" s="163"/>
      <c r="E133" s="163"/>
      <c r="K133" s="163"/>
      <c r="L133" s="163"/>
      <c r="M133" s="971">
        <f>((M115-L115)/L115)</f>
        <v>-3.5120037521084405E-2</v>
      </c>
      <c r="N133" s="971">
        <f t="shared" ref="N133:P133" si="75">((N115-M115)/M115)</f>
        <v>-0.27592049273257208</v>
      </c>
      <c r="O133" s="971">
        <f t="shared" si="75"/>
        <v>0.43295166517512318</v>
      </c>
      <c r="P133" s="971">
        <f t="shared" si="75"/>
        <v>3.6138105968608628E-2</v>
      </c>
      <c r="R133" s="973">
        <v>2.5000000000000001E-2</v>
      </c>
      <c r="S133" s="973">
        <v>2.5000000000000001E-2</v>
      </c>
      <c r="T133" s="973">
        <v>2.5000000000000001E-2</v>
      </c>
      <c r="U133" s="973">
        <v>2.5000000000000001E-2</v>
      </c>
      <c r="V133" s="973">
        <v>2.5000000000000001E-2</v>
      </c>
      <c r="W133" s="973">
        <v>2.5000000000000001E-2</v>
      </c>
      <c r="X133" s="973">
        <v>2.5000000000000001E-2</v>
      </c>
      <c r="Y133" s="973">
        <v>2.5000000000000001E-2</v>
      </c>
      <c r="Z133" s="973">
        <v>2.5000000000000001E-2</v>
      </c>
      <c r="AA133" s="973">
        <v>2.5000000000000001E-2</v>
      </c>
      <c r="AC133" s="517"/>
      <c r="AD133" s="517"/>
      <c r="AE133" s="517"/>
      <c r="AF133" s="517"/>
      <c r="AG133" s="517"/>
      <c r="AH133" s="517"/>
      <c r="AI133" s="517"/>
      <c r="AJ133" s="517"/>
      <c r="AK133" s="517"/>
      <c r="AL133" s="517"/>
      <c r="AM133" s="517"/>
      <c r="AN133" s="517"/>
      <c r="AO133" s="517"/>
      <c r="AP133" s="517"/>
    </row>
    <row r="134" spans="1:42" outlineLevel="2">
      <c r="A134" s="517"/>
      <c r="B134" s="590" t="s">
        <v>584</v>
      </c>
      <c r="C134" s="379"/>
      <c r="M134" s="561">
        <f t="shared" ref="M134:P134" si="76">((M116-L116)/L116)</f>
        <v>1.147104550191933</v>
      </c>
      <c r="N134" s="561">
        <f t="shared" si="76"/>
        <v>-0.12157407016308461</v>
      </c>
      <c r="O134" s="561">
        <f t="shared" si="76"/>
        <v>0.25229206990278674</v>
      </c>
      <c r="P134" s="561">
        <f t="shared" si="76"/>
        <v>0.11457196119026582</v>
      </c>
      <c r="R134" s="588">
        <v>2.5000000000000001E-2</v>
      </c>
      <c r="S134" s="588">
        <v>2.5000000000000001E-2</v>
      </c>
      <c r="T134" s="588">
        <v>2.5000000000000001E-2</v>
      </c>
      <c r="U134" s="588">
        <v>2.5000000000000001E-2</v>
      </c>
      <c r="V134" s="588">
        <v>2.5000000000000001E-2</v>
      </c>
      <c r="W134" s="588">
        <v>2.5000000000000001E-2</v>
      </c>
      <c r="X134" s="588">
        <v>2.5000000000000001E-2</v>
      </c>
      <c r="Y134" s="588">
        <v>2.5000000000000001E-2</v>
      </c>
      <c r="Z134" s="588">
        <v>2.5000000000000001E-2</v>
      </c>
      <c r="AA134" s="588">
        <v>2.5000000000000001E-2</v>
      </c>
      <c r="AC134" s="517"/>
      <c r="AD134" s="517"/>
      <c r="AE134" s="517"/>
      <c r="AF134" s="517"/>
      <c r="AG134" s="517"/>
      <c r="AH134" s="517"/>
      <c r="AI134" s="517"/>
      <c r="AJ134" s="517"/>
      <c r="AK134" s="517"/>
      <c r="AL134" s="517"/>
      <c r="AM134" s="517"/>
      <c r="AN134" s="517"/>
      <c r="AO134" s="517"/>
      <c r="AP134" s="517"/>
    </row>
    <row r="135" spans="1:42" outlineLevel="2">
      <c r="A135" s="517"/>
      <c r="B135" s="969" t="s">
        <v>585</v>
      </c>
      <c r="C135" s="970"/>
      <c r="D135" s="163"/>
      <c r="E135" s="163"/>
      <c r="K135" s="163"/>
      <c r="L135" s="163"/>
      <c r="M135" s="971">
        <f t="shared" ref="M135:P135" si="77">((M117-L117)/L117)</f>
        <v>0.13002353275215492</v>
      </c>
      <c r="N135" s="971">
        <f t="shared" si="77"/>
        <v>-3.4981853990258681E-2</v>
      </c>
      <c r="O135" s="971">
        <f t="shared" si="77"/>
        <v>0.23615372485586397</v>
      </c>
      <c r="P135" s="971">
        <f t="shared" si="77"/>
        <v>-0.13580967850980019</v>
      </c>
      <c r="R135" s="973">
        <v>2.5000000000000001E-2</v>
      </c>
      <c r="S135" s="973">
        <v>2.5000000000000001E-2</v>
      </c>
      <c r="T135" s="973">
        <v>2.5000000000000001E-2</v>
      </c>
      <c r="U135" s="973">
        <v>2.5000000000000001E-2</v>
      </c>
      <c r="V135" s="973">
        <v>2.5000000000000001E-2</v>
      </c>
      <c r="W135" s="973">
        <v>2.5000000000000001E-2</v>
      </c>
      <c r="X135" s="973">
        <v>2.5000000000000001E-2</v>
      </c>
      <c r="Y135" s="973">
        <v>2.5000000000000001E-2</v>
      </c>
      <c r="Z135" s="973">
        <v>2.5000000000000001E-2</v>
      </c>
      <c r="AA135" s="973">
        <v>2.5000000000000001E-2</v>
      </c>
      <c r="AC135" s="517"/>
      <c r="AD135" s="517"/>
      <c r="AE135" s="517"/>
      <c r="AF135" s="517"/>
      <c r="AG135" s="517"/>
      <c r="AH135" s="517"/>
      <c r="AI135" s="517"/>
      <c r="AJ135" s="517"/>
      <c r="AK135" s="517"/>
      <c r="AL135" s="517"/>
      <c r="AM135" s="517"/>
      <c r="AN135" s="517"/>
      <c r="AO135" s="517"/>
      <c r="AP135" s="517"/>
    </row>
    <row r="136" spans="1:42" outlineLevel="2">
      <c r="A136" s="517"/>
      <c r="B136" s="968" t="s">
        <v>586</v>
      </c>
      <c r="C136" s="379"/>
      <c r="M136" s="561">
        <f t="shared" ref="M136:P136" si="78">((M118-L118)/L118)</f>
        <v>-0.21392669360384087</v>
      </c>
      <c r="N136" s="561">
        <f t="shared" si="78"/>
        <v>7.9971925554277193E-2</v>
      </c>
      <c r="O136" s="561">
        <f t="shared" si="78"/>
        <v>-0.17808967522678401</v>
      </c>
      <c r="P136" s="561">
        <f t="shared" si="78"/>
        <v>-8.4422442330060188E-2</v>
      </c>
      <c r="R136" s="588">
        <v>2.5000000000000001E-2</v>
      </c>
      <c r="S136" s="588">
        <v>2.5000000000000001E-2</v>
      </c>
      <c r="T136" s="588">
        <v>2.5000000000000001E-2</v>
      </c>
      <c r="U136" s="588">
        <v>2.5000000000000001E-2</v>
      </c>
      <c r="V136" s="588">
        <v>2.5000000000000001E-2</v>
      </c>
      <c r="W136" s="588">
        <v>2.5000000000000001E-2</v>
      </c>
      <c r="X136" s="588">
        <v>2.5000000000000001E-2</v>
      </c>
      <c r="Y136" s="588">
        <v>2.5000000000000001E-2</v>
      </c>
      <c r="Z136" s="588">
        <v>2.5000000000000001E-2</v>
      </c>
      <c r="AA136" s="588">
        <v>2.5000000000000001E-2</v>
      </c>
      <c r="AC136" s="517"/>
      <c r="AD136" s="517"/>
      <c r="AE136" s="517"/>
      <c r="AF136" s="517"/>
      <c r="AG136" s="517"/>
      <c r="AH136" s="517"/>
      <c r="AI136" s="517"/>
      <c r="AJ136" s="517"/>
      <c r="AK136" s="517"/>
      <c r="AL136" s="517"/>
      <c r="AM136" s="517"/>
      <c r="AN136" s="517"/>
      <c r="AO136" s="517"/>
      <c r="AP136" s="517"/>
    </row>
    <row r="137" spans="1:42" outlineLevel="2">
      <c r="A137" s="517"/>
      <c r="B137" s="969" t="s">
        <v>588</v>
      </c>
      <c r="C137" s="970"/>
      <c r="D137" s="163"/>
      <c r="E137" s="163"/>
      <c r="K137" s="163"/>
      <c r="L137" s="163"/>
      <c r="M137" s="971">
        <f t="shared" ref="M137:P137" si="79">((M119-L119)/L119)</f>
        <v>5.1903173374828811E-2</v>
      </c>
      <c r="N137" s="971">
        <f t="shared" si="79"/>
        <v>-8.5734075093934478E-2</v>
      </c>
      <c r="O137" s="971">
        <f t="shared" si="79"/>
        <v>-3.3224435440079705E-2</v>
      </c>
      <c r="P137" s="971">
        <f t="shared" si="79"/>
        <v>-4.6229917250538752E-2</v>
      </c>
      <c r="R137" s="973">
        <v>5.0000000000000001E-3</v>
      </c>
      <c r="S137" s="973">
        <v>5.0000000000000001E-3</v>
      </c>
      <c r="T137" s="973">
        <v>5.0000000000000001E-3</v>
      </c>
      <c r="U137" s="973">
        <v>5.0000000000000001E-3</v>
      </c>
      <c r="V137" s="973">
        <v>5.0000000000000001E-3</v>
      </c>
      <c r="W137" s="973">
        <v>5.0000000000000001E-3</v>
      </c>
      <c r="X137" s="973">
        <v>5.0000000000000001E-3</v>
      </c>
      <c r="Y137" s="973">
        <v>5.0000000000000001E-3</v>
      </c>
      <c r="Z137" s="973">
        <v>5.0000000000000001E-3</v>
      </c>
      <c r="AA137" s="973">
        <v>5.0000000000000001E-3</v>
      </c>
      <c r="AC137" s="517"/>
      <c r="AD137" s="517"/>
      <c r="AE137" s="517"/>
      <c r="AF137" s="517"/>
      <c r="AG137" s="517"/>
      <c r="AH137" s="517"/>
      <c r="AI137" s="517"/>
      <c r="AJ137" s="517"/>
      <c r="AK137" s="517"/>
      <c r="AL137" s="517"/>
      <c r="AM137" s="517"/>
      <c r="AN137" s="517"/>
      <c r="AO137" s="517"/>
      <c r="AP137" s="517"/>
    </row>
    <row r="138" spans="1:42" s="14" customFormat="1" outlineLevel="2">
      <c r="B138" s="968" t="s">
        <v>587</v>
      </c>
      <c r="C138" s="379"/>
      <c r="M138" s="561">
        <f t="shared" ref="M138:P139" si="80">((M120-L120)/L120)</f>
        <v>0.20853477611067808</v>
      </c>
      <c r="N138" s="561">
        <f t="shared" si="80"/>
        <v>1.8030238021123874E-2</v>
      </c>
      <c r="O138" s="561">
        <f t="shared" si="80"/>
        <v>-6.3203252837321089E-2</v>
      </c>
      <c r="P138" s="561">
        <f t="shared" si="80"/>
        <v>4.99981847445931E-3</v>
      </c>
      <c r="R138" s="588">
        <v>5.0000000000000001E-3</v>
      </c>
      <c r="S138" s="588">
        <v>5.0000000000000001E-3</v>
      </c>
      <c r="T138" s="588">
        <v>5.0000000000000001E-3</v>
      </c>
      <c r="U138" s="588">
        <v>5.0000000000000001E-3</v>
      </c>
      <c r="V138" s="588">
        <v>5.0000000000000001E-3</v>
      </c>
      <c r="W138" s="588">
        <v>5.0000000000000001E-3</v>
      </c>
      <c r="X138" s="588">
        <v>5.0000000000000001E-3</v>
      </c>
      <c r="Y138" s="588">
        <v>5.0000000000000001E-3</v>
      </c>
      <c r="Z138" s="588">
        <v>5.0000000000000001E-3</v>
      </c>
      <c r="AA138" s="588">
        <v>5.0000000000000001E-3</v>
      </c>
    </row>
    <row r="139" spans="1:42" outlineLevel="2">
      <c r="A139" s="517"/>
      <c r="B139" s="969" t="s">
        <v>372</v>
      </c>
      <c r="C139" s="970"/>
      <c r="D139" s="163"/>
      <c r="E139" s="163"/>
      <c r="K139" s="163"/>
      <c r="L139" s="163"/>
      <c r="M139" s="971">
        <f t="shared" si="80"/>
        <v>2.7357745585758443E-3</v>
      </c>
      <c r="N139" s="971">
        <f t="shared" si="80"/>
        <v>0.67618922062926812</v>
      </c>
      <c r="O139" s="971">
        <f t="shared" si="80"/>
        <v>0.28792595833863643</v>
      </c>
      <c r="P139" s="971">
        <f t="shared" si="80"/>
        <v>0.23297087621086193</v>
      </c>
      <c r="R139" s="973">
        <v>2.5000000000000001E-2</v>
      </c>
      <c r="S139" s="973">
        <v>2.5000000000000001E-2</v>
      </c>
      <c r="T139" s="973">
        <v>2.5000000000000001E-2</v>
      </c>
      <c r="U139" s="973">
        <v>2.5000000000000001E-2</v>
      </c>
      <c r="V139" s="973">
        <v>2.5000000000000001E-2</v>
      </c>
      <c r="W139" s="973">
        <v>2.5000000000000001E-2</v>
      </c>
      <c r="X139" s="973">
        <v>2.5000000000000001E-2</v>
      </c>
      <c r="Y139" s="973">
        <v>2.5000000000000001E-2</v>
      </c>
      <c r="Z139" s="973">
        <v>2.5000000000000001E-2</v>
      </c>
      <c r="AA139" s="973">
        <v>2.5000000000000001E-2</v>
      </c>
      <c r="AC139" s="517"/>
      <c r="AD139" s="517"/>
      <c r="AE139" s="517"/>
      <c r="AF139" s="517"/>
      <c r="AG139" s="517"/>
      <c r="AH139" s="517"/>
      <c r="AI139" s="517"/>
      <c r="AJ139" s="517"/>
      <c r="AK139" s="517"/>
      <c r="AL139" s="517"/>
      <c r="AM139" s="517"/>
      <c r="AN139" s="517"/>
      <c r="AO139" s="517"/>
      <c r="AP139" s="517"/>
    </row>
    <row r="140" spans="1:42" s="3" customFormat="1" outlineLevel="2">
      <c r="A140" s="168"/>
      <c r="B140" s="14"/>
      <c r="C140" s="379"/>
      <c r="D140" s="379"/>
      <c r="E140" s="379"/>
      <c r="F140" s="442"/>
      <c r="G140" s="497"/>
      <c r="H140" s="586"/>
      <c r="I140" s="497"/>
      <c r="J140" s="497"/>
      <c r="K140" s="508"/>
      <c r="L140" s="508"/>
      <c r="M140" s="508"/>
      <c r="N140" s="508"/>
      <c r="O140" s="508"/>
      <c r="P140" s="508"/>
      <c r="Q140" s="485"/>
      <c r="R140" s="517"/>
      <c r="S140" s="517"/>
      <c r="T140" s="517"/>
      <c r="U140" s="517"/>
      <c r="V140" s="517"/>
      <c r="W140" s="517"/>
    </row>
    <row r="141" spans="1:42" s="3" customFormat="1" ht="6" customHeight="1" outlineLevel="1">
      <c r="A141" s="168"/>
      <c r="B141" s="297"/>
      <c r="C141" s="150"/>
      <c r="D141" s="150"/>
      <c r="E141" s="150"/>
      <c r="F141" s="442"/>
      <c r="G141" s="484"/>
      <c r="H141" s="484"/>
      <c r="I141" s="484"/>
      <c r="J141" s="484"/>
      <c r="K141" s="485"/>
      <c r="L141" s="485"/>
      <c r="M141" s="485"/>
      <c r="N141" s="485"/>
      <c r="O141" s="485"/>
      <c r="P141" s="486"/>
      <c r="Q141" s="485"/>
      <c r="R141" s="517"/>
      <c r="S141" s="517"/>
      <c r="T141" s="517"/>
      <c r="U141" s="517"/>
      <c r="V141" s="517"/>
      <c r="W141" s="517"/>
    </row>
    <row r="142" spans="1:42" outlineLevel="1">
      <c r="B142" s="390" t="s">
        <v>333</v>
      </c>
      <c r="C142" s="389"/>
      <c r="D142" s="389"/>
      <c r="E142" s="389"/>
      <c r="F142" s="389"/>
      <c r="G142" s="389"/>
      <c r="H142" s="389"/>
      <c r="I142" s="389"/>
      <c r="J142" s="389"/>
      <c r="K142" s="389"/>
      <c r="L142" s="389"/>
      <c r="M142" s="389"/>
      <c r="N142" s="389"/>
      <c r="O142" s="389"/>
      <c r="P142" s="470"/>
      <c r="Q142" s="470"/>
      <c r="R142" s="470"/>
      <c r="S142" s="470"/>
      <c r="T142" s="470"/>
      <c r="U142" s="470"/>
      <c r="V142" s="470"/>
      <c r="W142" s="470"/>
      <c r="X142" s="470"/>
      <c r="Y142" s="470"/>
      <c r="Z142" s="470"/>
      <c r="AA142" s="470"/>
      <c r="AC142" s="517"/>
      <c r="AD142" s="517"/>
      <c r="AE142" s="517"/>
      <c r="AF142" s="517"/>
      <c r="AG142" s="517"/>
      <c r="AH142" s="517"/>
      <c r="AI142" s="517"/>
      <c r="AJ142" s="517"/>
      <c r="AK142" s="517"/>
      <c r="AL142" s="517"/>
      <c r="AM142" s="517"/>
      <c r="AN142" s="517"/>
      <c r="AO142" s="517"/>
      <c r="AP142" s="517"/>
    </row>
    <row r="143" spans="1:42" customFormat="1" ht="6" customHeight="1" outlineLevel="2"/>
    <row r="144" spans="1:42" s="3" customFormat="1" outlineLevel="2">
      <c r="A144" s="168"/>
      <c r="B144" s="1341" t="s">
        <v>443</v>
      </c>
      <c r="C144" s="150"/>
      <c r="D144" s="150"/>
      <c r="E144" s="150"/>
      <c r="F144" s="442"/>
      <c r="G144" s="524"/>
      <c r="H144" s="524"/>
      <c r="I144" s="524"/>
      <c r="J144" s="484"/>
      <c r="K144"/>
      <c r="L144"/>
      <c r="M144"/>
      <c r="N144"/>
      <c r="O144"/>
      <c r="P144"/>
      <c r="Q144"/>
      <c r="R144"/>
      <c r="S144" s="517"/>
      <c r="T144" s="517"/>
      <c r="U144" s="517"/>
      <c r="V144" s="517"/>
      <c r="W144" s="517"/>
    </row>
    <row r="145" spans="1:30" s="3" customFormat="1" ht="3" customHeight="1" outlineLevel="2">
      <c r="A145" s="168"/>
      <c r="B145" s="487"/>
      <c r="C145" s="150"/>
      <c r="D145" s="150"/>
      <c r="E145" s="150"/>
      <c r="F145" s="442"/>
      <c r="G145" s="497"/>
      <c r="H145" s="497"/>
      <c r="I145" s="497"/>
      <c r="J145" s="484"/>
      <c r="K145" s="150"/>
      <c r="L145" s="150"/>
      <c r="M145" s="150"/>
      <c r="N145" s="150"/>
      <c r="O145" s="150"/>
      <c r="P145" s="150"/>
      <c r="Q145" s="485"/>
      <c r="R145" s="14"/>
      <c r="S145" s="517"/>
      <c r="T145" s="517"/>
      <c r="U145" s="517"/>
      <c r="V145" s="517"/>
      <c r="W145" s="517"/>
    </row>
    <row r="146" spans="1:30" s="3" customFormat="1" outlineLevel="2">
      <c r="A146" s="168"/>
      <c r="B146" s="297" t="s">
        <v>747</v>
      </c>
      <c r="C146" s="150"/>
      <c r="D146" s="150"/>
      <c r="E146" s="150"/>
      <c r="F146" s="442"/>
      <c r="G146" s="497"/>
      <c r="H146" s="497"/>
      <c r="I146" s="497"/>
      <c r="J146" s="484"/>
      <c r="K146" s="616">
        <f t="shared" ref="K146:P146" si="81">PRODUCT(K$51,$B$10)/SUM(K$153,K$225,K$348)</f>
        <v>105403.92307692308</v>
      </c>
      <c r="L146" s="616">
        <f t="shared" si="81"/>
        <v>114479.38461538461</v>
      </c>
      <c r="M146" s="616">
        <f t="shared" si="81"/>
        <v>111604.45833333333</v>
      </c>
      <c r="N146" s="616">
        <f t="shared" si="81"/>
        <v>111474.08</v>
      </c>
      <c r="O146" s="616">
        <f t="shared" si="81"/>
        <v>114923.95833333333</v>
      </c>
      <c r="P146" s="1339">
        <f t="shared" si="81"/>
        <v>125906.40909090909</v>
      </c>
      <c r="Q146" s="485"/>
      <c r="R146" s="616">
        <f t="shared" ref="R146:AA146" ca="1" si="82">PRODUCT(R$51,$B$10)/SUM(R$153,R$225,R$348)</f>
        <v>115715.10900189889</v>
      </c>
      <c r="S146" s="616">
        <f t="shared" ca="1" si="82"/>
        <v>116376.12271416999</v>
      </c>
      <c r="T146" s="616">
        <f t="shared" ca="1" si="82"/>
        <v>121445.9402962004</v>
      </c>
      <c r="U146" s="616">
        <f t="shared" ca="1" si="82"/>
        <v>126721.58653459823</v>
      </c>
      <c r="V146" s="616">
        <f t="shared" ca="1" si="82"/>
        <v>126827.34313809857</v>
      </c>
      <c r="W146" s="616">
        <f t="shared" ca="1" si="82"/>
        <v>135473.65941314475</v>
      </c>
      <c r="X146" s="616">
        <f t="shared" ca="1" si="82"/>
        <v>138817.29611982458</v>
      </c>
      <c r="Y146" s="616">
        <f t="shared" ca="1" si="82"/>
        <v>142243.41715211424</v>
      </c>
      <c r="Z146" s="616">
        <f t="shared" ca="1" si="82"/>
        <v>143091.12064897068</v>
      </c>
      <c r="AA146" s="616">
        <f t="shared" ca="1" si="82"/>
        <v>143928.97031596536</v>
      </c>
    </row>
    <row r="147" spans="1:30" s="3" customFormat="1" outlineLevel="2">
      <c r="A147" s="168"/>
      <c r="B147" s="297" t="s">
        <v>748</v>
      </c>
      <c r="C147" s="150"/>
      <c r="D147" s="150"/>
      <c r="E147" s="150"/>
      <c r="F147" s="442"/>
      <c r="G147" s="497"/>
      <c r="H147" s="497"/>
      <c r="I147" s="497"/>
      <c r="J147" s="484"/>
      <c r="K147" s="616">
        <f t="shared" ref="K147:P147" si="83">PRODUCT(K$51,$B$10)/SUM(K$151,K$225,K$348)</f>
        <v>109620.08</v>
      </c>
      <c r="L147" s="616">
        <f t="shared" si="83"/>
        <v>119058.56</v>
      </c>
      <c r="M147" s="616">
        <f t="shared" si="83"/>
        <v>116456.82608695653</v>
      </c>
      <c r="N147" s="616">
        <f t="shared" si="83"/>
        <v>121167.47826086957</v>
      </c>
      <c r="O147" s="616">
        <f t="shared" si="83"/>
        <v>125371.59090909091</v>
      </c>
      <c r="P147" s="1339">
        <f t="shared" si="83"/>
        <v>138497.04999999999</v>
      </c>
      <c r="Q147" s="485"/>
      <c r="R147" s="616">
        <f t="shared" ref="R147:AA147" ca="1" si="84">PRODUCT(R$51,$B$10)/SUM(R$151,R$225,R$348)</f>
        <v>125998.10442405273</v>
      </c>
      <c r="S147" s="616">
        <f t="shared" ca="1" si="84"/>
        <v>126519.76455202053</v>
      </c>
      <c r="T147" s="616">
        <f t="shared" ca="1" si="84"/>
        <v>132254.59124381165</v>
      </c>
      <c r="U147" s="616">
        <f t="shared" ca="1" si="84"/>
        <v>138236.39791073304</v>
      </c>
      <c r="V147" s="616">
        <f t="shared" ca="1" si="84"/>
        <v>138070.93475168399</v>
      </c>
      <c r="W147" s="616">
        <f t="shared" ca="1" si="84"/>
        <v>148053.32245676199</v>
      </c>
      <c r="X147" s="616">
        <f t="shared" ca="1" si="84"/>
        <v>151720.25192565392</v>
      </c>
      <c r="Y147" s="616">
        <f t="shared" ca="1" si="84"/>
        <v>155477.96749904752</v>
      </c>
      <c r="Z147" s="616">
        <f t="shared" ca="1" si="84"/>
        <v>156152.06768613606</v>
      </c>
      <c r="AA147" s="616">
        <f t="shared" ca="1" si="84"/>
        <v>156816.19691676821</v>
      </c>
      <c r="AD147" s="3" t="s">
        <v>770</v>
      </c>
    </row>
    <row r="148" spans="1:30" s="1" customFormat="1" outlineLevel="2">
      <c r="A148" s="6"/>
      <c r="B148" s="606" t="s">
        <v>749</v>
      </c>
      <c r="C148" s="475"/>
      <c r="D148" s="475"/>
      <c r="E148" s="379"/>
      <c r="F148" s="379"/>
      <c r="J148" s="379"/>
      <c r="K148" s="1342">
        <f t="shared" ref="K148:P148" si="85">PRODUCT(K$51,$B$10)/K$151</f>
        <v>130500.09523809524</v>
      </c>
      <c r="L148" s="1342">
        <f t="shared" si="85"/>
        <v>141736.38095238095</v>
      </c>
      <c r="M148" s="1342">
        <f t="shared" si="85"/>
        <v>140974.05263157896</v>
      </c>
      <c r="N148" s="1342">
        <f t="shared" si="85"/>
        <v>146676.42105263157</v>
      </c>
      <c r="O148" s="1342">
        <f t="shared" si="85"/>
        <v>153231.94444444444</v>
      </c>
      <c r="P148" s="1343">
        <f t="shared" si="85"/>
        <v>173121.3125</v>
      </c>
      <c r="Q148" s="460"/>
      <c r="R148" s="1509" cm="1">
        <f t="array" aca="1" ref="R148" ca="1">$O$148*(1+OFFSET(R$200,MATCH($C$5,$B$201:$B$203,0),,))</f>
        <v>153231.94444444444</v>
      </c>
      <c r="S148" s="1342" cm="1">
        <f t="array" aca="1" ref="S148" ca="1">R$148*(1+OFFSET(S$200,MATCH($C$5,$B$201:$B$203,0),,))</f>
        <v>153231.94444444444</v>
      </c>
      <c r="T148" s="1342" cm="1">
        <f t="array" aca="1" ref="T148" ca="1">S$148*(1+OFFSET(T$200,MATCH($C$5,$B$201:$B$203,0),,))</f>
        <v>160893.54166666666</v>
      </c>
      <c r="U148" s="1342" cm="1">
        <f t="array" aca="1" ref="U148" ca="1">T$148*(1+OFFSET(U$200,MATCH($C$5,$B$201:$B$203,0),,))</f>
        <v>168938.21875</v>
      </c>
      <c r="V148" s="1342" cm="1">
        <f t="array" aca="1" ref="V148" ca="1">U$148*(1+OFFSET(V$200,MATCH($C$5,$B$201:$B$203,0),,))</f>
        <v>177385.12968750001</v>
      </c>
      <c r="W148" s="1342" cm="1">
        <f t="array" aca="1" ref="W148" ca="1">V$148*(1+OFFSET(W$200,MATCH($C$5,$B$201:$B$203,0),,))</f>
        <v>181819.7579296875</v>
      </c>
      <c r="X148" s="1342" cm="1">
        <f t="array" aca="1" ref="X148" ca="1">W$148*(1+OFFSET(X$200,MATCH($C$5,$B$201:$B$203,0),,))</f>
        <v>186365.25187792967</v>
      </c>
      <c r="Y148" s="1342" cm="1">
        <f t="array" aca="1" ref="Y148" ca="1">X$148*(1+OFFSET(Y$200,MATCH($C$5,$B$201:$B$203,0),,))</f>
        <v>191024.3831748779</v>
      </c>
      <c r="Z148" s="1342" cm="1">
        <f t="array" aca="1" ref="Z148" ca="1">Y$148*(1+OFFSET(Z$200,MATCH($C$5,$B$201:$B$203,0),,))</f>
        <v>191024.3831748779</v>
      </c>
      <c r="AA148" s="1342" cm="1">
        <f t="array" aca="1" ref="AA148" ca="1">Z$148*(1+OFFSET(AA$200,MATCH($C$5,$B$201:$B$203,0),,))</f>
        <v>191024.3831748779</v>
      </c>
      <c r="AD148" s="3" t="s">
        <v>772</v>
      </c>
    </row>
    <row r="149" spans="1:30" s="3" customFormat="1" outlineLevel="2">
      <c r="A149" s="168"/>
      <c r="B149" s="487"/>
      <c r="C149" s="150"/>
      <c r="D149" s="151"/>
      <c r="E149" s="150"/>
      <c r="F149" s="442"/>
      <c r="G149"/>
      <c r="H149"/>
      <c r="I149"/>
      <c r="J149" s="484"/>
      <c r="K149" s="150"/>
      <c r="L149" s="150"/>
      <c r="M149" s="150"/>
      <c r="N149" s="150"/>
      <c r="O149" s="150"/>
      <c r="P149" s="150"/>
      <c r="Q149" s="485"/>
      <c r="R149" s="14"/>
      <c r="S149" s="517"/>
      <c r="T149" s="517"/>
      <c r="U149" s="517"/>
      <c r="V149" s="517"/>
      <c r="W149" s="517"/>
    </row>
    <row r="150" spans="1:30" s="3" customFormat="1" outlineLevel="2">
      <c r="A150" s="168"/>
      <c r="B150" s="536" t="s">
        <v>390</v>
      </c>
      <c r="G150"/>
      <c r="H150"/>
      <c r="I150"/>
      <c r="Q150" s="485"/>
      <c r="R150" s="517"/>
      <c r="S150" s="517"/>
      <c r="T150" s="517"/>
      <c r="U150" s="14"/>
      <c r="V150" s="517"/>
      <c r="W150" s="517"/>
    </row>
    <row r="151" spans="1:30" s="3" customFormat="1" outlineLevel="2">
      <c r="A151" s="168"/>
      <c r="B151" s="534" t="s">
        <v>333</v>
      </c>
      <c r="G151"/>
      <c r="H151"/>
      <c r="I151"/>
      <c r="K151" s="520">
        <v>21</v>
      </c>
      <c r="L151" s="520">
        <v>21</v>
      </c>
      <c r="M151" s="520">
        <v>19</v>
      </c>
      <c r="N151" s="520">
        <v>19</v>
      </c>
      <c r="O151" s="520">
        <v>18</v>
      </c>
      <c r="P151" s="550">
        <v>16</v>
      </c>
      <c r="Q151" s="485"/>
      <c r="R151" s="539">
        <f t="shared" ref="R151:AA151" ca="1" si="86">PRODUCT(R$51,$B$10)/R$148</f>
        <v>18.50610921261341</v>
      </c>
      <c r="S151" s="539">
        <f t="shared" ca="1" si="86"/>
        <v>18.945629306412982</v>
      </c>
      <c r="T151" s="539">
        <f t="shared" ca="1" si="86"/>
        <v>18.471988573752657</v>
      </c>
      <c r="U151" s="539">
        <f t="shared" ca="1" si="86"/>
        <v>18.010188859408839</v>
      </c>
      <c r="V151" s="539">
        <f t="shared" ca="1" si="86"/>
        <v>17.559934137923616</v>
      </c>
      <c r="W151" s="539">
        <f t="shared" ca="1" si="86"/>
        <v>17.538519584096878</v>
      </c>
      <c r="X151" s="539">
        <f t="shared" ca="1" si="86"/>
        <v>17.51713114557969</v>
      </c>
      <c r="Y151" s="539">
        <f t="shared" ca="1" si="86"/>
        <v>17.495768790524103</v>
      </c>
      <c r="Z151" s="539">
        <f t="shared" ca="1" si="86"/>
        <v>17.91129329929905</v>
      </c>
      <c r="AA151" s="539">
        <f t="shared" ca="1" si="86"/>
        <v>18.336686515157403</v>
      </c>
    </row>
    <row r="152" spans="1:30" s="3" customFormat="1" outlineLevel="2">
      <c r="A152" s="168"/>
      <c r="B152" s="534" t="s">
        <v>394</v>
      </c>
      <c r="K152" s="520">
        <v>1</v>
      </c>
      <c r="L152" s="520">
        <v>1</v>
      </c>
      <c r="M152" s="520">
        <v>1</v>
      </c>
      <c r="N152" s="520">
        <v>2</v>
      </c>
      <c r="O152" s="520">
        <v>2</v>
      </c>
      <c r="P152" s="550">
        <v>2</v>
      </c>
      <c r="Q152" s="485"/>
      <c r="R152" s="550">
        <v>2</v>
      </c>
      <c r="S152" s="550">
        <v>2</v>
      </c>
      <c r="T152" s="550">
        <v>2</v>
      </c>
      <c r="U152" s="550">
        <v>2</v>
      </c>
      <c r="V152" s="550">
        <v>2</v>
      </c>
      <c r="W152" s="550">
        <v>2</v>
      </c>
      <c r="X152" s="550">
        <v>2</v>
      </c>
      <c r="Y152" s="550">
        <v>2</v>
      </c>
      <c r="Z152" s="550">
        <v>2</v>
      </c>
      <c r="AA152" s="550">
        <v>2</v>
      </c>
    </row>
    <row r="153" spans="1:30" s="3" customFormat="1" outlineLevel="2">
      <c r="A153" s="168"/>
      <c r="B153" s="537" t="s">
        <v>26</v>
      </c>
      <c r="C153" s="187"/>
      <c r="D153" s="591"/>
      <c r="E153" s="591"/>
      <c r="K153" s="411">
        <f t="shared" ref="K153:P153" si="87">SUM(K151:K152)</f>
        <v>22</v>
      </c>
      <c r="L153" s="411">
        <f t="shared" si="87"/>
        <v>22</v>
      </c>
      <c r="M153" s="411">
        <f t="shared" si="87"/>
        <v>20</v>
      </c>
      <c r="N153" s="411">
        <f t="shared" si="87"/>
        <v>21</v>
      </c>
      <c r="O153" s="411">
        <f t="shared" si="87"/>
        <v>20</v>
      </c>
      <c r="P153" s="411">
        <f t="shared" si="87"/>
        <v>18</v>
      </c>
      <c r="Q153" s="549"/>
      <c r="R153" s="411">
        <f t="shared" ref="R153:AA153" ca="1" si="88">SUM(R151:R152)</f>
        <v>20.50610921261341</v>
      </c>
      <c r="S153" s="411">
        <f t="shared" ca="1" si="88"/>
        <v>20.945629306412982</v>
      </c>
      <c r="T153" s="411">
        <f t="shared" ca="1" si="88"/>
        <v>20.471988573752657</v>
      </c>
      <c r="U153" s="411">
        <f t="shared" ca="1" si="88"/>
        <v>20.010188859408839</v>
      </c>
      <c r="V153" s="411">
        <f t="shared" ca="1" si="88"/>
        <v>19.559934137923616</v>
      </c>
      <c r="W153" s="411">
        <f t="shared" ca="1" si="88"/>
        <v>19.538519584096878</v>
      </c>
      <c r="X153" s="411">
        <f t="shared" ca="1" si="88"/>
        <v>19.51713114557969</v>
      </c>
      <c r="Y153" s="411">
        <f t="shared" ca="1" si="88"/>
        <v>19.495768790524103</v>
      </c>
      <c r="Z153" s="411">
        <f t="shared" ca="1" si="88"/>
        <v>19.91129329929905</v>
      </c>
      <c r="AA153" s="411">
        <f t="shared" ca="1" si="88"/>
        <v>20.336686515157403</v>
      </c>
    </row>
    <row r="154" spans="1:30" s="3" customFormat="1" outlineLevel="2">
      <c r="A154" s="168"/>
      <c r="Q154" s="485"/>
      <c r="R154" s="517"/>
      <c r="S154" s="517"/>
      <c r="T154" s="517"/>
      <c r="U154" s="517"/>
      <c r="V154" s="517"/>
      <c r="W154" s="517"/>
      <c r="X154" s="552"/>
    </row>
    <row r="155" spans="1:30" s="3" customFormat="1" outlineLevel="2">
      <c r="A155" s="168"/>
      <c r="B155" s="533" t="s">
        <v>542</v>
      </c>
      <c r="Q155" s="485"/>
      <c r="R155" s="517"/>
      <c r="S155" s="517"/>
      <c r="T155" s="517"/>
      <c r="U155" s="517"/>
      <c r="V155" s="517"/>
      <c r="W155" s="517"/>
      <c r="X155" s="552"/>
    </row>
    <row r="156" spans="1:30" s="3" customFormat="1" outlineLevel="2">
      <c r="A156" s="168"/>
      <c r="B156" s="534" t="s">
        <v>333</v>
      </c>
      <c r="K156" s="520">
        <v>36972.5</v>
      </c>
      <c r="L156" s="520">
        <v>36946.25</v>
      </c>
      <c r="M156" s="520">
        <v>32060</v>
      </c>
      <c r="N156" s="520">
        <v>30564.25</v>
      </c>
      <c r="O156" s="520">
        <v>31097.75</v>
      </c>
      <c r="P156" s="1508">
        <f>O156</f>
        <v>31097.75</v>
      </c>
      <c r="Q156" s="485"/>
      <c r="R156" s="1506">
        <f>AVERAGE(M156:O156)</f>
        <v>31240.666666666668</v>
      </c>
      <c r="S156" s="416">
        <f>R156</f>
        <v>31240.666666666668</v>
      </c>
      <c r="T156" s="416">
        <f t="shared" ref="T156:AA156" si="89">S156</f>
        <v>31240.666666666668</v>
      </c>
      <c r="U156" s="416">
        <f t="shared" si="89"/>
        <v>31240.666666666668</v>
      </c>
      <c r="V156" s="416">
        <f t="shared" si="89"/>
        <v>31240.666666666668</v>
      </c>
      <c r="W156" s="416">
        <f t="shared" si="89"/>
        <v>31240.666666666668</v>
      </c>
      <c r="X156" s="416">
        <f t="shared" si="89"/>
        <v>31240.666666666668</v>
      </c>
      <c r="Y156" s="416">
        <f>X156</f>
        <v>31240.666666666668</v>
      </c>
      <c r="Z156" s="416">
        <f t="shared" si="89"/>
        <v>31240.666666666668</v>
      </c>
      <c r="AA156" s="416">
        <f t="shared" si="89"/>
        <v>31240.666666666668</v>
      </c>
      <c r="AD156" s="3" t="s">
        <v>771</v>
      </c>
    </row>
    <row r="157" spans="1:30" s="3" customFormat="1" outlineLevel="2">
      <c r="A157" s="168"/>
      <c r="B157" s="534" t="s">
        <v>394</v>
      </c>
      <c r="K157" s="535">
        <v>1094.75</v>
      </c>
      <c r="L157" s="535">
        <v>1031.75</v>
      </c>
      <c r="M157" s="535">
        <v>1021.75</v>
      </c>
      <c r="N157" s="535">
        <v>863.5</v>
      </c>
      <c r="O157" s="535">
        <v>981.25</v>
      </c>
      <c r="P157" s="416">
        <f>O157</f>
        <v>981.25</v>
      </c>
      <c r="Q157" s="485"/>
      <c r="R157" s="1506">
        <f>AVERAGE(K157:O157)</f>
        <v>998.6</v>
      </c>
      <c r="S157" s="493">
        <f>R157</f>
        <v>998.6</v>
      </c>
      <c r="T157" s="493">
        <f t="shared" ref="T157:AA157" si="90">S157</f>
        <v>998.6</v>
      </c>
      <c r="U157" s="493">
        <f t="shared" si="90"/>
        <v>998.6</v>
      </c>
      <c r="V157" s="493">
        <f t="shared" si="90"/>
        <v>998.6</v>
      </c>
      <c r="W157" s="493">
        <f t="shared" si="90"/>
        <v>998.6</v>
      </c>
      <c r="X157" s="493">
        <f t="shared" si="90"/>
        <v>998.6</v>
      </c>
      <c r="Y157" s="493">
        <f t="shared" si="90"/>
        <v>998.6</v>
      </c>
      <c r="Z157" s="493">
        <f t="shared" si="90"/>
        <v>998.6</v>
      </c>
      <c r="AA157" s="493">
        <f t="shared" si="90"/>
        <v>998.6</v>
      </c>
    </row>
    <row r="158" spans="1:30" s="3" customFormat="1" outlineLevel="2">
      <c r="A158" s="168"/>
      <c r="B158" s="537" t="s">
        <v>26</v>
      </c>
      <c r="C158" s="187"/>
      <c r="D158" s="187"/>
      <c r="E158" s="187"/>
      <c r="K158" s="539">
        <f t="shared" ref="K158:P158" si="91">SUM(K156:K157)</f>
        <v>38067.25</v>
      </c>
      <c r="L158" s="539">
        <f t="shared" si="91"/>
        <v>37978</v>
      </c>
      <c r="M158" s="539">
        <f t="shared" si="91"/>
        <v>33081.75</v>
      </c>
      <c r="N158" s="539">
        <f t="shared" si="91"/>
        <v>31427.75</v>
      </c>
      <c r="O158" s="539">
        <f t="shared" si="91"/>
        <v>32079</v>
      </c>
      <c r="P158" s="605">
        <f t="shared" si="91"/>
        <v>32079</v>
      </c>
      <c r="Q158" s="485"/>
      <c r="R158" s="605">
        <f t="shared" ref="R158:AA158" si="92">SUM(R156:R157)</f>
        <v>32239.266666666666</v>
      </c>
      <c r="S158" s="605">
        <f t="shared" si="92"/>
        <v>32239.266666666666</v>
      </c>
      <c r="T158" s="605">
        <f t="shared" si="92"/>
        <v>32239.266666666666</v>
      </c>
      <c r="U158" s="605">
        <f t="shared" si="92"/>
        <v>32239.266666666666</v>
      </c>
      <c r="V158" s="605">
        <f t="shared" si="92"/>
        <v>32239.266666666666</v>
      </c>
      <c r="W158" s="605">
        <f t="shared" si="92"/>
        <v>32239.266666666666</v>
      </c>
      <c r="X158" s="605">
        <f t="shared" si="92"/>
        <v>32239.266666666666</v>
      </c>
      <c r="Y158" s="605">
        <f>SUM(Y156:Y157)</f>
        <v>32239.266666666666</v>
      </c>
      <c r="Z158" s="605">
        <f t="shared" si="92"/>
        <v>32239.266666666666</v>
      </c>
      <c r="AA158" s="605">
        <f t="shared" si="92"/>
        <v>32239.266666666666</v>
      </c>
    </row>
    <row r="159" spans="1:30" s="3" customFormat="1" outlineLevel="2">
      <c r="A159" s="168"/>
      <c r="Q159" s="485"/>
      <c r="R159" s="517"/>
      <c r="S159" s="517"/>
      <c r="T159" s="517"/>
      <c r="U159" s="517"/>
      <c r="V159" s="517"/>
      <c r="W159" s="517"/>
      <c r="X159" s="552"/>
    </row>
    <row r="160" spans="1:30" s="3" customFormat="1" outlineLevel="2">
      <c r="A160" s="168"/>
      <c r="B160" s="533" t="s">
        <v>398</v>
      </c>
      <c r="C160" s="151"/>
      <c r="D160" s="151"/>
      <c r="Q160" s="485"/>
      <c r="R160" s="517"/>
      <c r="S160" s="517"/>
      <c r="T160" s="517"/>
      <c r="U160" s="517"/>
      <c r="V160" s="517"/>
      <c r="W160" s="517"/>
    </row>
    <row r="161" spans="1:27" s="3" customFormat="1" outlineLevel="2">
      <c r="A161" s="168"/>
      <c r="B161" s="534" t="s">
        <v>333</v>
      </c>
      <c r="C161" s="151"/>
      <c r="D161" s="151"/>
      <c r="K161" s="548">
        <f t="shared" ref="K161:O162" si="93">K156/K151</f>
        <v>1760.5952380952381</v>
      </c>
      <c r="L161" s="548">
        <f>L156/L151</f>
        <v>1759.3452380952381</v>
      </c>
      <c r="M161" s="548">
        <f t="shared" si="93"/>
        <v>1687.3684210526317</v>
      </c>
      <c r="N161" s="548">
        <f t="shared" si="93"/>
        <v>1608.6447368421052</v>
      </c>
      <c r="O161" s="548">
        <f t="shared" si="93"/>
        <v>1727.6527777777778</v>
      </c>
      <c r="P161" s="548">
        <f>P$156/P$151</f>
        <v>1943.609375</v>
      </c>
      <c r="Q161" s="485"/>
      <c r="R161" s="548">
        <f ca="1">R$156/R$151</f>
        <v>1688.1272183011665</v>
      </c>
      <c r="S161" s="548">
        <f ca="1">S$156/S$151</f>
        <v>1648.9643158008951</v>
      </c>
      <c r="T161" s="548">
        <f t="shared" ref="T161:AA161" ca="1" si="94">T$156/T$151</f>
        <v>1691.245452103482</v>
      </c>
      <c r="U161" s="548">
        <f t="shared" ca="1" si="94"/>
        <v>1734.6107201061357</v>
      </c>
      <c r="V161" s="548">
        <f t="shared" ca="1" si="94"/>
        <v>1779.0879180575753</v>
      </c>
      <c r="W161" s="548">
        <f t="shared" ca="1" si="94"/>
        <v>1781.2601865777922</v>
      </c>
      <c r="X161" s="548">
        <f t="shared" ca="1" si="94"/>
        <v>1783.4351074405242</v>
      </c>
      <c r="Y161" s="548">
        <f t="shared" ca="1" si="94"/>
        <v>1785.6126838842858</v>
      </c>
      <c r="Z161" s="548">
        <f t="shared" ca="1" si="94"/>
        <v>1744.1882138063843</v>
      </c>
      <c r="AA161" s="548">
        <f t="shared" ca="1" si="94"/>
        <v>1703.724750970827</v>
      </c>
    </row>
    <row r="162" spans="1:27" s="3" customFormat="1" outlineLevel="2">
      <c r="A162" s="168"/>
      <c r="B162" s="534" t="s">
        <v>394</v>
      </c>
      <c r="C162" s="151"/>
      <c r="D162" s="151"/>
      <c r="K162" s="548">
        <f t="shared" si="93"/>
        <v>1094.75</v>
      </c>
      <c r="L162" s="548">
        <f t="shared" si="93"/>
        <v>1031.75</v>
      </c>
      <c r="M162" s="548">
        <f t="shared" si="93"/>
        <v>1021.75</v>
      </c>
      <c r="N162" s="548">
        <f t="shared" si="93"/>
        <v>431.75</v>
      </c>
      <c r="O162" s="548">
        <f t="shared" si="93"/>
        <v>490.625</v>
      </c>
      <c r="P162" s="548">
        <f>P$157/P$152</f>
        <v>490.625</v>
      </c>
      <c r="Q162" s="485"/>
      <c r="R162" s="548">
        <f>R$157/R$152</f>
        <v>499.3</v>
      </c>
      <c r="S162" s="548">
        <f t="shared" ref="S162:AA162" si="95">S$157/S$152</f>
        <v>499.3</v>
      </c>
      <c r="T162" s="548">
        <f t="shared" si="95"/>
        <v>499.3</v>
      </c>
      <c r="U162" s="548">
        <f t="shared" si="95"/>
        <v>499.3</v>
      </c>
      <c r="V162" s="548">
        <f t="shared" si="95"/>
        <v>499.3</v>
      </c>
      <c r="W162" s="548">
        <f t="shared" si="95"/>
        <v>499.3</v>
      </c>
      <c r="X162" s="548">
        <f t="shared" si="95"/>
        <v>499.3</v>
      </c>
      <c r="Y162" s="548">
        <f t="shared" si="95"/>
        <v>499.3</v>
      </c>
      <c r="Z162" s="548">
        <f t="shared" si="95"/>
        <v>499.3</v>
      </c>
      <c r="AA162" s="548">
        <f t="shared" si="95"/>
        <v>499.3</v>
      </c>
    </row>
    <row r="163" spans="1:27" s="3" customFormat="1" outlineLevel="2">
      <c r="A163" s="168"/>
      <c r="Q163" s="485"/>
      <c r="R163" s="517"/>
      <c r="S163" s="517"/>
      <c r="T163" s="517"/>
      <c r="U163" s="517"/>
      <c r="V163" s="517"/>
      <c r="W163" s="517"/>
    </row>
    <row r="164" spans="1:27" s="3" customFormat="1" outlineLevel="2">
      <c r="A164" s="168"/>
      <c r="B164" s="533" t="s">
        <v>399</v>
      </c>
      <c r="C164" s="150"/>
      <c r="D164" s="150"/>
      <c r="G164"/>
      <c r="H164"/>
      <c r="I164"/>
      <c r="Q164" s="485"/>
      <c r="R164" s="517"/>
      <c r="S164" s="517"/>
      <c r="T164" s="517"/>
      <c r="U164" s="517"/>
      <c r="V164" s="517"/>
      <c r="W164" s="517"/>
    </row>
    <row r="165" spans="1:27" s="3" customFormat="1" outlineLevel="2">
      <c r="A165" s="168"/>
      <c r="B165" s="534" t="s">
        <v>333</v>
      </c>
      <c r="C165" s="150"/>
      <c r="D165" s="150"/>
      <c r="G165"/>
      <c r="H165"/>
      <c r="I165"/>
      <c r="L165" s="543">
        <v>18.835000000000001</v>
      </c>
      <c r="M165" s="543">
        <v>19.484615384615388</v>
      </c>
      <c r="N165" s="543">
        <v>19.489583333333336</v>
      </c>
      <c r="O165" s="543">
        <v>19.710526315789473</v>
      </c>
      <c r="P165" s="543">
        <v>19.940000000000001</v>
      </c>
      <c r="Q165" s="485"/>
      <c r="R165" s="1507">
        <f ca="1">PRODUCT(P165,(1+(OFFSET(R$207,MATCH($C$5,$B$208:$B$210,0),0))))</f>
        <v>20.937000000000001</v>
      </c>
      <c r="S165" s="778">
        <f t="shared" ref="S165:AA165" ca="1" si="96">PRODUCT(R165,(1+(OFFSET(S$207,MATCH($C$5,$B$208:$B$210,0),0))))</f>
        <v>21.355740000000001</v>
      </c>
      <c r="T165" s="778">
        <f t="shared" ca="1" si="96"/>
        <v>21.782854800000003</v>
      </c>
      <c r="U165" s="778">
        <f t="shared" ca="1" si="96"/>
        <v>22.218511896000003</v>
      </c>
      <c r="V165" s="778">
        <f t="shared" ca="1" si="96"/>
        <v>22.662882133920004</v>
      </c>
      <c r="W165" s="778">
        <f t="shared" ca="1" si="96"/>
        <v>23.116139776598406</v>
      </c>
      <c r="X165" s="778">
        <f t="shared" ca="1" si="96"/>
        <v>23.578462572130373</v>
      </c>
      <c r="Y165" s="778">
        <f t="shared" ca="1" si="96"/>
        <v>24.050031823572983</v>
      </c>
      <c r="Z165" s="778">
        <f t="shared" ca="1" si="96"/>
        <v>24.531032460044443</v>
      </c>
      <c r="AA165" s="778">
        <f t="shared" ca="1" si="96"/>
        <v>25.021653109245332</v>
      </c>
    </row>
    <row r="166" spans="1:27" s="3" customFormat="1" outlineLevel="2">
      <c r="A166" s="168"/>
      <c r="B166" s="534" t="s">
        <v>394</v>
      </c>
      <c r="C166" s="150"/>
      <c r="D166" s="150"/>
      <c r="G166"/>
      <c r="H166"/>
      <c r="I166"/>
      <c r="L166" s="543">
        <v>16</v>
      </c>
      <c r="M166" s="543">
        <v>17</v>
      </c>
      <c r="N166" s="543">
        <v>16</v>
      </c>
      <c r="O166" s="543">
        <v>15.875</v>
      </c>
      <c r="P166" s="543">
        <v>15.75</v>
      </c>
      <c r="Q166" s="485"/>
      <c r="R166" s="1507">
        <f ca="1">PRODUCT(P166,(1+(OFFSET(R$212,MATCH($C$5,$B$213:$B$215,0),0))))</f>
        <v>16.537500000000001</v>
      </c>
      <c r="S166" s="778">
        <f t="shared" ref="S166:AA166" ca="1" si="97">PRODUCT(R166,(1+(OFFSET(S$212,MATCH($C$5,$B$213:$B$215,0),0))))</f>
        <v>16.868250000000003</v>
      </c>
      <c r="T166" s="778">
        <f t="shared" ca="1" si="97"/>
        <v>17.205615000000005</v>
      </c>
      <c r="U166" s="778">
        <f t="shared" ca="1" si="97"/>
        <v>17.549727300000004</v>
      </c>
      <c r="V166" s="778">
        <f t="shared" ca="1" si="97"/>
        <v>17.900721846000003</v>
      </c>
      <c r="W166" s="778">
        <f t="shared" ca="1" si="97"/>
        <v>18.258736282920005</v>
      </c>
      <c r="X166" s="778">
        <f t="shared" ca="1" si="97"/>
        <v>18.623911008578403</v>
      </c>
      <c r="Y166" s="778">
        <f t="shared" ca="1" si="97"/>
        <v>18.996389228749972</v>
      </c>
      <c r="Z166" s="778">
        <f t="shared" ca="1" si="97"/>
        <v>19.376317013324972</v>
      </c>
      <c r="AA166" s="778">
        <f t="shared" ca="1" si="97"/>
        <v>19.763843353591472</v>
      </c>
    </row>
    <row r="167" spans="1:27" s="3" customFormat="1" outlineLevel="2">
      <c r="A167" s="168"/>
      <c r="G167"/>
      <c r="H167"/>
      <c r="I167"/>
      <c r="Q167" s="485"/>
      <c r="R167" s="517"/>
      <c r="S167" s="174"/>
      <c r="T167" s="517"/>
      <c r="U167" s="517"/>
      <c r="V167" s="517"/>
      <c r="W167" s="517"/>
    </row>
    <row r="168" spans="1:27" s="3" customFormat="1" outlineLevel="2">
      <c r="A168" s="168"/>
      <c r="B168" s="533" t="s">
        <v>400</v>
      </c>
      <c r="G168"/>
      <c r="H168"/>
      <c r="I168"/>
      <c r="Q168" s="485"/>
      <c r="R168" s="517"/>
      <c r="S168" s="517"/>
      <c r="T168" s="517"/>
      <c r="U168" s="517"/>
      <c r="V168" s="517"/>
      <c r="W168" s="517"/>
    </row>
    <row r="169" spans="1:27" s="3" customFormat="1" outlineLevel="2">
      <c r="A169" s="168"/>
      <c r="B169" s="534" t="s">
        <v>333</v>
      </c>
      <c r="L169" s="548">
        <f>PRODUCT(L$161,L$165)</f>
        <v>33137.267559523811</v>
      </c>
      <c r="M169" s="548">
        <f>PRODUCT(M$161,M$165)</f>
        <v>32877.724696356287</v>
      </c>
      <c r="N169" s="548">
        <f>PRODUCT(N$161,N$165)</f>
        <v>31351.815652412282</v>
      </c>
      <c r="O169" s="548">
        <f>PRODUCT(O$161,O$165)</f>
        <v>34052.945540935674</v>
      </c>
      <c r="P169" s="548">
        <f>PRODUCT(P$161,P$165)</f>
        <v>38755.570937500001</v>
      </c>
      <c r="Q169" s="485"/>
      <c r="R169" s="548">
        <f t="shared" ref="R169:AA169" ca="1" si="98">PRODUCT(R$161,R$165)</f>
        <v>35344.319569571526</v>
      </c>
      <c r="S169" s="548">
        <f t="shared" ca="1" si="98"/>
        <v>35214.853197521807</v>
      </c>
      <c r="T169" s="548">
        <f t="shared" ca="1" si="98"/>
        <v>36840.154114330508</v>
      </c>
      <c r="U169" s="548">
        <f t="shared" ca="1" si="98"/>
        <v>38540.468919607309</v>
      </c>
      <c r="V169" s="548">
        <f t="shared" ca="1" si="98"/>
        <v>40319.259792819961</v>
      </c>
      <c r="W169" s="548">
        <f t="shared" ca="1" si="98"/>
        <v>41175.859451422002</v>
      </c>
      <c r="X169" s="548">
        <f t="shared" ca="1" si="98"/>
        <v>42050.657930609712</v>
      </c>
      <c r="Y169" s="548">
        <f t="shared" ca="1" si="98"/>
        <v>42944.041871992638</v>
      </c>
      <c r="Z169" s="548">
        <f t="shared" ca="1" si="98"/>
        <v>42786.737689311347</v>
      </c>
      <c r="AA169" s="548">
        <f t="shared" ca="1" si="98"/>
        <v>42630.009712427425</v>
      </c>
    </row>
    <row r="170" spans="1:27" s="3" customFormat="1" outlineLevel="2">
      <c r="A170" s="168"/>
      <c r="B170" s="534" t="s">
        <v>394</v>
      </c>
      <c r="L170" s="548">
        <f>PRODUCT(L$162,L$166)</f>
        <v>16508</v>
      </c>
      <c r="M170" s="548">
        <f>PRODUCT(M$162,M$166)</f>
        <v>17369.75</v>
      </c>
      <c r="N170" s="548">
        <f>PRODUCT(N$162,N$166)</f>
        <v>6908</v>
      </c>
      <c r="O170" s="548">
        <f>PRODUCT(O$162,O$166)</f>
        <v>7788.671875</v>
      </c>
      <c r="P170" s="548">
        <f>PRODUCT(P$162,P$166)</f>
        <v>7727.34375</v>
      </c>
      <c r="Q170" s="485"/>
      <c r="R170" s="548">
        <f t="shared" ref="R170:AA170" ca="1" si="99">PRODUCT(R$162,R$166)</f>
        <v>8257.1737500000017</v>
      </c>
      <c r="S170" s="548">
        <f t="shared" ca="1" si="99"/>
        <v>8422.3172250000025</v>
      </c>
      <c r="T170" s="548">
        <f t="shared" ca="1" si="99"/>
        <v>8590.7635695000026</v>
      </c>
      <c r="U170" s="548">
        <f t="shared" ca="1" si="99"/>
        <v>8762.5788408900025</v>
      </c>
      <c r="V170" s="548">
        <f t="shared" ca="1" si="99"/>
        <v>8937.8304177078026</v>
      </c>
      <c r="W170" s="548">
        <f t="shared" ca="1" si="99"/>
        <v>9116.5870260619577</v>
      </c>
      <c r="X170" s="548">
        <f t="shared" ca="1" si="99"/>
        <v>9298.9187665831978</v>
      </c>
      <c r="Y170" s="548">
        <f t="shared" ca="1" si="99"/>
        <v>9484.897141914862</v>
      </c>
      <c r="Z170" s="548">
        <f t="shared" ca="1" si="99"/>
        <v>9674.5950847531585</v>
      </c>
      <c r="AA170" s="548">
        <f t="shared" ca="1" si="99"/>
        <v>9868.0869864482229</v>
      </c>
    </row>
    <row r="171" spans="1:27" s="3" customFormat="1" outlineLevel="2">
      <c r="A171" s="168"/>
      <c r="B171" s="519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485"/>
      <c r="R171" s="14"/>
      <c r="S171" s="517"/>
      <c r="T171" s="517"/>
      <c r="U171" s="517"/>
      <c r="V171" s="517"/>
      <c r="W171" s="517"/>
    </row>
    <row r="172" spans="1:27" s="3" customFormat="1" outlineLevel="2">
      <c r="A172" s="168"/>
      <c r="B172" s="533" t="s">
        <v>396</v>
      </c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485"/>
      <c r="R172" s="14"/>
      <c r="S172" s="517"/>
      <c r="T172" s="517"/>
      <c r="U172" s="517"/>
      <c r="V172" s="517"/>
      <c r="W172" s="517"/>
    </row>
    <row r="173" spans="1:27" s="3" customFormat="1" outlineLevel="2">
      <c r="A173" s="168"/>
      <c r="B173" s="538" t="s">
        <v>333</v>
      </c>
      <c r="C173" s="150"/>
      <c r="D173" s="150"/>
      <c r="E173" s="150"/>
      <c r="F173" s="150"/>
      <c r="G173" s="150"/>
      <c r="H173" s="150"/>
      <c r="I173" s="150"/>
      <c r="J173" s="150"/>
      <c r="K173" s="553"/>
      <c r="L173" s="553">
        <f>PRODUCT(L$169,L$151)</f>
        <v>695882.61875000002</v>
      </c>
      <c r="M173" s="553">
        <f>PRODUCT(M$169,M$151)</f>
        <v>624676.76923076948</v>
      </c>
      <c r="N173" s="553">
        <f>PRODUCT(N$169,N$151)</f>
        <v>595684.49739583337</v>
      </c>
      <c r="O173" s="553">
        <f>PRODUCT(O$169,O$151)</f>
        <v>612953.01973684214</v>
      </c>
      <c r="P173" s="553">
        <f>PRODUCT(P$169,P$151)</f>
        <v>620089.13500000001</v>
      </c>
      <c r="Q173" s="485"/>
      <c r="R173" s="553">
        <f t="shared" ref="R173:AA173" ca="1" si="100">PRODUCT(R$169,R$151)</f>
        <v>654085.83799999999</v>
      </c>
      <c r="S173" s="553">
        <f t="shared" ca="1" si="100"/>
        <v>667167.55476000009</v>
      </c>
      <c r="T173" s="553">
        <f t="shared" ca="1" si="100"/>
        <v>680510.90585520014</v>
      </c>
      <c r="U173" s="553">
        <f t="shared" ca="1" si="100"/>
        <v>694121.12397230417</v>
      </c>
      <c r="V173" s="553">
        <f t="shared" ca="1" si="100"/>
        <v>708003.54645175033</v>
      </c>
      <c r="W173" s="553">
        <f t="shared" ca="1" si="100"/>
        <v>722163.61738078529</v>
      </c>
      <c r="X173" s="553">
        <f t="shared" ca="1" si="100"/>
        <v>736606.88972840097</v>
      </c>
      <c r="Y173" s="553">
        <f t="shared" ca="1" si="100"/>
        <v>751339.02752296906</v>
      </c>
      <c r="Z173" s="553">
        <f t="shared" ca="1" si="100"/>
        <v>766365.80807342846</v>
      </c>
      <c r="AA173" s="553">
        <f t="shared" ca="1" si="100"/>
        <v>781693.12423489708</v>
      </c>
    </row>
    <row r="174" spans="1:27" s="3" customFormat="1" ht="15" outlineLevel="2" thickBot="1">
      <c r="A174" s="168"/>
      <c r="B174" s="610" t="s">
        <v>394</v>
      </c>
      <c r="C174" s="595"/>
      <c r="D174" s="595"/>
      <c r="E174" s="595"/>
      <c r="F174" s="150"/>
      <c r="G174" s="150"/>
      <c r="H174" s="150"/>
      <c r="I174" s="150"/>
      <c r="J174" s="150"/>
      <c r="K174" s="611"/>
      <c r="L174" s="611">
        <f>PRODUCT(L$170,L$152)</f>
        <v>16508</v>
      </c>
      <c r="M174" s="611">
        <f>PRODUCT(M$170,M$152)</f>
        <v>17369.75</v>
      </c>
      <c r="N174" s="611">
        <f>PRODUCT(N$170,N$152)</f>
        <v>13816</v>
      </c>
      <c r="O174" s="611">
        <f>PRODUCT(O$170,O$152)</f>
        <v>15577.34375</v>
      </c>
      <c r="P174" s="611">
        <f>PRODUCT(P$170,P$152)</f>
        <v>15454.6875</v>
      </c>
      <c r="Q174" s="485"/>
      <c r="R174" s="611">
        <f t="shared" ref="R174:AA174" ca="1" si="101">PRODUCT(R$170,R$152)</f>
        <v>16514.347500000003</v>
      </c>
      <c r="S174" s="611">
        <f t="shared" ca="1" si="101"/>
        <v>16844.634450000005</v>
      </c>
      <c r="T174" s="611">
        <f t="shared" ca="1" si="101"/>
        <v>17181.527139000005</v>
      </c>
      <c r="U174" s="611">
        <f t="shared" ca="1" si="101"/>
        <v>17525.157681780005</v>
      </c>
      <c r="V174" s="611">
        <f t="shared" ca="1" si="101"/>
        <v>17875.660835415605</v>
      </c>
      <c r="W174" s="611">
        <f t="shared" ca="1" si="101"/>
        <v>18233.174052123915</v>
      </c>
      <c r="X174" s="611">
        <f t="shared" ca="1" si="101"/>
        <v>18597.837533166396</v>
      </c>
      <c r="Y174" s="611">
        <f t="shared" ca="1" si="101"/>
        <v>18969.794283829724</v>
      </c>
      <c r="Z174" s="611">
        <f t="shared" ca="1" si="101"/>
        <v>19349.190169506317</v>
      </c>
      <c r="AA174" s="611">
        <f t="shared" ca="1" si="101"/>
        <v>19736.173972896446</v>
      </c>
    </row>
    <row r="175" spans="1:27" s="3" customFormat="1" ht="15" outlineLevel="2" thickTop="1">
      <c r="A175" s="168"/>
      <c r="B175" s="606" t="s">
        <v>26</v>
      </c>
      <c r="C175" s="150"/>
      <c r="D175" s="150"/>
      <c r="E175" s="150"/>
      <c r="F175" s="150"/>
      <c r="G175" s="150"/>
      <c r="H175" s="150"/>
      <c r="I175" s="150"/>
      <c r="J175" s="150"/>
      <c r="K175" s="556"/>
      <c r="L175" s="556">
        <f>SUM(L$173:L$174)</f>
        <v>712390.61875000002</v>
      </c>
      <c r="M175" s="556">
        <f>SUM(M$173:M$174)</f>
        <v>642046.51923076948</v>
      </c>
      <c r="N175" s="556">
        <f>SUM(N$173:N$174)</f>
        <v>609500.49739583337</v>
      </c>
      <c r="O175" s="556">
        <f>SUM(O$173:O$174)</f>
        <v>628530.36348684214</v>
      </c>
      <c r="P175" s="556">
        <f>SUM(P$173:P$174)</f>
        <v>635543.82250000001</v>
      </c>
      <c r="Q175" s="485"/>
      <c r="R175" s="556">
        <f t="shared" ref="R175:AA175" ca="1" si="102">SUM(R$173:R$174)</f>
        <v>670600.18550000002</v>
      </c>
      <c r="S175" s="556">
        <f t="shared" ca="1" si="102"/>
        <v>684012.1892100001</v>
      </c>
      <c r="T175" s="556">
        <f t="shared" ca="1" si="102"/>
        <v>697692.43299420015</v>
      </c>
      <c r="U175" s="556">
        <f t="shared" ca="1" si="102"/>
        <v>711646.28165408422</v>
      </c>
      <c r="V175" s="556">
        <f t="shared" ca="1" si="102"/>
        <v>725879.20728716592</v>
      </c>
      <c r="W175" s="556">
        <f t="shared" ca="1" si="102"/>
        <v>740396.7914329092</v>
      </c>
      <c r="X175" s="556">
        <f t="shared" ca="1" si="102"/>
        <v>755204.72726156737</v>
      </c>
      <c r="Y175" s="556">
        <f t="shared" ca="1" si="102"/>
        <v>770308.82180679881</v>
      </c>
      <c r="Z175" s="556">
        <f t="shared" ca="1" si="102"/>
        <v>785714.99824293482</v>
      </c>
      <c r="AA175" s="556">
        <f t="shared" ca="1" si="102"/>
        <v>801429.2982077935</v>
      </c>
    </row>
    <row r="176" spans="1:27" s="3" customFormat="1" outlineLevel="2">
      <c r="A176" s="168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485"/>
      <c r="R176" s="485"/>
    </row>
    <row r="177" spans="1:28" s="1" customFormat="1" outlineLevel="2">
      <c r="A177" s="6"/>
      <c r="B177" s="533" t="s">
        <v>397</v>
      </c>
      <c r="C177" s="379"/>
      <c r="D177" s="379"/>
      <c r="E177" s="379"/>
      <c r="F177" s="379"/>
      <c r="G177" s="379"/>
      <c r="H177" s="379"/>
      <c r="I177" s="379"/>
      <c r="J177" s="379"/>
      <c r="K177" s="557"/>
      <c r="L177" s="557">
        <f>PRODUCT(L$175,L$217)</f>
        <v>14100.253329710338</v>
      </c>
      <c r="M177" s="557">
        <f>PRODUCT(M$175,M$217)</f>
        <v>12916.931803059841</v>
      </c>
      <c r="N177" s="557">
        <f>PRODUCT(N$175,N$217)</f>
        <v>13862.403836537052</v>
      </c>
      <c r="O177" s="557">
        <f>PRODUCT(O$175,O$217)</f>
        <v>13479.747070892754</v>
      </c>
      <c r="P177" s="557">
        <f>PRODUCT(P$175,P$217)</f>
        <v>14454.729997684906</v>
      </c>
      <c r="Q177" s="460"/>
      <c r="R177" s="557">
        <f t="shared" ref="R177:AA177" ca="1" si="103">PRODUCT(R$175,R$217)*($C$5&lt;&gt;"Downside")</f>
        <v>16765.004637500002</v>
      </c>
      <c r="S177" s="557">
        <f t="shared" ca="1" si="103"/>
        <v>17100.304730250002</v>
      </c>
      <c r="T177" s="557">
        <f t="shared" ca="1" si="103"/>
        <v>17442.310824855005</v>
      </c>
      <c r="U177" s="557">
        <f t="shared" ca="1" si="103"/>
        <v>17791.157041352108</v>
      </c>
      <c r="V177" s="557">
        <f t="shared" ca="1" si="103"/>
        <v>18146.980182179148</v>
      </c>
      <c r="W177" s="557">
        <f t="shared" ca="1" si="103"/>
        <v>18509.919785822731</v>
      </c>
      <c r="X177" s="557">
        <f t="shared" ca="1" si="103"/>
        <v>18880.118181539186</v>
      </c>
      <c r="Y177" s="557">
        <f t="shared" ca="1" si="103"/>
        <v>19257.72054516997</v>
      </c>
      <c r="Z177" s="557">
        <f t="shared" ca="1" si="103"/>
        <v>19642.87495607337</v>
      </c>
      <c r="AA177" s="557">
        <f t="shared" ca="1" si="103"/>
        <v>20035.73245519484</v>
      </c>
    </row>
    <row r="178" spans="1:28" s="1" customFormat="1" outlineLevel="2">
      <c r="A178" s="6"/>
      <c r="B178" s="1390" t="s">
        <v>780</v>
      </c>
      <c r="C178" s="379"/>
      <c r="D178" s="379"/>
      <c r="E178" s="379"/>
      <c r="F178" s="379"/>
      <c r="G178" s="379"/>
      <c r="H178" s="379"/>
      <c r="I178" s="379"/>
      <c r="J178" s="379"/>
      <c r="K178" s="557"/>
      <c r="L178" s="557"/>
      <c r="M178" s="557"/>
      <c r="N178" s="557"/>
      <c r="O178" s="557"/>
      <c r="P178" s="557"/>
      <c r="Q178" s="460"/>
      <c r="R178" s="1395">
        <f t="shared" ref="R178:AA178" ca="1" si="104">PRODUCT(1-R$218,R$217,R$175)*($C$5="Downside")</f>
        <v>0</v>
      </c>
      <c r="S178" s="1395">
        <f t="shared" ca="1" si="104"/>
        <v>0</v>
      </c>
      <c r="T178" s="1395">
        <f t="shared" ca="1" si="104"/>
        <v>0</v>
      </c>
      <c r="U178" s="1395">
        <f t="shared" ca="1" si="104"/>
        <v>0</v>
      </c>
      <c r="V178" s="1395">
        <f t="shared" ca="1" si="104"/>
        <v>0</v>
      </c>
      <c r="W178" s="1395">
        <f t="shared" ca="1" si="104"/>
        <v>0</v>
      </c>
      <c r="X178" s="1395">
        <f t="shared" ca="1" si="104"/>
        <v>0</v>
      </c>
      <c r="Y178" s="1395">
        <f t="shared" ca="1" si="104"/>
        <v>0</v>
      </c>
      <c r="Z178" s="1395">
        <f t="shared" ca="1" si="104"/>
        <v>0</v>
      </c>
      <c r="AA178" s="1395">
        <f t="shared" ca="1" si="104"/>
        <v>0</v>
      </c>
    </row>
    <row r="179" spans="1:28" s="3" customFormat="1" outlineLevel="2">
      <c r="A179" s="168"/>
      <c r="B179" s="150"/>
      <c r="C179" s="150"/>
      <c r="D179" s="150"/>
      <c r="E179" s="150"/>
      <c r="F179" s="150"/>
      <c r="G179" s="150"/>
      <c r="H179" s="150"/>
      <c r="I179" s="150"/>
      <c r="J179" s="150"/>
      <c r="K179" s="174"/>
      <c r="L179" s="150"/>
      <c r="M179" s="150"/>
      <c r="N179" s="150"/>
      <c r="O179" s="150"/>
      <c r="P179" s="150"/>
      <c r="Q179" s="485"/>
      <c r="R179" s="485"/>
    </row>
    <row r="180" spans="1:28" s="3" customFormat="1" outlineLevel="2">
      <c r="A180" s="168"/>
      <c r="B180" s="379" t="s">
        <v>401</v>
      </c>
      <c r="C180" s="150"/>
      <c r="D180" s="150"/>
      <c r="E180" s="150"/>
      <c r="F180" s="150"/>
      <c r="G180" s="150"/>
      <c r="H180" s="150"/>
      <c r="I180" s="150"/>
      <c r="J180" s="150"/>
      <c r="K180" s="174"/>
      <c r="L180" s="150"/>
      <c r="M180" s="150"/>
      <c r="N180" s="150"/>
      <c r="O180" s="150"/>
      <c r="P180" s="150"/>
      <c r="Q180" s="485"/>
      <c r="R180" s="485"/>
    </row>
    <row r="181" spans="1:28" s="3" customFormat="1" outlineLevel="2">
      <c r="A181" s="168"/>
      <c r="B181" s="487" t="s">
        <v>428</v>
      </c>
      <c r="E181" s="612">
        <v>1.5</v>
      </c>
      <c r="F181" s="150"/>
      <c r="G181" s="150"/>
      <c r="H181" s="150"/>
      <c r="I181" s="150"/>
      <c r="J181" s="150"/>
      <c r="K181" s="174"/>
      <c r="L181" s="613">
        <f>L183/L182</f>
        <v>30.592925499697152</v>
      </c>
      <c r="M181" s="613">
        <f>M183/M182</f>
        <v>31.70176852352623</v>
      </c>
      <c r="N181" s="613">
        <f>N183/N182</f>
        <v>33.083406644829203</v>
      </c>
      <c r="O181" s="613">
        <f>O183/O182</f>
        <v>34.207176376695926</v>
      </c>
      <c r="P181" s="613">
        <f>P183/P182</f>
        <v>32.304221376050421</v>
      </c>
      <c r="Q181" s="485"/>
      <c r="R181" s="613">
        <f t="shared" ref="R181:AA181" ca="1" si="105">PRODUCT($E$181,R$165)</f>
        <v>31.405500000000004</v>
      </c>
      <c r="S181" s="613">
        <f t="shared" ca="1" si="105"/>
        <v>32.033610000000003</v>
      </c>
      <c r="T181" s="613">
        <f t="shared" ca="1" si="105"/>
        <v>32.674282200000007</v>
      </c>
      <c r="U181" s="613">
        <f t="shared" ca="1" si="105"/>
        <v>33.327767844000007</v>
      </c>
      <c r="V181" s="613">
        <f t="shared" ca="1" si="105"/>
        <v>33.994323200880004</v>
      </c>
      <c r="W181" s="613">
        <f t="shared" ca="1" si="105"/>
        <v>34.67420966489761</v>
      </c>
      <c r="X181" s="613">
        <f t="shared" ca="1" si="105"/>
        <v>35.367693858195558</v>
      </c>
      <c r="Y181" s="613">
        <f t="shared" ca="1" si="105"/>
        <v>36.075047735359476</v>
      </c>
      <c r="Z181" s="613">
        <f t="shared" ca="1" si="105"/>
        <v>36.796548690066665</v>
      </c>
      <c r="AA181" s="613">
        <f t="shared" ca="1" si="105"/>
        <v>37.532479663867996</v>
      </c>
    </row>
    <row r="182" spans="1:28" s="3" customFormat="1" outlineLevel="2">
      <c r="A182" s="168"/>
      <c r="B182" s="487" t="s">
        <v>402</v>
      </c>
      <c r="C182" s="150"/>
      <c r="D182" s="150"/>
      <c r="E182" s="150"/>
      <c r="F182" s="150"/>
      <c r="G182" s="150"/>
      <c r="H182" s="150"/>
      <c r="I182" s="150"/>
      <c r="J182" s="150"/>
      <c r="K182" s="174"/>
      <c r="L182" s="551">
        <v>2063.75</v>
      </c>
      <c r="M182" s="551">
        <v>1849</v>
      </c>
      <c r="N182" s="551">
        <v>2137</v>
      </c>
      <c r="O182" s="551">
        <v>1566.25</v>
      </c>
      <c r="P182" s="413">
        <f>AVERAGE(L182:O182)</f>
        <v>1904</v>
      </c>
      <c r="Q182" s="485"/>
      <c r="R182" s="1506">
        <f>AVERAGE(L182:O182)</f>
        <v>1904</v>
      </c>
      <c r="S182" s="493">
        <f>R182</f>
        <v>1904</v>
      </c>
      <c r="T182" s="493">
        <f t="shared" ref="T182:AA182" si="106">S182</f>
        <v>1904</v>
      </c>
      <c r="U182" s="493">
        <f t="shared" si="106"/>
        <v>1904</v>
      </c>
      <c r="V182" s="493">
        <f t="shared" si="106"/>
        <v>1904</v>
      </c>
      <c r="W182" s="493">
        <f t="shared" si="106"/>
        <v>1904</v>
      </c>
      <c r="X182" s="493">
        <f t="shared" si="106"/>
        <v>1904</v>
      </c>
      <c r="Y182" s="493">
        <f t="shared" si="106"/>
        <v>1904</v>
      </c>
      <c r="Z182" s="493">
        <f t="shared" si="106"/>
        <v>1904</v>
      </c>
      <c r="AA182" s="493">
        <f t="shared" si="106"/>
        <v>1904</v>
      </c>
    </row>
    <row r="183" spans="1:28" s="3" customFormat="1" outlineLevel="2">
      <c r="A183" s="168"/>
      <c r="B183" s="193" t="s">
        <v>407</v>
      </c>
      <c r="C183" s="187"/>
      <c r="D183" s="187"/>
      <c r="E183" s="187"/>
      <c r="F183" s="150"/>
      <c r="G183" s="150"/>
      <c r="H183" s="150"/>
      <c r="I183" s="150"/>
      <c r="J183" s="150"/>
      <c r="K183" s="938"/>
      <c r="L183" s="555">
        <v>63136.15</v>
      </c>
      <c r="M183" s="555">
        <v>58616.57</v>
      </c>
      <c r="N183" s="555">
        <v>70699.240000000005</v>
      </c>
      <c r="O183" s="555">
        <v>53576.99</v>
      </c>
      <c r="P183" s="540">
        <f>AVERAGE(L183:O183)</f>
        <v>61507.237500000003</v>
      </c>
      <c r="Q183" s="460"/>
      <c r="R183" s="614">
        <f t="shared" ref="R183:AA183" ca="1" si="107">PRODUCT(R181:R182)</f>
        <v>59796.072000000007</v>
      </c>
      <c r="S183" s="614">
        <f t="shared" ca="1" si="107"/>
        <v>60991.993440000006</v>
      </c>
      <c r="T183" s="614">
        <f t="shared" ca="1" si="107"/>
        <v>62211.833308800014</v>
      </c>
      <c r="U183" s="614">
        <f t="shared" ca="1" si="107"/>
        <v>63456.069974976017</v>
      </c>
      <c r="V183" s="614">
        <f t="shared" ca="1" si="107"/>
        <v>64725.191374475529</v>
      </c>
      <c r="W183" s="614">
        <f t="shared" ca="1" si="107"/>
        <v>66019.695201965049</v>
      </c>
      <c r="X183" s="614">
        <f t="shared" ca="1" si="107"/>
        <v>67340.089106004336</v>
      </c>
      <c r="Y183" s="614">
        <f t="shared" ca="1" si="107"/>
        <v>68686.890888124442</v>
      </c>
      <c r="Z183" s="614">
        <f t="shared" ca="1" si="107"/>
        <v>70060.628705886935</v>
      </c>
      <c r="AA183" s="614">
        <f t="shared" ca="1" si="107"/>
        <v>71461.841280004664</v>
      </c>
    </row>
    <row r="184" spans="1:28" s="3" customFormat="1" ht="15" outlineLevel="2" thickBot="1">
      <c r="A184" s="168"/>
      <c r="B184" s="449"/>
      <c r="C184" s="449"/>
      <c r="D184" s="449"/>
      <c r="E184" s="449"/>
      <c r="F184" s="150"/>
      <c r="G184" s="150"/>
      <c r="H184" s="150"/>
      <c r="I184" s="150"/>
      <c r="J184" s="150"/>
      <c r="K184" s="1001"/>
      <c r="L184" s="449"/>
      <c r="M184" s="449"/>
      <c r="N184" s="449"/>
      <c r="O184" s="449"/>
      <c r="P184" s="449"/>
      <c r="Q184" s="485"/>
      <c r="R184" s="608"/>
      <c r="S184" s="595"/>
      <c r="T184" s="595"/>
      <c r="U184" s="595"/>
      <c r="V184" s="595"/>
      <c r="W184" s="595"/>
      <c r="X184" s="595"/>
      <c r="Y184" s="595"/>
      <c r="Z184" s="595"/>
      <c r="AA184" s="595"/>
    </row>
    <row r="185" spans="1:28" s="1" customFormat="1" ht="15" outlineLevel="2" thickTop="1">
      <c r="A185" s="6"/>
      <c r="B185" s="379" t="s">
        <v>427</v>
      </c>
      <c r="C185" s="379"/>
      <c r="D185" s="379"/>
      <c r="E185" s="379"/>
      <c r="F185" s="379"/>
      <c r="G185"/>
      <c r="H185"/>
      <c r="I185" s="379"/>
      <c r="J185" s="379"/>
      <c r="K185"/>
      <c r="L185" s="558">
        <f>SUM(L$175,L$177,L$183)</f>
        <v>789627.02207971038</v>
      </c>
      <c r="M185" s="558">
        <f>SUM(M$175,M$177,M$183)</f>
        <v>713580.02103382931</v>
      </c>
      <c r="N185" s="558">
        <f>SUM(N$175,N$177,N$183)</f>
        <v>694062.1412323704</v>
      </c>
      <c r="O185" s="558">
        <f>SUM(O$175,O$177,O$183)</f>
        <v>695587.10055773484</v>
      </c>
      <c r="P185" s="558">
        <f>SUM(P$175,P$177,P$183)</f>
        <v>711505.789997685</v>
      </c>
      <c r="Q185" s="460"/>
      <c r="R185" s="558">
        <f ca="1">SUM(R$175,R$177:R$178,R$183)</f>
        <v>747161.2621375001</v>
      </c>
      <c r="S185" s="558">
        <f t="shared" ref="S185:AA185" ca="1" si="108">SUM(S$175,S$177:S$178,S$183)</f>
        <v>762104.48738025012</v>
      </c>
      <c r="T185" s="558">
        <f t="shared" ca="1" si="108"/>
        <v>777346.57712785515</v>
      </c>
      <c r="U185" s="558">
        <f t="shared" ca="1" si="108"/>
        <v>792893.50867041235</v>
      </c>
      <c r="V185" s="558">
        <f t="shared" ca="1" si="108"/>
        <v>808751.37884382054</v>
      </c>
      <c r="W185" s="558">
        <f t="shared" ca="1" si="108"/>
        <v>824926.40642069699</v>
      </c>
      <c r="X185" s="558">
        <f t="shared" ca="1" si="108"/>
        <v>841424.93454911094</v>
      </c>
      <c r="Y185" s="558">
        <f t="shared" ca="1" si="108"/>
        <v>858253.43324009329</v>
      </c>
      <c r="Z185" s="558">
        <f t="shared" ca="1" si="108"/>
        <v>875418.50190489506</v>
      </c>
      <c r="AA185" s="558">
        <f t="shared" ca="1" si="108"/>
        <v>892926.87194299302</v>
      </c>
    </row>
    <row r="186" spans="1:28" s="1" customFormat="1" outlineLevel="2" collapsed="1">
      <c r="A186" s="6"/>
      <c r="B186" s="546" t="s">
        <v>385</v>
      </c>
      <c r="C186" s="379"/>
      <c r="D186" s="379"/>
      <c r="E186" s="379"/>
      <c r="F186" s="379"/>
      <c r="G186" s="517"/>
      <c r="H186" s="517"/>
      <c r="I186" s="379"/>
      <c r="J186" s="379"/>
      <c r="K186" s="490">
        <f>K$185/K$51</f>
        <v>0</v>
      </c>
      <c r="L186" s="490">
        <f>(L$185/$B$10)/L$51</f>
        <v>0.26529029817921884</v>
      </c>
      <c r="M186" s="490">
        <f>(M$185/$B$10)/M$51</f>
        <v>0.26640961589192386</v>
      </c>
      <c r="N186" s="490">
        <f>(N$185/$B$10)/N$51</f>
        <v>0.24904879815374856</v>
      </c>
      <c r="O186" s="490">
        <f>(O$185/$B$10)/O$51</f>
        <v>0.25219106857169499</v>
      </c>
      <c r="P186" s="490">
        <f>(P$185/$B$10)/P$51</f>
        <v>0.25686676719745477</v>
      </c>
      <c r="Q186" s="460"/>
      <c r="R186" s="490">
        <f t="shared" ref="R186:AA186" ca="1" si="109">(R$185/$B$10)/R$51</f>
        <v>0.26348137042765923</v>
      </c>
      <c r="S186" s="490">
        <f t="shared" ca="1" si="109"/>
        <v>0.26251623720264944</v>
      </c>
      <c r="T186" s="490">
        <f t="shared" ca="1" si="109"/>
        <v>0.26155463926417827</v>
      </c>
      <c r="U186" s="490">
        <f t="shared" ca="1" si="109"/>
        <v>0.26059656366247796</v>
      </c>
      <c r="V186" s="490">
        <f t="shared" ca="1" si="109"/>
        <v>0.25964199749521616</v>
      </c>
      <c r="W186" s="490">
        <f t="shared" ca="1" si="109"/>
        <v>0.25869092790732168</v>
      </c>
      <c r="X186" s="490">
        <f t="shared" ca="1" si="109"/>
        <v>0.25774334209081134</v>
      </c>
      <c r="Y186" s="490">
        <f t="shared" ca="1" si="109"/>
        <v>0.2567992272846179</v>
      </c>
      <c r="Z186" s="490">
        <f t="shared" ca="1" si="109"/>
        <v>0.25585857077441787</v>
      </c>
      <c r="AA186" s="490">
        <f t="shared" ca="1" si="109"/>
        <v>0.25492135989246029</v>
      </c>
    </row>
    <row r="187" spans="1:28" s="1" customFormat="1" ht="3.75" hidden="1" customHeight="1" outlineLevel="3">
      <c r="A187" s="6"/>
      <c r="B187" s="379"/>
      <c r="C187" s="379"/>
      <c r="D187" s="379"/>
      <c r="E187" s="379"/>
      <c r="F187" s="379"/>
      <c r="G187" s="517"/>
      <c r="H187" s="517"/>
      <c r="I187" s="379"/>
      <c r="J187" s="379"/>
      <c r="K187" s="517"/>
      <c r="L187" s="558"/>
      <c r="M187" s="558"/>
      <c r="N187" s="558"/>
      <c r="O187" s="558"/>
      <c r="P187" s="379"/>
      <c r="Q187" s="460"/>
      <c r="R187" s="460"/>
    </row>
    <row r="188" spans="1:28" s="1" customFormat="1" ht="15.65" hidden="1" customHeight="1" outlineLevel="3">
      <c r="A188" s="6"/>
      <c r="B188" s="379" t="s">
        <v>426</v>
      </c>
      <c r="C188" s="379"/>
      <c r="D188" s="379"/>
      <c r="E188" s="379"/>
      <c r="F188" s="528"/>
      <c r="I188" s="529"/>
      <c r="J188" s="529"/>
      <c r="L188" s="557">
        <f>L$88*$B$10</f>
        <v>836091</v>
      </c>
      <c r="M188" s="557">
        <f>M$88*$B$10</f>
        <v>765187</v>
      </c>
      <c r="N188" s="557">
        <f>N$88*$B$10</f>
        <v>781728</v>
      </c>
      <c r="O188" s="557">
        <f>O$88*$B$10</f>
        <v>759473.46</v>
      </c>
      <c r="P188" s="823">
        <f>P$88*$B$10</f>
        <v>735870.26999999979</v>
      </c>
      <c r="Q188" s="460"/>
      <c r="R188" s="620"/>
      <c r="S188" s="620"/>
      <c r="T188" s="620"/>
      <c r="U188" s="620"/>
      <c r="V188" s="620"/>
      <c r="W188" s="620"/>
      <c r="X188" s="620"/>
      <c r="Y188" s="620"/>
      <c r="Z188" s="620"/>
      <c r="AA188" s="620"/>
    </row>
    <row r="189" spans="1:28" s="3" customFormat="1" hidden="1" outlineLevel="3">
      <c r="A189" s="168"/>
      <c r="B189" s="559" t="s">
        <v>409</v>
      </c>
      <c r="C189" s="150"/>
      <c r="D189" s="150"/>
      <c r="E189" s="150"/>
      <c r="F189" s="150"/>
      <c r="G189"/>
      <c r="H189"/>
      <c r="I189" s="150"/>
      <c r="J189" s="150"/>
      <c r="K189"/>
      <c r="L189" s="560">
        <f>ABS(L188-L185)/L188</f>
        <v>5.5572871757128849E-2</v>
      </c>
      <c r="M189" s="560">
        <f>ABS(M188-M185)/M188</f>
        <v>6.7443617006262113E-2</v>
      </c>
      <c r="N189" s="560">
        <f>ABS(N188-N185)/N188</f>
        <v>0.11214368523019465</v>
      </c>
      <c r="O189" s="560">
        <f>ABS(O188-O185)/O188</f>
        <v>8.4119278430434055E-2</v>
      </c>
      <c r="P189" s="560">
        <f>ABS(P188-P185)/P188</f>
        <v>3.3109749089761151E-2</v>
      </c>
      <c r="Q189" s="485"/>
      <c r="R189" s="620"/>
      <c r="S189" s="620"/>
      <c r="T189" s="620"/>
      <c r="U189" s="620"/>
      <c r="V189" s="620"/>
      <c r="W189" s="620"/>
      <c r="X189" s="620"/>
      <c r="Y189" s="620"/>
      <c r="Z189" s="620"/>
      <c r="AA189" s="620"/>
    </row>
    <row r="190" spans="1:28" s="3" customFormat="1" outlineLevel="2">
      <c r="A190" s="168"/>
      <c r="B190" s="559"/>
      <c r="C190" s="150"/>
      <c r="D190" s="150"/>
      <c r="E190" s="150"/>
      <c r="F190" s="150"/>
      <c r="G190" s="517"/>
      <c r="H190" s="517"/>
      <c r="I190" s="150"/>
      <c r="J190" s="150"/>
      <c r="K190" s="517"/>
      <c r="L190" s="560"/>
      <c r="M190" s="560"/>
      <c r="N190" s="560"/>
      <c r="O190" s="560"/>
      <c r="P190" s="560"/>
      <c r="Q190" s="485"/>
      <c r="R190" s="517"/>
      <c r="S190" s="517"/>
      <c r="T190" s="517"/>
      <c r="U190" s="517"/>
      <c r="V190" s="517"/>
      <c r="W190" s="517"/>
      <c r="X190" s="517"/>
      <c r="Y190" s="517"/>
      <c r="Z190" s="517"/>
      <c r="AA190" s="517"/>
      <c r="AB190" s="517"/>
    </row>
    <row r="191" spans="1:28" s="1" customFormat="1" outlineLevel="2">
      <c r="A191" s="6"/>
      <c r="B191" s="150" t="s">
        <v>381</v>
      </c>
      <c r="C191" s="379"/>
      <c r="D191" s="379"/>
      <c r="E191" s="379"/>
      <c r="F191" s="442"/>
      <c r="G191" s="474"/>
      <c r="H191" s="474"/>
      <c r="I191" s="474"/>
      <c r="J191" s="474"/>
      <c r="K191" s="460"/>
      <c r="L191" s="508">
        <f>L$124</f>
        <v>167.45500000000001</v>
      </c>
      <c r="M191" s="508">
        <f t="shared" ref="M191:AA191" si="110">M$124</f>
        <v>144.786</v>
      </c>
      <c r="N191" s="508">
        <f t="shared" si="110"/>
        <v>162.822</v>
      </c>
      <c r="O191" s="508">
        <f t="shared" si="110"/>
        <v>170.73699999999999</v>
      </c>
      <c r="P191" s="508">
        <f t="shared" si="110"/>
        <v>170.73699999999999</v>
      </c>
      <c r="Q191"/>
      <c r="R191" s="508">
        <f t="shared" ca="1" si="110"/>
        <v>166.46857499999999</v>
      </c>
      <c r="S191" s="508">
        <f t="shared" ca="1" si="110"/>
        <v>162.30686062499998</v>
      </c>
      <c r="T191" s="508">
        <f t="shared" ca="1" si="110"/>
        <v>158.24918910937498</v>
      </c>
      <c r="U191" s="508">
        <f t="shared" ca="1" si="110"/>
        <v>154.2929593816406</v>
      </c>
      <c r="V191" s="508">
        <f t="shared" ca="1" si="110"/>
        <v>150.43563539709959</v>
      </c>
      <c r="W191" s="508">
        <f t="shared" ca="1" si="110"/>
        <v>146.67474451217208</v>
      </c>
      <c r="X191" s="508">
        <f t="shared" ca="1" si="110"/>
        <v>143.00787589936778</v>
      </c>
      <c r="Y191" s="508">
        <f t="shared" ca="1" si="110"/>
        <v>139.43267900188357</v>
      </c>
      <c r="Z191" s="508">
        <f t="shared" ca="1" si="110"/>
        <v>135.94686202683647</v>
      </c>
      <c r="AA191" s="508">
        <f t="shared" ca="1" si="110"/>
        <v>132.54819047616556</v>
      </c>
      <c r="AB191" s="508"/>
    </row>
    <row r="192" spans="1:28" s="3" customFormat="1" ht="5" customHeight="1" outlineLevel="2">
      <c r="A192" s="168"/>
      <c r="B192" s="533"/>
      <c r="C192" s="150"/>
      <c r="D192" s="150"/>
      <c r="E192" s="150"/>
      <c r="F192" s="150"/>
      <c r="G192" s="517"/>
      <c r="H192" s="517"/>
      <c r="I192" s="150"/>
      <c r="J192" s="150"/>
      <c r="K192"/>
      <c r="L192"/>
      <c r="M192"/>
      <c r="N192"/>
      <c r="O192"/>
      <c r="P192"/>
      <c r="Q192"/>
      <c r="R192"/>
      <c r="S192"/>
      <c r="T192" s="548"/>
      <c r="U192" s="548"/>
      <c r="V192" s="548"/>
      <c r="W192" s="548"/>
      <c r="X192" s="548"/>
      <c r="Y192" s="548"/>
      <c r="Z192" s="548"/>
      <c r="AA192" s="548"/>
      <c r="AB192" s="517"/>
    </row>
    <row r="193" spans="1:42" s="1" customFormat="1" outlineLevel="2">
      <c r="A193" s="6"/>
      <c r="B193" s="997" t="s">
        <v>596</v>
      </c>
      <c r="C193" s="7"/>
      <c r="D193" s="7"/>
      <c r="E193" s="7"/>
      <c r="F193" s="379"/>
      <c r="I193" s="379"/>
      <c r="J193" s="379"/>
      <c r="K193" s="7"/>
      <c r="L193" s="998">
        <f>(L$185/$B$10)/L$191</f>
        <v>4.7154580160622874</v>
      </c>
      <c r="M193" s="998">
        <f>(M$185/$B$10)/M$191</f>
        <v>4.9285153332078329</v>
      </c>
      <c r="N193" s="998">
        <f>(N$185/$B$10)/N$191</f>
        <v>4.2627049245947752</v>
      </c>
      <c r="O193" s="998">
        <f>(O$185/$B$10)/O$191</f>
        <v>4.0740267227240423</v>
      </c>
      <c r="P193" s="998">
        <f>(P$185/$B$10)/P$191</f>
        <v>4.1672618705827391</v>
      </c>
      <c r="R193" s="998">
        <f t="shared" ref="R193:AA193" ca="1" si="111">(R$185/$B$10)/R$191</f>
        <v>4.4883021443386548</v>
      </c>
      <c r="S193" s="998">
        <f t="shared" ca="1" si="111"/>
        <v>4.6954545510004388</v>
      </c>
      <c r="T193" s="998">
        <f t="shared" ca="1" si="111"/>
        <v>4.9121678379696903</v>
      </c>
      <c r="U193" s="998">
        <f t="shared" ca="1" si="111"/>
        <v>5.138883276645215</v>
      </c>
      <c r="V193" s="998">
        <f t="shared" ca="1" si="111"/>
        <v>5.376062504798071</v>
      </c>
      <c r="W193" s="998">
        <f t="shared" ca="1" si="111"/>
        <v>5.6241884665579827</v>
      </c>
      <c r="X193" s="998">
        <f t="shared" ca="1" si="111"/>
        <v>5.8837663957837361</v>
      </c>
      <c r="Y193" s="998">
        <f t="shared" ca="1" si="111"/>
        <v>6.1553248448199094</v>
      </c>
      <c r="Z193" s="998">
        <f t="shared" ca="1" si="111"/>
        <v>6.4394167607346748</v>
      </c>
      <c r="AA193" s="998">
        <f t="shared" ca="1" si="111"/>
        <v>6.7366206112301219</v>
      </c>
    </row>
    <row r="194" spans="1:42" s="3" customFormat="1" outlineLevel="2">
      <c r="A194" s="168"/>
      <c r="B194" s="533"/>
      <c r="C194" s="150"/>
      <c r="D194" s="150"/>
      <c r="E194" s="150"/>
      <c r="F194" s="150"/>
      <c r="G194" s="517"/>
      <c r="H194" s="517"/>
      <c r="I194" s="150"/>
      <c r="J194" s="150"/>
      <c r="K194"/>
      <c r="L194"/>
      <c r="M194"/>
      <c r="N194"/>
      <c r="O194"/>
      <c r="P194"/>
      <c r="Q194"/>
      <c r="R194"/>
      <c r="S194"/>
      <c r="T194" s="548"/>
      <c r="U194" s="548"/>
      <c r="V194" s="548"/>
      <c r="W194" s="548"/>
      <c r="X194" s="548"/>
      <c r="Y194" s="548"/>
      <c r="Z194" s="548"/>
      <c r="AA194" s="548"/>
      <c r="AB194" s="517"/>
    </row>
    <row r="195" spans="1:42" s="3" customFormat="1" outlineLevel="2">
      <c r="A195" s="168"/>
      <c r="B195" s="533" t="s">
        <v>429</v>
      </c>
      <c r="C195" s="150"/>
      <c r="D195" s="150"/>
      <c r="E195" s="150"/>
      <c r="F195" s="150"/>
      <c r="G195" s="517"/>
      <c r="H195" s="517"/>
      <c r="I195" s="150"/>
      <c r="J195" s="150"/>
      <c r="K195"/>
      <c r="L195"/>
      <c r="M195" s="531">
        <v>61820.789999999986</v>
      </c>
      <c r="N195" s="531">
        <v>65283.520000000004</v>
      </c>
      <c r="O195" s="531">
        <v>64284.590000000004</v>
      </c>
      <c r="P195" s="619">
        <f>O195</f>
        <v>64284.590000000004</v>
      </c>
      <c r="Q195" s="485"/>
      <c r="R195" s="1002">
        <f t="shared" ref="R195:AA195" ca="1" si="112">PRODUCT(R$185,R$220)</f>
        <v>67506.064006236687</v>
      </c>
      <c r="S195" s="1002">
        <f t="shared" ca="1" si="112"/>
        <v>68856.185286361419</v>
      </c>
      <c r="T195" s="1002">
        <f t="shared" ca="1" si="112"/>
        <v>70233.308992088656</v>
      </c>
      <c r="U195" s="1002">
        <f t="shared" ca="1" si="112"/>
        <v>71637.975171930433</v>
      </c>
      <c r="V195" s="1002">
        <f t="shared" ca="1" si="112"/>
        <v>73070.734675369036</v>
      </c>
      <c r="W195" s="1002">
        <f t="shared" ca="1" si="112"/>
        <v>74532.149368876417</v>
      </c>
      <c r="X195" s="1002">
        <f t="shared" ca="1" si="112"/>
        <v>76022.792356253951</v>
      </c>
      <c r="Y195" s="1002">
        <f t="shared" ca="1" si="112"/>
        <v>77543.248203379044</v>
      </c>
      <c r="Z195" s="1002">
        <f t="shared" ca="1" si="112"/>
        <v>79094.113167446616</v>
      </c>
      <c r="AA195" s="1002">
        <f t="shared" ca="1" si="112"/>
        <v>80675.995430795549</v>
      </c>
      <c r="AB195"/>
    </row>
    <row r="196" spans="1:42" s="1" customFormat="1" outlineLevel="2" collapsed="1">
      <c r="A196" s="6"/>
      <c r="B196" s="546" t="s">
        <v>599</v>
      </c>
      <c r="C196" s="379"/>
      <c r="D196" s="379"/>
      <c r="E196" s="379"/>
      <c r="F196" s="379"/>
      <c r="G196" s="517"/>
      <c r="H196" s="517"/>
      <c r="I196" s="379"/>
      <c r="J196" s="379"/>
      <c r="K196"/>
      <c r="L196"/>
      <c r="M196" s="490">
        <f>M$195/M$185</f>
        <v>8.6634698530985349E-2</v>
      </c>
      <c r="N196" s="490">
        <f t="shared" ref="N196:P196" si="113">N$195/N$185</f>
        <v>9.4060050421541766E-2</v>
      </c>
      <c r="O196" s="490">
        <f t="shared" si="113"/>
        <v>9.2417743153165741E-2</v>
      </c>
      <c r="P196" s="490">
        <f t="shared" si="113"/>
        <v>9.0350058852239512E-2</v>
      </c>
      <c r="Q196" s="460"/>
      <c r="R196" s="607">
        <f ca="1">R195/R185</f>
        <v>9.0350058852239512E-2</v>
      </c>
      <c r="S196" s="607">
        <f t="shared" ref="S196:AA196" ca="1" si="114">S195/S185</f>
        <v>9.0350058852239512E-2</v>
      </c>
      <c r="T196" s="607">
        <f t="shared" ca="1" si="114"/>
        <v>9.0350058852239512E-2</v>
      </c>
      <c r="U196" s="607">
        <f t="shared" ca="1" si="114"/>
        <v>9.0350058852239512E-2</v>
      </c>
      <c r="V196" s="607">
        <f t="shared" ca="1" si="114"/>
        <v>9.0350058852239512E-2</v>
      </c>
      <c r="W196" s="607">
        <f t="shared" ca="1" si="114"/>
        <v>9.0350058852239498E-2</v>
      </c>
      <c r="X196" s="607">
        <f t="shared" ca="1" si="114"/>
        <v>9.0350058852239512E-2</v>
      </c>
      <c r="Y196" s="607">
        <f t="shared" ca="1" si="114"/>
        <v>9.0350058852239512E-2</v>
      </c>
      <c r="Z196" s="607">
        <f t="shared" ca="1" si="114"/>
        <v>9.0350058852239512E-2</v>
      </c>
      <c r="AA196" s="607">
        <f t="shared" ca="1" si="114"/>
        <v>9.0350058852239512E-2</v>
      </c>
    </row>
    <row r="197" spans="1:42" s="3" customFormat="1" outlineLevel="2">
      <c r="A197" s="168"/>
      <c r="B197" s="559"/>
      <c r="C197" s="150"/>
      <c r="D197" s="150"/>
      <c r="E197" s="150"/>
      <c r="F197" s="150"/>
      <c r="G197" s="517"/>
      <c r="H197" s="517"/>
      <c r="I197" s="150"/>
      <c r="J197" s="150"/>
      <c r="K197" s="517"/>
      <c r="L197" s="560"/>
      <c r="M197" s="560"/>
      <c r="N197" s="560"/>
      <c r="O197" s="560"/>
      <c r="P197" s="560"/>
      <c r="Q197" s="485"/>
      <c r="R197" s="485"/>
    </row>
    <row r="198" spans="1:42" outlineLevel="2">
      <c r="B198" s="852" t="str">
        <f>_xlfn.CONCAT($B$142," Assumptions")</f>
        <v>Direct Labor Assumptions</v>
      </c>
      <c r="C198" s="853"/>
      <c r="D198" s="853"/>
      <c r="E198" s="853"/>
      <c r="F198" s="853"/>
      <c r="G198" s="853"/>
      <c r="H198" s="853"/>
      <c r="I198" s="853"/>
      <c r="J198" s="854"/>
      <c r="K198" s="854"/>
      <c r="L198" s="854"/>
      <c r="M198" s="854"/>
      <c r="N198" s="854"/>
      <c r="O198" s="854"/>
      <c r="P198" s="854"/>
      <c r="Q198" s="854"/>
      <c r="R198" s="854"/>
      <c r="S198" s="854"/>
      <c r="T198" s="854"/>
      <c r="U198" s="854"/>
      <c r="V198" s="854"/>
      <c r="W198" s="854"/>
      <c r="X198" s="854"/>
      <c r="Y198" s="854"/>
      <c r="Z198" s="854"/>
      <c r="AA198" s="854"/>
      <c r="AC198" s="517"/>
      <c r="AD198" s="517"/>
      <c r="AE198" s="517"/>
      <c r="AF198" s="517"/>
      <c r="AG198" s="517"/>
      <c r="AH198" s="517"/>
      <c r="AI198" s="517"/>
      <c r="AJ198" s="517"/>
      <c r="AK198" s="517"/>
      <c r="AL198" s="517"/>
      <c r="AM198" s="517"/>
      <c r="AN198" s="517"/>
      <c r="AO198" s="517"/>
      <c r="AP198" s="517"/>
    </row>
    <row r="199" spans="1:42" s="3" customFormat="1" ht="7" customHeight="1" outlineLevel="3">
      <c r="A199" s="168"/>
      <c r="B199" s="559"/>
      <c r="C199" s="150"/>
      <c r="D199" s="150"/>
      <c r="E199" s="150"/>
      <c r="F199" s="150"/>
      <c r="G199" s="517"/>
      <c r="H199" s="517"/>
      <c r="I199" s="150"/>
      <c r="J199" s="150"/>
      <c r="K199" s="150"/>
      <c r="L199" s="560"/>
      <c r="M199" s="560"/>
      <c r="N199" s="560"/>
      <c r="O199" s="560"/>
      <c r="P199" s="560"/>
      <c r="Q199" s="485"/>
      <c r="R199" s="485"/>
    </row>
    <row r="200" spans="1:42" s="3" customFormat="1" outlineLevel="3">
      <c r="A200" s="168"/>
      <c r="B200" s="999" t="s">
        <v>750</v>
      </c>
      <c r="D200" s="150"/>
      <c r="E200" s="150"/>
      <c r="F200" s="150"/>
      <c r="G200" s="517"/>
      <c r="H200" s="517"/>
      <c r="I200" s="150"/>
      <c r="J200" s="150"/>
      <c r="K200"/>
    </row>
    <row r="201" spans="1:42" s="3" customFormat="1" outlineLevel="3">
      <c r="A201" s="168"/>
      <c r="B201" s="1344" t="str">
        <f>$B$72</f>
        <v>Base</v>
      </c>
      <c r="C201" s="150"/>
      <c r="D201" s="150"/>
      <c r="E201" s="150"/>
      <c r="F201" s="150"/>
      <c r="G201" s="517"/>
      <c r="H201" s="517"/>
      <c r="I201" s="150"/>
      <c r="J201" s="150"/>
      <c r="K201"/>
      <c r="L201" s="490">
        <f>((L$148-K$148)/K$148)</f>
        <v>8.6101743403215872E-2</v>
      </c>
      <c r="M201" s="490">
        <f>((M$148-L$148)/L$148)</f>
        <v>-5.3784943264362341E-3</v>
      </c>
      <c r="N201" s="490">
        <f>((N$148-M$148)/M$148)</f>
        <v>4.0449772951871923E-2</v>
      </c>
      <c r="O201" s="490">
        <f>((O$148-N$148)/N$148)</f>
        <v>4.4693777941722218E-2</v>
      </c>
      <c r="P201" s="490">
        <v>0</v>
      </c>
      <c r="Q201" s="485"/>
      <c r="R201" s="491">
        <v>0</v>
      </c>
      <c r="S201" s="491">
        <v>0</v>
      </c>
      <c r="T201" s="491">
        <v>0.05</v>
      </c>
      <c r="U201" s="491">
        <v>0.05</v>
      </c>
      <c r="V201" s="491">
        <v>0.05</v>
      </c>
      <c r="W201" s="491">
        <v>2.5000000000000001E-2</v>
      </c>
      <c r="X201" s="491">
        <v>2.5000000000000001E-2</v>
      </c>
      <c r="Y201" s="491">
        <v>2.5000000000000001E-2</v>
      </c>
      <c r="Z201" s="491">
        <v>0</v>
      </c>
      <c r="AA201" s="491">
        <v>0</v>
      </c>
      <c r="AD201" s="3" t="s">
        <v>557</v>
      </c>
    </row>
    <row r="202" spans="1:42" s="3" customFormat="1" outlineLevel="3">
      <c r="A202" s="168"/>
      <c r="B202" s="1344" t="str">
        <f>$B$73</f>
        <v>Upside</v>
      </c>
      <c r="C202" s="150"/>
      <c r="D202" s="150"/>
      <c r="E202" s="150"/>
      <c r="F202" s="150"/>
      <c r="G202" s="517"/>
      <c r="H202" s="517"/>
      <c r="I202" s="150"/>
      <c r="J202" s="150"/>
      <c r="K202"/>
      <c r="L202"/>
      <c r="M202"/>
      <c r="N202"/>
      <c r="O202"/>
      <c r="P202"/>
      <c r="Q202" s="485"/>
      <c r="R202" s="491">
        <v>0</v>
      </c>
      <c r="S202" s="491">
        <v>2.5000000000000001E-2</v>
      </c>
      <c r="T202" s="491">
        <v>0.1</v>
      </c>
      <c r="U202" s="491">
        <v>0.1</v>
      </c>
      <c r="V202" s="491">
        <v>0.05</v>
      </c>
      <c r="W202" s="491">
        <v>2.5000000000000001E-2</v>
      </c>
      <c r="X202" s="491">
        <v>2.5000000000000001E-2</v>
      </c>
      <c r="Y202" s="491">
        <v>2.5000000000000001E-2</v>
      </c>
      <c r="Z202" s="491">
        <v>0</v>
      </c>
      <c r="AA202" s="491">
        <v>0</v>
      </c>
    </row>
    <row r="203" spans="1:42" s="3" customFormat="1" outlineLevel="3">
      <c r="A203" s="168"/>
      <c r="B203" s="1344" t="str">
        <f>$B$74</f>
        <v>Downside</v>
      </c>
      <c r="C203" s="150"/>
      <c r="D203" s="150"/>
      <c r="E203" s="150"/>
      <c r="F203" s="150"/>
      <c r="G203" s="517"/>
      <c r="H203" s="517"/>
      <c r="I203" s="150"/>
      <c r="J203" s="150"/>
      <c r="K203"/>
      <c r="L203"/>
      <c r="M203"/>
      <c r="N203"/>
      <c r="O203"/>
      <c r="P203"/>
      <c r="Q203" s="485"/>
      <c r="R203" s="491">
        <v>0</v>
      </c>
      <c r="S203" s="491">
        <v>0</v>
      </c>
      <c r="T203" s="491">
        <v>-0.05</v>
      </c>
      <c r="U203" s="491">
        <v>-0.05</v>
      </c>
      <c r="V203" s="491">
        <v>0.05</v>
      </c>
      <c r="W203" s="491">
        <v>2.5000000000000001E-2</v>
      </c>
      <c r="X203" s="491">
        <v>2.5000000000000001E-2</v>
      </c>
      <c r="Y203" s="491">
        <v>2.5000000000000001E-2</v>
      </c>
      <c r="Z203" s="491">
        <v>0</v>
      </c>
      <c r="AA203" s="491">
        <v>0</v>
      </c>
    </row>
    <row r="204" spans="1:42" customFormat="1" outlineLevel="3"/>
    <row r="205" spans="1:42" s="3" customFormat="1" outlineLevel="3">
      <c r="A205" s="168"/>
      <c r="B205" s="999" t="s">
        <v>598</v>
      </c>
      <c r="C205" s="150"/>
      <c r="D205" s="150"/>
      <c r="E205" s="150"/>
      <c r="F205" s="150"/>
      <c r="G205" s="517"/>
      <c r="H205" s="517"/>
      <c r="I205" s="150"/>
      <c r="J205" s="150"/>
      <c r="K205"/>
      <c r="L205" s="490"/>
      <c r="M205" s="490"/>
      <c r="N205" s="490"/>
      <c r="O205" s="490"/>
      <c r="P205" s="490"/>
      <c r="Q205" s="485"/>
      <c r="R205"/>
      <c r="S205" s="491"/>
      <c r="T205" s="491"/>
      <c r="U205" s="491"/>
      <c r="V205" s="491"/>
      <c r="W205" s="491"/>
      <c r="X205" s="491"/>
      <c r="Y205" s="491"/>
      <c r="Z205" s="491"/>
      <c r="AA205" s="491"/>
    </row>
    <row r="206" spans="1:42" s="3" customFormat="1" ht="7" customHeight="1" outlineLevel="3">
      <c r="A206" s="168"/>
      <c r="B206" s="999"/>
      <c r="C206" s="150"/>
      <c r="D206" s="150"/>
      <c r="E206" s="150"/>
      <c r="F206" s="150"/>
      <c r="G206" s="517"/>
      <c r="H206" s="517"/>
      <c r="I206" s="150"/>
      <c r="J206" s="150"/>
      <c r="K206"/>
      <c r="L206" s="490"/>
      <c r="M206" s="490"/>
      <c r="N206" s="490"/>
      <c r="O206" s="490"/>
      <c r="P206" s="490"/>
      <c r="Q206" s="485"/>
      <c r="R206" s="517"/>
      <c r="S206" s="491"/>
      <c r="T206" s="491"/>
      <c r="U206" s="491"/>
      <c r="V206" s="491"/>
      <c r="W206" s="491"/>
      <c r="X206" s="491"/>
      <c r="Y206" s="491"/>
      <c r="Z206" s="491"/>
      <c r="AA206" s="491"/>
    </row>
    <row r="207" spans="1:42" s="3" customFormat="1" ht="15" customHeight="1" outlineLevel="3">
      <c r="A207" s="168"/>
      <c r="B207" s="481" t="s">
        <v>333</v>
      </c>
      <c r="C207" s="150"/>
      <c r="D207" s="150"/>
      <c r="E207" s="150"/>
      <c r="F207" s="150"/>
      <c r="G207" s="517"/>
      <c r="H207" s="517"/>
      <c r="I207" s="150"/>
      <c r="J207" s="150"/>
      <c r="K207"/>
      <c r="L207" s="620"/>
      <c r="M207" s="490">
        <f>((M165-L165)/L165)</f>
        <v>3.4489800085765188E-2</v>
      </c>
      <c r="N207" s="490">
        <f>((N165-M165)/M165)</f>
        <v>2.5496775891558314E-4</v>
      </c>
      <c r="O207" s="490">
        <f>((O165-N165)/N165)</f>
        <v>1.1336465160763835E-2</v>
      </c>
      <c r="P207" s="490">
        <v>0</v>
      </c>
      <c r="Q207" s="485"/>
      <c r="R207" s="491"/>
      <c r="S207" s="491"/>
      <c r="T207" s="491"/>
      <c r="U207" s="491"/>
      <c r="V207" s="491"/>
      <c r="W207" s="491"/>
      <c r="X207" s="491"/>
      <c r="Y207" s="491"/>
      <c r="Z207" s="491"/>
      <c r="AA207" s="491"/>
    </row>
    <row r="208" spans="1:42" s="3" customFormat="1" outlineLevel="3">
      <c r="A208" s="168"/>
      <c r="B208" s="1287" t="str">
        <f>$B$72</f>
        <v>Base</v>
      </c>
      <c r="C208" s="150"/>
      <c r="D208" s="150"/>
      <c r="E208" s="150"/>
      <c r="F208" s="150"/>
      <c r="G208" s="517"/>
      <c r="H208" s="517"/>
      <c r="I208" s="150"/>
      <c r="J208" s="150"/>
      <c r="K208"/>
      <c r="L208"/>
      <c r="M208" s="490"/>
      <c r="N208" s="490"/>
      <c r="O208" s="490"/>
      <c r="P208" s="490"/>
      <c r="Q208" s="485"/>
      <c r="R208" s="491">
        <v>0.05</v>
      </c>
      <c r="S208" s="491">
        <v>0.02</v>
      </c>
      <c r="T208" s="491">
        <v>0.02</v>
      </c>
      <c r="U208" s="491">
        <v>0.02</v>
      </c>
      <c r="V208" s="491">
        <v>0.02</v>
      </c>
      <c r="W208" s="491">
        <v>0.02</v>
      </c>
      <c r="X208" s="491">
        <v>0.02</v>
      </c>
      <c r="Y208" s="491">
        <v>0.02</v>
      </c>
      <c r="Z208" s="491">
        <v>0.02</v>
      </c>
      <c r="AA208" s="491">
        <v>0.02</v>
      </c>
    </row>
    <row r="209" spans="1:42" s="3" customFormat="1" outlineLevel="3">
      <c r="A209" s="168"/>
      <c r="B209" s="1287" t="str">
        <f>$B$73</f>
        <v>Upside</v>
      </c>
      <c r="C209" s="150"/>
      <c r="D209" s="150"/>
      <c r="E209" s="150"/>
      <c r="F209" s="150"/>
      <c r="G209" s="517"/>
      <c r="H209" s="517"/>
      <c r="I209" s="150"/>
      <c r="J209" s="150"/>
      <c r="K209"/>
      <c r="L209"/>
      <c r="M209" s="490"/>
      <c r="N209" s="490"/>
      <c r="O209" s="490"/>
      <c r="P209" s="490"/>
      <c r="Q209" s="485"/>
      <c r="R209" s="491">
        <v>0.05</v>
      </c>
      <c r="S209" s="491">
        <v>0.02</v>
      </c>
      <c r="T209" s="491">
        <v>0.02</v>
      </c>
      <c r="U209" s="491">
        <v>0.02</v>
      </c>
      <c r="V209" s="491">
        <v>0.02</v>
      </c>
      <c r="W209" s="491">
        <v>0.02</v>
      </c>
      <c r="X209" s="491">
        <v>0.02</v>
      </c>
      <c r="Y209" s="491">
        <v>0.02</v>
      </c>
      <c r="Z209" s="491">
        <v>0.02</v>
      </c>
      <c r="AA209" s="491">
        <v>0.02</v>
      </c>
    </row>
    <row r="210" spans="1:42" s="3" customFormat="1" outlineLevel="3">
      <c r="A210" s="168"/>
      <c r="B210" s="1287" t="str">
        <f>$B$74</f>
        <v>Downside</v>
      </c>
      <c r="C210" s="150"/>
      <c r="D210" s="150"/>
      <c r="E210" s="150"/>
      <c r="F210" s="150"/>
      <c r="G210" s="517"/>
      <c r="H210" s="517"/>
      <c r="I210" s="150"/>
      <c r="J210" s="150"/>
      <c r="K210"/>
      <c r="L210"/>
      <c r="M210" s="490"/>
      <c r="N210" s="490"/>
      <c r="O210" s="490"/>
      <c r="P210" s="490"/>
      <c r="Q210" s="485"/>
      <c r="R210" s="491">
        <v>0</v>
      </c>
      <c r="S210" s="491">
        <v>0</v>
      </c>
      <c r="T210" s="491">
        <v>0</v>
      </c>
      <c r="U210" s="491">
        <v>0</v>
      </c>
      <c r="V210" s="491">
        <v>0</v>
      </c>
      <c r="W210" s="491">
        <v>0</v>
      </c>
      <c r="X210" s="491">
        <v>0</v>
      </c>
      <c r="Y210" s="491">
        <v>0</v>
      </c>
      <c r="Z210" s="491">
        <v>0</v>
      </c>
      <c r="AA210" s="491">
        <v>0</v>
      </c>
    </row>
    <row r="211" spans="1:42" s="3" customFormat="1" ht="7.5" customHeight="1" outlineLevel="3">
      <c r="A211" s="168"/>
      <c r="B211" s="1287"/>
      <c r="C211" s="150"/>
      <c r="D211" s="150"/>
      <c r="E211" s="150"/>
      <c r="F211" s="150"/>
      <c r="G211" s="517"/>
      <c r="H211" s="517"/>
      <c r="I211" s="150"/>
      <c r="J211" s="150"/>
      <c r="K211"/>
      <c r="L211"/>
      <c r="M211" s="490"/>
      <c r="N211" s="490"/>
      <c r="O211" s="490"/>
      <c r="P211" s="490"/>
      <c r="Q211" s="485"/>
      <c r="R211" s="491"/>
      <c r="S211" s="491"/>
      <c r="T211" s="491"/>
      <c r="U211" s="491"/>
      <c r="V211" s="491"/>
      <c r="W211" s="491"/>
      <c r="X211" s="491"/>
      <c r="Y211" s="491"/>
      <c r="Z211" s="491"/>
      <c r="AA211" s="491"/>
    </row>
    <row r="212" spans="1:42" s="3" customFormat="1" outlineLevel="3">
      <c r="A212" s="168"/>
      <c r="B212" s="481" t="s">
        <v>394</v>
      </c>
      <c r="C212" s="150"/>
      <c r="D212" s="150"/>
      <c r="E212" s="150"/>
      <c r="F212" s="150"/>
      <c r="G212" s="517"/>
      <c r="H212" s="517"/>
      <c r="I212" s="150"/>
      <c r="J212" s="150"/>
      <c r="K212"/>
      <c r="L212" s="620"/>
      <c r="M212" s="490">
        <f>((M166-L166)/L166)</f>
        <v>6.25E-2</v>
      </c>
      <c r="N212" s="490">
        <f>((N166-M166)/M166)</f>
        <v>-5.8823529411764705E-2</v>
      </c>
      <c r="O212" s="490">
        <f>((O166-N166)/N166)</f>
        <v>-7.8125E-3</v>
      </c>
      <c r="P212" s="490">
        <v>0</v>
      </c>
      <c r="Q212" s="485"/>
      <c r="R212" s="491"/>
      <c r="S212" s="491"/>
      <c r="T212" s="491"/>
      <c r="U212" s="491"/>
      <c r="V212" s="491"/>
      <c r="W212" s="491"/>
      <c r="X212" s="491"/>
      <c r="Y212" s="491"/>
      <c r="Z212" s="491"/>
      <c r="AA212" s="491"/>
    </row>
    <row r="213" spans="1:42" s="3" customFormat="1" outlineLevel="3">
      <c r="A213" s="168"/>
      <c r="B213" s="1287" t="str">
        <f>$B$72</f>
        <v>Base</v>
      </c>
      <c r="C213" s="150"/>
      <c r="D213" s="150"/>
      <c r="E213" s="150"/>
      <c r="F213" s="150"/>
      <c r="G213" s="517"/>
      <c r="H213" s="517"/>
      <c r="I213" s="150"/>
      <c r="J213" s="150"/>
      <c r="K213"/>
      <c r="L213"/>
      <c r="M213" s="490"/>
      <c r="N213" s="490"/>
      <c r="O213" s="490"/>
      <c r="P213" s="490"/>
      <c r="Q213" s="485"/>
      <c r="R213" s="491">
        <v>0.05</v>
      </c>
      <c r="S213" s="491">
        <v>0.02</v>
      </c>
      <c r="T213" s="491">
        <v>0.02</v>
      </c>
      <c r="U213" s="491">
        <v>0.02</v>
      </c>
      <c r="V213" s="491">
        <v>0.02</v>
      </c>
      <c r="W213" s="491">
        <v>0.02</v>
      </c>
      <c r="X213" s="491">
        <v>0.02</v>
      </c>
      <c r="Y213" s="491">
        <v>0.02</v>
      </c>
      <c r="Z213" s="491">
        <v>0.02</v>
      </c>
      <c r="AA213" s="491">
        <v>0.02</v>
      </c>
    </row>
    <row r="214" spans="1:42" s="3" customFormat="1" outlineLevel="3">
      <c r="A214" s="168"/>
      <c r="B214" s="1287" t="str">
        <f>$B$73</f>
        <v>Upside</v>
      </c>
      <c r="C214" s="150"/>
      <c r="D214" s="150"/>
      <c r="E214" s="150"/>
      <c r="F214" s="150"/>
      <c r="G214" s="517"/>
      <c r="H214" s="517"/>
      <c r="I214" s="150"/>
      <c r="J214" s="150"/>
      <c r="K214"/>
      <c r="L214"/>
      <c r="M214" s="490"/>
      <c r="N214" s="490"/>
      <c r="O214" s="490"/>
      <c r="P214" s="490"/>
      <c r="Q214" s="485"/>
      <c r="R214" s="491">
        <v>0.05</v>
      </c>
      <c r="S214" s="491">
        <v>0.02</v>
      </c>
      <c r="T214" s="491">
        <v>0.02</v>
      </c>
      <c r="U214" s="491">
        <v>0.02</v>
      </c>
      <c r="V214" s="491">
        <v>0.02</v>
      </c>
      <c r="W214" s="491">
        <v>0.02</v>
      </c>
      <c r="X214" s="491">
        <v>0.02</v>
      </c>
      <c r="Y214" s="491">
        <v>0.02</v>
      </c>
      <c r="Z214" s="491">
        <v>0.02</v>
      </c>
      <c r="AA214" s="491">
        <v>0.02</v>
      </c>
    </row>
    <row r="215" spans="1:42" s="3" customFormat="1" outlineLevel="3">
      <c r="A215" s="168"/>
      <c r="B215" s="1287" t="str">
        <f>$B$74</f>
        <v>Downside</v>
      </c>
      <c r="C215" s="150"/>
      <c r="D215" s="150"/>
      <c r="E215" s="150"/>
      <c r="F215" s="150"/>
      <c r="G215" s="517"/>
      <c r="H215" s="517"/>
      <c r="I215" s="150"/>
      <c r="J215" s="150"/>
      <c r="K215"/>
      <c r="L215"/>
      <c r="M215" s="490"/>
      <c r="N215" s="490"/>
      <c r="O215" s="490"/>
      <c r="P215" s="490"/>
      <c r="Q215" s="485"/>
      <c r="R215" s="491">
        <v>0</v>
      </c>
      <c r="S215" s="491">
        <v>0</v>
      </c>
      <c r="T215" s="491">
        <v>0</v>
      </c>
      <c r="U215" s="491">
        <v>0</v>
      </c>
      <c r="V215" s="491">
        <v>0</v>
      </c>
      <c r="W215" s="491">
        <v>0</v>
      </c>
      <c r="X215" s="491">
        <v>0</v>
      </c>
      <c r="Y215" s="491">
        <v>0</v>
      </c>
      <c r="Z215" s="491">
        <v>0</v>
      </c>
      <c r="AA215" s="491">
        <v>0</v>
      </c>
    </row>
    <row r="216" spans="1:42" customFormat="1" ht="9" customHeight="1" outlineLevel="3"/>
    <row r="217" spans="1:42" s="3" customFormat="1" outlineLevel="3">
      <c r="A217" s="168"/>
      <c r="B217" s="521" t="s">
        <v>403</v>
      </c>
      <c r="C217" s="150"/>
      <c r="D217" s="150"/>
      <c r="E217" s="150"/>
      <c r="F217" s="150"/>
      <c r="G217" s="517"/>
      <c r="H217" s="517"/>
      <c r="I217" s="150"/>
      <c r="J217" s="150"/>
      <c r="K217"/>
      <c r="L217" s="617">
        <v>1.9792867787129794E-2</v>
      </c>
      <c r="M217" s="617">
        <v>2.0118373694378886E-2</v>
      </c>
      <c r="N217" s="617">
        <v>2.2743876167067779E-2</v>
      </c>
      <c r="O217" s="617">
        <v>2.1446453272539384E-2</v>
      </c>
      <c r="P217" s="618">
        <f>MAX($L$217:$O$217)</f>
        <v>2.2743876167067779E-2</v>
      </c>
      <c r="Q217" s="485"/>
      <c r="R217" s="1505">
        <v>2.5000000000000001E-2</v>
      </c>
      <c r="S217" s="607">
        <f>$R$217</f>
        <v>2.5000000000000001E-2</v>
      </c>
      <c r="T217" s="607">
        <f t="shared" ref="T217:AA217" si="115">$R$217</f>
        <v>2.5000000000000001E-2</v>
      </c>
      <c r="U217" s="607">
        <f t="shared" si="115"/>
        <v>2.5000000000000001E-2</v>
      </c>
      <c r="V217" s="607">
        <f t="shared" si="115"/>
        <v>2.5000000000000001E-2</v>
      </c>
      <c r="W217" s="607">
        <f t="shared" si="115"/>
        <v>2.5000000000000001E-2</v>
      </c>
      <c r="X217" s="607">
        <f t="shared" si="115"/>
        <v>2.5000000000000001E-2</v>
      </c>
      <c r="Y217" s="607">
        <f t="shared" si="115"/>
        <v>2.5000000000000001E-2</v>
      </c>
      <c r="Z217" s="607">
        <f t="shared" si="115"/>
        <v>2.5000000000000001E-2</v>
      </c>
      <c r="AA217" s="607">
        <f t="shared" si="115"/>
        <v>2.5000000000000001E-2</v>
      </c>
    </row>
    <row r="218" spans="1:42" s="3" customFormat="1" outlineLevel="3">
      <c r="A218" s="168"/>
      <c r="B218" s="1330" t="s">
        <v>777</v>
      </c>
      <c r="C218" s="150"/>
      <c r="D218" s="150"/>
      <c r="E218" s="150"/>
      <c r="F218" s="442"/>
      <c r="G218" s="484"/>
      <c r="H218" s="484"/>
      <c r="I218" s="484"/>
      <c r="J218" s="484"/>
      <c r="K218"/>
      <c r="L218" s="588"/>
      <c r="M218" s="588"/>
      <c r="N218" s="588"/>
      <c r="O218" s="588"/>
      <c r="P218" s="588"/>
      <c r="Q218" s="485"/>
      <c r="R218" s="588">
        <v>0.75</v>
      </c>
      <c r="S218" s="588">
        <v>0.75</v>
      </c>
      <c r="T218" s="588">
        <v>0.75</v>
      </c>
      <c r="U218" s="588">
        <v>0.75</v>
      </c>
      <c r="V218" s="588">
        <v>0.75</v>
      </c>
      <c r="W218" s="588">
        <v>0.75</v>
      </c>
      <c r="X218" s="588">
        <v>0.75</v>
      </c>
      <c r="Y218" s="588">
        <v>0.75</v>
      </c>
      <c r="Z218" s="588">
        <v>0.75</v>
      </c>
      <c r="AA218" s="588">
        <v>0.75</v>
      </c>
    </row>
    <row r="219" spans="1:42" s="3" customFormat="1" outlineLevel="3">
      <c r="A219" s="168"/>
      <c r="B219" s="1329"/>
      <c r="C219" s="150"/>
      <c r="D219" s="150"/>
      <c r="E219" s="150"/>
      <c r="F219" s="442"/>
      <c r="G219" s="484"/>
      <c r="H219" s="484"/>
      <c r="I219" s="484"/>
      <c r="J219" s="484"/>
      <c r="K219"/>
      <c r="L219" s="588"/>
      <c r="M219" s="588"/>
      <c r="N219" s="588"/>
      <c r="O219" s="588"/>
      <c r="P219" s="588"/>
      <c r="Q219" s="485"/>
      <c r="R219" s="588"/>
      <c r="S219" s="588"/>
      <c r="T219" s="588"/>
      <c r="U219" s="588"/>
      <c r="V219" s="588"/>
      <c r="W219" s="588"/>
      <c r="X219" s="588"/>
      <c r="Y219" s="588"/>
      <c r="Z219" s="588"/>
      <c r="AA219" s="588"/>
    </row>
    <row r="220" spans="1:42" s="3" customFormat="1" outlineLevel="3">
      <c r="A220" s="168"/>
      <c r="B220" s="521" t="s">
        <v>404</v>
      </c>
      <c r="C220" s="376"/>
      <c r="D220" s="376"/>
      <c r="E220" s="376"/>
      <c r="F220" s="376"/>
      <c r="G220" s="376"/>
      <c r="H220" s="376"/>
      <c r="I220" s="376"/>
      <c r="J220" s="376"/>
      <c r="K220"/>
      <c r="L220" s="620"/>
      <c r="M220" s="560">
        <f>M$196</f>
        <v>8.6634698530985349E-2</v>
      </c>
      <c r="N220" s="560">
        <f t="shared" ref="N220:P220" si="116">N$196</f>
        <v>9.4060050421541766E-2</v>
      </c>
      <c r="O220" s="560">
        <f t="shared" si="116"/>
        <v>9.2417743153165741E-2</v>
      </c>
      <c r="P220" s="560">
        <f t="shared" si="116"/>
        <v>9.0350058852239512E-2</v>
      </c>
      <c r="Q220" s="485"/>
      <c r="R220" s="491">
        <v>9.0350058852239512E-2</v>
      </c>
      <c r="S220" s="491">
        <v>9.0350058852239512E-2</v>
      </c>
      <c r="T220" s="491">
        <v>9.0350058852239512E-2</v>
      </c>
      <c r="U220" s="491">
        <v>9.0350058852239512E-2</v>
      </c>
      <c r="V220" s="491">
        <v>9.0350058852239512E-2</v>
      </c>
      <c r="W220" s="491">
        <v>9.0350058852239512E-2</v>
      </c>
      <c r="X220" s="491">
        <v>9.0350058852239512E-2</v>
      </c>
      <c r="Y220" s="491">
        <v>9.0350058852239512E-2</v>
      </c>
      <c r="Z220" s="491">
        <v>9.0350058852239512E-2</v>
      </c>
      <c r="AA220" s="491">
        <v>9.0350058852239512E-2</v>
      </c>
    </row>
    <row r="221" spans="1:42" s="3" customFormat="1" outlineLevel="3">
      <c r="A221" s="168"/>
      <c r="B221" s="521"/>
      <c r="C221" s="376"/>
      <c r="D221" s="376"/>
      <c r="E221" s="376"/>
      <c r="F221" s="376"/>
      <c r="G221" s="376"/>
      <c r="H221" s="376"/>
      <c r="I221" s="376"/>
      <c r="J221" s="376"/>
      <c r="K221"/>
      <c r="L221"/>
      <c r="M221" s="560"/>
      <c r="N221" s="560"/>
      <c r="O221" s="560"/>
      <c r="P221" s="560"/>
      <c r="Q221" s="485"/>
      <c r="R221" s="491"/>
      <c r="S221" s="491"/>
      <c r="T221" s="491"/>
      <c r="U221" s="491"/>
      <c r="V221" s="491"/>
      <c r="W221" s="491"/>
      <c r="X221" s="491"/>
      <c r="Y221" s="491"/>
      <c r="Z221" s="491"/>
      <c r="AA221" s="491"/>
    </row>
    <row r="222" spans="1:42" s="3" customFormat="1" ht="7" customHeight="1" outlineLevel="1">
      <c r="A222" s="168"/>
      <c r="B222" s="297"/>
      <c r="C222" s="150"/>
      <c r="D222" s="150"/>
      <c r="E222" s="150"/>
      <c r="F222" s="442"/>
      <c r="G222" s="484"/>
      <c r="H222" s="484"/>
      <c r="I222" s="484"/>
      <c r="J222" s="484"/>
      <c r="K222" s="150"/>
      <c r="L222" s="150"/>
      <c r="M222" s="150"/>
      <c r="N222" s="150"/>
      <c r="O222" s="150"/>
      <c r="P222" s="150"/>
      <c r="Q222" s="485"/>
      <c r="R222" s="485"/>
    </row>
    <row r="223" spans="1:42" outlineLevel="1">
      <c r="B223" s="390" t="s">
        <v>332</v>
      </c>
      <c r="C223" s="389"/>
      <c r="D223" s="389"/>
      <c r="E223" s="389"/>
      <c r="F223" s="389"/>
      <c r="G223" s="389"/>
      <c r="H223" s="389"/>
      <c r="I223" s="389"/>
      <c r="J223" s="389"/>
      <c r="K223" s="389"/>
      <c r="L223" s="389"/>
      <c r="M223" s="389"/>
      <c r="N223" s="389"/>
      <c r="O223" s="389"/>
      <c r="P223" s="470"/>
      <c r="Q223" s="470"/>
      <c r="R223" s="470"/>
      <c r="S223" s="470"/>
      <c r="T223" s="470"/>
      <c r="U223" s="470"/>
      <c r="V223" s="470"/>
      <c r="W223" s="470"/>
      <c r="X223" s="470"/>
      <c r="Y223" s="470"/>
      <c r="Z223" s="470"/>
      <c r="AA223" s="470"/>
      <c r="AC223" s="517"/>
      <c r="AD223" s="517"/>
      <c r="AE223" s="517"/>
      <c r="AF223" s="517"/>
      <c r="AG223" s="517"/>
      <c r="AH223" s="517"/>
      <c r="AI223" s="517"/>
      <c r="AJ223" s="517"/>
      <c r="AK223" s="517"/>
      <c r="AL223" s="517"/>
      <c r="AM223" s="517"/>
      <c r="AN223" s="517"/>
      <c r="AO223" s="517"/>
      <c r="AP223" s="517"/>
    </row>
    <row r="224" spans="1:42" s="3" customFormat="1" ht="7.5" customHeight="1" outlineLevel="2">
      <c r="A224" s="168"/>
      <c r="B224" s="487"/>
      <c r="C224" s="150"/>
      <c r="D224" s="150"/>
      <c r="E224" s="150"/>
      <c r="F224" s="442"/>
      <c r="G224" s="524"/>
      <c r="H224" s="524"/>
      <c r="I224" s="524"/>
      <c r="J224" s="484"/>
      <c r="K224" s="525"/>
      <c r="L224" s="525"/>
      <c r="M224" s="525"/>
      <c r="N224" s="525"/>
      <c r="O224" s="525"/>
      <c r="P224" s="525"/>
      <c r="Q224" s="526"/>
      <c r="R224" s="527"/>
      <c r="S224" s="517"/>
      <c r="T224" s="517"/>
      <c r="U224" s="517"/>
      <c r="V224" s="517"/>
      <c r="W224" s="517"/>
    </row>
    <row r="225" spans="1:27" s="3" customFormat="1" outlineLevel="2">
      <c r="A225" s="168"/>
      <c r="B225" s="1" t="s">
        <v>390</v>
      </c>
      <c r="E225" s="150"/>
      <c r="F225" s="523"/>
      <c r="G225"/>
      <c r="H225"/>
      <c r="I225"/>
      <c r="J225" s="497"/>
      <c r="K225" s="513">
        <v>2</v>
      </c>
      <c r="L225" s="513">
        <v>2</v>
      </c>
      <c r="M225" s="513">
        <v>2</v>
      </c>
      <c r="N225" s="513">
        <v>2</v>
      </c>
      <c r="O225" s="513">
        <v>2</v>
      </c>
      <c r="P225" s="513">
        <v>2</v>
      </c>
      <c r="Q225" s="485"/>
      <c r="R225" s="513">
        <v>2</v>
      </c>
      <c r="S225" s="513">
        <v>2</v>
      </c>
      <c r="T225" s="513">
        <v>2</v>
      </c>
      <c r="U225" s="513">
        <v>2</v>
      </c>
      <c r="V225" s="513">
        <v>2</v>
      </c>
      <c r="W225" s="513">
        <v>2</v>
      </c>
      <c r="X225" s="513">
        <v>2</v>
      </c>
      <c r="Y225" s="513">
        <v>2</v>
      </c>
      <c r="Z225" s="513">
        <v>2</v>
      </c>
      <c r="AA225" s="513">
        <v>2</v>
      </c>
    </row>
    <row r="226" spans="1:27" s="3" customFormat="1" outlineLevel="2">
      <c r="A226" s="168"/>
      <c r="B226" s="297"/>
      <c r="C226" s="150"/>
      <c r="D226" s="150"/>
      <c r="E226" s="150"/>
      <c r="F226" s="442"/>
      <c r="G226"/>
      <c r="H226"/>
      <c r="I226"/>
      <c r="J226" s="484"/>
      <c r="Q226" s="485"/>
      <c r="R226" s="485"/>
    </row>
    <row r="227" spans="1:27" s="3" customFormat="1" outlineLevel="2">
      <c r="A227" s="168"/>
      <c r="B227" s="598" t="s">
        <v>412</v>
      </c>
      <c r="C227" s="150"/>
      <c r="D227" s="150"/>
      <c r="E227" s="150"/>
      <c r="F227" s="442"/>
      <c r="G227"/>
      <c r="H227"/>
      <c r="I227"/>
      <c r="J227" s="484"/>
      <c r="Q227" s="485"/>
      <c r="R227" s="485"/>
    </row>
    <row r="228" spans="1:27" s="3" customFormat="1" ht="7" customHeight="1" outlineLevel="2">
      <c r="A228" s="168"/>
      <c r="B228" s="598"/>
      <c r="C228" s="150"/>
      <c r="D228" s="150"/>
      <c r="E228" s="150"/>
      <c r="F228" s="442"/>
      <c r="G228"/>
      <c r="H228"/>
      <c r="I228"/>
      <c r="J228" s="484"/>
      <c r="Q228" s="485"/>
      <c r="R228" s="485"/>
    </row>
    <row r="229" spans="1:27" s="3" customFormat="1" outlineLevel="2">
      <c r="A229" s="168"/>
      <c r="B229" s="826" t="s">
        <v>436</v>
      </c>
      <c r="C229" s="150"/>
      <c r="D229" s="150"/>
      <c r="E229" s="150"/>
      <c r="F229" s="442"/>
      <c r="G229"/>
      <c r="H229"/>
      <c r="I229"/>
      <c r="J229" s="484"/>
      <c r="Q229" s="485"/>
      <c r="R229" s="485"/>
    </row>
    <row r="230" spans="1:27" s="3" customFormat="1" ht="4" customHeight="1" outlineLevel="2">
      <c r="A230" s="168"/>
      <c r="B230" s="629"/>
      <c r="C230" s="150"/>
      <c r="D230" s="150"/>
      <c r="E230" s="150"/>
      <c r="F230" s="442"/>
      <c r="G230"/>
      <c r="H230"/>
      <c r="I230"/>
      <c r="J230" s="484"/>
      <c r="Q230" s="485"/>
      <c r="R230" s="485"/>
    </row>
    <row r="231" spans="1:27" s="3" customFormat="1" outlineLevel="2">
      <c r="A231" s="168"/>
      <c r="B231" s="827" t="s">
        <v>430</v>
      </c>
      <c r="C231" s="150"/>
      <c r="D231" s="150"/>
      <c r="E231" s="150"/>
      <c r="F231" s="442"/>
      <c r="G231"/>
      <c r="H231"/>
      <c r="I231"/>
      <c r="J231" s="484"/>
      <c r="Q231" s="485"/>
      <c r="R231" s="485"/>
    </row>
    <row r="232" spans="1:27" s="3" customFormat="1" outlineLevel="2">
      <c r="A232" s="168"/>
      <c r="B232" s="828" t="s">
        <v>834</v>
      </c>
      <c r="C232" s="150"/>
      <c r="D232" s="150"/>
      <c r="E232" s="150"/>
      <c r="F232" s="442"/>
      <c r="G232"/>
      <c r="H232"/>
      <c r="I232"/>
      <c r="J232" s="484"/>
      <c r="L232" s="436">
        <v>19.600000000000001</v>
      </c>
      <c r="M232" s="436">
        <v>21</v>
      </c>
      <c r="N232" s="436">
        <v>23.25</v>
      </c>
      <c r="O232" s="436">
        <v>23.25</v>
      </c>
      <c r="P232" s="621">
        <f>O232</f>
        <v>23.25</v>
      </c>
      <c r="Q232" s="485"/>
      <c r="R232" s="1507">
        <f>PRODUCT(P232,(1+R$283))</f>
        <v>24.412500000000001</v>
      </c>
      <c r="S232" s="778">
        <f>PRODUCT(R232,(1+S$283))</f>
        <v>24.900750000000002</v>
      </c>
      <c r="T232" s="778">
        <f t="shared" ref="T232:AA232" si="117">PRODUCT(S232,(1+T$283))</f>
        <v>25.398765000000001</v>
      </c>
      <c r="U232" s="778">
        <f t="shared" si="117"/>
        <v>25.906740300000003</v>
      </c>
      <c r="V232" s="778">
        <f t="shared" si="117"/>
        <v>26.424875106000002</v>
      </c>
      <c r="W232" s="778">
        <f t="shared" si="117"/>
        <v>26.953372608120002</v>
      </c>
      <c r="X232" s="778">
        <f t="shared" si="117"/>
        <v>27.492440060282402</v>
      </c>
      <c r="Y232" s="778">
        <f t="shared" si="117"/>
        <v>28.04228886148805</v>
      </c>
      <c r="Z232" s="778">
        <f t="shared" si="117"/>
        <v>28.603134638717812</v>
      </c>
      <c r="AA232" s="778">
        <f t="shared" si="117"/>
        <v>29.175197331492168</v>
      </c>
    </row>
    <row r="233" spans="1:27" s="3" customFormat="1" outlineLevel="2">
      <c r="A233" s="168"/>
      <c r="B233" s="829" t="s">
        <v>433</v>
      </c>
      <c r="C233" s="150"/>
      <c r="D233" s="150"/>
      <c r="E233" s="150"/>
      <c r="F233" s="442"/>
      <c r="G233"/>
      <c r="H233"/>
      <c r="I233"/>
      <c r="J233" s="484"/>
      <c r="L233" s="436">
        <v>0</v>
      </c>
      <c r="M233" s="436">
        <v>0</v>
      </c>
      <c r="N233" s="436">
        <v>0</v>
      </c>
      <c r="O233" s="436">
        <v>0</v>
      </c>
      <c r="P233" s="436">
        <v>0</v>
      </c>
      <c r="Q233" s="485"/>
      <c r="R233" s="436">
        <v>0</v>
      </c>
      <c r="S233" s="436">
        <v>0</v>
      </c>
      <c r="T233" s="436">
        <v>0</v>
      </c>
      <c r="U233" s="436">
        <v>0</v>
      </c>
      <c r="V233" s="436">
        <v>0</v>
      </c>
      <c r="W233" s="436">
        <v>0</v>
      </c>
      <c r="X233" s="436">
        <v>0</v>
      </c>
      <c r="Y233" s="436">
        <v>0</v>
      </c>
      <c r="Z233" s="436">
        <v>0</v>
      </c>
      <c r="AA233" s="436">
        <v>0</v>
      </c>
    </row>
    <row r="234" spans="1:27" s="3" customFormat="1" ht="4.5" customHeight="1" outlineLevel="2">
      <c r="A234" s="168"/>
      <c r="B234" s="830"/>
      <c r="C234" s="150"/>
      <c r="D234" s="150"/>
      <c r="E234" s="150"/>
      <c r="F234" s="442"/>
      <c r="G234"/>
      <c r="H234"/>
      <c r="I234"/>
      <c r="J234" s="484"/>
      <c r="Q234" s="485"/>
      <c r="R234" s="485"/>
    </row>
    <row r="235" spans="1:27" s="3" customFormat="1" outlineLevel="2">
      <c r="A235" s="168"/>
      <c r="B235" s="827" t="s">
        <v>413</v>
      </c>
      <c r="E235" s="150"/>
      <c r="F235" s="442"/>
      <c r="G235"/>
      <c r="H235"/>
      <c r="I235"/>
      <c r="J235" s="484"/>
      <c r="Q235" s="485"/>
      <c r="R235" s="485"/>
    </row>
    <row r="236" spans="1:27" s="3" customFormat="1" outlineLevel="2">
      <c r="A236" s="168"/>
      <c r="B236" s="828" t="s">
        <v>834</v>
      </c>
      <c r="E236" s="150"/>
      <c r="F236" s="442"/>
      <c r="G236"/>
      <c r="H236"/>
      <c r="I236"/>
      <c r="J236" s="484"/>
      <c r="L236" s="531">
        <v>1860.75</v>
      </c>
      <c r="M236" s="531">
        <v>1815.5</v>
      </c>
      <c r="N236" s="531">
        <v>1891.75</v>
      </c>
      <c r="O236" s="531">
        <v>1922.25</v>
      </c>
      <c r="P236" s="554">
        <f>AVERAGE(L236:O236)</f>
        <v>1872.5625</v>
      </c>
      <c r="Q236" s="485"/>
      <c r="R236" s="485">
        <f>P236</f>
        <v>1872.5625</v>
      </c>
      <c r="S236" s="622">
        <f>R236</f>
        <v>1872.5625</v>
      </c>
      <c r="T236" s="622">
        <f t="shared" ref="T236:AA236" si="118">S236</f>
        <v>1872.5625</v>
      </c>
      <c r="U236" s="622">
        <f t="shared" si="118"/>
        <v>1872.5625</v>
      </c>
      <c r="V236" s="622">
        <f t="shared" si="118"/>
        <v>1872.5625</v>
      </c>
      <c r="W236" s="622">
        <f t="shared" si="118"/>
        <v>1872.5625</v>
      </c>
      <c r="X236" s="622">
        <f t="shared" si="118"/>
        <v>1872.5625</v>
      </c>
      <c r="Y236" s="622">
        <f t="shared" si="118"/>
        <v>1872.5625</v>
      </c>
      <c r="Z236" s="622">
        <f t="shared" si="118"/>
        <v>1872.5625</v>
      </c>
      <c r="AA236" s="622">
        <f t="shared" si="118"/>
        <v>1872.5625</v>
      </c>
    </row>
    <row r="237" spans="1:27" s="3" customFormat="1" outlineLevel="2">
      <c r="A237" s="168"/>
      <c r="B237" s="829" t="s">
        <v>433</v>
      </c>
      <c r="E237" s="150"/>
      <c r="F237" s="442"/>
      <c r="G237"/>
      <c r="H237"/>
      <c r="I237"/>
      <c r="J237" s="484"/>
      <c r="L237" s="436">
        <v>0</v>
      </c>
      <c r="M237" s="436">
        <v>0</v>
      </c>
      <c r="N237" s="436">
        <v>0</v>
      </c>
      <c r="O237" s="436">
        <v>0</v>
      </c>
      <c r="P237" s="436">
        <v>0</v>
      </c>
      <c r="R237" s="436">
        <v>0</v>
      </c>
      <c r="S237" s="436">
        <v>0</v>
      </c>
      <c r="T237" s="436">
        <v>0</v>
      </c>
      <c r="U237" s="436">
        <v>0</v>
      </c>
      <c r="V237" s="436">
        <v>0</v>
      </c>
      <c r="W237" s="436">
        <v>0</v>
      </c>
      <c r="X237" s="436">
        <v>0</v>
      </c>
      <c r="Y237" s="436">
        <v>0</v>
      </c>
      <c r="Z237" s="436">
        <v>0</v>
      </c>
      <c r="AA237" s="436">
        <v>0</v>
      </c>
    </row>
    <row r="238" spans="1:27" s="3" customFormat="1" ht="2" customHeight="1" outlineLevel="2">
      <c r="A238" s="168"/>
      <c r="B238" s="602"/>
      <c r="E238" s="150"/>
      <c r="F238" s="442"/>
      <c r="G238"/>
      <c r="H238"/>
      <c r="I238"/>
      <c r="J238" s="484"/>
      <c r="L238" s="436"/>
      <c r="M238" s="436"/>
      <c r="N238" s="436"/>
      <c r="O238" s="436"/>
      <c r="P238" s="436"/>
    </row>
    <row r="239" spans="1:27" s="3" customFormat="1" outlineLevel="2">
      <c r="A239" s="168"/>
      <c r="B239" s="827" t="s">
        <v>437</v>
      </c>
      <c r="E239" s="150"/>
      <c r="F239" s="442"/>
      <c r="G239"/>
      <c r="H239"/>
      <c r="I239"/>
      <c r="J239" s="484"/>
      <c r="L239" s="436"/>
      <c r="M239" s="436"/>
      <c r="N239" s="436"/>
      <c r="O239" s="436"/>
      <c r="P239" s="436"/>
    </row>
    <row r="240" spans="1:27" s="3" customFormat="1" outlineLevel="2">
      <c r="A240" s="168"/>
      <c r="B240" s="828" t="s">
        <v>834</v>
      </c>
      <c r="E240" s="150"/>
      <c r="F240" s="442"/>
      <c r="G240"/>
      <c r="H240"/>
      <c r="I240"/>
      <c r="J240" s="484"/>
      <c r="L240" s="548">
        <f t="shared" ref="L240:P241" si="119">PRODUCT(L232,L236)</f>
        <v>36470.700000000004</v>
      </c>
      <c r="M240" s="548">
        <f t="shared" si="119"/>
        <v>38125.5</v>
      </c>
      <c r="N240" s="548">
        <f t="shared" si="119"/>
        <v>43983.1875</v>
      </c>
      <c r="O240" s="548">
        <f t="shared" si="119"/>
        <v>44692.3125</v>
      </c>
      <c r="P240" s="548">
        <f t="shared" si="119"/>
        <v>43537.078125</v>
      </c>
      <c r="R240" s="548">
        <f t="shared" ref="R240:AA240" si="120">PRODUCT(R232,R236)</f>
        <v>45713.932031250006</v>
      </c>
      <c r="S240" s="548">
        <f>PRODUCT(S232,S236)</f>
        <v>46628.210671875007</v>
      </c>
      <c r="T240" s="548">
        <f t="shared" si="120"/>
        <v>47560.774885312501</v>
      </c>
      <c r="U240" s="548">
        <f t="shared" si="120"/>
        <v>48511.990383018754</v>
      </c>
      <c r="V240" s="548">
        <f t="shared" si="120"/>
        <v>49482.230190679125</v>
      </c>
      <c r="W240" s="548">
        <f t="shared" si="120"/>
        <v>50471.874794492709</v>
      </c>
      <c r="X240" s="548">
        <f t="shared" si="120"/>
        <v>51481.312290382564</v>
      </c>
      <c r="Y240" s="548">
        <f t="shared" si="120"/>
        <v>52510.938536190217</v>
      </c>
      <c r="Z240" s="548">
        <f t="shared" si="120"/>
        <v>53561.157306914021</v>
      </c>
      <c r="AA240" s="548">
        <f t="shared" si="120"/>
        <v>54632.380453052305</v>
      </c>
    </row>
    <row r="241" spans="1:27" s="3" customFormat="1" outlineLevel="2">
      <c r="A241" s="168"/>
      <c r="B241" s="829" t="s">
        <v>433</v>
      </c>
      <c r="E241" s="150"/>
      <c r="F241" s="442"/>
      <c r="G241"/>
      <c r="H241"/>
      <c r="I241"/>
      <c r="J241" s="484"/>
      <c r="L241" s="548">
        <f t="shared" si="119"/>
        <v>0</v>
      </c>
      <c r="M241" s="548">
        <f t="shared" si="119"/>
        <v>0</v>
      </c>
      <c r="N241" s="548">
        <f t="shared" si="119"/>
        <v>0</v>
      </c>
      <c r="O241" s="548">
        <f t="shared" si="119"/>
        <v>0</v>
      </c>
      <c r="P241" s="548">
        <f t="shared" si="119"/>
        <v>0</v>
      </c>
      <c r="R241" s="548">
        <f t="shared" ref="R241:AA241" si="121">PRODUCT(R233,R237)</f>
        <v>0</v>
      </c>
      <c r="S241" s="548">
        <f>PRODUCT(S233,S237)</f>
        <v>0</v>
      </c>
      <c r="T241" s="548">
        <f t="shared" si="121"/>
        <v>0</v>
      </c>
      <c r="U241" s="548">
        <f t="shared" si="121"/>
        <v>0</v>
      </c>
      <c r="V241" s="548">
        <f t="shared" si="121"/>
        <v>0</v>
      </c>
      <c r="W241" s="548">
        <f t="shared" si="121"/>
        <v>0</v>
      </c>
      <c r="X241" s="548">
        <f t="shared" si="121"/>
        <v>0</v>
      </c>
      <c r="Y241" s="548">
        <f t="shared" si="121"/>
        <v>0</v>
      </c>
      <c r="Z241" s="548">
        <f t="shared" si="121"/>
        <v>0</v>
      </c>
      <c r="AA241" s="548">
        <f t="shared" si="121"/>
        <v>0</v>
      </c>
    </row>
    <row r="242" spans="1:27" s="3" customFormat="1" outlineLevel="2">
      <c r="A242" s="168"/>
      <c r="B242" s="831" t="s">
        <v>26</v>
      </c>
      <c r="C242" s="591"/>
      <c r="D242" s="591"/>
      <c r="E242" s="591"/>
      <c r="F242" s="442"/>
      <c r="G242"/>
      <c r="H242"/>
      <c r="I242"/>
      <c r="J242" s="484"/>
      <c r="L242" s="631">
        <f>SUM(L240:L241)</f>
        <v>36470.700000000004</v>
      </c>
      <c r="M242" s="631">
        <f>SUM(M240:M241)</f>
        <v>38125.5</v>
      </c>
      <c r="N242" s="631">
        <f>SUM(N240:N241)</f>
        <v>43983.1875</v>
      </c>
      <c r="O242" s="631">
        <f>SUM(O240:O241)</f>
        <v>44692.3125</v>
      </c>
      <c r="P242" s="631">
        <f>SUM(P240:P241)</f>
        <v>43537.078125</v>
      </c>
      <c r="R242" s="631">
        <f t="shared" ref="R242:AA242" si="122">SUM(R240:R241)</f>
        <v>45713.932031250006</v>
      </c>
      <c r="S242" s="631">
        <f t="shared" si="122"/>
        <v>46628.210671875007</v>
      </c>
      <c r="T242" s="631">
        <f t="shared" si="122"/>
        <v>47560.774885312501</v>
      </c>
      <c r="U242" s="631">
        <f t="shared" si="122"/>
        <v>48511.990383018754</v>
      </c>
      <c r="V242" s="631">
        <f t="shared" si="122"/>
        <v>49482.230190679125</v>
      </c>
      <c r="W242" s="631">
        <f t="shared" si="122"/>
        <v>50471.874794492709</v>
      </c>
      <c r="X242" s="631">
        <f t="shared" si="122"/>
        <v>51481.312290382564</v>
      </c>
      <c r="Y242" s="631">
        <f t="shared" si="122"/>
        <v>52510.938536190217</v>
      </c>
      <c r="Z242" s="631">
        <f t="shared" si="122"/>
        <v>53561.157306914021</v>
      </c>
      <c r="AA242" s="631">
        <f t="shared" si="122"/>
        <v>54632.380453052305</v>
      </c>
    </row>
    <row r="243" spans="1:27" s="3" customFormat="1" ht="7" customHeight="1" outlineLevel="2">
      <c r="A243" s="168"/>
      <c r="B243" s="153"/>
      <c r="C243" s="590"/>
      <c r="D243" s="590"/>
      <c r="E243" s="150"/>
      <c r="F243" s="442"/>
      <c r="G243"/>
      <c r="H243"/>
      <c r="I243"/>
      <c r="J243" s="484"/>
      <c r="Q243" s="485"/>
      <c r="R243" s="485"/>
    </row>
    <row r="244" spans="1:27" s="3" customFormat="1" outlineLevel="2">
      <c r="A244" s="168"/>
      <c r="B244" s="826" t="s">
        <v>371</v>
      </c>
      <c r="C244" s="590"/>
      <c r="D244" s="590"/>
      <c r="E244" s="150"/>
      <c r="F244" s="442"/>
      <c r="G244"/>
      <c r="H244"/>
      <c r="I244"/>
      <c r="J244" s="484"/>
      <c r="Q244" s="485"/>
      <c r="R244" s="485"/>
    </row>
    <row r="245" spans="1:27" s="3" customFormat="1" ht="4" customHeight="1" outlineLevel="2">
      <c r="A245" s="168"/>
      <c r="B245" s="629"/>
      <c r="C245" s="590"/>
      <c r="D245" s="590"/>
      <c r="E245" s="150"/>
      <c r="F245" s="442"/>
      <c r="G245"/>
      <c r="H245"/>
      <c r="I245"/>
      <c r="J245" s="484"/>
      <c r="Q245" s="485"/>
      <c r="R245" s="485"/>
    </row>
    <row r="246" spans="1:27" s="3" customFormat="1" outlineLevel="2">
      <c r="A246" s="168"/>
      <c r="B246" s="827" t="s">
        <v>431</v>
      </c>
      <c r="C246" s="590"/>
      <c r="D246" s="590"/>
      <c r="E246" s="150"/>
      <c r="F246" s="442"/>
      <c r="G246"/>
      <c r="H246"/>
      <c r="I246"/>
      <c r="J246" s="484"/>
      <c r="Q246" s="485"/>
      <c r="R246" s="485"/>
    </row>
    <row r="247" spans="1:27" s="3" customFormat="1" outlineLevel="2">
      <c r="A247" s="168"/>
      <c r="B247" s="828" t="s">
        <v>835</v>
      </c>
      <c r="C247" s="590"/>
      <c r="D247" s="590"/>
      <c r="E247" s="150"/>
      <c r="F247" s="442"/>
      <c r="G247"/>
      <c r="H247"/>
      <c r="I247"/>
      <c r="J247" s="484"/>
      <c r="L247" s="454">
        <v>1231</v>
      </c>
      <c r="M247" s="454">
        <v>1291</v>
      </c>
      <c r="N247" s="454">
        <v>1366</v>
      </c>
      <c r="O247" s="454">
        <v>1366</v>
      </c>
      <c r="P247" s="420">
        <f>O247</f>
        <v>1366</v>
      </c>
      <c r="Q247" s="485"/>
      <c r="R247" s="1511">
        <f>PRODUCT(P247,(1+R$284))</f>
        <v>1434.3</v>
      </c>
      <c r="S247" s="627">
        <f>PRODUCT(R247,(1+S$284))</f>
        <v>1462.9859999999999</v>
      </c>
      <c r="T247" s="627">
        <f t="shared" ref="T247:AA247" si="123">PRODUCT(S247,(1+T$284))</f>
        <v>1492.2457199999999</v>
      </c>
      <c r="U247" s="627">
        <f t="shared" si="123"/>
        <v>1522.0906344</v>
      </c>
      <c r="V247" s="627">
        <f t="shared" si="123"/>
        <v>1552.532447088</v>
      </c>
      <c r="W247" s="627">
        <f t="shared" si="123"/>
        <v>1583.5830960297601</v>
      </c>
      <c r="X247" s="627">
        <f t="shared" si="123"/>
        <v>1615.2547579503553</v>
      </c>
      <c r="Y247" s="627">
        <f t="shared" si="123"/>
        <v>1647.5598531093624</v>
      </c>
      <c r="Z247" s="627">
        <f t="shared" si="123"/>
        <v>1680.5110501715496</v>
      </c>
      <c r="AA247" s="627">
        <f t="shared" si="123"/>
        <v>1714.1212711749806</v>
      </c>
    </row>
    <row r="248" spans="1:27" s="3" customFormat="1" outlineLevel="2">
      <c r="A248" s="168"/>
      <c r="B248" s="829" t="s">
        <v>433</v>
      </c>
      <c r="C248" s="590"/>
      <c r="D248" s="590"/>
      <c r="E248" s="150"/>
      <c r="F248" s="442"/>
      <c r="G248"/>
      <c r="H248"/>
      <c r="I248"/>
      <c r="J248" s="484"/>
      <c r="L248" s="436">
        <v>0</v>
      </c>
      <c r="M248" s="436">
        <v>0</v>
      </c>
      <c r="N248" s="436">
        <v>0</v>
      </c>
      <c r="O248" s="436">
        <v>0</v>
      </c>
      <c r="P248" s="436">
        <v>0</v>
      </c>
      <c r="Q248" s="485"/>
      <c r="R248" s="436">
        <v>0</v>
      </c>
      <c r="S248" s="436">
        <v>0</v>
      </c>
      <c r="T248" s="436">
        <v>0</v>
      </c>
      <c r="U248" s="436">
        <v>0</v>
      </c>
      <c r="V248" s="436">
        <v>0</v>
      </c>
      <c r="W248" s="436">
        <v>0</v>
      </c>
      <c r="X248" s="436">
        <v>0</v>
      </c>
      <c r="Y248" s="436">
        <v>0</v>
      </c>
      <c r="Z248" s="436">
        <v>0</v>
      </c>
      <c r="AA248" s="436">
        <v>0</v>
      </c>
    </row>
    <row r="249" spans="1:27" s="3" customFormat="1" ht="3.5" customHeight="1" outlineLevel="2">
      <c r="A249" s="168"/>
      <c r="B249" s="602"/>
      <c r="C249" s="590"/>
      <c r="D249" s="590"/>
      <c r="E249" s="150"/>
      <c r="F249" s="442"/>
      <c r="G249"/>
      <c r="H249"/>
      <c r="I249"/>
      <c r="J249" s="484"/>
      <c r="Q249" s="485"/>
      <c r="R249" s="485"/>
    </row>
    <row r="250" spans="1:27" s="3" customFormat="1" outlineLevel="2">
      <c r="A250" s="168"/>
      <c r="B250" s="827" t="s">
        <v>414</v>
      </c>
      <c r="C250" s="150"/>
      <c r="D250" s="150"/>
      <c r="E250" s="150"/>
      <c r="F250" s="442"/>
      <c r="G250"/>
      <c r="H250"/>
      <c r="I250"/>
      <c r="J250" s="484"/>
      <c r="Q250" s="485"/>
      <c r="R250" s="485"/>
    </row>
    <row r="251" spans="1:27" s="3" customFormat="1" outlineLevel="2">
      <c r="A251" s="168"/>
      <c r="B251" s="828" t="s">
        <v>835</v>
      </c>
      <c r="C251" s="150"/>
      <c r="D251" s="150"/>
      <c r="F251" s="442"/>
      <c r="G251"/>
      <c r="H251"/>
      <c r="I251"/>
      <c r="J251" s="484"/>
      <c r="L251" s="632">
        <f>PRODUCT(L$247,$D$583)</f>
        <v>64012</v>
      </c>
      <c r="M251" s="632">
        <f>PRODUCT(M$247,$D$583)</f>
        <v>67132</v>
      </c>
      <c r="N251" s="632">
        <f>PRODUCT(N$247,$D$583)</f>
        <v>71032</v>
      </c>
      <c r="O251" s="632">
        <f>PRODUCT(O$247,$D$583)</f>
        <v>71032</v>
      </c>
      <c r="P251" s="632">
        <f>PRODUCT(P$247,$D$583)</f>
        <v>71032</v>
      </c>
      <c r="R251" s="632">
        <f t="shared" ref="R251:AA251" si="124">PRODUCT(R$247,$D$583)</f>
        <v>74583.599999999991</v>
      </c>
      <c r="S251" s="632">
        <f t="shared" si="124"/>
        <v>76075.271999999997</v>
      </c>
      <c r="T251" s="632">
        <f t="shared" si="124"/>
        <v>77596.777439999991</v>
      </c>
      <c r="U251" s="632">
        <f t="shared" si="124"/>
        <v>79148.712988800005</v>
      </c>
      <c r="V251" s="632">
        <f t="shared" si="124"/>
        <v>80731.687248575996</v>
      </c>
      <c r="W251" s="632">
        <f t="shared" si="124"/>
        <v>82346.320993547532</v>
      </c>
      <c r="X251" s="632">
        <f t="shared" si="124"/>
        <v>83993.247413418474</v>
      </c>
      <c r="Y251" s="632">
        <f t="shared" si="124"/>
        <v>85673.112361686843</v>
      </c>
      <c r="Z251" s="632">
        <f t="shared" si="124"/>
        <v>87386.574608920579</v>
      </c>
      <c r="AA251" s="632">
        <f t="shared" si="124"/>
        <v>89134.306101098991</v>
      </c>
    </row>
    <row r="252" spans="1:27" s="3" customFormat="1" outlineLevel="2">
      <c r="A252" s="168"/>
      <c r="B252" s="829" t="s">
        <v>433</v>
      </c>
      <c r="C252" s="150"/>
      <c r="D252" s="150"/>
      <c r="F252" s="442"/>
      <c r="G252" s="484"/>
      <c r="H252" s="484"/>
      <c r="I252" s="484"/>
      <c r="J252" s="484"/>
      <c r="L252" s="632">
        <f>PRODUCT(L$248,$D$583)</f>
        <v>0</v>
      </c>
      <c r="M252" s="632">
        <f>PRODUCT(M$248,$D$583)</f>
        <v>0</v>
      </c>
      <c r="N252" s="632">
        <f>PRODUCT(N$248,$D$583)</f>
        <v>0</v>
      </c>
      <c r="O252" s="632">
        <f>PRODUCT(O$248,$D$583)</f>
        <v>0</v>
      </c>
      <c r="P252" s="632">
        <f>PRODUCT(P$248,$D$583)</f>
        <v>0</v>
      </c>
      <c r="R252" s="632">
        <f t="shared" ref="R252:AA252" si="125">PRODUCT(R$248,$D$583)</f>
        <v>0</v>
      </c>
      <c r="S252" s="632">
        <f t="shared" si="125"/>
        <v>0</v>
      </c>
      <c r="T252" s="632">
        <f t="shared" si="125"/>
        <v>0</v>
      </c>
      <c r="U252" s="632">
        <f t="shared" si="125"/>
        <v>0</v>
      </c>
      <c r="V252" s="632">
        <f t="shared" si="125"/>
        <v>0</v>
      </c>
      <c r="W252" s="632">
        <f t="shared" si="125"/>
        <v>0</v>
      </c>
      <c r="X252" s="632">
        <f t="shared" si="125"/>
        <v>0</v>
      </c>
      <c r="Y252" s="632">
        <f t="shared" si="125"/>
        <v>0</v>
      </c>
      <c r="Z252" s="632">
        <f t="shared" si="125"/>
        <v>0</v>
      </c>
      <c r="AA252" s="632">
        <f t="shared" si="125"/>
        <v>0</v>
      </c>
    </row>
    <row r="253" spans="1:27" s="3" customFormat="1" outlineLevel="2">
      <c r="A253" s="168"/>
      <c r="B253" s="630" t="s">
        <v>26</v>
      </c>
      <c r="C253" s="591"/>
      <c r="D253" s="591"/>
      <c r="E253" s="591"/>
      <c r="F253" s="442"/>
      <c r="G253" s="484"/>
      <c r="H253" s="484"/>
      <c r="I253" s="484"/>
      <c r="J253" s="484"/>
      <c r="L253" s="592">
        <f>SUM(L$251:L$252)</f>
        <v>64012</v>
      </c>
      <c r="M253" s="592">
        <f>SUM(M$251:M$252)</f>
        <v>67132</v>
      </c>
      <c r="N253" s="592">
        <f>SUM(N$251:N$252)</f>
        <v>71032</v>
      </c>
      <c r="O253" s="592">
        <f>SUM(O$251:O$252)</f>
        <v>71032</v>
      </c>
      <c r="P253" s="592">
        <f>SUM(P$251:P$252)</f>
        <v>71032</v>
      </c>
      <c r="R253" s="592">
        <f t="shared" ref="R253:AA253" si="126">SUM(R$251:R$252)</f>
        <v>74583.599999999991</v>
      </c>
      <c r="S253" s="592">
        <f t="shared" si="126"/>
        <v>76075.271999999997</v>
      </c>
      <c r="T253" s="592">
        <f t="shared" si="126"/>
        <v>77596.777439999991</v>
      </c>
      <c r="U253" s="592">
        <f t="shared" si="126"/>
        <v>79148.712988800005</v>
      </c>
      <c r="V253" s="592">
        <f t="shared" si="126"/>
        <v>80731.687248575996</v>
      </c>
      <c r="W253" s="592">
        <f t="shared" si="126"/>
        <v>82346.320993547532</v>
      </c>
      <c r="X253" s="592">
        <f t="shared" si="126"/>
        <v>83993.247413418474</v>
      </c>
      <c r="Y253" s="592">
        <f t="shared" si="126"/>
        <v>85673.112361686843</v>
      </c>
      <c r="Z253" s="592">
        <f t="shared" si="126"/>
        <v>87386.574608920579</v>
      </c>
      <c r="AA253" s="592">
        <f t="shared" si="126"/>
        <v>89134.306101098991</v>
      </c>
    </row>
    <row r="254" spans="1:27" s="3" customFormat="1" ht="12" customHeight="1" outlineLevel="2" thickBot="1">
      <c r="A254" s="168"/>
      <c r="B254" s="594"/>
      <c r="C254" s="595"/>
      <c r="D254" s="595"/>
      <c r="E254" s="595"/>
      <c r="F254" s="442"/>
      <c r="G254" s="484"/>
      <c r="H254" s="484"/>
      <c r="I254" s="484"/>
      <c r="J254" s="484"/>
      <c r="L254" s="595"/>
      <c r="M254" s="595"/>
      <c r="N254" s="595"/>
      <c r="O254" s="595"/>
      <c r="P254" s="595"/>
      <c r="Q254" s="485"/>
      <c r="R254" s="608"/>
      <c r="S254" s="595"/>
      <c r="T254" s="595"/>
      <c r="U254" s="595"/>
      <c r="V254" s="595"/>
      <c r="W254" s="595"/>
      <c r="X254" s="595"/>
      <c r="Y254" s="595"/>
      <c r="Z254" s="595"/>
      <c r="AA254" s="595"/>
    </row>
    <row r="255" spans="1:27" s="1" customFormat="1" ht="15" outlineLevel="2" thickTop="1">
      <c r="A255" s="6"/>
      <c r="B255" s="1003" t="s">
        <v>416</v>
      </c>
      <c r="C255" s="379"/>
      <c r="D255" s="379"/>
      <c r="E255" s="379"/>
      <c r="F255" s="571"/>
      <c r="G255" s="572"/>
      <c r="H255" s="572"/>
      <c r="I255" s="572"/>
      <c r="J255" s="572"/>
      <c r="L255" s="593">
        <f>SUM(L$242,L$253)</f>
        <v>100482.70000000001</v>
      </c>
      <c r="M255" s="593">
        <f t="shared" ref="M255:P255" si="127">SUM(M$242,M$253)</f>
        <v>105257.5</v>
      </c>
      <c r="N255" s="593">
        <f t="shared" si="127"/>
        <v>115015.1875</v>
      </c>
      <c r="O255" s="593">
        <f t="shared" si="127"/>
        <v>115724.3125</v>
      </c>
      <c r="P255" s="593">
        <f t="shared" si="127"/>
        <v>114569.078125</v>
      </c>
      <c r="Q255" s="460"/>
      <c r="R255" s="593">
        <f>SUM(R$242,R$253)</f>
        <v>120297.53203125</v>
      </c>
      <c r="S255" s="593">
        <f t="shared" ref="S255:AA255" si="128">SUM(S$242,S$253)</f>
        <v>122703.48267187501</v>
      </c>
      <c r="T255" s="593">
        <f t="shared" si="128"/>
        <v>125157.55232531248</v>
      </c>
      <c r="U255" s="593">
        <f t="shared" si="128"/>
        <v>127660.70337181876</v>
      </c>
      <c r="V255" s="593">
        <f t="shared" si="128"/>
        <v>130213.91743925512</v>
      </c>
      <c r="W255" s="593">
        <f t="shared" si="128"/>
        <v>132818.19578804023</v>
      </c>
      <c r="X255" s="593">
        <f t="shared" si="128"/>
        <v>135474.55970380103</v>
      </c>
      <c r="Y255" s="593">
        <f t="shared" si="128"/>
        <v>138184.05089787705</v>
      </c>
      <c r="Z255" s="593">
        <f t="shared" si="128"/>
        <v>140947.73191583459</v>
      </c>
      <c r="AA255" s="593">
        <f t="shared" si="128"/>
        <v>143766.6865541513</v>
      </c>
    </row>
    <row r="256" spans="1:27" s="3" customFormat="1" outlineLevel="2">
      <c r="A256" s="168"/>
      <c r="B256" s="297"/>
      <c r="C256" s="150"/>
      <c r="D256" s="150"/>
      <c r="E256" s="150"/>
      <c r="F256" s="442"/>
      <c r="G256" s="484"/>
      <c r="H256" s="484"/>
      <c r="I256" s="484"/>
      <c r="J256" s="484"/>
      <c r="L256" s="420"/>
      <c r="M256" s="420"/>
      <c r="N256" s="420"/>
      <c r="O256" s="420"/>
      <c r="P256" s="420"/>
      <c r="Q256" s="485"/>
      <c r="R256" s="485"/>
    </row>
    <row r="257" spans="1:27" s="3" customFormat="1" outlineLevel="2">
      <c r="A257" s="168"/>
      <c r="B257" s="599" t="s">
        <v>337</v>
      </c>
      <c r="C257" s="150"/>
      <c r="D257" s="150"/>
      <c r="E257" s="150"/>
      <c r="F257" s="442"/>
      <c r="G257" s="484"/>
      <c r="H257" s="484"/>
      <c r="I257" s="484"/>
      <c r="J257" s="484"/>
      <c r="Q257" s="485"/>
      <c r="R257" s="485"/>
    </row>
    <row r="258" spans="1:27" s="3" customFormat="1" outlineLevel="2">
      <c r="A258" s="168"/>
      <c r="B258" s="153" t="s">
        <v>834</v>
      </c>
      <c r="C258" s="150"/>
      <c r="D258" s="150"/>
      <c r="E258" s="150"/>
      <c r="F258" s="442"/>
      <c r="G258" s="484"/>
      <c r="H258" s="484"/>
      <c r="I258" s="484"/>
      <c r="J258" s="484"/>
      <c r="L258" s="531">
        <v>744</v>
      </c>
      <c r="M258" s="531">
        <v>6120</v>
      </c>
      <c r="N258" s="531">
        <v>7190</v>
      </c>
      <c r="O258" s="531">
        <v>9050</v>
      </c>
      <c r="P258" s="420">
        <f>O258</f>
        <v>9050</v>
      </c>
      <c r="Q258" s="485"/>
      <c r="R258" s="485">
        <f>PRODUCT(R$288,R$240)</f>
        <v>9379.6867684354274</v>
      </c>
      <c r="S258" s="485">
        <f t="shared" ref="S258:AA258" si="129">PRODUCT(S$288,S$240)</f>
        <v>9325.6421343750026</v>
      </c>
      <c r="T258" s="485">
        <f t="shared" si="129"/>
        <v>9512.1549770625006</v>
      </c>
      <c r="U258" s="485">
        <f t="shared" si="129"/>
        <v>9702.3980766037512</v>
      </c>
      <c r="V258" s="485">
        <f t="shared" si="129"/>
        <v>9896.4460381358258</v>
      </c>
      <c r="W258" s="485">
        <f t="shared" si="129"/>
        <v>10094.374958898543</v>
      </c>
      <c r="X258" s="485">
        <f t="shared" si="129"/>
        <v>10296.262458076513</v>
      </c>
      <c r="Y258" s="485">
        <f t="shared" si="129"/>
        <v>10502.187707238045</v>
      </c>
      <c r="Z258" s="485">
        <f t="shared" si="129"/>
        <v>10712.231461382806</v>
      </c>
      <c r="AA258" s="485">
        <f t="shared" si="129"/>
        <v>10926.476090610462</v>
      </c>
    </row>
    <row r="259" spans="1:27" s="3" customFormat="1" outlineLevel="2">
      <c r="A259" s="168"/>
      <c r="B259" s="153" t="s">
        <v>835</v>
      </c>
      <c r="C259" s="150"/>
      <c r="D259" s="150"/>
      <c r="E259" s="150"/>
      <c r="F259" s="442"/>
      <c r="G259" s="484"/>
      <c r="H259" s="484"/>
      <c r="I259" s="484"/>
      <c r="J259" s="484"/>
      <c r="L259" s="454">
        <v>7386</v>
      </c>
      <c r="M259" s="454">
        <v>10148</v>
      </c>
      <c r="N259" s="454">
        <v>6830</v>
      </c>
      <c r="O259" s="454">
        <v>9562</v>
      </c>
      <c r="P259" s="420">
        <f>O259</f>
        <v>9562</v>
      </c>
      <c r="Q259" s="485"/>
      <c r="R259" s="485">
        <f t="shared" ref="R259:AA259" si="130">PRODUCT(R$289,R$251)</f>
        <v>10040.099999999999</v>
      </c>
      <c r="S259" s="485">
        <f t="shared" si="130"/>
        <v>10240.902</v>
      </c>
      <c r="T259" s="485">
        <f t="shared" si="130"/>
        <v>10445.720039999998</v>
      </c>
      <c r="U259" s="485">
        <f t="shared" si="130"/>
        <v>10654.6344408</v>
      </c>
      <c r="V259" s="485">
        <f t="shared" si="130"/>
        <v>10867.727129616</v>
      </c>
      <c r="W259" s="485">
        <f t="shared" si="130"/>
        <v>11085.081672208322</v>
      </c>
      <c r="X259" s="485">
        <f t="shared" si="130"/>
        <v>11306.783305652487</v>
      </c>
      <c r="Y259" s="485">
        <f t="shared" si="130"/>
        <v>11532.918971765535</v>
      </c>
      <c r="Z259" s="485">
        <f t="shared" si="130"/>
        <v>11763.577351200847</v>
      </c>
      <c r="AA259" s="485">
        <f t="shared" si="130"/>
        <v>11998.848898224864</v>
      </c>
    </row>
    <row r="260" spans="1:27" s="3" customFormat="1" outlineLevel="2">
      <c r="A260" s="168"/>
      <c r="B260" s="667" t="s">
        <v>433</v>
      </c>
      <c r="C260" s="150"/>
      <c r="D260" s="150"/>
      <c r="E260" s="150"/>
      <c r="F260" s="442"/>
      <c r="G260" s="484"/>
      <c r="H260" s="484"/>
      <c r="I260" s="484"/>
      <c r="J260" s="484"/>
      <c r="L260" s="436">
        <v>0</v>
      </c>
      <c r="M260" s="436">
        <v>0</v>
      </c>
      <c r="N260" s="436">
        <v>0</v>
      </c>
      <c r="O260" s="436">
        <v>0</v>
      </c>
      <c r="P260" s="436">
        <v>0</v>
      </c>
      <c r="Q260" s="485"/>
      <c r="R260" s="436">
        <v>0</v>
      </c>
      <c r="S260" s="436">
        <v>0</v>
      </c>
      <c r="T260" s="436">
        <v>0</v>
      </c>
      <c r="U260" s="436">
        <v>0</v>
      </c>
      <c r="V260" s="436">
        <v>0</v>
      </c>
      <c r="W260" s="436">
        <v>0</v>
      </c>
      <c r="X260" s="436">
        <v>0</v>
      </c>
      <c r="Y260" s="436">
        <v>0</v>
      </c>
      <c r="Z260" s="436">
        <v>0</v>
      </c>
      <c r="AA260" s="436">
        <v>0</v>
      </c>
    </row>
    <row r="261" spans="1:27" s="1" customFormat="1" outlineLevel="2">
      <c r="A261" s="6"/>
      <c r="B261" s="834" t="s">
        <v>417</v>
      </c>
      <c r="C261" s="583"/>
      <c r="D261" s="583"/>
      <c r="E261" s="583"/>
      <c r="F261" s="571"/>
      <c r="G261" s="572"/>
      <c r="H261" s="572"/>
      <c r="I261" s="572"/>
      <c r="J261" s="572"/>
      <c r="L261" s="597">
        <f>SUM(L$258:L$260)</f>
        <v>8130</v>
      </c>
      <c r="M261" s="597">
        <f t="shared" ref="M261:P261" si="131">SUM(M$258:M$260)</f>
        <v>16268</v>
      </c>
      <c r="N261" s="597">
        <f t="shared" si="131"/>
        <v>14020</v>
      </c>
      <c r="O261" s="597">
        <f t="shared" si="131"/>
        <v>18612</v>
      </c>
      <c r="P261" s="597">
        <f t="shared" si="131"/>
        <v>18612</v>
      </c>
      <c r="Q261" s="460"/>
      <c r="R261" s="597">
        <f t="shared" ref="R261:AA261" si="132">SUM(R$258:R$260)*($C$5&lt;&gt;"Downside")</f>
        <v>19419.786768435428</v>
      </c>
      <c r="S261" s="597">
        <f t="shared" si="132"/>
        <v>19566.544134375003</v>
      </c>
      <c r="T261" s="597">
        <f t="shared" si="132"/>
        <v>19957.875017062499</v>
      </c>
      <c r="U261" s="597">
        <f t="shared" si="132"/>
        <v>20357.03251740375</v>
      </c>
      <c r="V261" s="597">
        <f t="shared" si="132"/>
        <v>20764.173167751826</v>
      </c>
      <c r="W261" s="597">
        <f t="shared" si="132"/>
        <v>21179.456631106863</v>
      </c>
      <c r="X261" s="597">
        <f t="shared" si="132"/>
        <v>21603.045763729002</v>
      </c>
      <c r="Y261" s="597">
        <f t="shared" si="132"/>
        <v>22035.10667900358</v>
      </c>
      <c r="Z261" s="597">
        <f t="shared" si="132"/>
        <v>22475.808812583651</v>
      </c>
      <c r="AA261" s="597">
        <f t="shared" si="132"/>
        <v>22925.324988835324</v>
      </c>
    </row>
    <row r="262" spans="1:27" s="1" customFormat="1" outlineLevel="2">
      <c r="A262" s="6"/>
      <c r="B262" s="1390" t="s">
        <v>778</v>
      </c>
      <c r="C262" s="379"/>
      <c r="D262" s="379"/>
      <c r="E262" s="379"/>
      <c r="F262" s="571"/>
      <c r="G262" s="572"/>
      <c r="H262" s="572"/>
      <c r="I262" s="572"/>
      <c r="J262" s="572"/>
      <c r="L262" s="794"/>
      <c r="M262" s="794"/>
      <c r="N262" s="794"/>
      <c r="O262" s="794"/>
      <c r="P262" s="794"/>
      <c r="Q262" s="460"/>
      <c r="R262" s="1391">
        <f t="shared" ref="R262:AA262" si="133">PRODUCT((1-R$292),(SUM(R$258:R$260)))*($C$5="Downside")</f>
        <v>0</v>
      </c>
      <c r="S262" s="1391">
        <f t="shared" si="133"/>
        <v>0</v>
      </c>
      <c r="T262" s="1391">
        <f t="shared" si="133"/>
        <v>0</v>
      </c>
      <c r="U262" s="1391">
        <f t="shared" si="133"/>
        <v>0</v>
      </c>
      <c r="V262" s="1391">
        <f t="shared" si="133"/>
        <v>0</v>
      </c>
      <c r="W262" s="1391">
        <f t="shared" si="133"/>
        <v>0</v>
      </c>
      <c r="X262" s="1391">
        <f t="shared" si="133"/>
        <v>0</v>
      </c>
      <c r="Y262" s="1391">
        <f t="shared" si="133"/>
        <v>0</v>
      </c>
      <c r="Z262" s="1391">
        <f t="shared" si="133"/>
        <v>0</v>
      </c>
      <c r="AA262" s="1391">
        <f t="shared" si="133"/>
        <v>0</v>
      </c>
    </row>
    <row r="263" spans="1:27" s="3" customFormat="1" outlineLevel="2">
      <c r="A263" s="168"/>
      <c r="B263" s="153"/>
      <c r="C263" s="150"/>
      <c r="D263" s="150"/>
      <c r="E263" s="150"/>
      <c r="F263" s="442"/>
      <c r="G263" s="484"/>
      <c r="H263" s="484"/>
      <c r="I263" s="484"/>
      <c r="J263" s="484"/>
      <c r="L263" s="454"/>
      <c r="M263" s="454"/>
      <c r="N263" s="454"/>
      <c r="O263" s="454"/>
      <c r="Q263" s="485"/>
      <c r="R263" s="485"/>
    </row>
    <row r="264" spans="1:27" s="3" customFormat="1" outlineLevel="2">
      <c r="A264" s="168"/>
      <c r="B264" s="600" t="s">
        <v>419</v>
      </c>
      <c r="C264" s="150"/>
      <c r="D264" s="150"/>
      <c r="E264" s="150"/>
      <c r="F264" s="442"/>
      <c r="G264" s="484"/>
      <c r="H264" s="484"/>
      <c r="I264" s="484"/>
      <c r="J264" s="484"/>
      <c r="Q264" s="485"/>
      <c r="R264" s="485"/>
    </row>
    <row r="265" spans="1:27" s="3" customFormat="1" outlineLevel="2">
      <c r="A265" s="168"/>
      <c r="B265" s="487" t="s">
        <v>371</v>
      </c>
      <c r="C265" s="150"/>
      <c r="D265" s="150"/>
      <c r="E265" s="150"/>
      <c r="F265" s="442"/>
      <c r="G265" s="484"/>
      <c r="H265" s="484"/>
      <c r="I265" s="484"/>
      <c r="J265" s="484"/>
      <c r="L265" s="554">
        <f>L$255</f>
        <v>100482.70000000001</v>
      </c>
      <c r="M265" s="554">
        <f t="shared" ref="M265:P265" si="134">M$255</f>
        <v>105257.5</v>
      </c>
      <c r="N265" s="554">
        <f t="shared" si="134"/>
        <v>115015.1875</v>
      </c>
      <c r="O265" s="554">
        <f t="shared" si="134"/>
        <v>115724.3125</v>
      </c>
      <c r="P265" s="554">
        <f t="shared" si="134"/>
        <v>114569.078125</v>
      </c>
      <c r="Q265" s="485"/>
      <c r="R265" s="554">
        <f t="shared" ref="R265:AA265" si="135">R$255</f>
        <v>120297.53203125</v>
      </c>
      <c r="S265" s="554">
        <f t="shared" si="135"/>
        <v>122703.48267187501</v>
      </c>
      <c r="T265" s="554">
        <f t="shared" si="135"/>
        <v>125157.55232531248</v>
      </c>
      <c r="U265" s="554">
        <f t="shared" si="135"/>
        <v>127660.70337181876</v>
      </c>
      <c r="V265" s="554">
        <f t="shared" si="135"/>
        <v>130213.91743925512</v>
      </c>
      <c r="W265" s="554">
        <f t="shared" si="135"/>
        <v>132818.19578804023</v>
      </c>
      <c r="X265" s="554">
        <f t="shared" si="135"/>
        <v>135474.55970380103</v>
      </c>
      <c r="Y265" s="554">
        <f t="shared" si="135"/>
        <v>138184.05089787705</v>
      </c>
      <c r="Z265" s="554">
        <f t="shared" si="135"/>
        <v>140947.73191583459</v>
      </c>
      <c r="AA265" s="554">
        <f t="shared" si="135"/>
        <v>143766.6865541513</v>
      </c>
    </row>
    <row r="266" spans="1:27" s="3" customFormat="1" ht="15" outlineLevel="2" thickBot="1">
      <c r="A266" s="168"/>
      <c r="B266" s="570" t="s">
        <v>337</v>
      </c>
      <c r="C266" s="449"/>
      <c r="D266" s="449"/>
      <c r="E266" s="449"/>
      <c r="F266" s="442"/>
      <c r="G266" s="484"/>
      <c r="H266" s="484"/>
      <c r="I266" s="484"/>
      <c r="J266" s="484"/>
      <c r="L266" s="574">
        <f>L$261</f>
        <v>8130</v>
      </c>
      <c r="M266" s="574">
        <f>M$261</f>
        <v>16268</v>
      </c>
      <c r="N266" s="574">
        <f>N$261</f>
        <v>14020</v>
      </c>
      <c r="O266" s="574">
        <f>O$261</f>
        <v>18612</v>
      </c>
      <c r="P266" s="574">
        <f>P$261</f>
        <v>18612</v>
      </c>
      <c r="Q266" s="485"/>
      <c r="R266" s="574">
        <f>SUM(R$261:R$262)</f>
        <v>19419.786768435428</v>
      </c>
      <c r="S266" s="574">
        <f t="shared" ref="S266:AA266" si="136">SUM(S$261:S$262)</f>
        <v>19566.544134375003</v>
      </c>
      <c r="T266" s="574">
        <f t="shared" si="136"/>
        <v>19957.875017062499</v>
      </c>
      <c r="U266" s="574">
        <f t="shared" si="136"/>
        <v>20357.03251740375</v>
      </c>
      <c r="V266" s="574">
        <f t="shared" si="136"/>
        <v>20764.173167751826</v>
      </c>
      <c r="W266" s="574">
        <f t="shared" si="136"/>
        <v>21179.456631106863</v>
      </c>
      <c r="X266" s="574">
        <f t="shared" si="136"/>
        <v>21603.045763729002</v>
      </c>
      <c r="Y266" s="574">
        <f t="shared" si="136"/>
        <v>22035.10667900358</v>
      </c>
      <c r="Z266" s="574">
        <f t="shared" si="136"/>
        <v>22475.808812583651</v>
      </c>
      <c r="AA266" s="574">
        <f t="shared" si="136"/>
        <v>22925.324988835324</v>
      </c>
    </row>
    <row r="267" spans="1:27" s="3" customFormat="1" ht="15" outlineLevel="2" thickTop="1">
      <c r="A267" s="168"/>
      <c r="B267" s="1003" t="s">
        <v>411</v>
      </c>
      <c r="C267" s="379"/>
      <c r="D267" s="379"/>
      <c r="E267" s="379"/>
      <c r="F267" s="571"/>
      <c r="G267" s="572"/>
      <c r="H267" s="572"/>
      <c r="I267" s="572"/>
      <c r="J267" s="572"/>
      <c r="K267" s="1"/>
      <c r="L267" s="573">
        <f>SUM(L265:L266)</f>
        <v>108612.70000000001</v>
      </c>
      <c r="M267" s="573">
        <f>SUM(M265:M266)</f>
        <v>121525.5</v>
      </c>
      <c r="N267" s="573">
        <f>SUM(N265:N266)</f>
        <v>129035.1875</v>
      </c>
      <c r="O267" s="573">
        <f>SUM(O265:O266)</f>
        <v>134336.3125</v>
      </c>
      <c r="P267" s="573">
        <f>SUM(P265:P266)</f>
        <v>133181.078125</v>
      </c>
      <c r="Q267" s="485"/>
      <c r="R267" s="573">
        <f t="shared" ref="R267:AA267" si="137">SUM(R265:R266)</f>
        <v>139717.31879968542</v>
      </c>
      <c r="S267" s="573">
        <f t="shared" si="137"/>
        <v>142270.02680625001</v>
      </c>
      <c r="T267" s="573">
        <f t="shared" si="137"/>
        <v>145115.42734237498</v>
      </c>
      <c r="U267" s="573">
        <f t="shared" si="137"/>
        <v>148017.7358892225</v>
      </c>
      <c r="V267" s="573">
        <f t="shared" si="137"/>
        <v>150978.09060700695</v>
      </c>
      <c r="W267" s="573">
        <f t="shared" si="137"/>
        <v>153997.65241914708</v>
      </c>
      <c r="X267" s="573">
        <f t="shared" si="137"/>
        <v>157077.60546753003</v>
      </c>
      <c r="Y267" s="573">
        <f t="shared" si="137"/>
        <v>160219.15757688062</v>
      </c>
      <c r="Z267" s="573">
        <f t="shared" si="137"/>
        <v>163423.54072841824</v>
      </c>
      <c r="AA267" s="573">
        <f t="shared" si="137"/>
        <v>166692.01154298661</v>
      </c>
    </row>
    <row r="268" spans="1:27" s="3" customFormat="1" outlineLevel="2" collapsed="1">
      <c r="A268" s="168"/>
      <c r="B268" s="546" t="s">
        <v>385</v>
      </c>
      <c r="C268" s="150"/>
      <c r="D268" s="150"/>
      <c r="E268" s="150"/>
      <c r="F268" s="442"/>
      <c r="G268" s="484"/>
      <c r="H268" s="484"/>
      <c r="I268" s="484"/>
      <c r="J268" s="484"/>
      <c r="L268" s="490">
        <f>(L$267/$B$10)/L$51</f>
        <v>3.6490513575840336E-2</v>
      </c>
      <c r="M268" s="490">
        <f>(M$267/$B$10)/M$51</f>
        <v>4.5370611314437481E-2</v>
      </c>
      <c r="N268" s="490">
        <f>(N$267/$B$10)/N$51</f>
        <v>4.6301413745688691E-2</v>
      </c>
      <c r="O268" s="490">
        <f>(O$267/$B$10)/O$51</f>
        <v>4.870478214761572E-2</v>
      </c>
      <c r="P268" s="490">
        <f>(P$267/$B$10)/P$51</f>
        <v>4.8080835701915674E-2</v>
      </c>
      <c r="Q268" s="485"/>
      <c r="R268" s="490">
        <f t="shared" ref="R268:AA268" ca="1" si="138">(R$267/$B$10)/R$51</f>
        <v>4.9270368386744055E-2</v>
      </c>
      <c r="S268" s="490">
        <f t="shared" ca="1" si="138"/>
        <v>4.900665554703923E-2</v>
      </c>
      <c r="T268" s="490">
        <f t="shared" ca="1" si="138"/>
        <v>4.882714398825886E-2</v>
      </c>
      <c r="U268" s="490">
        <f t="shared" ca="1" si="138"/>
        <v>4.8648289980975874E-2</v>
      </c>
      <c r="V268" s="490">
        <f t="shared" ca="1" si="138"/>
        <v>4.8470091116576693E-2</v>
      </c>
      <c r="W268" s="490">
        <f t="shared" ca="1" si="138"/>
        <v>4.8292544995270553E-2</v>
      </c>
      <c r="X268" s="490">
        <f t="shared" ca="1" si="138"/>
        <v>4.8115649226057114E-2</v>
      </c>
      <c r="Y268" s="490">
        <f t="shared" ca="1" si="138"/>
        <v>4.793940142669427E-2</v>
      </c>
      <c r="Z268" s="490">
        <f t="shared" ca="1" si="138"/>
        <v>4.7763799223666088E-2</v>
      </c>
      <c r="AA268" s="490">
        <f t="shared" ca="1" si="138"/>
        <v>4.7588840252150835E-2</v>
      </c>
    </row>
    <row r="269" spans="1:27" s="3" customFormat="1" hidden="1" outlineLevel="3">
      <c r="A269" s="168"/>
      <c r="B269" s="487"/>
      <c r="C269" s="150"/>
      <c r="D269" s="150"/>
      <c r="E269" s="150"/>
      <c r="F269" s="442"/>
      <c r="G269" s="484"/>
      <c r="H269" s="484"/>
      <c r="I269" s="484"/>
      <c r="J269" s="484"/>
      <c r="L269" s="554"/>
      <c r="M269" s="554"/>
      <c r="N269" s="554"/>
      <c r="O269" s="554"/>
      <c r="Q269" s="485"/>
      <c r="R269" s="485"/>
    </row>
    <row r="270" spans="1:27" s="3" customFormat="1" hidden="1" outlineLevel="3">
      <c r="A270" s="168"/>
      <c r="B270" s="584" t="s">
        <v>408</v>
      </c>
      <c r="C270" s="379"/>
      <c r="D270" s="379"/>
      <c r="E270" s="150"/>
      <c r="F270" s="442"/>
      <c r="G270" s="484"/>
      <c r="H270" s="484"/>
      <c r="I270" s="484"/>
      <c r="J270" s="484"/>
      <c r="L270" s="553">
        <f>L$89*$B$10</f>
        <v>163568</v>
      </c>
      <c r="M270" s="553">
        <f>M$89*$B$10</f>
        <v>100133</v>
      </c>
      <c r="N270" s="553">
        <f>N$89*$B$10</f>
        <v>130811</v>
      </c>
      <c r="O270" s="553">
        <f>O$89*$B$10</f>
        <v>139736.10999999999</v>
      </c>
      <c r="P270" s="553">
        <f>P$89*$B$10</f>
        <v>138747.18</v>
      </c>
      <c r="Q270" s="485"/>
      <c r="R270" s="623"/>
      <c r="S270" s="624"/>
      <c r="T270" s="624"/>
      <c r="U270" s="624"/>
      <c r="V270" s="624"/>
      <c r="W270" s="624"/>
      <c r="X270" s="624"/>
      <c r="Y270" s="624"/>
      <c r="Z270" s="624"/>
      <c r="AA270" s="624"/>
    </row>
    <row r="271" spans="1:27" s="3" customFormat="1" hidden="1" outlineLevel="3">
      <c r="A271" s="168"/>
      <c r="B271" s="601" t="s">
        <v>409</v>
      </c>
      <c r="C271" s="150"/>
      <c r="D271" s="150"/>
      <c r="E271" s="150"/>
      <c r="F271" s="442"/>
      <c r="G271" s="484"/>
      <c r="H271" s="484"/>
      <c r="I271" s="484"/>
      <c r="J271" s="484"/>
      <c r="L271" s="560">
        <f>ABS(L270-L267)/L270</f>
        <v>0.33597830871564111</v>
      </c>
      <c r="M271" s="560">
        <f>ABS(M270-M267)/M270</f>
        <v>0.21364085765931312</v>
      </c>
      <c r="N271" s="560">
        <f>ABS(N270-N267)/N270</f>
        <v>1.3575406502511256E-2</v>
      </c>
      <c r="O271" s="560">
        <f>ABS(O270-O267)/O270</f>
        <v>3.8642821100429853E-2</v>
      </c>
      <c r="P271" s="560">
        <f>ABS(P270-P267)/P270</f>
        <v>4.0116864897722558E-2</v>
      </c>
      <c r="Q271" s="485"/>
      <c r="R271" s="623"/>
      <c r="S271" s="624"/>
      <c r="T271" s="624"/>
      <c r="U271" s="624"/>
      <c r="V271" s="624"/>
      <c r="W271" s="624"/>
      <c r="X271" s="624"/>
      <c r="Y271" s="624"/>
      <c r="Z271" s="624"/>
      <c r="AA271" s="624"/>
    </row>
    <row r="272" spans="1:27" s="3" customFormat="1" ht="4.5" customHeight="1" outlineLevel="2">
      <c r="A272" s="168"/>
      <c r="B272" s="602"/>
      <c r="C272" s="150"/>
      <c r="D272" s="150"/>
      <c r="E272" s="150"/>
      <c r="F272" s="442"/>
      <c r="G272" s="484"/>
      <c r="H272" s="484"/>
      <c r="I272" s="484"/>
      <c r="J272" s="484"/>
      <c r="L272" s="561"/>
      <c r="M272" s="561"/>
      <c r="N272" s="561"/>
      <c r="O272" s="561"/>
      <c r="Q272" s="485"/>
      <c r="R272" s="485"/>
    </row>
    <row r="273" spans="1:42" s="3" customFormat="1" outlineLevel="2">
      <c r="A273" s="168"/>
      <c r="B273" s="599" t="s">
        <v>373</v>
      </c>
      <c r="C273" s="150"/>
      <c r="D273" s="150"/>
      <c r="E273" s="150"/>
      <c r="F273" s="442"/>
      <c r="G273" s="484"/>
      <c r="H273" s="484"/>
      <c r="I273" s="484"/>
      <c r="J273" s="484"/>
      <c r="L273" s="561"/>
      <c r="M273" s="561"/>
      <c r="N273" s="561"/>
      <c r="O273" s="561"/>
      <c r="Q273" s="485"/>
      <c r="R273" s="485"/>
    </row>
    <row r="274" spans="1:42" s="3" customFormat="1" outlineLevel="2">
      <c r="A274" s="168"/>
      <c r="B274" s="153" t="s">
        <v>834</v>
      </c>
      <c r="C274" s="150"/>
      <c r="D274" s="150"/>
      <c r="E274" s="150"/>
      <c r="F274" s="442"/>
      <c r="G274" s="484"/>
      <c r="H274" s="484"/>
      <c r="I274" s="484"/>
      <c r="J274" s="484"/>
      <c r="L274" s="531">
        <v>3130.5099999999998</v>
      </c>
      <c r="M274" s="531">
        <v>4056.73</v>
      </c>
      <c r="N274" s="531">
        <v>4690.8</v>
      </c>
      <c r="O274" s="531">
        <v>4942.38</v>
      </c>
      <c r="P274" s="420">
        <f>O274</f>
        <v>4942.38</v>
      </c>
      <c r="Q274" s="485"/>
      <c r="R274" s="485">
        <f t="shared" ref="R274:AA274" si="139">PRODUCT(R$295,(R$240+R$258))</f>
        <v>4950.6670161119464</v>
      </c>
      <c r="S274" s="485">
        <f t="shared" si="139"/>
        <v>5027.9669324220622</v>
      </c>
      <c r="T274" s="485">
        <f t="shared" si="139"/>
        <v>5128.5262710705019</v>
      </c>
      <c r="U274" s="485">
        <f t="shared" si="139"/>
        <v>5231.0967964919128</v>
      </c>
      <c r="V274" s="485">
        <f t="shared" si="139"/>
        <v>5335.7187324217502</v>
      </c>
      <c r="W274" s="485">
        <f t="shared" si="139"/>
        <v>5442.4331070701855</v>
      </c>
      <c r="X274" s="485">
        <f t="shared" si="139"/>
        <v>5551.2817692115896</v>
      </c>
      <c r="Y274" s="485">
        <f t="shared" si="139"/>
        <v>5662.3074045958219</v>
      </c>
      <c r="Z274" s="485">
        <f t="shared" si="139"/>
        <v>5775.5535526877384</v>
      </c>
      <c r="AA274" s="485">
        <f t="shared" si="139"/>
        <v>5891.0646237414931</v>
      </c>
    </row>
    <row r="275" spans="1:42" s="3" customFormat="1" outlineLevel="2">
      <c r="A275" s="168"/>
      <c r="B275" s="153" t="s">
        <v>835</v>
      </c>
      <c r="C275" s="150"/>
      <c r="D275" s="150"/>
      <c r="E275" s="150"/>
      <c r="F275" s="442"/>
      <c r="G275" s="484"/>
      <c r="H275" s="484"/>
      <c r="I275" s="484"/>
      <c r="J275" s="484"/>
      <c r="L275" s="454">
        <v>5699.5300000000007</v>
      </c>
      <c r="M275" s="454">
        <v>5960.52</v>
      </c>
      <c r="N275" s="454">
        <v>6446.89</v>
      </c>
      <c r="O275" s="454">
        <v>6809.01</v>
      </c>
      <c r="P275" s="420">
        <f>O275</f>
        <v>6809.01</v>
      </c>
      <c r="Q275" s="485"/>
      <c r="R275" s="485">
        <f t="shared" ref="R275:AA275" si="140">PRODUCT(R$296,(R$251+R$259))</f>
        <v>6859.6122693871794</v>
      </c>
      <c r="S275" s="485">
        <f t="shared" si="140"/>
        <v>6996.8045147749244</v>
      </c>
      <c r="T275" s="485">
        <f t="shared" si="140"/>
        <v>7136.7406050704221</v>
      </c>
      <c r="U275" s="485">
        <f t="shared" si="140"/>
        <v>7279.4754171718323</v>
      </c>
      <c r="V275" s="485">
        <f t="shared" si="140"/>
        <v>7425.0649255152684</v>
      </c>
      <c r="W275" s="485">
        <f t="shared" si="140"/>
        <v>7573.5662240255751</v>
      </c>
      <c r="X275" s="485">
        <f t="shared" si="140"/>
        <v>7725.0375485060849</v>
      </c>
      <c r="Y275" s="485">
        <f t="shared" si="140"/>
        <v>7879.5382994762076</v>
      </c>
      <c r="Z275" s="485">
        <f t="shared" si="140"/>
        <v>8037.1290654657314</v>
      </c>
      <c r="AA275" s="485">
        <f t="shared" si="140"/>
        <v>8197.8716467750455</v>
      </c>
    </row>
    <row r="276" spans="1:42" s="3" customFormat="1" outlineLevel="2">
      <c r="A276" s="168"/>
      <c r="B276" s="667" t="s">
        <v>433</v>
      </c>
      <c r="C276" s="150"/>
      <c r="D276" s="150"/>
      <c r="E276" s="150"/>
      <c r="F276" s="442"/>
      <c r="G276" s="484"/>
      <c r="H276" s="484"/>
      <c r="I276" s="484"/>
      <c r="J276" s="484"/>
      <c r="L276" s="436">
        <v>0</v>
      </c>
      <c r="M276" s="436">
        <v>0</v>
      </c>
      <c r="N276" s="436">
        <v>0</v>
      </c>
      <c r="O276" s="436">
        <v>0</v>
      </c>
      <c r="P276" s="436">
        <v>0</v>
      </c>
      <c r="Q276" s="485"/>
      <c r="R276" s="436">
        <v>0</v>
      </c>
      <c r="S276" s="436">
        <v>0</v>
      </c>
      <c r="T276" s="436">
        <v>0</v>
      </c>
      <c r="U276" s="436">
        <v>0</v>
      </c>
      <c r="V276" s="436">
        <v>0</v>
      </c>
      <c r="W276" s="436">
        <v>0</v>
      </c>
      <c r="X276" s="436">
        <v>0</v>
      </c>
      <c r="Y276" s="436">
        <v>0</v>
      </c>
      <c r="Z276" s="436">
        <v>0</v>
      </c>
      <c r="AA276" s="436">
        <v>0</v>
      </c>
    </row>
    <row r="277" spans="1:42" s="1" customFormat="1" outlineLevel="2">
      <c r="A277" s="6"/>
      <c r="B277" s="834" t="s">
        <v>418</v>
      </c>
      <c r="C277" s="583"/>
      <c r="D277" s="583"/>
      <c r="E277" s="583"/>
      <c r="F277" s="571"/>
      <c r="G277" s="572"/>
      <c r="H277" s="572"/>
      <c r="I277" s="572"/>
      <c r="J277" s="572"/>
      <c r="L277" s="597">
        <f>SUM(L$274:L$276)</f>
        <v>8830.0400000000009</v>
      </c>
      <c r="M277" s="597">
        <f t="shared" ref="M277:P277" si="141">SUM(M$274:M$276)</f>
        <v>10017.25</v>
      </c>
      <c r="N277" s="597">
        <f t="shared" si="141"/>
        <v>11137.69</v>
      </c>
      <c r="O277" s="597">
        <f t="shared" si="141"/>
        <v>11751.39</v>
      </c>
      <c r="P277" s="597">
        <f t="shared" si="141"/>
        <v>11751.39</v>
      </c>
      <c r="Q277" s="460"/>
      <c r="R277" s="597">
        <f>SUM(R$274:R$276)</f>
        <v>11810.279285499126</v>
      </c>
      <c r="S277" s="597">
        <f t="shared" ref="S277:Z277" si="142">SUM(S$274:S$276)</f>
        <v>12024.771447196987</v>
      </c>
      <c r="T277" s="597">
        <f t="shared" si="142"/>
        <v>12265.266876140924</v>
      </c>
      <c r="U277" s="597">
        <f t="shared" si="142"/>
        <v>12510.572213663745</v>
      </c>
      <c r="V277" s="597">
        <f t="shared" si="142"/>
        <v>12760.78365793702</v>
      </c>
      <c r="W277" s="597">
        <f t="shared" si="142"/>
        <v>13015.999331095762</v>
      </c>
      <c r="X277" s="597">
        <f t="shared" si="142"/>
        <v>13276.319317717674</v>
      </c>
      <c r="Y277" s="597">
        <f t="shared" si="142"/>
        <v>13541.84570407203</v>
      </c>
      <c r="Z277" s="597">
        <f t="shared" si="142"/>
        <v>13812.682618153471</v>
      </c>
      <c r="AA277" s="597">
        <f>SUM(AA$274:AA$276)</f>
        <v>14088.936270516539</v>
      </c>
    </row>
    <row r="278" spans="1:42" s="3" customFormat="1" outlineLevel="2">
      <c r="A278" s="168"/>
      <c r="B278" s="576"/>
      <c r="C278" s="150"/>
      <c r="D278" s="150"/>
      <c r="E278" s="150"/>
      <c r="F278" s="442"/>
      <c r="G278" s="484"/>
      <c r="H278" s="484"/>
      <c r="I278" s="484"/>
      <c r="J278" s="484"/>
      <c r="L278" s="561"/>
      <c r="M278" s="561"/>
      <c r="N278" s="561"/>
      <c r="O278" s="561"/>
      <c r="P278" s="561"/>
      <c r="Q278" s="485"/>
      <c r="R278" s="485"/>
    </row>
    <row r="279" spans="1:42" s="3" customFormat="1" ht="7.5" customHeight="1" outlineLevel="2">
      <c r="A279" s="168"/>
      <c r="B279" s="576"/>
      <c r="C279" s="150"/>
      <c r="D279" s="150"/>
      <c r="E279" s="150"/>
      <c r="F279" s="442"/>
      <c r="G279" s="484"/>
      <c r="H279" s="484"/>
      <c r="I279" s="484"/>
      <c r="J279" s="484"/>
      <c r="L279" s="561"/>
      <c r="M279" s="561"/>
      <c r="N279" s="561"/>
      <c r="O279" s="561"/>
      <c r="P279" s="561"/>
      <c r="Q279" s="485"/>
      <c r="R279" s="485"/>
    </row>
    <row r="280" spans="1:42" outlineLevel="2">
      <c r="B280" s="852" t="str">
        <f>_xlfn.CONCAT($B$223," Assumptions")</f>
        <v>Indirect Labor Assumptions</v>
      </c>
      <c r="C280" s="853"/>
      <c r="D280" s="853"/>
      <c r="E280" s="853"/>
      <c r="F280" s="853"/>
      <c r="G280" s="853"/>
      <c r="H280" s="853"/>
      <c r="I280" s="853"/>
      <c r="J280" s="853"/>
      <c r="K280" s="853"/>
      <c r="L280" s="853"/>
      <c r="M280" s="853"/>
      <c r="N280" s="853"/>
      <c r="O280" s="853"/>
      <c r="P280" s="854"/>
      <c r="Q280" s="854"/>
      <c r="R280" s="854"/>
      <c r="S280" s="854"/>
      <c r="T280" s="854"/>
      <c r="U280" s="854"/>
      <c r="V280" s="854"/>
      <c r="W280" s="854"/>
      <c r="X280" s="854"/>
      <c r="Y280" s="854"/>
      <c r="Z280" s="854"/>
      <c r="AA280" s="854"/>
      <c r="AC280" s="517"/>
      <c r="AD280" s="517"/>
      <c r="AE280" s="517"/>
      <c r="AF280" s="517"/>
      <c r="AG280" s="517"/>
      <c r="AH280" s="517"/>
      <c r="AI280" s="517"/>
      <c r="AJ280" s="517"/>
      <c r="AK280" s="517"/>
      <c r="AL280" s="517"/>
      <c r="AM280" s="517"/>
      <c r="AN280" s="517"/>
      <c r="AO280" s="517"/>
      <c r="AP280" s="517"/>
    </row>
    <row r="281" spans="1:42" s="3" customFormat="1" ht="7" customHeight="1" outlineLevel="2">
      <c r="A281" s="168"/>
      <c r="B281" s="576"/>
      <c r="C281" s="150"/>
      <c r="D281" s="150"/>
      <c r="E281" s="150"/>
      <c r="F281" s="442"/>
      <c r="G281" s="484"/>
      <c r="H281" s="484"/>
      <c r="I281" s="484"/>
      <c r="J281" s="484"/>
      <c r="L281" s="561"/>
      <c r="M281" s="561"/>
      <c r="N281" s="561"/>
      <c r="O281" s="561"/>
      <c r="P281" s="561"/>
      <c r="Q281" s="485"/>
      <c r="R281" s="485"/>
    </row>
    <row r="282" spans="1:42" s="3" customFormat="1" outlineLevel="2">
      <c r="A282" s="168"/>
      <c r="B282" s="972" t="s">
        <v>601</v>
      </c>
      <c r="C282" s="150"/>
      <c r="D282" s="150"/>
      <c r="E282" s="150"/>
      <c r="F282" s="442"/>
      <c r="G282" s="484"/>
      <c r="H282" s="484"/>
      <c r="I282" s="484"/>
      <c r="J282" s="484"/>
      <c r="L282" s="561"/>
      <c r="M282" s="561"/>
      <c r="N282" s="561"/>
      <c r="O282" s="561"/>
      <c r="P282" s="561"/>
      <c r="Q282" s="485"/>
      <c r="R282" s="485"/>
    </row>
    <row r="283" spans="1:42" s="3" customFormat="1" outlineLevel="2">
      <c r="A283" s="168"/>
      <c r="B283" s="153" t="s">
        <v>834</v>
      </c>
      <c r="C283" s="150"/>
      <c r="D283" s="150"/>
      <c r="E283" s="150"/>
      <c r="F283" s="442"/>
      <c r="G283" s="484"/>
      <c r="H283" s="484"/>
      <c r="I283" s="484"/>
      <c r="J283" s="484"/>
      <c r="L283" s="971"/>
      <c r="M283" s="561">
        <f>((M$232-L$232)/L$232)</f>
        <v>7.1428571428571355E-2</v>
      </c>
      <c r="N283" s="561">
        <f t="shared" ref="N283:P283" si="143">((N$232-M$232)/M$232)</f>
        <v>0.10714285714285714</v>
      </c>
      <c r="O283" s="561">
        <f t="shared" si="143"/>
        <v>0</v>
      </c>
      <c r="P283" s="561">
        <f t="shared" si="143"/>
        <v>0</v>
      </c>
      <c r="Q283" s="485"/>
      <c r="R283" s="588">
        <v>0.05</v>
      </c>
      <c r="S283" s="588">
        <v>0.02</v>
      </c>
      <c r="T283" s="588">
        <v>0.02</v>
      </c>
      <c r="U283" s="588">
        <v>0.02</v>
      </c>
      <c r="V283" s="588">
        <v>0.02</v>
      </c>
      <c r="W283" s="588">
        <v>0.02</v>
      </c>
      <c r="X283" s="588">
        <v>0.02</v>
      </c>
      <c r="Y283" s="588">
        <v>0.02</v>
      </c>
      <c r="Z283" s="588">
        <v>0.02</v>
      </c>
      <c r="AA283" s="588">
        <v>0.02</v>
      </c>
    </row>
    <row r="284" spans="1:42" s="3" customFormat="1" outlineLevel="2">
      <c r="A284" s="168"/>
      <c r="B284" s="153" t="s">
        <v>835</v>
      </c>
      <c r="C284" s="150"/>
      <c r="D284" s="150"/>
      <c r="E284" s="150"/>
      <c r="F284" s="442"/>
      <c r="G284" s="484"/>
      <c r="H284" s="484"/>
      <c r="I284" s="484"/>
      <c r="J284" s="484"/>
      <c r="L284" s="971"/>
      <c r="M284" s="561">
        <f>((M$247-L$247)/L$247)</f>
        <v>4.8740861088545896E-2</v>
      </c>
      <c r="N284" s="561">
        <f t="shared" ref="N284:P284" si="144">((N$247-M$247)/M$247)</f>
        <v>5.8094500387296667E-2</v>
      </c>
      <c r="O284" s="561">
        <f t="shared" si="144"/>
        <v>0</v>
      </c>
      <c r="P284" s="561">
        <f t="shared" si="144"/>
        <v>0</v>
      </c>
      <c r="Q284" s="485"/>
      <c r="R284" s="588">
        <v>0.05</v>
      </c>
      <c r="S284" s="588">
        <v>0.02</v>
      </c>
      <c r="T284" s="588">
        <v>0.02</v>
      </c>
      <c r="U284" s="588">
        <v>0.02</v>
      </c>
      <c r="V284" s="588">
        <v>0.02</v>
      </c>
      <c r="W284" s="588">
        <v>0.02</v>
      </c>
      <c r="X284" s="588">
        <v>0.02</v>
      </c>
      <c r="Y284" s="588">
        <v>0.02</v>
      </c>
      <c r="Z284" s="588">
        <v>0.02</v>
      </c>
      <c r="AA284" s="588">
        <v>0.02</v>
      </c>
    </row>
    <row r="285" spans="1:42" s="3" customFormat="1" outlineLevel="2">
      <c r="A285" s="168"/>
      <c r="B285" s="667" t="s">
        <v>433</v>
      </c>
      <c r="C285" s="150"/>
      <c r="D285" s="150"/>
      <c r="E285" s="150"/>
      <c r="F285" s="442"/>
      <c r="G285" s="484"/>
      <c r="H285" s="484"/>
      <c r="I285" s="484"/>
      <c r="J285" s="484"/>
      <c r="L285" s="971"/>
      <c r="M285" s="588">
        <v>0</v>
      </c>
      <c r="N285" s="588">
        <v>0</v>
      </c>
      <c r="O285" s="588">
        <v>0</v>
      </c>
      <c r="P285" s="588">
        <v>0</v>
      </c>
      <c r="Q285" s="485"/>
      <c r="R285" s="588">
        <v>0</v>
      </c>
      <c r="S285" s="588">
        <v>0</v>
      </c>
      <c r="T285" s="588">
        <v>0</v>
      </c>
      <c r="U285" s="588">
        <v>0</v>
      </c>
      <c r="V285" s="588">
        <v>0</v>
      </c>
      <c r="W285" s="588">
        <v>0</v>
      </c>
      <c r="X285" s="588">
        <v>0</v>
      </c>
      <c r="Y285" s="588">
        <v>0</v>
      </c>
      <c r="Z285" s="588">
        <v>0</v>
      </c>
      <c r="AA285" s="588">
        <v>0</v>
      </c>
    </row>
    <row r="286" spans="1:42" s="3" customFormat="1" ht="7.5" customHeight="1" outlineLevel="2">
      <c r="A286" s="168"/>
      <c r="B286" s="576"/>
      <c r="C286" s="150"/>
      <c r="D286" s="150"/>
      <c r="E286" s="150"/>
      <c r="F286" s="442"/>
      <c r="G286" s="484"/>
      <c r="H286" s="484"/>
      <c r="I286" s="484"/>
      <c r="J286" s="484"/>
      <c r="L286" s="561"/>
      <c r="M286" s="561"/>
      <c r="N286" s="561"/>
      <c r="O286" s="561"/>
      <c r="P286" s="561"/>
      <c r="Q286" s="485"/>
      <c r="R286" s="485"/>
    </row>
    <row r="287" spans="1:42" s="3" customFormat="1" outlineLevel="2">
      <c r="A287" s="168"/>
      <c r="B287" s="820" t="s">
        <v>403</v>
      </c>
      <c r="E287" s="150"/>
      <c r="F287" s="442"/>
      <c r="G287" s="484"/>
      <c r="H287" s="484"/>
      <c r="I287" s="484"/>
      <c r="J287" s="484"/>
      <c r="Q287" s="485"/>
      <c r="R287" s="485"/>
    </row>
    <row r="288" spans="1:42" s="3" customFormat="1" outlineLevel="2">
      <c r="A288" s="168"/>
      <c r="B288" s="153" t="s">
        <v>834</v>
      </c>
      <c r="C288" s="150"/>
      <c r="D288" s="150"/>
      <c r="E288" s="150"/>
      <c r="F288" s="442"/>
      <c r="G288" s="484"/>
      <c r="H288" s="484"/>
      <c r="I288" s="484"/>
      <c r="J288" s="484"/>
      <c r="L288" s="561">
        <f>L$258/L$240</f>
        <v>2.0399937484062547E-2</v>
      </c>
      <c r="M288" s="561">
        <f>M$258/M$240</f>
        <v>0.16052248495101704</v>
      </c>
      <c r="N288" s="561">
        <f>N$258/N$240</f>
        <v>0.16347155376130937</v>
      </c>
      <c r="O288" s="561">
        <f>O$258/O$240</f>
        <v>0.20249567529091272</v>
      </c>
      <c r="P288" s="561">
        <f>P$258/P$240</f>
        <v>0.20786879574270925</v>
      </c>
      <c r="Q288" s="485"/>
      <c r="R288" s="1505">
        <f>AVERAGE(O288:P288)</f>
        <v>0.20518223551681097</v>
      </c>
      <c r="S288" s="588">
        <v>0.2</v>
      </c>
      <c r="T288" s="607">
        <f>$S$288</f>
        <v>0.2</v>
      </c>
      <c r="U288" s="607">
        <f t="shared" ref="U288:AA288" si="145">$S$288</f>
        <v>0.2</v>
      </c>
      <c r="V288" s="607">
        <f t="shared" si="145"/>
        <v>0.2</v>
      </c>
      <c r="W288" s="607">
        <f t="shared" si="145"/>
        <v>0.2</v>
      </c>
      <c r="X288" s="607">
        <f t="shared" si="145"/>
        <v>0.2</v>
      </c>
      <c r="Y288" s="607">
        <f t="shared" si="145"/>
        <v>0.2</v>
      </c>
      <c r="Z288" s="607">
        <f t="shared" si="145"/>
        <v>0.2</v>
      </c>
      <c r="AA288" s="607">
        <f t="shared" si="145"/>
        <v>0.2</v>
      </c>
    </row>
    <row r="289" spans="1:42" s="3" customFormat="1" outlineLevel="2">
      <c r="A289" s="168"/>
      <c r="B289" s="153" t="s">
        <v>835</v>
      </c>
      <c r="C289" s="150"/>
      <c r="D289" s="150"/>
      <c r="E289" s="150"/>
      <c r="F289" s="442"/>
      <c r="G289" s="484"/>
      <c r="H289" s="484"/>
      <c r="I289" s="484"/>
      <c r="J289" s="484"/>
      <c r="L289" s="561">
        <f>L$259/L$251</f>
        <v>0.11538461538461539</v>
      </c>
      <c r="M289" s="561">
        <f>M$259/M$251</f>
        <v>0.15116486921289399</v>
      </c>
      <c r="N289" s="561">
        <f>N$259/N$251</f>
        <v>9.6153846153846159E-2</v>
      </c>
      <c r="O289" s="561">
        <f>O$259/O$251</f>
        <v>0.13461538461538461</v>
      </c>
      <c r="P289" s="561">
        <f>P$259/P$251</f>
        <v>0.13461538461538461</v>
      </c>
      <c r="Q289" s="485"/>
      <c r="R289" s="1505">
        <f>AVERAGE(O289:P289)</f>
        <v>0.13461538461538461</v>
      </c>
      <c r="S289" s="588">
        <f>$R$289</f>
        <v>0.13461538461538461</v>
      </c>
      <c r="T289" s="588">
        <f t="shared" ref="T289:AA289" si="146">$R$289</f>
        <v>0.13461538461538461</v>
      </c>
      <c r="U289" s="588">
        <f t="shared" si="146"/>
        <v>0.13461538461538461</v>
      </c>
      <c r="V289" s="588">
        <f t="shared" si="146"/>
        <v>0.13461538461538461</v>
      </c>
      <c r="W289" s="588">
        <f t="shared" si="146"/>
        <v>0.13461538461538461</v>
      </c>
      <c r="X289" s="588">
        <f t="shared" si="146"/>
        <v>0.13461538461538461</v>
      </c>
      <c r="Y289" s="588">
        <f t="shared" si="146"/>
        <v>0.13461538461538461</v>
      </c>
      <c r="Z289" s="588">
        <f t="shared" si="146"/>
        <v>0.13461538461538461</v>
      </c>
      <c r="AA289" s="588">
        <f t="shared" si="146"/>
        <v>0.13461538461538461</v>
      </c>
    </row>
    <row r="290" spans="1:42" s="3" customFormat="1" outlineLevel="2">
      <c r="A290" s="168"/>
      <c r="B290" s="667" t="s">
        <v>433</v>
      </c>
      <c r="C290" s="150"/>
      <c r="D290" s="150"/>
      <c r="E290" s="150"/>
      <c r="F290" s="442"/>
      <c r="G290" s="484"/>
      <c r="H290" s="484"/>
      <c r="I290" s="484"/>
      <c r="J290" s="484"/>
      <c r="L290" s="588">
        <v>0</v>
      </c>
      <c r="M290" s="588">
        <v>0</v>
      </c>
      <c r="N290" s="588">
        <v>0</v>
      </c>
      <c r="O290" s="588">
        <v>0</v>
      </c>
      <c r="P290" s="588">
        <v>0</v>
      </c>
      <c r="Q290" s="485"/>
      <c r="R290" s="436">
        <v>0</v>
      </c>
      <c r="S290" s="436">
        <v>0</v>
      </c>
      <c r="T290" s="436">
        <v>0</v>
      </c>
      <c r="U290" s="436">
        <v>0</v>
      </c>
      <c r="V290" s="436">
        <v>0</v>
      </c>
      <c r="W290" s="436">
        <v>0</v>
      </c>
      <c r="X290" s="436">
        <v>0</v>
      </c>
      <c r="Y290" s="436">
        <v>0</v>
      </c>
      <c r="Z290" s="436">
        <v>0</v>
      </c>
      <c r="AA290" s="436">
        <v>0</v>
      </c>
    </row>
    <row r="291" spans="1:42" s="3" customFormat="1" ht="6" customHeight="1" outlineLevel="2">
      <c r="A291" s="168"/>
      <c r="B291" s="667"/>
      <c r="C291" s="150"/>
      <c r="D291" s="150"/>
      <c r="E291" s="150"/>
      <c r="F291" s="442"/>
      <c r="G291" s="484"/>
      <c r="H291" s="484"/>
      <c r="I291" s="484"/>
      <c r="J291" s="484"/>
      <c r="L291" s="588"/>
      <c r="M291" s="588"/>
      <c r="N291" s="588"/>
      <c r="O291" s="588"/>
      <c r="P291" s="588"/>
      <c r="Q291" s="485"/>
      <c r="R291" s="436"/>
      <c r="S291" s="436"/>
      <c r="T291" s="436"/>
      <c r="U291" s="436"/>
      <c r="V291" s="436"/>
      <c r="W291" s="436"/>
      <c r="X291" s="436"/>
      <c r="Y291" s="436"/>
      <c r="Z291" s="436"/>
      <c r="AA291" s="436"/>
    </row>
    <row r="292" spans="1:42" s="3" customFormat="1" outlineLevel="2">
      <c r="A292" s="168"/>
      <c r="B292" s="1329" t="s">
        <v>777</v>
      </c>
      <c r="C292" s="150"/>
      <c r="D292" s="150"/>
      <c r="E292" s="150"/>
      <c r="F292" s="442"/>
      <c r="G292" s="484"/>
      <c r="H292" s="484"/>
      <c r="I292" s="484"/>
      <c r="J292" s="484"/>
      <c r="L292" s="588"/>
      <c r="M292" s="588"/>
      <c r="N292" s="588"/>
      <c r="O292" s="588"/>
      <c r="P292" s="588"/>
      <c r="Q292" s="485"/>
      <c r="R292" s="588">
        <v>0.75</v>
      </c>
      <c r="S292" s="588">
        <v>0.75</v>
      </c>
      <c r="T292" s="588">
        <v>0.75</v>
      </c>
      <c r="U292" s="588">
        <v>0.75</v>
      </c>
      <c r="V292" s="588">
        <v>0.75</v>
      </c>
      <c r="W292" s="588">
        <v>0.75</v>
      </c>
      <c r="X292" s="588">
        <v>0.75</v>
      </c>
      <c r="Y292" s="588">
        <v>0.75</v>
      </c>
      <c r="Z292" s="588">
        <v>0.75</v>
      </c>
      <c r="AA292" s="588">
        <v>0.75</v>
      </c>
    </row>
    <row r="293" spans="1:42" s="3" customFormat="1" ht="8.5" customHeight="1" outlineLevel="2">
      <c r="A293" s="168"/>
      <c r="B293" s="153"/>
      <c r="C293" s="150"/>
      <c r="D293" s="150"/>
      <c r="E293" s="150"/>
      <c r="F293" s="442"/>
      <c r="G293" s="484"/>
      <c r="H293" s="484"/>
      <c r="I293" s="484"/>
      <c r="J293" s="484"/>
      <c r="L293" s="561"/>
      <c r="M293" s="561"/>
      <c r="N293" s="561"/>
      <c r="O293" s="561"/>
      <c r="P293" s="561"/>
      <c r="Q293" s="485"/>
      <c r="R293" s="485"/>
    </row>
    <row r="294" spans="1:42" s="3" customFormat="1" outlineLevel="2">
      <c r="A294" s="168"/>
      <c r="B294" s="820" t="s">
        <v>404</v>
      </c>
      <c r="C294" s="150"/>
      <c r="D294" s="150"/>
      <c r="E294" s="150"/>
      <c r="F294" s="442"/>
      <c r="G294" s="484"/>
      <c r="H294" s="484"/>
      <c r="I294" s="484"/>
      <c r="J294" s="484"/>
      <c r="L294" s="561"/>
      <c r="M294" s="561"/>
      <c r="N294" s="561"/>
      <c r="O294" s="561"/>
      <c r="Q294" s="485"/>
      <c r="R294" s="485"/>
    </row>
    <row r="295" spans="1:42" s="3" customFormat="1" outlineLevel="2">
      <c r="A295" s="168"/>
      <c r="B295" s="153" t="s">
        <v>834</v>
      </c>
      <c r="C295" s="150"/>
      <c r="D295" s="150"/>
      <c r="E295" s="150"/>
      <c r="F295" s="442"/>
      <c r="G295" s="484"/>
      <c r="H295" s="484"/>
      <c r="I295" s="484"/>
      <c r="J295" s="484"/>
      <c r="L295" s="561">
        <f>L$274/SUM(L$240,L$258)</f>
        <v>8.412025355571856E-2</v>
      </c>
      <c r="M295" s="561">
        <f>M$274/SUM(M$240,M$258)</f>
        <v>9.1686838209535437E-2</v>
      </c>
      <c r="N295" s="561">
        <f>N$274/SUM(N$240,N$258)</f>
        <v>9.1665190877546959E-2</v>
      </c>
      <c r="O295" s="561">
        <f>O$274/SUM(O$240,O$258)</f>
        <v>9.1964408863128094E-2</v>
      </c>
      <c r="P295" s="588">
        <v>0.10489999999999999</v>
      </c>
      <c r="Q295" s="485"/>
      <c r="R295" s="1505">
        <f>AVERAGE($L$295:$O$295)</f>
        <v>8.9859172876482263E-2</v>
      </c>
      <c r="S295" s="607">
        <f>R295</f>
        <v>8.9859172876482263E-2</v>
      </c>
      <c r="T295" s="607">
        <f t="shared" ref="T295:AA295" si="147">S295</f>
        <v>8.9859172876482263E-2</v>
      </c>
      <c r="U295" s="607">
        <f t="shared" si="147"/>
        <v>8.9859172876482263E-2</v>
      </c>
      <c r="V295" s="607">
        <f t="shared" si="147"/>
        <v>8.9859172876482263E-2</v>
      </c>
      <c r="W295" s="607">
        <f t="shared" si="147"/>
        <v>8.9859172876482263E-2</v>
      </c>
      <c r="X295" s="607">
        <f t="shared" si="147"/>
        <v>8.9859172876482263E-2</v>
      </c>
      <c r="Y295" s="607">
        <f t="shared" si="147"/>
        <v>8.9859172876482263E-2</v>
      </c>
      <c r="Z295" s="607">
        <f t="shared" si="147"/>
        <v>8.9859172876482263E-2</v>
      </c>
      <c r="AA295" s="607">
        <f t="shared" si="147"/>
        <v>8.9859172876482263E-2</v>
      </c>
    </row>
    <row r="296" spans="1:42" s="3" customFormat="1" outlineLevel="2">
      <c r="A296" s="168"/>
      <c r="B296" s="153" t="s">
        <v>835</v>
      </c>
      <c r="C296" s="150"/>
      <c r="D296" s="150"/>
      <c r="E296" s="150"/>
      <c r="F296" s="442"/>
      <c r="G296" s="484"/>
      <c r="H296" s="484"/>
      <c r="I296" s="484"/>
      <c r="J296" s="484"/>
      <c r="L296" s="561">
        <f>L$275/SUM(L$251,L$259)</f>
        <v>7.9827586206896561E-2</v>
      </c>
      <c r="M296" s="561">
        <f>M$275/SUM(M$251,M$259)</f>
        <v>7.7128881987577641E-2</v>
      </c>
      <c r="N296" s="561">
        <f>N$275/SUM(N$251,N$259)</f>
        <v>8.2798926305514886E-2</v>
      </c>
      <c r="O296" s="561">
        <f>O$275/SUM(O$251,O$259)</f>
        <v>8.4485321487951959E-2</v>
      </c>
      <c r="P296" s="588">
        <v>9.5299999999999996E-2</v>
      </c>
      <c r="Q296" s="485"/>
      <c r="R296" s="1505">
        <f>AVERAGE($L$296:$O$296)</f>
        <v>8.1060178996985255E-2</v>
      </c>
      <c r="S296" s="607">
        <f>R296</f>
        <v>8.1060178996985255E-2</v>
      </c>
      <c r="T296" s="607">
        <f t="shared" ref="T296:AA296" si="148">S296</f>
        <v>8.1060178996985255E-2</v>
      </c>
      <c r="U296" s="607">
        <f t="shared" si="148"/>
        <v>8.1060178996985255E-2</v>
      </c>
      <c r="V296" s="607">
        <f t="shared" si="148"/>
        <v>8.1060178996985255E-2</v>
      </c>
      <c r="W296" s="607">
        <f t="shared" si="148"/>
        <v>8.1060178996985255E-2</v>
      </c>
      <c r="X296" s="607">
        <f t="shared" si="148"/>
        <v>8.1060178996985255E-2</v>
      </c>
      <c r="Y296" s="607">
        <f t="shared" si="148"/>
        <v>8.1060178996985255E-2</v>
      </c>
      <c r="Z296" s="607">
        <f t="shared" si="148"/>
        <v>8.1060178996985255E-2</v>
      </c>
      <c r="AA296" s="607">
        <f t="shared" si="148"/>
        <v>8.1060178996985255E-2</v>
      </c>
    </row>
    <row r="297" spans="1:42" s="3" customFormat="1" outlineLevel="2">
      <c r="A297" s="168"/>
      <c r="B297" s="667" t="s">
        <v>433</v>
      </c>
      <c r="C297" s="150"/>
      <c r="D297" s="150"/>
      <c r="E297" s="150"/>
      <c r="F297" s="442"/>
      <c r="G297" s="484"/>
      <c r="H297" s="484"/>
      <c r="I297" s="484"/>
      <c r="J297" s="484"/>
      <c r="L297" s="588">
        <v>0</v>
      </c>
      <c r="M297" s="588">
        <v>0</v>
      </c>
      <c r="N297" s="588">
        <v>0</v>
      </c>
      <c r="O297" s="588">
        <v>0</v>
      </c>
      <c r="P297" s="588">
        <v>0</v>
      </c>
      <c r="Q297" s="485"/>
      <c r="R297" s="436">
        <v>0</v>
      </c>
      <c r="S297" s="436">
        <v>0</v>
      </c>
      <c r="T297" s="436">
        <v>0</v>
      </c>
      <c r="U297" s="436">
        <v>0</v>
      </c>
      <c r="V297" s="436">
        <v>0</v>
      </c>
      <c r="W297" s="436">
        <v>0</v>
      </c>
      <c r="X297" s="436">
        <v>0</v>
      </c>
      <c r="Y297" s="436">
        <v>0</v>
      </c>
      <c r="Z297" s="436">
        <v>0</v>
      </c>
      <c r="AA297" s="436">
        <v>0</v>
      </c>
    </row>
    <row r="298" spans="1:42" s="150" customFormat="1" ht="7" customHeight="1" outlineLevel="1">
      <c r="A298" s="220"/>
      <c r="B298" s="297"/>
      <c r="F298" s="523"/>
      <c r="G298" s="497"/>
      <c r="H298" s="497"/>
      <c r="I298" s="497"/>
      <c r="J298" s="497"/>
      <c r="Q298" s="485"/>
      <c r="R298" s="485"/>
      <c r="U298" s="14"/>
      <c r="V298" s="14"/>
    </row>
    <row r="299" spans="1:42" outlineLevel="1">
      <c r="B299" s="391" t="s">
        <v>374</v>
      </c>
      <c r="C299" s="389"/>
      <c r="D299" s="389"/>
      <c r="E299" s="389"/>
      <c r="F299" s="389"/>
      <c r="G299" s="389"/>
      <c r="H299" s="389"/>
      <c r="I299" s="389"/>
      <c r="J299" s="389"/>
      <c r="K299" s="389"/>
      <c r="L299" s="389"/>
      <c r="M299" s="389"/>
      <c r="N299" s="389"/>
      <c r="O299" s="389"/>
      <c r="P299" s="470"/>
      <c r="Q299" s="470"/>
      <c r="R299" s="470"/>
      <c r="S299" s="470"/>
      <c r="T299" s="470"/>
      <c r="U299" s="470"/>
      <c r="V299" s="470"/>
      <c r="W299" s="470"/>
      <c r="X299" s="470"/>
      <c r="Y299" s="470"/>
      <c r="Z299" s="470"/>
      <c r="AA299" s="470"/>
      <c r="AC299" s="517"/>
      <c r="AD299" s="517"/>
      <c r="AE299" s="517"/>
      <c r="AF299" s="517"/>
      <c r="AG299" s="517"/>
      <c r="AH299" s="517"/>
      <c r="AI299" s="517"/>
      <c r="AJ299" s="517"/>
      <c r="AK299" s="517"/>
      <c r="AL299" s="517"/>
      <c r="AM299" s="517"/>
      <c r="AN299" s="517"/>
      <c r="AO299" s="517"/>
      <c r="AP299" s="517"/>
    </row>
    <row r="300" spans="1:42" ht="7.5" customHeight="1" outlineLevel="2">
      <c r="P300" s="517"/>
      <c r="AC300" s="517"/>
      <c r="AD300" s="517"/>
      <c r="AE300" s="517"/>
      <c r="AF300" s="517"/>
      <c r="AG300" s="517"/>
      <c r="AH300" s="517"/>
      <c r="AI300" s="517"/>
      <c r="AJ300" s="517"/>
      <c r="AK300" s="517"/>
      <c r="AL300" s="517"/>
      <c r="AM300" s="517"/>
      <c r="AN300" s="517"/>
      <c r="AO300" s="517"/>
      <c r="AP300" s="517"/>
    </row>
    <row r="301" spans="1:42" s="3" customFormat="1" outlineLevel="2">
      <c r="A301" s="168"/>
      <c r="B301" s="241" t="str">
        <f>units</f>
        <v>($ '000)</v>
      </c>
      <c r="C301" s="150"/>
      <c r="D301" s="150"/>
      <c r="E301" s="150"/>
      <c r="F301" s="442"/>
      <c r="G301"/>
      <c r="H301"/>
      <c r="I301"/>
      <c r="J301" s="484"/>
      <c r="Q301" s="485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42" s="3" customFormat="1" ht="6" customHeight="1" outlineLevel="2">
      <c r="A302" s="168"/>
      <c r="B302" s="487"/>
      <c r="C302" s="150"/>
      <c r="D302" s="150"/>
      <c r="E302" s="150"/>
      <c r="F302" s="442"/>
      <c r="G302"/>
      <c r="H302"/>
      <c r="I302"/>
      <c r="J302" s="484"/>
      <c r="K302" s="589"/>
      <c r="L302" s="589"/>
      <c r="M302" s="589"/>
      <c r="N302" s="589"/>
      <c r="O302" s="589"/>
      <c r="P302" s="589"/>
      <c r="Q302" s="485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42" s="3" customFormat="1" outlineLevel="2">
      <c r="A303" s="168"/>
      <c r="B303" s="463" t="s">
        <v>344</v>
      </c>
      <c r="C303" s="379"/>
      <c r="D303" s="379"/>
      <c r="E303" s="150"/>
      <c r="F303" s="442"/>
      <c r="G303"/>
      <c r="H303"/>
      <c r="I303"/>
      <c r="J303" s="484"/>
      <c r="K303" s="516">
        <v>173.23400000000001</v>
      </c>
      <c r="L303" s="516">
        <v>178.40299999999999</v>
      </c>
      <c r="M303" s="516">
        <v>153.49</v>
      </c>
      <c r="N303" s="516">
        <v>139.16200000000001</v>
      </c>
      <c r="O303" s="516">
        <v>143.73287999999999</v>
      </c>
      <c r="P303" s="516">
        <v>130.43529000000001</v>
      </c>
      <c r="Q303" s="485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42" s="1" customFormat="1" outlineLevel="2">
      <c r="A304" s="6"/>
      <c r="B304" s="463" t="s">
        <v>343</v>
      </c>
      <c r="C304" s="379"/>
      <c r="D304" s="379"/>
      <c r="E304" s="379"/>
      <c r="F304" s="442"/>
      <c r="G304"/>
      <c r="H304"/>
      <c r="I304"/>
      <c r="J304" s="488"/>
      <c r="K304" s="516">
        <v>4.4470000000000001</v>
      </c>
      <c r="L304" s="516">
        <v>4.8499999999999996</v>
      </c>
      <c r="M304" s="516">
        <v>3.0640000000000001</v>
      </c>
      <c r="N304" s="516">
        <v>4.4950000000000001</v>
      </c>
      <c r="O304" s="516">
        <v>6.4169999999999998</v>
      </c>
      <c r="P304" s="516">
        <v>5.4782300000000008</v>
      </c>
      <c r="Q304" s="460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42" s="1" customFormat="1" outlineLevel="2">
      <c r="A305" s="6"/>
      <c r="B305" s="1476" t="s">
        <v>819</v>
      </c>
      <c r="C305" s="495"/>
      <c r="D305" s="495"/>
      <c r="E305" s="379"/>
      <c r="F305" s="442"/>
      <c r="G305"/>
      <c r="H305"/>
      <c r="I305"/>
      <c r="J305" s="488"/>
      <c r="K305" s="516">
        <v>-82.43</v>
      </c>
      <c r="L305" s="516">
        <v>3.9554999999999998</v>
      </c>
      <c r="M305" s="516">
        <v>14.7155</v>
      </c>
      <c r="N305" s="516">
        <v>0.32700000000000001</v>
      </c>
      <c r="O305" s="516">
        <v>-45.016100000000002</v>
      </c>
      <c r="P305" s="516">
        <v>-37.015999999999998</v>
      </c>
      <c r="Q305" s="460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42" s="1" customFormat="1" outlineLevel="2">
      <c r="A306" s="6"/>
      <c r="B306" s="639" t="str">
        <f>_xlfn.CONCAT("Total ",$B$299)</f>
        <v>Total Other COGS</v>
      </c>
      <c r="C306" s="639"/>
      <c r="D306" s="639"/>
      <c r="E306" s="639"/>
      <c r="F306" s="571"/>
      <c r="I306" s="529"/>
      <c r="J306" s="529"/>
      <c r="K306" s="447">
        <f t="shared" ref="K306:P306" si="149">SUM(K$303:K$305)</f>
        <v>95.251000000000005</v>
      </c>
      <c r="L306" s="447">
        <f t="shared" si="149"/>
        <v>187.20849999999999</v>
      </c>
      <c r="M306" s="447">
        <f t="shared" si="149"/>
        <v>171.26949999999999</v>
      </c>
      <c r="N306" s="447">
        <f t="shared" si="149"/>
        <v>143.98400000000001</v>
      </c>
      <c r="O306" s="447">
        <f t="shared" si="149"/>
        <v>105.13378</v>
      </c>
      <c r="P306" s="447">
        <f t="shared" si="149"/>
        <v>98.897520000000014</v>
      </c>
      <c r="Q306" s="460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42" s="1" customFormat="1" outlineLevel="2">
      <c r="A307" s="6"/>
      <c r="B307" s="297"/>
      <c r="C307" s="379"/>
      <c r="D307" s="379"/>
      <c r="E307" s="379"/>
      <c r="F307" s="442"/>
      <c r="G307" s="474"/>
      <c r="H307" s="474"/>
      <c r="I307" s="474"/>
      <c r="J307" s="474"/>
      <c r="K307" s="460"/>
      <c r="L307" s="460"/>
      <c r="M307" s="460"/>
      <c r="N307" s="460"/>
      <c r="O307" s="460"/>
      <c r="P307" s="471"/>
      <c r="Q307" s="460"/>
      <c r="R307" s="460"/>
    </row>
    <row r="308" spans="1:42" s="1" customFormat="1" outlineLevel="2">
      <c r="A308" s="6"/>
      <c r="B308" s="598" t="s">
        <v>597</v>
      </c>
      <c r="C308" s="379"/>
      <c r="D308" s="379"/>
      <c r="E308" s="379"/>
      <c r="F308" s="442"/>
      <c r="G308" s="474"/>
      <c r="H308" s="474"/>
      <c r="I308" s="474"/>
      <c r="J308" s="474"/>
      <c r="K308" s="460"/>
      <c r="L308" s="460"/>
      <c r="M308" s="460"/>
      <c r="N308" s="460"/>
      <c r="O308" s="460"/>
      <c r="P308" s="471"/>
      <c r="Q308" s="460"/>
      <c r="R308" s="460"/>
    </row>
    <row r="309" spans="1:42" s="1" customFormat="1" ht="4.5" customHeight="1" outlineLevel="2">
      <c r="A309" s="6"/>
      <c r="B309" s="598"/>
      <c r="C309" s="379"/>
      <c r="D309" s="379"/>
      <c r="E309" s="379"/>
      <c r="F309" s="442"/>
      <c r="G309" s="474"/>
      <c r="H309" s="474"/>
      <c r="I309" s="474"/>
      <c r="J309" s="474"/>
      <c r="K309" s="460"/>
      <c r="L309" s="460"/>
      <c r="M309" s="460"/>
      <c r="N309" s="460"/>
      <c r="O309" s="460"/>
      <c r="P309" s="471"/>
      <c r="Q309" s="460"/>
      <c r="R309" s="460"/>
      <c r="AB309"/>
      <c r="AC309"/>
    </row>
    <row r="310" spans="1:42" s="1" customFormat="1" outlineLevel="2">
      <c r="A310" s="6"/>
      <c r="B310" s="982" t="str">
        <f>$B$303</f>
        <v>Subcontract</v>
      </c>
      <c r="C310" s="970"/>
      <c r="D310" s="970"/>
      <c r="E310" s="970"/>
      <c r="F310" s="442"/>
      <c r="G310" s="474"/>
      <c r="H310" s="474"/>
      <c r="I310" s="474"/>
      <c r="J310" s="474"/>
      <c r="K310" s="460"/>
      <c r="L310" s="976">
        <f t="shared" ref="L310:P312" si="150">L303/L$315</f>
        <v>1.0653787584724252</v>
      </c>
      <c r="M310" s="976">
        <f t="shared" si="150"/>
        <v>1.0601163095879436</v>
      </c>
      <c r="N310" s="976">
        <f t="shared" si="150"/>
        <v>0.85468794143297588</v>
      </c>
      <c r="O310" s="976">
        <f t="shared" si="150"/>
        <v>0.84183791445322342</v>
      </c>
      <c r="P310" s="976">
        <f t="shared" si="150"/>
        <v>0.763954444555076</v>
      </c>
      <c r="Q310" s="460"/>
      <c r="R310" s="985">
        <f ca="1">PRODUCT(P310,(1+OFFSET(R$322,(MATCH($B310,$B$323:$B$325,0)),0)))</f>
        <v>0.78305330566895281</v>
      </c>
      <c r="S310" s="977">
        <f t="shared" ref="S310:AA310" ca="1" si="151">PRODUCT(R310,(1+OFFSET(S$322,(MATCH($B310,$B$323:$B$325,0)),0)))</f>
        <v>0.80262963831067657</v>
      </c>
      <c r="T310" s="977">
        <f t="shared" ca="1" si="151"/>
        <v>0.82269537926844338</v>
      </c>
      <c r="U310" s="977">
        <f t="shared" ca="1" si="151"/>
        <v>0.84326276375015441</v>
      </c>
      <c r="V310" s="977">
        <f t="shared" ca="1" si="151"/>
        <v>0.86434433284390821</v>
      </c>
      <c r="W310" s="977">
        <f t="shared" ca="1" si="151"/>
        <v>0.88595294116500589</v>
      </c>
      <c r="X310" s="977">
        <f t="shared" ca="1" si="151"/>
        <v>0.90810176469413095</v>
      </c>
      <c r="Y310" s="977">
        <f t="shared" ca="1" si="151"/>
        <v>0.93080430881148413</v>
      </c>
      <c r="Z310" s="977">
        <f t="shared" ca="1" si="151"/>
        <v>0.95407441653177116</v>
      </c>
      <c r="AA310" s="977">
        <f t="shared" ca="1" si="151"/>
        <v>0.9779262769450654</v>
      </c>
      <c r="AB310"/>
      <c r="AC310"/>
    </row>
    <row r="311" spans="1:42" s="1" customFormat="1" outlineLevel="2">
      <c r="A311" s="6"/>
      <c r="B311" s="297" t="str">
        <f>$B$304</f>
        <v>Freight</v>
      </c>
      <c r="C311" s="379"/>
      <c r="D311" s="379"/>
      <c r="E311" s="379"/>
      <c r="F311" s="442"/>
      <c r="G311" s="474"/>
      <c r="H311" s="474"/>
      <c r="I311" s="474"/>
      <c r="J311" s="474"/>
      <c r="K311" s="460"/>
      <c r="L311" s="966">
        <f t="shared" si="150"/>
        <v>2.8963004986414256E-2</v>
      </c>
      <c r="M311" s="966">
        <f t="shared" si="150"/>
        <v>2.1162267070020582E-2</v>
      </c>
      <c r="N311" s="966">
        <f t="shared" si="150"/>
        <v>2.7606834457260077E-2</v>
      </c>
      <c r="O311" s="966">
        <f t="shared" si="150"/>
        <v>3.7584120606546909E-2</v>
      </c>
      <c r="P311" s="966">
        <f t="shared" si="150"/>
        <v>3.2085781055073009E-2</v>
      </c>
      <c r="Q311" s="460"/>
      <c r="R311" s="985">
        <f ca="1">PRODUCT(P311,(1+OFFSET(R$322,(MATCH($B311,$B$323:$B$325,0)),0)))</f>
        <v>3.2887925581449831E-2</v>
      </c>
      <c r="S311" s="984">
        <f t="shared" ref="S311:AA311" ca="1" si="152">PRODUCT(R311,(1+OFFSET(S$322,(MATCH($B311,$B$323:$B$325,0)),0)))</f>
        <v>3.3710123720986071E-2</v>
      </c>
      <c r="T311" s="984">
        <f t="shared" ca="1" si="152"/>
        <v>3.4552876814010723E-2</v>
      </c>
      <c r="U311" s="984">
        <f t="shared" ca="1" si="152"/>
        <v>3.5416698734360985E-2</v>
      </c>
      <c r="V311" s="984">
        <f t="shared" ca="1" si="152"/>
        <v>3.630211620272001E-2</v>
      </c>
      <c r="W311" s="984">
        <f t="shared" ca="1" si="152"/>
        <v>3.7209669107788008E-2</v>
      </c>
      <c r="X311" s="984">
        <f t="shared" ca="1" si="152"/>
        <v>3.8139910835482703E-2</v>
      </c>
      <c r="Y311" s="984">
        <f t="shared" ca="1" si="152"/>
        <v>3.909340860636977E-2</v>
      </c>
      <c r="Z311" s="984">
        <f t="shared" ca="1" si="152"/>
        <v>4.007074382152901E-2</v>
      </c>
      <c r="AA311" s="984">
        <f t="shared" ca="1" si="152"/>
        <v>4.1072512417067233E-2</v>
      </c>
      <c r="AB311"/>
      <c r="AC311"/>
    </row>
    <row r="312" spans="1:42" s="1" customFormat="1" outlineLevel="2">
      <c r="A312" s="6"/>
      <c r="B312" s="982" t="str">
        <f>$B$305</f>
        <v xml:space="preserve">Δ Inventory </v>
      </c>
      <c r="C312" s="970"/>
      <c r="D312" s="970"/>
      <c r="E312" s="970"/>
      <c r="F312" s="442"/>
      <c r="G312" s="474"/>
      <c r="H312" s="474"/>
      <c r="I312" s="474"/>
      <c r="J312" s="474"/>
      <c r="K312" s="460"/>
      <c r="L312" s="976">
        <f t="shared" si="150"/>
        <v>2.3621271386342596E-2</v>
      </c>
      <c r="M312" s="976">
        <f t="shared" si="150"/>
        <v>0.10163620792065531</v>
      </c>
      <c r="N312" s="976">
        <f t="shared" si="150"/>
        <v>2.008328112908575E-3</v>
      </c>
      <c r="O312" s="976">
        <f t="shared" si="150"/>
        <v>-0.26365755518721778</v>
      </c>
      <c r="P312" s="976">
        <f t="shared" si="150"/>
        <v>-0.21680127916034603</v>
      </c>
      <c r="Q312" s="460"/>
      <c r="R312" s="986">
        <v>0</v>
      </c>
      <c r="S312" s="987">
        <v>0</v>
      </c>
      <c r="T312" s="987">
        <v>0</v>
      </c>
      <c r="U312" s="987">
        <v>0</v>
      </c>
      <c r="V312" s="987">
        <v>0</v>
      </c>
      <c r="W312" s="987">
        <v>0</v>
      </c>
      <c r="X312" s="987">
        <v>0</v>
      </c>
      <c r="Y312" s="987">
        <v>0</v>
      </c>
      <c r="Z312" s="987">
        <v>0</v>
      </c>
      <c r="AA312" s="987">
        <v>0</v>
      </c>
      <c r="AB312"/>
      <c r="AC312"/>
    </row>
    <row r="313" spans="1:42" s="1" customFormat="1" outlineLevel="2">
      <c r="A313" s="6"/>
      <c r="B313" s="464" t="s">
        <v>26</v>
      </c>
      <c r="C313" s="7"/>
      <c r="D313" s="7"/>
      <c r="E313" s="7"/>
      <c r="F313" s="442"/>
      <c r="G313" s="474"/>
      <c r="H313" s="474"/>
      <c r="I313" s="474"/>
      <c r="J313" s="474"/>
      <c r="K313" s="460"/>
      <c r="L313" s="967">
        <f>SUM(L$310:L$312)</f>
        <v>1.1179630348451821</v>
      </c>
      <c r="M313" s="967">
        <f>SUM(M$310:M$312)</f>
        <v>1.1829147845786196</v>
      </c>
      <c r="N313" s="967">
        <f>SUM(N$310:N$312)</f>
        <v>0.8843031040031446</v>
      </c>
      <c r="O313" s="967">
        <f>SUM(O$310:O$312)</f>
        <v>0.61576447987255256</v>
      </c>
      <c r="P313" s="967">
        <f>SUM(P$310:P$312)</f>
        <v>0.57923894644980289</v>
      </c>
      <c r="Q313" s="460"/>
      <c r="R313" s="967">
        <f t="shared" ref="R313:AA313" ca="1" si="153">SUM(R$310:R$312)</f>
        <v>0.81594123125040263</v>
      </c>
      <c r="S313" s="967">
        <f t="shared" ca="1" si="153"/>
        <v>0.8363397620316626</v>
      </c>
      <c r="T313" s="967">
        <f t="shared" ca="1" si="153"/>
        <v>0.85724825608245414</v>
      </c>
      <c r="U313" s="967">
        <f t="shared" ca="1" si="153"/>
        <v>0.87867946248451534</v>
      </c>
      <c r="V313" s="967">
        <f t="shared" ca="1" si="153"/>
        <v>0.90064644904662827</v>
      </c>
      <c r="W313" s="967">
        <f t="shared" ca="1" si="153"/>
        <v>0.92316261027279389</v>
      </c>
      <c r="X313" s="967">
        <f t="shared" ca="1" si="153"/>
        <v>0.94624167552961369</v>
      </c>
      <c r="Y313" s="967">
        <f t="shared" ca="1" si="153"/>
        <v>0.96989771741785391</v>
      </c>
      <c r="Z313" s="967">
        <f t="shared" ca="1" si="153"/>
        <v>0.99414516035330014</v>
      </c>
      <c r="AA313" s="967">
        <f t="shared" ca="1" si="153"/>
        <v>1.0189987893621326</v>
      </c>
      <c r="AB313"/>
      <c r="AC313"/>
    </row>
    <row r="314" spans="1:42" s="1" customFormat="1" ht="6" customHeight="1" outlineLevel="2">
      <c r="A314" s="6"/>
      <c r="B314" s="466"/>
      <c r="C314" s="379"/>
      <c r="D314" s="379"/>
      <c r="E314" s="379"/>
      <c r="F314" s="442"/>
      <c r="G314" s="474"/>
      <c r="H314" s="474"/>
      <c r="I314" s="474"/>
      <c r="J314" s="474"/>
      <c r="K314" s="460"/>
      <c r="L314" s="975"/>
      <c r="M314" s="975"/>
      <c r="N314" s="975"/>
      <c r="O314" s="975"/>
      <c r="P314" s="975"/>
      <c r="Q314" s="460"/>
      <c r="R314" s="975"/>
      <c r="S314" s="975"/>
      <c r="T314" s="975"/>
      <c r="U314" s="975"/>
      <c r="V314" s="975"/>
      <c r="W314" s="975"/>
      <c r="X314" s="975"/>
      <c r="Y314" s="975"/>
      <c r="Z314" s="975"/>
      <c r="AA314" s="975"/>
      <c r="AB314" s="517"/>
      <c r="AC314" s="517"/>
    </row>
    <row r="315" spans="1:42" s="1" customFormat="1" outlineLevel="2">
      <c r="A315" s="6"/>
      <c r="B315" s="150" t="s">
        <v>381</v>
      </c>
      <c r="C315" s="379"/>
      <c r="D315" s="379"/>
      <c r="E315" s="379"/>
      <c r="F315" s="442"/>
      <c r="G315" s="474"/>
      <c r="H315" s="474"/>
      <c r="I315" s="474"/>
      <c r="J315" s="474"/>
      <c r="K315" s="460"/>
      <c r="L315" s="508">
        <f>L$124</f>
        <v>167.45500000000001</v>
      </c>
      <c r="M315" s="508">
        <f t="shared" ref="M315:AA315" si="154">M$124</f>
        <v>144.786</v>
      </c>
      <c r="N315" s="508">
        <f t="shared" si="154"/>
        <v>162.822</v>
      </c>
      <c r="O315" s="508">
        <f t="shared" si="154"/>
        <v>170.73699999999999</v>
      </c>
      <c r="P315" s="508">
        <f t="shared" si="154"/>
        <v>170.73699999999999</v>
      </c>
      <c r="Q315" s="508"/>
      <c r="R315" s="508">
        <f t="shared" ca="1" si="154"/>
        <v>166.46857499999999</v>
      </c>
      <c r="S315" s="508">
        <f t="shared" ca="1" si="154"/>
        <v>162.30686062499998</v>
      </c>
      <c r="T315" s="508">
        <f t="shared" ca="1" si="154"/>
        <v>158.24918910937498</v>
      </c>
      <c r="U315" s="508">
        <f t="shared" ca="1" si="154"/>
        <v>154.2929593816406</v>
      </c>
      <c r="V315" s="508">
        <f t="shared" ca="1" si="154"/>
        <v>150.43563539709959</v>
      </c>
      <c r="W315" s="508">
        <f t="shared" ca="1" si="154"/>
        <v>146.67474451217208</v>
      </c>
      <c r="X315" s="508">
        <f t="shared" ca="1" si="154"/>
        <v>143.00787589936778</v>
      </c>
      <c r="Y315" s="508">
        <f t="shared" ca="1" si="154"/>
        <v>139.43267900188357</v>
      </c>
      <c r="Z315" s="508">
        <f t="shared" ca="1" si="154"/>
        <v>135.94686202683647</v>
      </c>
      <c r="AA315" s="508">
        <f t="shared" ca="1" si="154"/>
        <v>132.54819047616556</v>
      </c>
      <c r="AB315" s="508"/>
    </row>
    <row r="316" spans="1:42" s="1" customFormat="1" ht="7" customHeight="1" outlineLevel="2">
      <c r="A316" s="6"/>
      <c r="B316" s="466"/>
      <c r="C316" s="379"/>
      <c r="D316" s="379"/>
      <c r="E316" s="379"/>
      <c r="F316" s="442"/>
      <c r="G316" s="474"/>
      <c r="H316" s="474"/>
      <c r="I316" s="474"/>
      <c r="J316" s="474"/>
      <c r="K316" s="460"/>
      <c r="L316" s="975"/>
      <c r="M316" s="975"/>
      <c r="N316" s="975"/>
      <c r="O316" s="975"/>
      <c r="P316" s="975"/>
      <c r="Q316" s="460"/>
      <c r="R316" s="975"/>
      <c r="S316" s="975"/>
      <c r="T316" s="975"/>
      <c r="U316" s="975"/>
      <c r="V316" s="975"/>
      <c r="W316" s="975"/>
      <c r="X316" s="975"/>
      <c r="Y316" s="975"/>
      <c r="Z316" s="975"/>
      <c r="AA316" s="975"/>
      <c r="AB316" s="517"/>
      <c r="AC316" s="517"/>
    </row>
    <row r="317" spans="1:42" s="1" customFormat="1" outlineLevel="2">
      <c r="A317" s="6"/>
      <c r="B317" s="464" t="str">
        <f>_xlfn.CONCAT("Total ",$B$299)</f>
        <v>Total Other COGS</v>
      </c>
      <c r="C317" s="7"/>
      <c r="D317" s="7"/>
      <c r="E317" s="7"/>
      <c r="F317" s="442"/>
      <c r="G317" s="474"/>
      <c r="H317" s="474"/>
      <c r="I317" s="474"/>
      <c r="J317" s="474"/>
      <c r="K317" s="988"/>
      <c r="L317" s="447">
        <f>PRODUCT(L$313,L$315)</f>
        <v>187.20849999999999</v>
      </c>
      <c r="M317" s="447">
        <f>PRODUCT(M$313,M$315)</f>
        <v>171.26950000000002</v>
      </c>
      <c r="N317" s="447">
        <f>PRODUCT(N$313,N$315)</f>
        <v>143.98400000000001</v>
      </c>
      <c r="O317" s="447">
        <f>PRODUCT(O$313,O$315)</f>
        <v>105.13378</v>
      </c>
      <c r="P317" s="447">
        <f>PRODUCT(P$313,P$315)</f>
        <v>98.89752</v>
      </c>
      <c r="Q317" s="460"/>
      <c r="R317" s="447">
        <f t="shared" ref="R317:AA317" ca="1" si="155">PRODUCT(R$313,R$315)</f>
        <v>135.82857404999999</v>
      </c>
      <c r="S317" s="447">
        <f t="shared" ca="1" si="155"/>
        <v>135.74368119121871</v>
      </c>
      <c r="T317" s="447">
        <f t="shared" ca="1" si="155"/>
        <v>135.65884139047421</v>
      </c>
      <c r="U317" s="447">
        <f t="shared" ca="1" si="155"/>
        <v>135.57405461460513</v>
      </c>
      <c r="V317" s="447">
        <f t="shared" ca="1" si="155"/>
        <v>135.489320830471</v>
      </c>
      <c r="W317" s="447">
        <f t="shared" ca="1" si="155"/>
        <v>135.40464000495194</v>
      </c>
      <c r="X317" s="447">
        <f t="shared" ca="1" si="155"/>
        <v>135.32001210494883</v>
      </c>
      <c r="Y317" s="447">
        <f t="shared" ca="1" si="155"/>
        <v>135.2354370973832</v>
      </c>
      <c r="Z317" s="447">
        <f t="shared" ca="1" si="155"/>
        <v>135.1509149491973</v>
      </c>
      <c r="AA317" s="447">
        <f t="shared" ca="1" si="155"/>
        <v>135.06644562735406</v>
      </c>
      <c r="AB317" s="517"/>
      <c r="AC317" s="517"/>
    </row>
    <row r="318" spans="1:42" s="1" customFormat="1" outlineLevel="2">
      <c r="A318" s="6"/>
      <c r="B318" s="466"/>
      <c r="C318" s="379"/>
      <c r="D318" s="379"/>
      <c r="E318" s="379"/>
      <c r="F318" s="442"/>
      <c r="G318" s="474"/>
      <c r="H318" s="474"/>
      <c r="I318" s="474"/>
      <c r="J318" s="474"/>
      <c r="K318" s="460"/>
      <c r="L318" s="975"/>
      <c r="M318" s="975"/>
      <c r="N318" s="975"/>
      <c r="O318" s="975"/>
      <c r="P318" s="975"/>
      <c r="Q318" s="460"/>
      <c r="R318" s="975"/>
      <c r="S318" s="975"/>
      <c r="T318" s="975"/>
      <c r="U318" s="975"/>
      <c r="V318" s="975"/>
      <c r="W318" s="975"/>
      <c r="X318" s="975"/>
      <c r="Y318" s="975"/>
      <c r="Z318" s="975"/>
      <c r="AA318" s="975"/>
      <c r="AB318" s="517"/>
      <c r="AC318" s="517"/>
    </row>
    <row r="319" spans="1:42" outlineLevel="2">
      <c r="B319" s="852" t="str">
        <f>_xlfn.CONCAT($B$299," Assumptions")</f>
        <v>Other COGS Assumptions</v>
      </c>
      <c r="C319" s="853"/>
      <c r="D319" s="853"/>
      <c r="E319" s="853"/>
      <c r="F319" s="853"/>
      <c r="G319" s="853"/>
      <c r="H319" s="853"/>
      <c r="I319" s="853"/>
      <c r="J319" s="853"/>
      <c r="K319" s="853"/>
      <c r="L319" s="853"/>
      <c r="M319" s="853"/>
      <c r="N319" s="853"/>
      <c r="O319" s="853"/>
      <c r="P319" s="854"/>
      <c r="Q319" s="854"/>
      <c r="R319" s="854"/>
      <c r="S319" s="854"/>
      <c r="T319" s="854"/>
      <c r="U319" s="854"/>
      <c r="V319" s="854"/>
      <c r="W319" s="854"/>
      <c r="X319" s="854"/>
      <c r="Y319" s="854"/>
      <c r="Z319" s="854"/>
      <c r="AA319" s="854"/>
      <c r="AB319"/>
      <c r="AC319"/>
      <c r="AD319" s="517"/>
      <c r="AE319" s="517"/>
      <c r="AF319" s="517"/>
      <c r="AG319" s="517"/>
      <c r="AH319" s="517"/>
      <c r="AI319" s="517"/>
      <c r="AJ319" s="517"/>
      <c r="AK319" s="517"/>
      <c r="AL319" s="517"/>
      <c r="AM319" s="517"/>
      <c r="AN319" s="517"/>
      <c r="AO319" s="517"/>
      <c r="AP319" s="517"/>
    </row>
    <row r="320" spans="1:42" s="1" customFormat="1" ht="5.5" customHeight="1" outlineLevel="2">
      <c r="A320" s="6"/>
      <c r="B320" s="297"/>
      <c r="C320" s="379"/>
      <c r="D320" s="379"/>
      <c r="E320" s="379"/>
      <c r="F320" s="442"/>
      <c r="G320" s="474"/>
      <c r="H320" s="474"/>
      <c r="I320" s="474"/>
      <c r="J320" s="474"/>
      <c r="K320" s="460"/>
      <c r="L320" s="460"/>
      <c r="M320" s="460"/>
      <c r="N320" s="460"/>
      <c r="O320" s="460"/>
      <c r="P320" s="471"/>
      <c r="Q320" s="460"/>
      <c r="R320" s="460"/>
    </row>
    <row r="321" spans="1:42" s="1" customFormat="1" outlineLevel="2">
      <c r="A321" s="6"/>
      <c r="B321" s="972" t="s">
        <v>594</v>
      </c>
      <c r="C321" s="379"/>
      <c r="D321" s="379"/>
      <c r="E321" s="379"/>
      <c r="F321" s="442"/>
      <c r="G321" s="278"/>
      <c r="H321" s="278"/>
      <c r="I321" s="474"/>
      <c r="J321" s="474"/>
      <c r="K321" s="561"/>
      <c r="L321" s="561"/>
      <c r="M321" s="561"/>
      <c r="N321" s="561"/>
      <c r="O321" s="561"/>
      <c r="P321" s="561"/>
      <c r="Q321" s="460"/>
      <c r="R321" s="588"/>
      <c r="S321" s="588"/>
      <c r="T321" s="588"/>
      <c r="U321" s="588"/>
      <c r="V321" s="588"/>
      <c r="W321" s="588"/>
      <c r="X321" s="588"/>
      <c r="Y321" s="588"/>
      <c r="Z321" s="588"/>
      <c r="AA321" s="588"/>
    </row>
    <row r="322" spans="1:42" s="1" customFormat="1" ht="6" customHeight="1" outlineLevel="2">
      <c r="A322" s="6"/>
      <c r="B322" s="487"/>
      <c r="C322" s="379"/>
      <c r="D322" s="379"/>
      <c r="E322" s="379"/>
      <c r="F322" s="442"/>
      <c r="G322" s="278"/>
      <c r="H322" s="278"/>
      <c r="I322" s="474"/>
      <c r="J322" s="474"/>
      <c r="K322" s="561"/>
      <c r="L322" s="561"/>
      <c r="M322" s="561"/>
      <c r="N322" s="561"/>
      <c r="O322" s="561"/>
      <c r="P322" s="561"/>
      <c r="Q322" s="460"/>
      <c r="R322" s="588"/>
      <c r="S322" s="588"/>
      <c r="T322" s="588"/>
      <c r="U322" s="588"/>
      <c r="V322" s="588"/>
      <c r="W322" s="588"/>
      <c r="X322" s="588"/>
      <c r="Y322" s="588"/>
      <c r="Z322" s="588"/>
      <c r="AA322" s="588"/>
    </row>
    <row r="323" spans="1:42" s="1" customFormat="1" outlineLevel="2">
      <c r="A323" s="6"/>
      <c r="B323" s="982" t="str">
        <f>$B$303</f>
        <v>Subcontract</v>
      </c>
      <c r="C323" s="970"/>
      <c r="D323" s="970"/>
      <c r="E323" s="970"/>
      <c r="F323" s="442"/>
      <c r="G323" s="278"/>
      <c r="H323" s="278"/>
      <c r="I323" s="474"/>
      <c r="J323" s="474"/>
      <c r="K323" s="561"/>
      <c r="L323" s="561"/>
      <c r="M323" s="971">
        <f t="shared" ref="M323:P324" si="156">((M310-L310)/L310)</f>
        <v>-4.939509862226985E-3</v>
      </c>
      <c r="N323" s="971">
        <f t="shared" si="156"/>
        <v>-0.1937790847070503</v>
      </c>
      <c r="O323" s="971">
        <f t="shared" si="156"/>
        <v>-1.5034758719314577E-2</v>
      </c>
      <c r="P323" s="971">
        <f t="shared" si="156"/>
        <v>-9.2515992165466923E-2</v>
      </c>
      <c r="Q323"/>
      <c r="R323" s="973">
        <v>2.5000000000000001E-2</v>
      </c>
      <c r="S323" s="973">
        <v>2.5000000000000001E-2</v>
      </c>
      <c r="T323" s="973">
        <v>2.5000000000000001E-2</v>
      </c>
      <c r="U323" s="973">
        <v>2.5000000000000001E-2</v>
      </c>
      <c r="V323" s="973">
        <v>2.5000000000000001E-2</v>
      </c>
      <c r="W323" s="973">
        <v>2.5000000000000001E-2</v>
      </c>
      <c r="X323" s="973">
        <v>2.5000000000000001E-2</v>
      </c>
      <c r="Y323" s="973">
        <v>2.5000000000000001E-2</v>
      </c>
      <c r="Z323" s="973">
        <v>2.5000000000000001E-2</v>
      </c>
      <c r="AA323" s="973">
        <v>2.5000000000000001E-2</v>
      </c>
    </row>
    <row r="324" spans="1:42" s="1" customFormat="1" outlineLevel="2">
      <c r="A324" s="6"/>
      <c r="B324" s="297" t="str">
        <f>$B$304</f>
        <v>Freight</v>
      </c>
      <c r="C324" s="379"/>
      <c r="D324" s="379"/>
      <c r="E324" s="379"/>
      <c r="F324" s="442"/>
      <c r="G324" s="278"/>
      <c r="H324" s="278"/>
      <c r="I324" s="474"/>
      <c r="J324" s="474"/>
      <c r="K324" s="561"/>
      <c r="L324" s="561"/>
      <c r="M324" s="561">
        <f t="shared" si="156"/>
        <v>-0.26933455005973256</v>
      </c>
      <c r="N324" s="561">
        <f t="shared" si="156"/>
        <v>0.30453104886712062</v>
      </c>
      <c r="O324" s="561">
        <f t="shared" si="156"/>
        <v>0.36140638162384436</v>
      </c>
      <c r="P324" s="561">
        <f t="shared" si="156"/>
        <v>-0.14629421848215665</v>
      </c>
      <c r="Q324" s="460"/>
      <c r="R324" s="588">
        <v>2.5000000000000001E-2</v>
      </c>
      <c r="S324" s="588">
        <v>2.5000000000000001E-2</v>
      </c>
      <c r="T324" s="588">
        <v>2.5000000000000001E-2</v>
      </c>
      <c r="U324" s="588">
        <v>2.5000000000000001E-2</v>
      </c>
      <c r="V324" s="588">
        <v>2.5000000000000001E-2</v>
      </c>
      <c r="W324" s="588">
        <v>2.5000000000000001E-2</v>
      </c>
      <c r="X324" s="588">
        <v>2.5000000000000001E-2</v>
      </c>
      <c r="Y324" s="588">
        <v>2.5000000000000001E-2</v>
      </c>
      <c r="Z324" s="588">
        <v>2.5000000000000001E-2</v>
      </c>
      <c r="AA324" s="588">
        <v>2.5000000000000001E-2</v>
      </c>
    </row>
    <row r="325" spans="1:42" s="1" customFormat="1" outlineLevel="2">
      <c r="A325" s="6"/>
      <c r="B325" s="982" t="str">
        <f>$B$305</f>
        <v xml:space="preserve">Δ Inventory </v>
      </c>
      <c r="C325" s="970"/>
      <c r="D325" s="970"/>
      <c r="E325" s="970"/>
      <c r="F325" s="442"/>
      <c r="G325" s="278"/>
      <c r="H325" s="278"/>
      <c r="I325" s="474"/>
      <c r="J325" s="474"/>
      <c r="K325" s="561"/>
      <c r="L325" s="561"/>
      <c r="M325" s="983" t="s">
        <v>281</v>
      </c>
      <c r="N325" s="983" t="s">
        <v>281</v>
      </c>
      <c r="O325" s="983" t="s">
        <v>281</v>
      </c>
      <c r="P325" s="983" t="s">
        <v>281</v>
      </c>
      <c r="Q325" s="460"/>
      <c r="R325" s="973">
        <v>0</v>
      </c>
      <c r="S325" s="973">
        <v>0</v>
      </c>
      <c r="T325" s="973">
        <v>0</v>
      </c>
      <c r="U325" s="973">
        <v>0</v>
      </c>
      <c r="V325" s="973">
        <v>0</v>
      </c>
      <c r="W325" s="973">
        <v>0</v>
      </c>
      <c r="X325" s="973">
        <v>0</v>
      </c>
      <c r="Y325" s="973">
        <v>0</v>
      </c>
      <c r="Z325" s="973">
        <v>0</v>
      </c>
      <c r="AA325" s="973">
        <v>0</v>
      </c>
    </row>
    <row r="326" spans="1:42" s="1" customFormat="1" outlineLevel="2">
      <c r="A326" s="6"/>
      <c r="B326" s="633"/>
      <c r="C326" s="379"/>
      <c r="D326" s="379"/>
      <c r="E326" s="379"/>
      <c r="F326" s="442"/>
      <c r="G326" s="474"/>
      <c r="H326" s="474"/>
      <c r="I326" s="474"/>
      <c r="J326" s="474"/>
      <c r="K326" s="460"/>
      <c r="L326" s="460"/>
      <c r="M326" s="460"/>
      <c r="N326" s="460"/>
      <c r="O326" s="460"/>
      <c r="P326" s="471"/>
      <c r="Q326" s="460"/>
      <c r="R326" s="460"/>
    </row>
    <row r="327" spans="1:42" s="1" customFormat="1" ht="7" customHeight="1">
      <c r="A327" s="6"/>
      <c r="B327" s="463"/>
      <c r="C327" s="379"/>
      <c r="D327" s="379"/>
      <c r="E327" s="2"/>
      <c r="F327" s="442"/>
      <c r="G327" s="474"/>
      <c r="H327" s="474"/>
      <c r="I327" s="474"/>
      <c r="J327" s="474"/>
      <c r="K327" s="454"/>
      <c r="L327" s="454"/>
      <c r="M327" s="454"/>
      <c r="N327" s="454"/>
      <c r="O327" s="454"/>
      <c r="P327" s="454"/>
      <c r="Q327" s="460"/>
      <c r="R327" s="460"/>
    </row>
    <row r="328" spans="1:42">
      <c r="A328" s="380" t="s">
        <v>63</v>
      </c>
      <c r="B328" s="518" t="s">
        <v>384</v>
      </c>
      <c r="C328" s="518"/>
      <c r="D328" s="518"/>
      <c r="E328" s="518"/>
      <c r="F328" s="518"/>
      <c r="G328" s="518"/>
      <c r="H328" s="518"/>
      <c r="I328" s="518"/>
      <c r="J328" s="518"/>
      <c r="K328" s="518"/>
      <c r="L328" s="518"/>
      <c r="M328" s="518"/>
      <c r="N328" s="518"/>
      <c r="O328" s="518"/>
      <c r="P328" s="518"/>
      <c r="Q328" s="518"/>
      <c r="R328" s="518"/>
      <c r="S328" s="518"/>
      <c r="T328" s="518"/>
      <c r="U328" s="518"/>
      <c r="V328" s="518"/>
      <c r="W328" s="518"/>
      <c r="X328" s="518"/>
      <c r="Y328" s="518"/>
      <c r="Z328" s="518"/>
      <c r="AA328" s="518"/>
      <c r="AC328" s="517"/>
      <c r="AD328" s="517"/>
      <c r="AE328" s="517"/>
      <c r="AF328" s="517"/>
      <c r="AG328" s="517"/>
      <c r="AH328" s="517"/>
      <c r="AI328" s="517"/>
      <c r="AJ328" s="517"/>
      <c r="AK328" s="517"/>
      <c r="AL328" s="517"/>
      <c r="AM328" s="517"/>
      <c r="AN328" s="517"/>
      <c r="AO328" s="517"/>
      <c r="AP328" s="517"/>
    </row>
    <row r="329" spans="1:42" s="1" customFormat="1" ht="6" customHeight="1" outlineLevel="1">
      <c r="A329" s="6"/>
      <c r="B329" s="462"/>
      <c r="C329" s="379"/>
      <c r="D329" s="379"/>
      <c r="E329" s="461"/>
      <c r="F329" s="442"/>
      <c r="G329" s="474"/>
      <c r="H329" s="474"/>
      <c r="I329" s="474"/>
      <c r="J329" s="474"/>
      <c r="K329" s="454"/>
      <c r="L329" s="454"/>
      <c r="M329" s="454"/>
      <c r="N329" s="454"/>
      <c r="O329" s="454"/>
      <c r="P329" s="454"/>
      <c r="Q329" s="460"/>
      <c r="R329" s="460"/>
    </row>
    <row r="330" spans="1:42" outlineLevel="1">
      <c r="B330" s="391" t="s">
        <v>435</v>
      </c>
      <c r="C330" s="389"/>
      <c r="D330" s="389"/>
      <c r="E330" s="389"/>
      <c r="F330" s="389"/>
      <c r="G330" s="389"/>
      <c r="H330" s="389"/>
      <c r="I330" s="389"/>
      <c r="J330" s="389"/>
      <c r="K330" s="389"/>
      <c r="L330" s="389"/>
      <c r="M330" s="389"/>
      <c r="N330" s="389"/>
      <c r="O330" s="389"/>
      <c r="P330" s="470"/>
      <c r="Q330" s="470"/>
      <c r="R330" s="470"/>
      <c r="S330" s="470"/>
      <c r="T330" s="470"/>
      <c r="U330" s="470"/>
      <c r="V330" s="470"/>
      <c r="W330" s="470"/>
      <c r="X330" s="470"/>
      <c r="Y330" s="470"/>
      <c r="Z330" s="470"/>
      <c r="AA330" s="470"/>
      <c r="AC330" s="517"/>
      <c r="AD330" s="517"/>
      <c r="AE330" s="517"/>
      <c r="AF330" s="517"/>
      <c r="AG330" s="517"/>
      <c r="AH330" s="517"/>
      <c r="AI330" s="517"/>
      <c r="AJ330" s="517"/>
      <c r="AK330" s="517"/>
      <c r="AL330" s="517"/>
      <c r="AM330" s="517"/>
      <c r="AN330" s="517"/>
      <c r="AO330" s="517"/>
      <c r="AP330" s="517"/>
    </row>
    <row r="331" spans="1:42" s="1" customFormat="1" ht="6" customHeight="1" outlineLevel="2">
      <c r="A331" s="6"/>
      <c r="B331" s="69"/>
      <c r="C331" s="379"/>
      <c r="D331" s="379"/>
      <c r="E331" s="461"/>
      <c r="F331" s="442"/>
      <c r="G331" s="474"/>
      <c r="H331" s="474"/>
      <c r="I331" s="474"/>
      <c r="J331" s="474"/>
      <c r="K331" s="454"/>
      <c r="L331" s="454"/>
      <c r="M331" s="454"/>
      <c r="N331" s="454"/>
      <c r="O331" s="454"/>
      <c r="P331" s="454"/>
      <c r="Q331" s="460"/>
      <c r="R331" s="460"/>
    </row>
    <row r="332" spans="1:42" s="1" customFormat="1" outlineLevel="2">
      <c r="A332" s="6"/>
      <c r="B332" s="241" t="s">
        <v>443</v>
      </c>
      <c r="C332" s="379"/>
      <c r="D332" s="379"/>
      <c r="E332" s="461"/>
      <c r="F332" s="442"/>
      <c r="G332" s="474"/>
      <c r="H332" s="474"/>
      <c r="I332" s="474"/>
      <c r="J332" s="474"/>
      <c r="K332" s="454"/>
      <c r="L332" s="454"/>
      <c r="M332" s="454"/>
      <c r="N332" s="454"/>
      <c r="O332" s="454"/>
      <c r="P332" s="454"/>
      <c r="Q332" s="460"/>
      <c r="R332" s="460"/>
    </row>
    <row r="333" spans="1:42" s="1" customFormat="1" ht="6" customHeight="1" outlineLevel="2">
      <c r="A333" s="6"/>
      <c r="B333" s="241"/>
      <c r="C333" s="379"/>
      <c r="D333" s="379"/>
      <c r="E333" s="461"/>
      <c r="F333" s="442"/>
      <c r="G333" s="474"/>
      <c r="H333" s="474"/>
      <c r="I333" s="474"/>
      <c r="J333" s="474"/>
      <c r="K333" s="454"/>
      <c r="L333" s="454"/>
      <c r="M333" s="454"/>
      <c r="N333" s="454"/>
      <c r="O333" s="454"/>
      <c r="P333" s="454"/>
      <c r="Q333" s="460"/>
      <c r="R333" s="460"/>
    </row>
    <row r="334" spans="1:42" s="1" customFormat="1" outlineLevel="2">
      <c r="A334" s="6"/>
      <c r="B334" s="1015" t="s">
        <v>432</v>
      </c>
      <c r="C334" s="475"/>
      <c r="D334" s="379"/>
      <c r="E334" s="461"/>
      <c r="F334" s="442"/>
      <c r="G334" s="474"/>
      <c r="H334" s="474"/>
      <c r="I334" s="474"/>
      <c r="J334" s="474"/>
      <c r="K334" s="454"/>
      <c r="L334" s="548">
        <f>L$371</f>
        <v>179920</v>
      </c>
      <c r="M334" s="548">
        <f t="shared" ref="M334:P334" si="157">M$371</f>
        <v>178100</v>
      </c>
      <c r="N334" s="548">
        <f t="shared" si="157"/>
        <v>180470</v>
      </c>
      <c r="O334" s="548">
        <f t="shared" si="157"/>
        <v>182975</v>
      </c>
      <c r="P334" s="548">
        <f t="shared" si="157"/>
        <v>182975</v>
      </c>
      <c r="Q334" s="460"/>
      <c r="R334" s="548">
        <f t="shared" ref="R334:AA334" si="158">R$371</f>
        <v>186260.36</v>
      </c>
      <c r="S334" s="548">
        <f t="shared" si="158"/>
        <v>189985.56719999999</v>
      </c>
      <c r="T334" s="548">
        <f t="shared" si="158"/>
        <v>193785.278544</v>
      </c>
      <c r="U334" s="548">
        <f t="shared" si="158"/>
        <v>197660.98411488003</v>
      </c>
      <c r="V334" s="548">
        <f t="shared" si="158"/>
        <v>256214.20379717762</v>
      </c>
      <c r="W334" s="548">
        <f t="shared" si="158"/>
        <v>170516.4035328</v>
      </c>
      <c r="X334" s="548">
        <f t="shared" ca="1" si="158"/>
        <v>173926.73160345599</v>
      </c>
      <c r="Y334" s="548">
        <f t="shared" ca="1" si="158"/>
        <v>177405.26623552514</v>
      </c>
      <c r="Z334" s="548">
        <f t="shared" ca="1" si="158"/>
        <v>180953.37156023562</v>
      </c>
      <c r="AA334" s="548">
        <f t="shared" ca="1" si="158"/>
        <v>184572.43899144037</v>
      </c>
    </row>
    <row r="335" spans="1:42" s="1" customFormat="1" outlineLevel="2">
      <c r="A335" s="6"/>
      <c r="B335" s="1015" t="s">
        <v>466</v>
      </c>
      <c r="C335" s="475"/>
      <c r="D335" s="379"/>
      <c r="E335" s="461"/>
      <c r="F335" s="442"/>
      <c r="G335" s="474"/>
      <c r="H335" s="474"/>
      <c r="I335" s="474"/>
      <c r="J335" s="474"/>
      <c r="K335" s="454"/>
      <c r="L335" s="548">
        <f>L$378</f>
        <v>13384.180547945205</v>
      </c>
      <c r="M335" s="548">
        <f>M$378</f>
        <v>14182.744736842105</v>
      </c>
      <c r="N335" s="548">
        <f>N$378</f>
        <v>15020.876585589122</v>
      </c>
      <c r="O335" s="548">
        <f>O$378</f>
        <v>15489.937160493826</v>
      </c>
      <c r="P335" s="548">
        <f>P$378</f>
        <v>17529.004999999997</v>
      </c>
      <c r="Q335" s="460"/>
      <c r="R335" s="548">
        <f t="shared" ref="R335:Z335" si="159">R$378</f>
        <v>16763.432399999998</v>
      </c>
      <c r="S335" s="548">
        <f t="shared" si="159"/>
        <v>17098.701047999999</v>
      </c>
      <c r="T335" s="548">
        <f t="shared" si="159"/>
        <v>17440.675068960001</v>
      </c>
      <c r="U335" s="548">
        <f t="shared" si="159"/>
        <v>17789.488570339203</v>
      </c>
      <c r="V335" s="548">
        <f t="shared" si="159"/>
        <v>23059.278341745987</v>
      </c>
      <c r="W335" s="548">
        <f t="shared" si="159"/>
        <v>15346.476317952001</v>
      </c>
      <c r="X335" s="548">
        <f t="shared" ca="1" si="159"/>
        <v>15653.405844311041</v>
      </c>
      <c r="Y335" s="548">
        <f t="shared" ca="1" si="159"/>
        <v>15966.473961197262</v>
      </c>
      <c r="Z335" s="548">
        <f t="shared" ca="1" si="159"/>
        <v>16285.803440421205</v>
      </c>
      <c r="AA335" s="548">
        <f ca="1">AA$378</f>
        <v>16611.519509229631</v>
      </c>
    </row>
    <row r="336" spans="1:42" s="1" customFormat="1" outlineLevel="2">
      <c r="A336" s="6"/>
      <c r="B336" s="1015" t="s">
        <v>345</v>
      </c>
      <c r="C336" s="475"/>
      <c r="D336" s="379"/>
      <c r="E336" s="461"/>
      <c r="F336" s="442"/>
      <c r="G336" s="474"/>
      <c r="H336" s="474"/>
      <c r="I336" s="474"/>
      <c r="J336" s="474"/>
      <c r="K336" s="454"/>
      <c r="L336" s="548">
        <f>L$454</f>
        <v>196645.375</v>
      </c>
      <c r="M336" s="548">
        <f t="shared" ref="M336:P336" si="160">M$454</f>
        <v>168158.16</v>
      </c>
      <c r="N336" s="548">
        <f t="shared" si="160"/>
        <v>139400.15000000002</v>
      </c>
      <c r="O336" s="548">
        <f t="shared" si="160"/>
        <v>146099.92000000001</v>
      </c>
      <c r="P336" s="548">
        <f t="shared" si="160"/>
        <v>163438.21000000002</v>
      </c>
      <c r="Q336" s="460"/>
      <c r="R336" s="548">
        <f t="shared" ref="R336:AA336" ca="1" si="161">R$454</f>
        <v>181291.43075042852</v>
      </c>
      <c r="S336" s="548">
        <f t="shared" ca="1" si="161"/>
        <v>190129.48156688904</v>
      </c>
      <c r="T336" s="548">
        <f t="shared" ca="1" si="161"/>
        <v>194032.88594019462</v>
      </c>
      <c r="U336" s="548">
        <f t="shared" ca="1" si="161"/>
        <v>198098.32118597435</v>
      </c>
      <c r="V336" s="548">
        <f t="shared" ca="1" si="161"/>
        <v>214554.93353341895</v>
      </c>
      <c r="W336" s="548">
        <f t="shared" ca="1" si="161"/>
        <v>210800.30497598121</v>
      </c>
      <c r="X336" s="548">
        <f t="shared" ca="1" si="161"/>
        <v>217757.52981958116</v>
      </c>
      <c r="Y336" s="548">
        <f t="shared" ca="1" si="161"/>
        <v>224950.00690323292</v>
      </c>
      <c r="Z336" s="548">
        <f t="shared" ca="1" si="161"/>
        <v>235848.3175370082</v>
      </c>
      <c r="AA336" s="548">
        <f t="shared" ca="1" si="161"/>
        <v>247317.82134296763</v>
      </c>
    </row>
    <row r="337" spans="1:42" s="1" customFormat="1" outlineLevel="2">
      <c r="A337" s="6"/>
      <c r="B337" s="1015" t="s">
        <v>631</v>
      </c>
      <c r="C337" s="475"/>
      <c r="D337" s="379"/>
      <c r="E337" s="461"/>
      <c r="F337" s="442"/>
      <c r="G337" s="474"/>
      <c r="H337" s="474"/>
      <c r="I337" s="474"/>
      <c r="J337" s="474"/>
      <c r="K337" s="454"/>
      <c r="L337" s="548">
        <f t="shared" ref="L337:P337" si="162">L$496</f>
        <v>0</v>
      </c>
      <c r="M337" s="548">
        <f t="shared" si="162"/>
        <v>0</v>
      </c>
      <c r="N337" s="548">
        <f t="shared" si="162"/>
        <v>0</v>
      </c>
      <c r="O337" s="548">
        <f t="shared" si="162"/>
        <v>0</v>
      </c>
      <c r="P337" s="548">
        <f t="shared" si="162"/>
        <v>0</v>
      </c>
      <c r="Q337" s="460"/>
      <c r="R337" s="548">
        <f>R$496</f>
        <v>10659</v>
      </c>
      <c r="S337" s="548">
        <f t="shared" ref="S337:AA337" si="163">S$496</f>
        <v>87012</v>
      </c>
      <c r="T337" s="548">
        <f t="shared" si="163"/>
        <v>36648</v>
      </c>
      <c r="U337" s="548">
        <f t="shared" si="163"/>
        <v>27783</v>
      </c>
      <c r="V337" s="548">
        <f t="shared" si="163"/>
        <v>83477.575000000012</v>
      </c>
      <c r="W337" s="548">
        <f t="shared" si="163"/>
        <v>29172.150000000005</v>
      </c>
      <c r="X337" s="548">
        <f t="shared" si="163"/>
        <v>29172.150000000005</v>
      </c>
      <c r="Y337" s="548">
        <f t="shared" si="163"/>
        <v>87529.903125000012</v>
      </c>
      <c r="Z337" s="548">
        <f t="shared" si="163"/>
        <v>30630.757500000007</v>
      </c>
      <c r="AA337" s="548">
        <f t="shared" si="163"/>
        <v>30630.757500000007</v>
      </c>
    </row>
    <row r="338" spans="1:42" s="1" customFormat="1" outlineLevel="2">
      <c r="A338" s="6"/>
      <c r="B338" s="1015" t="s">
        <v>335</v>
      </c>
      <c r="C338" s="475"/>
      <c r="D338" s="379"/>
      <c r="E338" s="461"/>
      <c r="F338" s="442"/>
      <c r="G338" s="474"/>
      <c r="H338" s="474"/>
      <c r="I338" s="474"/>
      <c r="J338" s="474"/>
      <c r="K338" s="454"/>
      <c r="L338" s="548">
        <f>L$509</f>
        <v>0</v>
      </c>
      <c r="M338" s="548">
        <f>M$509</f>
        <v>0</v>
      </c>
      <c r="N338" s="548">
        <f>N$509</f>
        <v>0</v>
      </c>
      <c r="O338" s="548">
        <f>O$509</f>
        <v>0</v>
      </c>
      <c r="P338" s="548">
        <f>P$509</f>
        <v>0</v>
      </c>
      <c r="Q338" s="460"/>
      <c r="R338" s="548">
        <f>R$509</f>
        <v>15444.79</v>
      </c>
      <c r="S338" s="548">
        <f t="shared" ref="S338:AA338" si="164">S$509</f>
        <v>38199.456666666665</v>
      </c>
      <c r="T338" s="548">
        <f t="shared" si="164"/>
        <v>30232.79</v>
      </c>
      <c r="U338" s="548">
        <f t="shared" ca="1" si="164"/>
        <v>30769.089999999997</v>
      </c>
      <c r="V338" s="548">
        <f t="shared" ca="1" si="164"/>
        <v>31318.797499999997</v>
      </c>
      <c r="W338" s="548">
        <f t="shared" ca="1" si="164"/>
        <v>31882.247687499996</v>
      </c>
      <c r="X338" s="548">
        <f t="shared" ca="1" si="164"/>
        <v>32459.78412968749</v>
      </c>
      <c r="Y338" s="548">
        <f t="shared" ca="1" si="164"/>
        <v>33051.758982929678</v>
      </c>
      <c r="Z338" s="548">
        <f t="shared" ca="1" si="164"/>
        <v>33658.533207502915</v>
      </c>
      <c r="AA338" s="548">
        <f t="shared" ca="1" si="164"/>
        <v>34280.476787690481</v>
      </c>
    </row>
    <row r="339" spans="1:42" s="1" customFormat="1" outlineLevel="2">
      <c r="A339" s="6"/>
      <c r="B339" s="1016" t="s">
        <v>490</v>
      </c>
      <c r="C339" s="475"/>
      <c r="D339" s="379"/>
      <c r="E339" s="461"/>
      <c r="F339" s="442"/>
      <c r="G339" s="474"/>
      <c r="H339" s="474"/>
      <c r="I339" s="474"/>
      <c r="J339" s="474"/>
      <c r="K339" s="454"/>
      <c r="L339" s="548">
        <f>L$519</f>
        <v>0</v>
      </c>
      <c r="M339" s="548">
        <f>M$519</f>
        <v>0</v>
      </c>
      <c r="N339" s="548">
        <f>N$519</f>
        <v>0</v>
      </c>
      <c r="O339" s="548">
        <f>O$519</f>
        <v>0</v>
      </c>
      <c r="P339" s="548">
        <f>P$519</f>
        <v>0</v>
      </c>
      <c r="Q339" s="460"/>
      <c r="R339" s="548">
        <f>R$519</f>
        <v>34000</v>
      </c>
      <c r="S339" s="548">
        <f t="shared" ref="S339:AA339" si="165">S$519</f>
        <v>3500</v>
      </c>
      <c r="T339" s="548">
        <f t="shared" si="165"/>
        <v>0</v>
      </c>
      <c r="U339" s="548">
        <f t="shared" si="165"/>
        <v>0</v>
      </c>
      <c r="V339" s="548">
        <f t="shared" si="165"/>
        <v>0</v>
      </c>
      <c r="W339" s="548">
        <f t="shared" si="165"/>
        <v>0</v>
      </c>
      <c r="X339" s="548">
        <f t="shared" si="165"/>
        <v>0</v>
      </c>
      <c r="Y339" s="548">
        <f t="shared" si="165"/>
        <v>0</v>
      </c>
      <c r="Z339" s="548">
        <f t="shared" si="165"/>
        <v>0</v>
      </c>
      <c r="AA339" s="548">
        <f t="shared" si="165"/>
        <v>0</v>
      </c>
    </row>
    <row r="340" spans="1:42" s="1" customFormat="1" outlineLevel="2">
      <c r="A340" s="6"/>
      <c r="B340" s="1016" t="s">
        <v>410</v>
      </c>
      <c r="C340" s="475"/>
      <c r="D340" s="379"/>
      <c r="E340" s="461"/>
      <c r="F340" s="442"/>
      <c r="G340" s="474"/>
      <c r="H340" s="474"/>
      <c r="I340" s="474"/>
      <c r="J340" s="474"/>
      <c r="K340" s="454"/>
      <c r="L340" s="548">
        <f>L$544*$B$10</f>
        <v>358157.1</v>
      </c>
      <c r="M340" s="548">
        <f>M$544*$B$10</f>
        <v>331905.23333333328</v>
      </c>
      <c r="N340" s="548">
        <f>N$544*$B$10</f>
        <v>363212.49</v>
      </c>
      <c r="O340" s="548">
        <f>O$544*$B$10</f>
        <v>359588.86</v>
      </c>
      <c r="P340" s="548">
        <f>P$544*$B$10</f>
        <v>372779.22000000003</v>
      </c>
      <c r="Q340" s="460"/>
      <c r="R340" s="548">
        <f t="shared" ref="R340:AA340" ca="1" si="166">R$544*$B$10</f>
        <v>408971.45814575005</v>
      </c>
      <c r="S340" s="548">
        <f t="shared" ca="1" si="166"/>
        <v>435159.88031542726</v>
      </c>
      <c r="T340" s="548">
        <f t="shared" ca="1" si="166"/>
        <v>447482.40790173761</v>
      </c>
      <c r="U340" s="548">
        <f t="shared" ca="1" si="166"/>
        <v>460763.4134774094</v>
      </c>
      <c r="V340" s="548">
        <f t="shared" ca="1" si="166"/>
        <v>473153.7211853413</v>
      </c>
      <c r="W340" s="548">
        <f t="shared" ca="1" si="166"/>
        <v>484419.64152919693</v>
      </c>
      <c r="X340" s="548">
        <f t="shared" ca="1" si="166"/>
        <v>496027.75271096564</v>
      </c>
      <c r="Y340" s="548">
        <f t="shared" ca="1" si="166"/>
        <v>507956.8199710247</v>
      </c>
      <c r="Z340" s="548">
        <f t="shared" ca="1" si="166"/>
        <v>520201.1944096415</v>
      </c>
      <c r="AA340" s="548">
        <f t="shared" ca="1" si="166"/>
        <v>532762.55146680551</v>
      </c>
    </row>
    <row r="341" spans="1:42" s="1" customFormat="1" outlineLevel="2">
      <c r="A341" s="6"/>
      <c r="B341" s="641" t="s">
        <v>438</v>
      </c>
      <c r="C341" s="583"/>
      <c r="D341" s="583"/>
      <c r="E341" s="634"/>
      <c r="F341" s="442"/>
      <c r="G341" s="474"/>
      <c r="H341" s="474"/>
      <c r="I341" s="474"/>
      <c r="J341" s="474"/>
      <c r="K341" s="454"/>
      <c r="L341" s="597">
        <f>SUM(L$334:L$340)</f>
        <v>748106.65554794518</v>
      </c>
      <c r="M341" s="597">
        <f>SUM(M$334:M$340)</f>
        <v>692346.13807017542</v>
      </c>
      <c r="N341" s="597">
        <f>SUM(N$334:N$340)</f>
        <v>698103.51658558915</v>
      </c>
      <c r="O341" s="597">
        <f>SUM(O$334:O$340)</f>
        <v>704153.71716049383</v>
      </c>
      <c r="P341" s="597">
        <f>SUM(P$334:P$340)</f>
        <v>736721.43500000006</v>
      </c>
      <c r="Q341" s="460"/>
      <c r="R341" s="597">
        <f t="shared" ref="R341:AA341" ca="1" si="167">SUM(R$334:R$340)</f>
        <v>853390.47129617853</v>
      </c>
      <c r="S341" s="597">
        <f t="shared" ca="1" si="167"/>
        <v>961085.08679698291</v>
      </c>
      <c r="T341" s="597">
        <f t="shared" ca="1" si="167"/>
        <v>919622.03745489218</v>
      </c>
      <c r="U341" s="597">
        <f t="shared" ca="1" si="167"/>
        <v>932864.29734860291</v>
      </c>
      <c r="V341" s="597">
        <f t="shared" ca="1" si="167"/>
        <v>1081778.5093576838</v>
      </c>
      <c r="W341" s="597">
        <f t="shared" ca="1" si="167"/>
        <v>942137.22404343006</v>
      </c>
      <c r="X341" s="597">
        <f t="shared" ca="1" si="167"/>
        <v>964997.35410800134</v>
      </c>
      <c r="Y341" s="597">
        <f t="shared" ca="1" si="167"/>
        <v>1046860.2291789097</v>
      </c>
      <c r="Z341" s="597">
        <f t="shared" ca="1" si="167"/>
        <v>1017577.9776548095</v>
      </c>
      <c r="AA341" s="597">
        <f t="shared" ca="1" si="167"/>
        <v>1046175.5655981336</v>
      </c>
    </row>
    <row r="342" spans="1:42" s="1" customFormat="1" outlineLevel="2">
      <c r="A342" s="6"/>
      <c r="B342" s="546" t="s">
        <v>385</v>
      </c>
      <c r="C342" s="379"/>
      <c r="D342" s="379"/>
      <c r="E342" s="379"/>
      <c r="F342" s="571"/>
      <c r="G342" s="497"/>
      <c r="H342" s="497"/>
      <c r="I342" s="587"/>
      <c r="J342" s="587"/>
      <c r="K342" s="490"/>
      <c r="L342" s="490">
        <f>(L$341/$B$10)/L$51</f>
        <v>0.2513407370450122</v>
      </c>
      <c r="M342" s="490">
        <f>(M$341/$B$10)/M$51</f>
        <v>0.25848210890252499</v>
      </c>
      <c r="N342" s="490">
        <f>(N$341/$B$10)/N$51</f>
        <v>0.25049895602119854</v>
      </c>
      <c r="O342" s="490">
        <f>(O$341/$B$10)/O$51</f>
        <v>0.25529696888721481</v>
      </c>
      <c r="P342" s="490">
        <f>(P$341/$B$10)/P$51</f>
        <v>0.26597008203423833</v>
      </c>
      <c r="Q342" s="490"/>
      <c r="R342" s="490">
        <f t="shared" ref="R342:AA342" ca="1" si="168">(R$341/$B$10)/R$51</f>
        <v>0.30094238323298339</v>
      </c>
      <c r="S342" s="490">
        <f t="shared" ca="1" si="168"/>
        <v>0.33105754498941958</v>
      </c>
      <c r="T342" s="490">
        <f t="shared" ca="1" si="168"/>
        <v>0.30942621649486107</v>
      </c>
      <c r="U342" s="490">
        <f t="shared" ca="1" si="168"/>
        <v>0.30660010151944578</v>
      </c>
      <c r="V342" s="490">
        <f t="shared" ca="1" si="168"/>
        <v>0.34729478102227351</v>
      </c>
      <c r="W342" s="490">
        <f t="shared" ca="1" si="168"/>
        <v>0.29544738876928284</v>
      </c>
      <c r="X342" s="490">
        <f t="shared" ca="1" si="168"/>
        <v>0.29559576017302991</v>
      </c>
      <c r="Y342" s="490">
        <f t="shared" ca="1" si="168"/>
        <v>0.31323253425650677</v>
      </c>
      <c r="Z342" s="490">
        <f t="shared" ca="1" si="168"/>
        <v>0.29740752159995698</v>
      </c>
      <c r="AA342" s="490">
        <f t="shared" ca="1" si="168"/>
        <v>0.29867227233090415</v>
      </c>
    </row>
    <row r="343" spans="1:42" s="1" customFormat="1" ht="6.5" customHeight="1" outlineLevel="1">
      <c r="A343" s="6"/>
      <c r="B343" s="69"/>
      <c r="C343" s="379"/>
      <c r="D343" s="379"/>
      <c r="E343" s="461"/>
      <c r="F343" s="442"/>
      <c r="G343" s="474"/>
      <c r="H343" s="474"/>
      <c r="I343" s="474"/>
      <c r="J343" s="474"/>
      <c r="K343" s="454"/>
      <c r="L343" s="454"/>
      <c r="M343" s="454"/>
      <c r="N343" s="454"/>
      <c r="O343" s="454"/>
      <c r="P343" s="454"/>
      <c r="Q343" s="460"/>
      <c r="R343" s="460"/>
    </row>
    <row r="344" spans="1:42" outlineLevel="1">
      <c r="B344" s="390" t="s">
        <v>432</v>
      </c>
      <c r="C344" s="389"/>
      <c r="D344" s="389"/>
      <c r="E344" s="389"/>
      <c r="F344" s="389"/>
      <c r="G344" s="389"/>
      <c r="H344" s="389"/>
      <c r="I344" s="389"/>
      <c r="J344" s="389"/>
      <c r="K344" s="470"/>
      <c r="L344" s="470"/>
      <c r="M344" s="470"/>
      <c r="N344" s="389"/>
      <c r="O344" s="389"/>
      <c r="P344" s="470"/>
      <c r="Q344" s="470"/>
      <c r="R344" s="470"/>
      <c r="S344" s="470"/>
      <c r="T344" s="470"/>
      <c r="U344" s="470"/>
      <c r="V344" s="470"/>
      <c r="W344" s="470"/>
      <c r="X344" s="470"/>
      <c r="Y344" s="470"/>
      <c r="Z344" s="470"/>
      <c r="AA344" s="470"/>
      <c r="AC344" s="517"/>
      <c r="AD344" s="517"/>
      <c r="AE344" s="517"/>
      <c r="AF344" s="517"/>
      <c r="AG344" s="517"/>
      <c r="AH344" s="517"/>
      <c r="AI344" s="517"/>
      <c r="AJ344" s="517"/>
      <c r="AK344" s="517"/>
      <c r="AL344" s="517"/>
      <c r="AM344" s="517"/>
      <c r="AN344" s="517"/>
      <c r="AO344" s="517"/>
      <c r="AP344" s="517"/>
    </row>
    <row r="345" spans="1:42" ht="4.5" customHeight="1" outlineLevel="2">
      <c r="P345" s="517"/>
      <c r="AC345" s="517"/>
      <c r="AD345" s="517"/>
      <c r="AE345" s="517"/>
      <c r="AF345" s="517"/>
      <c r="AG345" s="517"/>
      <c r="AH345" s="517"/>
      <c r="AI345" s="517"/>
      <c r="AJ345" s="517"/>
      <c r="AK345" s="517"/>
      <c r="AL345" s="517"/>
      <c r="AM345" s="517"/>
      <c r="AN345" s="517"/>
      <c r="AO345" s="517"/>
      <c r="AP345" s="517"/>
    </row>
    <row r="346" spans="1:42" outlineLevel="2">
      <c r="P346" s="517"/>
      <c r="R346" s="441">
        <f t="shared" ref="R346:AA346" si="169">R12</f>
        <v>1</v>
      </c>
      <c r="S346" s="441">
        <f t="shared" si="169"/>
        <v>2</v>
      </c>
      <c r="T346" s="441">
        <f t="shared" si="169"/>
        <v>3</v>
      </c>
      <c r="U346" s="441">
        <f t="shared" si="169"/>
        <v>4</v>
      </c>
      <c r="V346" s="441">
        <f t="shared" si="169"/>
        <v>5</v>
      </c>
      <c r="W346" s="441">
        <f t="shared" si="169"/>
        <v>6</v>
      </c>
      <c r="X346" s="441">
        <f t="shared" si="169"/>
        <v>7</v>
      </c>
      <c r="Y346" s="441">
        <f t="shared" si="169"/>
        <v>8</v>
      </c>
      <c r="Z346" s="441">
        <f t="shared" si="169"/>
        <v>9</v>
      </c>
      <c r="AA346" s="441">
        <f t="shared" si="169"/>
        <v>10</v>
      </c>
      <c r="AC346" s="517"/>
      <c r="AD346" s="517"/>
      <c r="AE346" s="517"/>
      <c r="AF346" s="517"/>
      <c r="AG346" s="517"/>
      <c r="AH346" s="517"/>
      <c r="AI346" s="517"/>
      <c r="AJ346" s="517"/>
      <c r="AK346" s="517"/>
      <c r="AL346" s="517"/>
      <c r="AM346" s="517"/>
      <c r="AN346" s="517"/>
      <c r="AO346" s="517"/>
      <c r="AP346" s="517"/>
    </row>
    <row r="347" spans="1:42" ht="6.5" customHeight="1" outlineLevel="2">
      <c r="P347" s="517"/>
      <c r="R347" s="441"/>
      <c r="S347" s="441"/>
      <c r="T347" s="441"/>
      <c r="U347" s="441"/>
      <c r="V347" s="441"/>
      <c r="W347" s="441"/>
      <c r="X347" s="441"/>
      <c r="Y347" s="441"/>
      <c r="Z347" s="441"/>
      <c r="AA347" s="441"/>
      <c r="AC347" s="517"/>
      <c r="AD347" s="517"/>
      <c r="AE347" s="517"/>
      <c r="AF347" s="517"/>
      <c r="AG347" s="517"/>
      <c r="AH347" s="517"/>
      <c r="AI347" s="517"/>
      <c r="AJ347" s="517"/>
      <c r="AK347" s="517"/>
      <c r="AL347" s="517"/>
      <c r="AM347" s="517"/>
      <c r="AN347" s="517"/>
      <c r="AO347" s="517"/>
      <c r="AP347" s="517"/>
    </row>
    <row r="348" spans="1:42" outlineLevel="2">
      <c r="B348" s="1" t="s">
        <v>390</v>
      </c>
      <c r="C348" s="3"/>
      <c r="D348" s="3"/>
      <c r="E348" s="150"/>
      <c r="F348" s="523"/>
      <c r="G348" s="497"/>
      <c r="H348" s="497"/>
      <c r="I348" s="497"/>
      <c r="J348" s="497"/>
      <c r="K348" s="513">
        <v>2</v>
      </c>
      <c r="L348" s="513">
        <v>2</v>
      </c>
      <c r="M348" s="513">
        <v>2</v>
      </c>
      <c r="N348" s="513">
        <v>2</v>
      </c>
      <c r="O348" s="513">
        <v>2</v>
      </c>
      <c r="P348" s="513">
        <v>2</v>
      </c>
      <c r="R348" s="513">
        <v>2</v>
      </c>
      <c r="S348" s="513">
        <v>2</v>
      </c>
      <c r="T348" s="513">
        <v>2</v>
      </c>
      <c r="U348" s="513">
        <v>2</v>
      </c>
      <c r="V348" s="1394">
        <f>IF($C$5&lt;&gt;"Downside",3,U348)</f>
        <v>3</v>
      </c>
      <c r="W348" s="513">
        <v>2</v>
      </c>
      <c r="X348" s="513">
        <v>2</v>
      </c>
      <c r="Y348" s="513">
        <v>2</v>
      </c>
      <c r="Z348" s="513">
        <v>2</v>
      </c>
      <c r="AA348" s="513">
        <v>2</v>
      </c>
      <c r="AB348" s="513"/>
      <c r="AC348" s="517"/>
      <c r="AD348" s="517"/>
      <c r="AE348" s="517"/>
      <c r="AF348" s="517"/>
      <c r="AG348" s="517"/>
      <c r="AH348" s="517"/>
      <c r="AI348" s="517"/>
      <c r="AJ348" s="517"/>
      <c r="AK348" s="517"/>
      <c r="AL348" s="517"/>
      <c r="AM348" s="517"/>
      <c r="AN348" s="517"/>
      <c r="AO348" s="517"/>
      <c r="AP348" s="517"/>
    </row>
    <row r="349" spans="1:42" ht="4.5" customHeight="1" outlineLevel="2">
      <c r="B349" s="3"/>
      <c r="C349" s="3"/>
      <c r="D349" s="3"/>
      <c r="E349" s="150"/>
      <c r="F349" s="523"/>
      <c r="G349" s="497"/>
      <c r="H349" s="497"/>
      <c r="I349" s="497"/>
      <c r="J349" s="497"/>
      <c r="K349" s="513"/>
      <c r="L349" s="513"/>
      <c r="M349" s="513"/>
      <c r="N349" s="513"/>
      <c r="O349" s="513"/>
      <c r="P349" s="513"/>
      <c r="R349" s="513"/>
      <c r="S349" s="513"/>
      <c r="T349" s="513"/>
      <c r="U349" s="513"/>
      <c r="V349" s="513"/>
      <c r="W349" s="513"/>
      <c r="X349" s="513"/>
      <c r="Y349" s="513"/>
      <c r="Z349" s="513"/>
      <c r="AA349" s="513"/>
      <c r="AB349" s="513"/>
      <c r="AC349" s="517"/>
      <c r="AD349" s="517"/>
      <c r="AE349" s="517"/>
      <c r="AF349" s="517"/>
      <c r="AG349" s="517"/>
      <c r="AH349" s="517"/>
      <c r="AI349" s="517"/>
      <c r="AJ349" s="517"/>
      <c r="AK349" s="517"/>
      <c r="AL349" s="517"/>
      <c r="AM349" s="517"/>
      <c r="AN349" s="517"/>
      <c r="AO349" s="517"/>
      <c r="AP349" s="517"/>
    </row>
    <row r="350" spans="1:42" outlineLevel="2">
      <c r="B350" s="810" t="s">
        <v>443</v>
      </c>
      <c r="C350" s="3"/>
      <c r="D350" s="3"/>
      <c r="E350" s="150"/>
      <c r="F350" s="523"/>
      <c r="G350"/>
      <c r="H350"/>
      <c r="I350"/>
      <c r="J350" s="497"/>
      <c r="K350" s="513"/>
      <c r="L350" s="513"/>
      <c r="M350" s="513"/>
      <c r="N350" s="513"/>
      <c r="O350" s="513"/>
      <c r="P350" s="513"/>
      <c r="AC350" s="517"/>
      <c r="AD350" s="517"/>
      <c r="AE350" s="517"/>
      <c r="AF350" s="517"/>
      <c r="AG350" s="517"/>
      <c r="AH350" s="517"/>
      <c r="AI350" s="517"/>
      <c r="AJ350" s="517"/>
      <c r="AK350" s="517"/>
      <c r="AL350" s="517"/>
      <c r="AM350" s="517"/>
      <c r="AN350" s="517"/>
      <c r="AO350" s="517"/>
      <c r="AP350" s="517"/>
    </row>
    <row r="351" spans="1:42" ht="4.5" customHeight="1" outlineLevel="2">
      <c r="B351" s="810"/>
      <c r="C351" s="3"/>
      <c r="D351" s="3"/>
      <c r="E351" s="150"/>
      <c r="F351" s="523"/>
      <c r="J351" s="497"/>
      <c r="K351" s="513"/>
      <c r="L351" s="513"/>
      <c r="M351" s="513"/>
      <c r="N351" s="513"/>
      <c r="O351" s="513"/>
      <c r="P351" s="513"/>
      <c r="AC351" s="517"/>
      <c r="AD351" s="517"/>
      <c r="AE351" s="517"/>
      <c r="AF351" s="517"/>
      <c r="AG351" s="517"/>
      <c r="AH351" s="517"/>
      <c r="AI351" s="517"/>
      <c r="AJ351" s="517"/>
      <c r="AK351" s="517"/>
      <c r="AL351" s="517"/>
      <c r="AM351" s="517"/>
      <c r="AN351" s="517"/>
      <c r="AO351" s="517"/>
      <c r="AP351" s="517"/>
    </row>
    <row r="352" spans="1:42" outlineLevel="2">
      <c r="B352" s="598" t="s">
        <v>412</v>
      </c>
      <c r="C352" s="3"/>
      <c r="D352" s="3"/>
      <c r="E352" s="150"/>
      <c r="F352" s="523"/>
      <c r="G352"/>
      <c r="H352"/>
      <c r="I352"/>
      <c r="J352" s="497"/>
      <c r="K352" s="513"/>
      <c r="L352" s="513"/>
      <c r="M352" s="513"/>
      <c r="N352" s="513"/>
      <c r="O352" s="513"/>
      <c r="P352" s="513"/>
      <c r="AC352" s="517"/>
      <c r="AD352" s="517"/>
      <c r="AE352" s="517"/>
      <c r="AF352" s="517"/>
      <c r="AG352" s="517"/>
      <c r="AH352" s="517"/>
      <c r="AI352" s="517"/>
      <c r="AJ352" s="517"/>
      <c r="AK352" s="517"/>
      <c r="AL352" s="517"/>
      <c r="AM352" s="517"/>
      <c r="AN352" s="517"/>
      <c r="AO352" s="517"/>
      <c r="AP352" s="517"/>
    </row>
    <row r="353" spans="1:42" outlineLevel="2">
      <c r="B353" s="825" t="s">
        <v>431</v>
      </c>
      <c r="C353" s="3"/>
      <c r="D353" s="3"/>
      <c r="E353" s="150"/>
      <c r="F353" s="523"/>
      <c r="G353"/>
      <c r="H353"/>
      <c r="I353"/>
      <c r="J353" s="497"/>
      <c r="K353" s="513"/>
      <c r="L353" s="513"/>
      <c r="M353" s="513"/>
      <c r="N353" s="513"/>
      <c r="O353" s="513"/>
      <c r="P353" s="513"/>
      <c r="AC353" s="517"/>
      <c r="AD353" s="517"/>
      <c r="AE353" s="517"/>
      <c r="AF353" s="517"/>
      <c r="AG353" s="517"/>
      <c r="AH353" s="517"/>
      <c r="AI353" s="517"/>
      <c r="AJ353" s="517"/>
      <c r="AK353" s="517"/>
      <c r="AL353" s="517"/>
      <c r="AM353" s="517"/>
      <c r="AN353" s="517"/>
      <c r="AO353" s="517"/>
      <c r="AP353" s="517"/>
    </row>
    <row r="354" spans="1:42" outlineLevel="2">
      <c r="B354" s="576" t="s">
        <v>551</v>
      </c>
      <c r="C354" s="3"/>
      <c r="D354" s="3"/>
      <c r="E354" s="150"/>
      <c r="F354" s="523"/>
      <c r="G354"/>
      <c r="H354"/>
      <c r="I354"/>
      <c r="J354" s="497"/>
      <c r="K354" s="513"/>
      <c r="L354" s="515">
        <f>$R$354</f>
        <v>2000</v>
      </c>
      <c r="M354" s="515">
        <f>$R$354</f>
        <v>2000</v>
      </c>
      <c r="N354" s="515">
        <f>$R$354</f>
        <v>2000</v>
      </c>
      <c r="O354" s="515">
        <f>$R$354</f>
        <v>2000</v>
      </c>
      <c r="P354" s="515">
        <f>$R$354</f>
        <v>2000</v>
      </c>
      <c r="R354" s="652">
        <f>_xlfn.XLOOKUP($C$5,Manager!$E$10:$G$10,Manager!$E$11:$G$11,0)</f>
        <v>2000</v>
      </c>
      <c r="S354" s="627">
        <f t="shared" ref="S354:AA354" si="170">PRODUCT(R354,(1+S$383))</f>
        <v>2040</v>
      </c>
      <c r="T354" s="627">
        <f t="shared" si="170"/>
        <v>2080.8000000000002</v>
      </c>
      <c r="U354" s="627">
        <f t="shared" si="170"/>
        <v>2122.4160000000002</v>
      </c>
      <c r="V354" s="627">
        <f t="shared" si="170"/>
        <v>2164.8643200000001</v>
      </c>
      <c r="W354" s="627">
        <f t="shared" si="170"/>
        <v>2208.1616064</v>
      </c>
      <c r="X354" s="627">
        <f t="shared" si="170"/>
        <v>2252.3248385279999</v>
      </c>
      <c r="Y354" s="627">
        <f t="shared" si="170"/>
        <v>2297.3713352985601</v>
      </c>
      <c r="Z354" s="627">
        <f t="shared" si="170"/>
        <v>2343.3187620045314</v>
      </c>
      <c r="AA354" s="627">
        <f t="shared" si="170"/>
        <v>2390.1851372446222</v>
      </c>
      <c r="AC354" s="517"/>
      <c r="AD354" s="517"/>
      <c r="AE354" s="517"/>
      <c r="AF354" s="517"/>
      <c r="AG354" s="517"/>
      <c r="AH354" s="517"/>
      <c r="AI354" s="517"/>
      <c r="AJ354" s="517"/>
      <c r="AK354" s="517"/>
      <c r="AL354" s="517"/>
      <c r="AM354" s="517"/>
      <c r="AN354" s="517"/>
      <c r="AO354" s="517"/>
      <c r="AP354" s="517"/>
    </row>
    <row r="355" spans="1:42" outlineLevel="2">
      <c r="B355" s="576" t="s">
        <v>836</v>
      </c>
      <c r="C355" s="3"/>
      <c r="D355" s="3"/>
      <c r="E355" s="150"/>
      <c r="F355" s="523"/>
      <c r="G355"/>
      <c r="H355"/>
      <c r="I355"/>
      <c r="J355" s="497"/>
      <c r="K355" s="513"/>
      <c r="L355" s="531">
        <v>1140</v>
      </c>
      <c r="M355" s="531">
        <v>1140</v>
      </c>
      <c r="N355" s="531">
        <v>1215</v>
      </c>
      <c r="O355" s="531">
        <v>1215</v>
      </c>
      <c r="P355" s="515">
        <f>O355</f>
        <v>1215</v>
      </c>
      <c r="Q355" s="460"/>
      <c r="R355" s="637">
        <f>PRODUCT(P355,(1+R$384))</f>
        <v>1275.75</v>
      </c>
      <c r="S355" s="627">
        <f>PRODUCT(R355,(1+S$384))</f>
        <v>1301.2650000000001</v>
      </c>
      <c r="T355" s="627">
        <f>PRODUCT(S355,(1+T$384))</f>
        <v>1327.2903000000001</v>
      </c>
      <c r="U355" s="627">
        <f>PRODUCT(T355,(1+U$384))</f>
        <v>1353.8361060000002</v>
      </c>
      <c r="V355" s="627">
        <f>PRODUCT(U355,(1+V$384))</f>
        <v>1380.9128281200003</v>
      </c>
      <c r="W355" s="922">
        <v>0</v>
      </c>
      <c r="X355" s="627">
        <f ca="1">PRODUCT(W355,(1+(OFFSET(X$574,$I355,0))))</f>
        <v>0</v>
      </c>
      <c r="Y355" s="627">
        <f ca="1">PRODUCT(X355,(1+(OFFSET(Y$574,$I355,0))))</f>
        <v>0</v>
      </c>
      <c r="Z355" s="627">
        <f ca="1">PRODUCT(Y355,(1+(OFFSET(Z$574,$I355,0))))</f>
        <v>0</v>
      </c>
      <c r="AA355" s="627">
        <f ca="1">PRODUCT(Z355,(1+(OFFSET(AA$574,$I355,0))))</f>
        <v>0</v>
      </c>
      <c r="AD355" s="517" t="s">
        <v>547</v>
      </c>
      <c r="AE355" s="517"/>
      <c r="AF355" s="517"/>
      <c r="AG355" s="517"/>
      <c r="AH355" s="517"/>
      <c r="AI355" s="517"/>
      <c r="AJ355" s="517"/>
      <c r="AK355" s="517"/>
      <c r="AL355" s="517"/>
      <c r="AM355" s="517"/>
      <c r="AN355" s="517"/>
      <c r="AO355" s="517"/>
      <c r="AP355" s="517"/>
    </row>
    <row r="356" spans="1:42" outlineLevel="2">
      <c r="B356" s="1004" t="s">
        <v>433</v>
      </c>
      <c r="C356" s="3"/>
      <c r="D356" s="3"/>
      <c r="E356" s="1392">
        <v>1000</v>
      </c>
      <c r="F356" s="523"/>
      <c r="G356"/>
      <c r="H356"/>
      <c r="I356"/>
      <c r="J356" s="497"/>
      <c r="K356" s="513"/>
      <c r="L356" s="531">
        <v>0</v>
      </c>
      <c r="M356" s="531">
        <v>0</v>
      </c>
      <c r="N356" s="531">
        <v>0</v>
      </c>
      <c r="O356" s="531">
        <v>0</v>
      </c>
      <c r="P356" s="531">
        <v>0</v>
      </c>
      <c r="R356" s="627">
        <f>PRODUCT(P356,(1+R$385))</f>
        <v>0</v>
      </c>
      <c r="S356" s="627">
        <f>PRODUCT(R356,(1+S$385))</f>
        <v>0</v>
      </c>
      <c r="T356" s="627">
        <f>PRODUCT(S356,(1+T$385))</f>
        <v>0</v>
      </c>
      <c r="U356" s="627">
        <f>PRODUCT(T356,(1+U$385))</f>
        <v>0</v>
      </c>
      <c r="V356" s="637">
        <f>$E$356*($C$5&lt;&gt;"Downside")</f>
        <v>1000</v>
      </c>
      <c r="W356" s="637">
        <f>IF($C$5="Downside",$E$356,PRODUCT(V356,(1+W$385)))</f>
        <v>1020</v>
      </c>
      <c r="X356" s="627">
        <f>PRODUCT(W356,(1+X$385))</f>
        <v>1040.4000000000001</v>
      </c>
      <c r="Y356" s="627">
        <f>PRODUCT(X356,(1+Y$385))</f>
        <v>1061.2080000000001</v>
      </c>
      <c r="Z356" s="627">
        <f>PRODUCT(Y356,(1+Z$385))</f>
        <v>1082.4321600000001</v>
      </c>
      <c r="AA356" s="627">
        <f>PRODUCT(Z356,(1+AA$385))</f>
        <v>1104.0808032</v>
      </c>
      <c r="AD356" s="517" t="s">
        <v>779</v>
      </c>
      <c r="AE356" s="517"/>
      <c r="AF356" s="517"/>
      <c r="AG356" s="517"/>
      <c r="AH356" s="517"/>
      <c r="AI356" s="517"/>
      <c r="AJ356" s="517"/>
      <c r="AK356" s="517"/>
      <c r="AL356" s="517"/>
      <c r="AM356" s="517"/>
      <c r="AN356" s="517"/>
      <c r="AO356" s="517"/>
      <c r="AP356" s="517"/>
    </row>
    <row r="357" spans="1:42" s="1" customFormat="1" outlineLevel="2">
      <c r="A357" s="6"/>
      <c r="C357" s="379"/>
      <c r="D357" s="379"/>
      <c r="E357" s="461"/>
      <c r="F357" s="517"/>
      <c r="G357"/>
      <c r="H357"/>
      <c r="I357"/>
      <c r="J357" s="474"/>
      <c r="K357"/>
      <c r="L357" s="454"/>
      <c r="M357" s="454"/>
      <c r="N357" s="454"/>
      <c r="O357" s="454"/>
      <c r="P357" s="454"/>
      <c r="Q357" s="460"/>
      <c r="R357" s="460"/>
      <c r="AD357" s="3" t="s">
        <v>837</v>
      </c>
    </row>
    <row r="358" spans="1:42" s="1" customFormat="1" outlineLevel="2">
      <c r="A358" s="6"/>
      <c r="B358" s="825" t="s">
        <v>414</v>
      </c>
      <c r="C358" s="150"/>
      <c r="D358" s="150"/>
      <c r="E358" s="3"/>
      <c r="F358" s="517"/>
      <c r="G358"/>
      <c r="H358"/>
      <c r="I358"/>
      <c r="J358" s="474"/>
      <c r="K358"/>
    </row>
    <row r="359" spans="1:42" s="1" customFormat="1" outlineLevel="2">
      <c r="A359" s="6"/>
      <c r="B359" s="576" t="s">
        <v>551</v>
      </c>
      <c r="C359" s="150"/>
      <c r="D359" s="150"/>
      <c r="E359" s="3"/>
      <c r="F359" s="517"/>
      <c r="G359"/>
      <c r="H359"/>
      <c r="I359"/>
      <c r="J359" s="474"/>
      <c r="K359" s="517"/>
      <c r="L359" s="515">
        <f t="shared" ref="L359:P361" si="171">PRODUCT(L354,$D$583)</f>
        <v>104000</v>
      </c>
      <c r="M359" s="515">
        <f t="shared" si="171"/>
        <v>104000</v>
      </c>
      <c r="N359" s="515">
        <f t="shared" si="171"/>
        <v>104000</v>
      </c>
      <c r="O359" s="515">
        <f t="shared" si="171"/>
        <v>104000</v>
      </c>
      <c r="P359" s="515">
        <f t="shared" si="171"/>
        <v>104000</v>
      </c>
      <c r="R359" s="627">
        <f t="shared" ref="R359:AA359" si="172">PRODUCT(R354,$D$583)</f>
        <v>104000</v>
      </c>
      <c r="S359" s="627">
        <f t="shared" si="172"/>
        <v>106080</v>
      </c>
      <c r="T359" s="627">
        <f t="shared" si="172"/>
        <v>108201.60000000001</v>
      </c>
      <c r="U359" s="627">
        <f t="shared" si="172"/>
        <v>110365.63200000001</v>
      </c>
      <c r="V359" s="627">
        <f t="shared" si="172"/>
        <v>112572.94464</v>
      </c>
      <c r="W359" s="627">
        <f t="shared" si="172"/>
        <v>114824.4035328</v>
      </c>
      <c r="X359" s="627">
        <f t="shared" si="172"/>
        <v>117120.891603456</v>
      </c>
      <c r="Y359" s="627">
        <f t="shared" si="172"/>
        <v>119463.30943552512</v>
      </c>
      <c r="Z359" s="627">
        <f t="shared" si="172"/>
        <v>121852.57562423563</v>
      </c>
      <c r="AA359" s="627">
        <f t="shared" si="172"/>
        <v>124289.62713672036</v>
      </c>
    </row>
    <row r="360" spans="1:42" s="1" customFormat="1" outlineLevel="2">
      <c r="A360" s="6"/>
      <c r="B360" s="576" t="s">
        <v>836</v>
      </c>
      <c r="C360" s="150"/>
      <c r="D360" s="150"/>
      <c r="E360" s="3"/>
      <c r="F360" s="517"/>
      <c r="G360"/>
      <c r="H360"/>
      <c r="I360"/>
      <c r="J360" s="474"/>
      <c r="K360"/>
      <c r="L360" s="515">
        <f t="shared" si="171"/>
        <v>59280</v>
      </c>
      <c r="M360" s="515">
        <f t="shared" si="171"/>
        <v>59280</v>
      </c>
      <c r="N360" s="515">
        <f t="shared" si="171"/>
        <v>63180</v>
      </c>
      <c r="O360" s="515">
        <f t="shared" si="171"/>
        <v>63180</v>
      </c>
      <c r="P360" s="515">
        <f t="shared" si="171"/>
        <v>63180</v>
      </c>
      <c r="Q360" s="460"/>
      <c r="R360" s="627">
        <f t="shared" ref="R360:AA360" si="173">PRODUCT(R355,$D$583)</f>
        <v>66339</v>
      </c>
      <c r="S360" s="627">
        <f t="shared" si="173"/>
        <v>67665.78</v>
      </c>
      <c r="T360" s="627">
        <f t="shared" si="173"/>
        <v>69019.095600000001</v>
      </c>
      <c r="U360" s="627">
        <f t="shared" si="173"/>
        <v>70399.477512000012</v>
      </c>
      <c r="V360" s="627">
        <f t="shared" si="173"/>
        <v>71807.467062240015</v>
      </c>
      <c r="W360" s="627">
        <f t="shared" si="173"/>
        <v>0</v>
      </c>
      <c r="X360" s="627">
        <f t="shared" ca="1" si="173"/>
        <v>0</v>
      </c>
      <c r="Y360" s="627">
        <f t="shared" ca="1" si="173"/>
        <v>0</v>
      </c>
      <c r="Z360" s="627">
        <f t="shared" ca="1" si="173"/>
        <v>0</v>
      </c>
      <c r="AA360" s="627">
        <f t="shared" ca="1" si="173"/>
        <v>0</v>
      </c>
    </row>
    <row r="361" spans="1:42" s="1" customFormat="1" outlineLevel="2">
      <c r="A361" s="6"/>
      <c r="B361" s="1004" t="s">
        <v>433</v>
      </c>
      <c r="C361" s="150"/>
      <c r="D361" s="150"/>
      <c r="E361" s="3"/>
      <c r="F361" s="517"/>
      <c r="G361"/>
      <c r="H361"/>
      <c r="I361"/>
      <c r="J361" s="474"/>
      <c r="K361"/>
      <c r="L361" s="515">
        <f t="shared" si="171"/>
        <v>0</v>
      </c>
      <c r="M361" s="515">
        <f t="shared" si="171"/>
        <v>0</v>
      </c>
      <c r="N361" s="515">
        <f t="shared" si="171"/>
        <v>0</v>
      </c>
      <c r="O361" s="515">
        <f t="shared" si="171"/>
        <v>0</v>
      </c>
      <c r="P361" s="515">
        <f t="shared" si="171"/>
        <v>0</v>
      </c>
      <c r="Q361" s="460"/>
      <c r="R361" s="627">
        <f>PRODUCT(R356,$D$583)*($C$5&lt;&gt;"Downside")</f>
        <v>0</v>
      </c>
      <c r="S361" s="627">
        <f t="shared" ref="S361:AA361" si="174">PRODUCT(S356,$D$583)</f>
        <v>0</v>
      </c>
      <c r="T361" s="627">
        <f t="shared" si="174"/>
        <v>0</v>
      </c>
      <c r="U361" s="627">
        <f t="shared" si="174"/>
        <v>0</v>
      </c>
      <c r="V361" s="627">
        <f t="shared" si="174"/>
        <v>52000</v>
      </c>
      <c r="W361" s="627">
        <f t="shared" si="174"/>
        <v>53040</v>
      </c>
      <c r="X361" s="627">
        <f t="shared" si="174"/>
        <v>54100.800000000003</v>
      </c>
      <c r="Y361" s="627">
        <f t="shared" si="174"/>
        <v>55182.816000000006</v>
      </c>
      <c r="Z361" s="627">
        <f t="shared" si="174"/>
        <v>56286.472320000001</v>
      </c>
      <c r="AA361" s="627">
        <f t="shared" si="174"/>
        <v>57412.201766400001</v>
      </c>
    </row>
    <row r="362" spans="1:42" s="1" customFormat="1" outlineLevel="2">
      <c r="A362" s="6"/>
      <c r="B362" s="615" t="s">
        <v>26</v>
      </c>
      <c r="C362" s="583"/>
      <c r="D362" s="583"/>
      <c r="E362" s="583"/>
      <c r="G362" s="375"/>
      <c r="H362" s="375"/>
      <c r="I362" s="628"/>
      <c r="J362" s="572"/>
      <c r="L362" s="597">
        <f>SUM(L$359:L$361)</f>
        <v>163280</v>
      </c>
      <c r="M362" s="597">
        <f>SUM(M$359:M$361)</f>
        <v>163280</v>
      </c>
      <c r="N362" s="597">
        <f>SUM(N$359:N$361)</f>
        <v>167180</v>
      </c>
      <c r="O362" s="597">
        <f>SUM(O$359:O$361)</f>
        <v>167180</v>
      </c>
      <c r="P362" s="597">
        <f>SUM(P$359:P$361)</f>
        <v>167180</v>
      </c>
      <c r="Q362" s="460"/>
      <c r="R362" s="597">
        <f t="shared" ref="R362:AA362" si="175">SUM(R$359:R$361)</f>
        <v>170339</v>
      </c>
      <c r="S362" s="597">
        <f t="shared" si="175"/>
        <v>173745.78</v>
      </c>
      <c r="T362" s="597">
        <f t="shared" si="175"/>
        <v>177220.69560000001</v>
      </c>
      <c r="U362" s="597">
        <f t="shared" si="175"/>
        <v>180765.10951200002</v>
      </c>
      <c r="V362" s="597">
        <f t="shared" si="175"/>
        <v>236380.41170224</v>
      </c>
      <c r="W362" s="597">
        <f t="shared" si="175"/>
        <v>167864.4035328</v>
      </c>
      <c r="X362" s="597">
        <f t="shared" ca="1" si="175"/>
        <v>171221.69160345598</v>
      </c>
      <c r="Y362" s="597">
        <f t="shared" ca="1" si="175"/>
        <v>174646.12543552514</v>
      </c>
      <c r="Z362" s="597">
        <f t="shared" ca="1" si="175"/>
        <v>178139.04794423562</v>
      </c>
      <c r="AA362" s="597">
        <f t="shared" ca="1" si="175"/>
        <v>181701.82890312036</v>
      </c>
    </row>
    <row r="363" spans="1:42" s="1" customFormat="1" outlineLevel="2">
      <c r="A363" s="6"/>
      <c r="B363" s="562"/>
      <c r="C363" s="379"/>
      <c r="D363" s="379"/>
      <c r="E363" s="461"/>
      <c r="F363" s="517"/>
      <c r="G363" s="174"/>
      <c r="H363" s="174"/>
      <c r="I363" s="512"/>
      <c r="J363" s="474"/>
      <c r="K363"/>
      <c r="L363" s="515"/>
      <c r="M363" s="515"/>
      <c r="N363" s="515"/>
      <c r="O363" s="515"/>
      <c r="P363" s="454"/>
      <c r="Q363" s="460"/>
      <c r="R363" s="460"/>
    </row>
    <row r="364" spans="1:42" s="1" customFormat="1" outlineLevel="2">
      <c r="A364" s="6"/>
      <c r="B364" s="599" t="s">
        <v>337</v>
      </c>
      <c r="C364" s="379"/>
      <c r="D364" s="379"/>
      <c r="E364" s="461"/>
      <c r="F364" s="517"/>
      <c r="G364" s="174"/>
      <c r="H364" s="174"/>
      <c r="I364" s="512"/>
      <c r="J364" s="474"/>
      <c r="K364" s="454"/>
      <c r="P364" s="454"/>
      <c r="Q364" s="460"/>
      <c r="R364" s="460"/>
    </row>
    <row r="365" spans="1:42" s="1" customFormat="1" outlineLevel="2">
      <c r="A365" s="6"/>
      <c r="B365" s="153" t="s">
        <v>551</v>
      </c>
      <c r="C365" s="379"/>
      <c r="D365" s="379"/>
      <c r="E365" s="461"/>
      <c r="F365" s="517"/>
      <c r="G365" s="174"/>
      <c r="H365" s="174"/>
      <c r="I365" s="512"/>
      <c r="J365" s="474"/>
      <c r="K365" s="454"/>
      <c r="L365" s="531">
        <v>0</v>
      </c>
      <c r="M365" s="531">
        <v>0</v>
      </c>
      <c r="N365" s="531">
        <v>0</v>
      </c>
      <c r="O365" s="531">
        <v>0</v>
      </c>
      <c r="P365" s="531">
        <v>0</v>
      </c>
      <c r="Q365" s="460"/>
      <c r="R365" s="531">
        <v>0</v>
      </c>
      <c r="S365" s="531">
        <v>0</v>
      </c>
      <c r="T365" s="531">
        <v>0</v>
      </c>
      <c r="U365" s="531">
        <v>0</v>
      </c>
      <c r="V365" s="531">
        <v>0</v>
      </c>
      <c r="W365" s="531">
        <v>0</v>
      </c>
      <c r="X365" s="531">
        <v>0</v>
      </c>
      <c r="Y365" s="531">
        <v>0</v>
      </c>
      <c r="Z365" s="531">
        <v>0</v>
      </c>
      <c r="AA365" s="531">
        <v>0</v>
      </c>
    </row>
    <row r="366" spans="1:42" s="1" customFormat="1" outlineLevel="2">
      <c r="A366" s="6"/>
      <c r="B366" s="153" t="s">
        <v>836</v>
      </c>
      <c r="C366" s="379"/>
      <c r="D366" s="379"/>
      <c r="E366" s="461"/>
      <c r="F366" s="517"/>
      <c r="G366" s="174"/>
      <c r="H366" s="174"/>
      <c r="I366" s="512"/>
      <c r="J366" s="474"/>
      <c r="K366" s="454"/>
      <c r="L366" s="454">
        <v>16640</v>
      </c>
      <c r="M366" s="454">
        <v>14820</v>
      </c>
      <c r="N366" s="454">
        <v>13290</v>
      </c>
      <c r="O366" s="454">
        <v>15795</v>
      </c>
      <c r="P366" s="515">
        <f>O366</f>
        <v>15795</v>
      </c>
      <c r="Q366" s="460"/>
      <c r="R366" s="515">
        <f t="shared" ref="R366:AA366" si="176">PRODUCT(R$387,R$360)</f>
        <v>15921.359999999999</v>
      </c>
      <c r="S366" s="515">
        <f t="shared" si="176"/>
        <v>16239.787199999999</v>
      </c>
      <c r="T366" s="515">
        <f t="shared" si="176"/>
        <v>16564.582943999998</v>
      </c>
      <c r="U366" s="515">
        <f t="shared" si="176"/>
        <v>16895.874602880001</v>
      </c>
      <c r="V366" s="515">
        <f t="shared" si="176"/>
        <v>17233.792094937602</v>
      </c>
      <c r="W366" s="515">
        <f t="shared" si="176"/>
        <v>0</v>
      </c>
      <c r="X366" s="515">
        <f t="shared" ca="1" si="176"/>
        <v>0</v>
      </c>
      <c r="Y366" s="515">
        <f t="shared" ca="1" si="176"/>
        <v>0</v>
      </c>
      <c r="Z366" s="515">
        <f t="shared" ca="1" si="176"/>
        <v>0</v>
      </c>
      <c r="AA366" s="515">
        <f t="shared" ca="1" si="176"/>
        <v>0</v>
      </c>
    </row>
    <row r="367" spans="1:42" s="1" customFormat="1" outlineLevel="2">
      <c r="A367" s="6"/>
      <c r="B367" s="667" t="s">
        <v>433</v>
      </c>
      <c r="C367" s="379"/>
      <c r="D367" s="379"/>
      <c r="E367" s="461"/>
      <c r="F367" s="517"/>
      <c r="G367" s="174"/>
      <c r="H367" s="174"/>
      <c r="I367" s="512"/>
      <c r="J367" s="474"/>
      <c r="K367" s="454"/>
      <c r="L367" s="531">
        <v>0</v>
      </c>
      <c r="M367" s="531">
        <v>0</v>
      </c>
      <c r="N367" s="531">
        <v>0</v>
      </c>
      <c r="O367" s="531">
        <v>0</v>
      </c>
      <c r="P367" s="531">
        <v>0</v>
      </c>
      <c r="Q367" s="460"/>
      <c r="R367" s="515">
        <f t="shared" ref="R367:AA367" si="177">PRODUCT(R$388,R$361)</f>
        <v>0</v>
      </c>
      <c r="S367" s="515">
        <f t="shared" si="177"/>
        <v>0</v>
      </c>
      <c r="T367" s="515">
        <f t="shared" si="177"/>
        <v>0</v>
      </c>
      <c r="U367" s="515">
        <f t="shared" si="177"/>
        <v>0</v>
      </c>
      <c r="V367" s="515">
        <f t="shared" si="177"/>
        <v>2600</v>
      </c>
      <c r="W367" s="515">
        <f t="shared" si="177"/>
        <v>2652</v>
      </c>
      <c r="X367" s="515">
        <f t="shared" si="177"/>
        <v>2705.0400000000004</v>
      </c>
      <c r="Y367" s="515">
        <f t="shared" si="177"/>
        <v>2759.1408000000006</v>
      </c>
      <c r="Z367" s="515">
        <f t="shared" si="177"/>
        <v>2814.3236160000001</v>
      </c>
      <c r="AA367" s="515">
        <f t="shared" si="177"/>
        <v>2870.6100883200002</v>
      </c>
    </row>
    <row r="368" spans="1:42" s="1" customFormat="1" outlineLevel="2">
      <c r="A368" s="6"/>
      <c r="B368" s="615" t="s">
        <v>26</v>
      </c>
      <c r="C368" s="583"/>
      <c r="D368" s="583"/>
      <c r="E368" s="583"/>
      <c r="G368" s="375"/>
      <c r="H368" s="375"/>
      <c r="I368" s="628"/>
      <c r="J368" s="572"/>
      <c r="K368" s="455"/>
      <c r="L368" s="597">
        <f>SUM(L$365:L$367)</f>
        <v>16640</v>
      </c>
      <c r="M368" s="597">
        <f>SUM(M$365:M$367)</f>
        <v>14820</v>
      </c>
      <c r="N368" s="597">
        <f>SUM(N$365:N$367)</f>
        <v>13290</v>
      </c>
      <c r="O368" s="597">
        <f>SUM(O$365:O$367)</f>
        <v>15795</v>
      </c>
      <c r="P368" s="597">
        <f>SUM(P$365:P$367)</f>
        <v>15795</v>
      </c>
      <c r="R368" s="597">
        <f t="shared" ref="R368:AA368" si="178">SUM(R$365:R$367)*($C$5&lt;&gt;"Downside")</f>
        <v>15921.359999999999</v>
      </c>
      <c r="S368" s="597">
        <f t="shared" si="178"/>
        <v>16239.787199999999</v>
      </c>
      <c r="T368" s="597">
        <f t="shared" si="178"/>
        <v>16564.582943999998</v>
      </c>
      <c r="U368" s="597">
        <f t="shared" si="178"/>
        <v>16895.874602880001</v>
      </c>
      <c r="V368" s="597">
        <f t="shared" si="178"/>
        <v>19833.792094937602</v>
      </c>
      <c r="W368" s="597">
        <f t="shared" si="178"/>
        <v>2652</v>
      </c>
      <c r="X368" s="597">
        <f t="shared" ca="1" si="178"/>
        <v>2705.0400000000004</v>
      </c>
      <c r="Y368" s="597">
        <f t="shared" ca="1" si="178"/>
        <v>2759.1408000000006</v>
      </c>
      <c r="Z368" s="597">
        <f t="shared" ca="1" si="178"/>
        <v>2814.3236160000001</v>
      </c>
      <c r="AA368" s="597">
        <f t="shared" ca="1" si="178"/>
        <v>2870.6100883200002</v>
      </c>
    </row>
    <row r="369" spans="1:42" s="1" customFormat="1" outlineLevel="2">
      <c r="A369" s="6"/>
      <c r="B369" s="1390" t="s">
        <v>812</v>
      </c>
      <c r="C369" s="379"/>
      <c r="D369" s="379"/>
      <c r="E369" s="379"/>
      <c r="F369" s="571"/>
      <c r="G369" s="572"/>
      <c r="H369" s="572"/>
      <c r="I369" s="572"/>
      <c r="J369" s="572"/>
      <c r="L369" s="794"/>
      <c r="M369" s="794"/>
      <c r="N369" s="794"/>
      <c r="O369" s="794"/>
      <c r="P369" s="794"/>
      <c r="Q369" s="460"/>
      <c r="R369" s="1391">
        <f t="shared" ref="R369:AA369" si="179">PRODUCT((1-R$389),(SUM(R$365:R$367)))*($C$5="Downside")</f>
        <v>0</v>
      </c>
      <c r="S369" s="1391">
        <f t="shared" si="179"/>
        <v>0</v>
      </c>
      <c r="T369" s="1391">
        <f t="shared" si="179"/>
        <v>0</v>
      </c>
      <c r="U369" s="1391">
        <f t="shared" si="179"/>
        <v>0</v>
      </c>
      <c r="V369" s="1391">
        <f t="shared" si="179"/>
        <v>0</v>
      </c>
      <c r="W369" s="1391">
        <f t="shared" si="179"/>
        <v>0</v>
      </c>
      <c r="X369" s="1391">
        <f t="shared" ca="1" si="179"/>
        <v>0</v>
      </c>
      <c r="Y369" s="1391">
        <f t="shared" ca="1" si="179"/>
        <v>0</v>
      </c>
      <c r="Z369" s="1391">
        <f t="shared" ca="1" si="179"/>
        <v>0</v>
      </c>
      <c r="AA369" s="1391">
        <f t="shared" ca="1" si="179"/>
        <v>0</v>
      </c>
    </row>
    <row r="370" spans="1:42" s="3" customFormat="1" ht="15" outlineLevel="2" thickBot="1">
      <c r="A370" s="168"/>
      <c r="B370" s="570"/>
      <c r="C370" s="449"/>
      <c r="D370" s="449"/>
      <c r="E370" s="449"/>
      <c r="G370" s="207"/>
      <c r="H370" s="207"/>
      <c r="I370" s="563"/>
      <c r="J370" s="484"/>
      <c r="K370" s="454"/>
      <c r="L370" s="817"/>
      <c r="M370" s="817"/>
      <c r="N370" s="817"/>
      <c r="O370" s="817"/>
      <c r="P370" s="817"/>
      <c r="Q370"/>
      <c r="R370" s="817"/>
      <c r="S370" s="817"/>
      <c r="T370" s="817"/>
      <c r="U370" s="817"/>
      <c r="V370" s="817"/>
      <c r="W370" s="817"/>
      <c r="X370" s="817"/>
      <c r="Y370" s="817"/>
      <c r="Z370" s="817"/>
      <c r="AA370" s="817"/>
    </row>
    <row r="371" spans="1:42" s="1" customFormat="1" ht="15" outlineLevel="2" thickTop="1">
      <c r="A371" s="6"/>
      <c r="B371" s="466" t="s">
        <v>487</v>
      </c>
      <c r="C371" s="379"/>
      <c r="D371" s="379"/>
      <c r="E371" s="379"/>
      <c r="G371" s="375"/>
      <c r="H371" s="375"/>
      <c r="I371" s="628"/>
      <c r="J371" s="572"/>
      <c r="K371" s="455"/>
      <c r="L371" s="794">
        <f>SUM(L$362,L$368)</f>
        <v>179920</v>
      </c>
      <c r="M371" s="794">
        <f>SUM(M$362,M$368)</f>
        <v>178100</v>
      </c>
      <c r="N371" s="794">
        <f>SUM(N$362,N$368)</f>
        <v>180470</v>
      </c>
      <c r="O371" s="794">
        <f>SUM(O$362,O$368)</f>
        <v>182975</v>
      </c>
      <c r="P371" s="794">
        <f>SUM(P$362,P$368)</f>
        <v>182975</v>
      </c>
      <c r="R371" s="794">
        <f>SUM(R$362,SUM(R$368:R$369))</f>
        <v>186260.36</v>
      </c>
      <c r="S371" s="794">
        <f t="shared" ref="S371:AA371" si="180">SUM(S$362,SUM(S$368:S$369))</f>
        <v>189985.56719999999</v>
      </c>
      <c r="T371" s="794">
        <f t="shared" si="180"/>
        <v>193785.278544</v>
      </c>
      <c r="U371" s="794">
        <f t="shared" si="180"/>
        <v>197660.98411488003</v>
      </c>
      <c r="V371" s="794">
        <f t="shared" si="180"/>
        <v>256214.20379717762</v>
      </c>
      <c r="W371" s="794">
        <f t="shared" si="180"/>
        <v>170516.4035328</v>
      </c>
      <c r="X371" s="794">
        <f t="shared" ca="1" si="180"/>
        <v>173926.73160345599</v>
      </c>
      <c r="Y371" s="794">
        <f t="shared" ca="1" si="180"/>
        <v>177405.26623552514</v>
      </c>
      <c r="Z371" s="794">
        <f t="shared" ca="1" si="180"/>
        <v>180953.37156023562</v>
      </c>
      <c r="AA371" s="794">
        <f t="shared" ca="1" si="180"/>
        <v>184572.43899144037</v>
      </c>
    </row>
    <row r="372" spans="1:42" s="3" customFormat="1" outlineLevel="2">
      <c r="A372" s="168"/>
      <c r="B372" s="546" t="s">
        <v>385</v>
      </c>
      <c r="C372" s="150"/>
      <c r="D372" s="150"/>
      <c r="E372" s="150"/>
      <c r="F372" s="442"/>
      <c r="G372" s="484"/>
      <c r="H372" s="484"/>
      <c r="I372" s="484"/>
      <c r="J372" s="484"/>
      <c r="L372" s="490">
        <f>(L$371/$B$10)/L$51</f>
        <v>6.0447564627020514E-2</v>
      </c>
      <c r="M372" s="490">
        <f>(M$371/$B$10)/M$51</f>
        <v>6.6492266027305513E-2</v>
      </c>
      <c r="N372" s="490">
        <f>(N$371/$B$10)/N$51</f>
        <v>6.4757654873671078E-2</v>
      </c>
      <c r="O372" s="490">
        <f>(O$371/$B$10)/O$51</f>
        <v>6.6339155419797499E-2</v>
      </c>
      <c r="P372" s="490">
        <f>(P$371/$B$10)/P$51</f>
        <v>6.605736367669926E-2</v>
      </c>
      <c r="Q372" s="485"/>
      <c r="R372" s="490">
        <f t="shared" ref="R372:AA372" ca="1" si="181">(R$371/$B$10)/R$51</f>
        <v>6.5683457368695436E-2</v>
      </c>
      <c r="S372" s="490">
        <f t="shared" ca="1" si="181"/>
        <v>6.5442858623755137E-2</v>
      </c>
      <c r="T372" s="490">
        <f t="shared" ca="1" si="181"/>
        <v>6.5203141192898911E-2</v>
      </c>
      <c r="U372" s="490">
        <f t="shared" ca="1" si="181"/>
        <v>6.4964301847869985E-2</v>
      </c>
      <c r="V372" s="490">
        <f t="shared" ca="1" si="181"/>
        <v>8.225515207856253E-2</v>
      </c>
      <c r="W372" s="490">
        <f t="shared" ca="1" si="181"/>
        <v>5.3472705334666575E-2</v>
      </c>
      <c r="X372" s="490">
        <f t="shared" ca="1" si="181"/>
        <v>5.3276834619154979E-2</v>
      </c>
      <c r="Y372" s="490">
        <f t="shared" ca="1" si="181"/>
        <v>5.3081681378791781E-2</v>
      </c>
      <c r="Z372" s="490">
        <f t="shared" ca="1" si="181"/>
        <v>5.2887242985462879E-2</v>
      </c>
      <c r="AA372" s="490">
        <f t="shared" ca="1" si="181"/>
        <v>5.269351682068097E-2</v>
      </c>
    </row>
    <row r="373" spans="1:42" s="3" customFormat="1" outlineLevel="2">
      <c r="A373" s="168"/>
      <c r="B373" s="546"/>
      <c r="C373" s="150"/>
      <c r="D373" s="150"/>
      <c r="E373" s="150"/>
      <c r="F373" s="442"/>
      <c r="G373" s="484"/>
      <c r="H373" s="484"/>
      <c r="I373" s="484"/>
      <c r="J373" s="484"/>
      <c r="L373" s="490"/>
      <c r="M373" s="490"/>
      <c r="N373" s="490"/>
      <c r="O373" s="490"/>
      <c r="P373" s="490"/>
      <c r="Q373" s="485"/>
      <c r="R373" s="490"/>
      <c r="S373" s="490"/>
      <c r="T373" s="490"/>
      <c r="U373" s="490"/>
      <c r="V373" s="490"/>
      <c r="W373" s="490"/>
      <c r="X373" s="490"/>
      <c r="Y373" s="490"/>
      <c r="Z373" s="490"/>
      <c r="AA373" s="490"/>
    </row>
    <row r="374" spans="1:42" s="1" customFormat="1" outlineLevel="2">
      <c r="A374" s="6"/>
      <c r="B374" s="599" t="s">
        <v>373</v>
      </c>
      <c r="P374" s="454"/>
      <c r="Q374" s="460"/>
      <c r="R374" s="460"/>
    </row>
    <row r="375" spans="1:42" s="1" customFormat="1" outlineLevel="2">
      <c r="A375" s="6"/>
      <c r="B375" s="153" t="s">
        <v>551</v>
      </c>
      <c r="L375" s="515">
        <f>PRODUCT(L$391,SUM(L359,L365))</f>
        <v>7736.5205479452052</v>
      </c>
      <c r="M375" s="515">
        <f>PRODUCT(M$391,SUM(M359,M365))</f>
        <v>8281.894736842105</v>
      </c>
      <c r="N375" s="515">
        <f>PRODUCT(N$391,SUM(N359,N365))</f>
        <v>8656.1265855891215</v>
      </c>
      <c r="O375" s="515">
        <f>PRODUCT(O$391,SUM(O359,O365))</f>
        <v>8804.2271604938269</v>
      </c>
      <c r="P375" s="515">
        <f>PRODUCT(P$391,SUM(P359,P365))</f>
        <v>9963.1999999999989</v>
      </c>
      <c r="Q375" s="460"/>
      <c r="R375" s="515">
        <f t="shared" ref="R375:AA375" si="182">PRODUCT(R$391,SUM(R359,R365))</f>
        <v>9360</v>
      </c>
      <c r="S375" s="515">
        <f t="shared" si="182"/>
        <v>9547.1999999999989</v>
      </c>
      <c r="T375" s="515">
        <f t="shared" si="182"/>
        <v>9738.1440000000002</v>
      </c>
      <c r="U375" s="515">
        <f t="shared" si="182"/>
        <v>9932.9068800000005</v>
      </c>
      <c r="V375" s="515">
        <f t="shared" si="182"/>
        <v>10131.5650176</v>
      </c>
      <c r="W375" s="515">
        <f t="shared" si="182"/>
        <v>10334.196317952001</v>
      </c>
      <c r="X375" s="515">
        <f t="shared" si="182"/>
        <v>10540.88024431104</v>
      </c>
      <c r="Y375" s="515">
        <f t="shared" si="182"/>
        <v>10751.69784919726</v>
      </c>
      <c r="Z375" s="515">
        <f t="shared" si="182"/>
        <v>10966.731806181206</v>
      </c>
      <c r="AA375" s="515">
        <f t="shared" si="182"/>
        <v>11186.066442304831</v>
      </c>
    </row>
    <row r="376" spans="1:42" s="1" customFormat="1" outlineLevel="2">
      <c r="A376" s="6"/>
      <c r="B376" s="153" t="s">
        <v>836</v>
      </c>
      <c r="L376" s="454">
        <v>5647.66</v>
      </c>
      <c r="M376" s="454">
        <v>5900.8499999999995</v>
      </c>
      <c r="N376" s="454">
        <v>6364.7500000000009</v>
      </c>
      <c r="O376" s="454">
        <v>6685.7099999999991</v>
      </c>
      <c r="P376" s="515">
        <f>PRODUCT(P$391,SUM(P360,P366))</f>
        <v>7565.8049999999994</v>
      </c>
      <c r="Q376" s="460"/>
      <c r="R376" s="515">
        <f t="shared" ref="R376:AA376" si="183">PRODUCT(R$391,SUM(R360,R366))</f>
        <v>7403.4323999999997</v>
      </c>
      <c r="S376" s="515">
        <f t="shared" si="183"/>
        <v>7551.5010479999992</v>
      </c>
      <c r="T376" s="515">
        <f t="shared" si="183"/>
        <v>7702.5310689599992</v>
      </c>
      <c r="U376" s="515">
        <f t="shared" si="183"/>
        <v>7856.5816903392015</v>
      </c>
      <c r="V376" s="515">
        <f t="shared" si="183"/>
        <v>8013.7133241459851</v>
      </c>
      <c r="W376" s="515">
        <f t="shared" si="183"/>
        <v>0</v>
      </c>
      <c r="X376" s="515">
        <f t="shared" ca="1" si="183"/>
        <v>0</v>
      </c>
      <c r="Y376" s="515">
        <f t="shared" ca="1" si="183"/>
        <v>0</v>
      </c>
      <c r="Z376" s="515">
        <f t="shared" ca="1" si="183"/>
        <v>0</v>
      </c>
      <c r="AA376" s="515">
        <f t="shared" ca="1" si="183"/>
        <v>0</v>
      </c>
    </row>
    <row r="377" spans="1:42" s="1" customFormat="1" outlineLevel="2">
      <c r="A377" s="6"/>
      <c r="B377" s="667" t="s">
        <v>433</v>
      </c>
      <c r="L377" s="531">
        <v>0</v>
      </c>
      <c r="M377" s="531">
        <v>0</v>
      </c>
      <c r="N377" s="531">
        <v>0</v>
      </c>
      <c r="O377" s="531">
        <v>0</v>
      </c>
      <c r="P377" s="531">
        <v>0</v>
      </c>
      <c r="Q377" s="460"/>
      <c r="R377" s="515">
        <f t="shared" ref="R377:AA377" si="184">PRODUCT(R$391,SUM(R361,R367))</f>
        <v>0</v>
      </c>
      <c r="S377" s="515">
        <f t="shared" si="184"/>
        <v>0</v>
      </c>
      <c r="T377" s="515">
        <f t="shared" si="184"/>
        <v>0</v>
      </c>
      <c r="U377" s="515">
        <f t="shared" si="184"/>
        <v>0</v>
      </c>
      <c r="V377" s="515">
        <f t="shared" si="184"/>
        <v>4914</v>
      </c>
      <c r="W377" s="515">
        <f t="shared" si="184"/>
        <v>5012.28</v>
      </c>
      <c r="X377" s="515">
        <f t="shared" si="184"/>
        <v>5112.5255999999999</v>
      </c>
      <c r="Y377" s="515">
        <f t="shared" si="184"/>
        <v>5214.7761120000005</v>
      </c>
      <c r="Z377" s="515">
        <f t="shared" si="184"/>
        <v>5319.0716342400001</v>
      </c>
      <c r="AA377" s="515">
        <f t="shared" si="184"/>
        <v>5425.4530669247997</v>
      </c>
    </row>
    <row r="378" spans="1:42" s="1" customFormat="1" outlineLevel="2">
      <c r="A378" s="6"/>
      <c r="B378" s="615" t="s">
        <v>26</v>
      </c>
      <c r="C378" s="583"/>
      <c r="D378" s="583"/>
      <c r="E378" s="583"/>
      <c r="L378" s="597">
        <f>SUM(L$375:L$377)</f>
        <v>13384.180547945205</v>
      </c>
      <c r="M378" s="597">
        <f t="shared" ref="M378:P378" si="185">SUM(M$375:M$377)</f>
        <v>14182.744736842105</v>
      </c>
      <c r="N378" s="597">
        <f t="shared" si="185"/>
        <v>15020.876585589122</v>
      </c>
      <c r="O378" s="597">
        <f t="shared" si="185"/>
        <v>15489.937160493826</v>
      </c>
      <c r="P378" s="597">
        <f t="shared" si="185"/>
        <v>17529.004999999997</v>
      </c>
      <c r="Q378" s="460"/>
      <c r="R378" s="597">
        <f t="shared" ref="R378:AA378" si="186">SUM(R$375:R$377)</f>
        <v>16763.432399999998</v>
      </c>
      <c r="S378" s="597">
        <f t="shared" si="186"/>
        <v>17098.701047999999</v>
      </c>
      <c r="T378" s="597">
        <f t="shared" si="186"/>
        <v>17440.675068960001</v>
      </c>
      <c r="U378" s="597">
        <f t="shared" si="186"/>
        <v>17789.488570339203</v>
      </c>
      <c r="V378" s="597">
        <f t="shared" si="186"/>
        <v>23059.278341745987</v>
      </c>
      <c r="W378" s="597">
        <f t="shared" si="186"/>
        <v>15346.476317952001</v>
      </c>
      <c r="X378" s="597">
        <f t="shared" ca="1" si="186"/>
        <v>15653.405844311041</v>
      </c>
      <c r="Y378" s="597">
        <f t="shared" ca="1" si="186"/>
        <v>15966.473961197262</v>
      </c>
      <c r="Z378" s="597">
        <f t="shared" ca="1" si="186"/>
        <v>16285.803440421205</v>
      </c>
      <c r="AA378" s="597">
        <f t="shared" ca="1" si="186"/>
        <v>16611.519509229631</v>
      </c>
    </row>
    <row r="379" spans="1:42" s="1" customFormat="1" outlineLevel="2">
      <c r="A379" s="6"/>
      <c r="B379" s="462"/>
      <c r="C379" s="379"/>
      <c r="D379" s="379"/>
      <c r="E379" s="461"/>
      <c r="F379" s="517"/>
      <c r="G379" s="174"/>
      <c r="H379" s="174"/>
      <c r="I379" s="512"/>
      <c r="J379" s="474"/>
      <c r="K379" s="454"/>
      <c r="L379" s="454"/>
      <c r="M379" s="454"/>
      <c r="N379" s="454"/>
      <c r="O379" s="454"/>
      <c r="P379" s="454"/>
      <c r="Q379" s="460"/>
      <c r="R379" s="460"/>
    </row>
    <row r="380" spans="1:42" outlineLevel="2">
      <c r="B380" s="852" t="str">
        <f>_xlfn.CONCAT($B$344," Assumptions")</f>
        <v>Administrative Labor Assumptions</v>
      </c>
      <c r="C380" s="853"/>
      <c r="D380" s="853"/>
      <c r="E380" s="853"/>
      <c r="F380" s="853"/>
      <c r="G380" s="853"/>
      <c r="H380" s="853"/>
      <c r="I380" s="853"/>
      <c r="J380" s="853"/>
      <c r="K380" s="853"/>
      <c r="L380" s="853"/>
      <c r="M380" s="853"/>
      <c r="N380" s="853"/>
      <c r="O380" s="853"/>
      <c r="P380" s="854"/>
      <c r="Q380" s="854"/>
      <c r="R380" s="854"/>
      <c r="S380" s="854"/>
      <c r="T380" s="854"/>
      <c r="U380" s="854"/>
      <c r="V380" s="854"/>
      <c r="W380" s="854"/>
      <c r="X380" s="854"/>
      <c r="Y380" s="854"/>
      <c r="Z380" s="854"/>
      <c r="AA380" s="854"/>
      <c r="AC380" s="517"/>
      <c r="AD380" s="517"/>
      <c r="AE380" s="517"/>
      <c r="AF380" s="517"/>
      <c r="AG380" s="517"/>
      <c r="AH380" s="517"/>
      <c r="AI380" s="517"/>
      <c r="AJ380" s="517"/>
      <c r="AK380" s="517"/>
      <c r="AL380" s="517"/>
      <c r="AM380" s="517"/>
      <c r="AN380" s="517"/>
      <c r="AO380" s="517"/>
      <c r="AP380" s="517"/>
    </row>
    <row r="381" spans="1:42" s="1" customFormat="1" ht="7.5" customHeight="1" outlineLevel="2">
      <c r="A381" s="6"/>
      <c r="B381" s="462"/>
      <c r="C381" s="379"/>
      <c r="D381" s="379"/>
      <c r="E381" s="461"/>
      <c r="F381" s="517"/>
      <c r="G381" s="174"/>
      <c r="H381" s="174"/>
      <c r="I381" s="512"/>
      <c r="J381" s="474"/>
      <c r="K381" s="454"/>
      <c r="L381" s="454"/>
      <c r="M381" s="454"/>
      <c r="N381" s="454"/>
      <c r="O381" s="454"/>
      <c r="P381" s="454"/>
      <c r="Q381" s="460"/>
      <c r="R381" s="460"/>
    </row>
    <row r="382" spans="1:42" s="1" customFormat="1" outlineLevel="2">
      <c r="A382" s="6"/>
      <c r="B382" s="972" t="s">
        <v>601</v>
      </c>
      <c r="C382" s="379"/>
      <c r="D382" s="379"/>
      <c r="E382" s="461"/>
      <c r="F382" s="517"/>
      <c r="G382" s="174"/>
      <c r="H382" s="174"/>
      <c r="I382" s="512"/>
      <c r="J382" s="474"/>
      <c r="K382" s="454"/>
      <c r="L382" s="454"/>
      <c r="M382" s="454"/>
      <c r="N382" s="454"/>
      <c r="O382" s="454"/>
      <c r="P382" s="454"/>
      <c r="Q382" s="460"/>
      <c r="R382" s="460"/>
    </row>
    <row r="383" spans="1:42" s="1" customFormat="1" outlineLevel="2">
      <c r="A383" s="6"/>
      <c r="B383" s="153" t="s">
        <v>551</v>
      </c>
      <c r="C383" s="3"/>
      <c r="D383" s="379"/>
      <c r="E383" s="461"/>
      <c r="F383" s="517"/>
      <c r="G383" s="174"/>
      <c r="H383" s="174"/>
      <c r="I383" s="512"/>
      <c r="J383" s="474"/>
      <c r="K383" s="454"/>
      <c r="L383" s="561"/>
      <c r="M383" s="588">
        <v>0</v>
      </c>
      <c r="N383" s="588">
        <v>0</v>
      </c>
      <c r="O383" s="588">
        <v>0</v>
      </c>
      <c r="P383" s="588">
        <v>0</v>
      </c>
      <c r="Q383" s="460"/>
      <c r="R383" s="1005">
        <v>0</v>
      </c>
      <c r="S383" s="588">
        <v>0.02</v>
      </c>
      <c r="T383" s="588">
        <v>0.02</v>
      </c>
      <c r="U383" s="588">
        <v>0.02</v>
      </c>
      <c r="V383" s="588">
        <v>0.02</v>
      </c>
      <c r="W383" s="588">
        <v>0.02</v>
      </c>
      <c r="X383" s="588">
        <v>0.02</v>
      </c>
      <c r="Y383" s="588">
        <v>0.02</v>
      </c>
      <c r="Z383" s="588">
        <v>0.02</v>
      </c>
      <c r="AA383" s="588">
        <v>0.02</v>
      </c>
    </row>
    <row r="384" spans="1:42" s="1" customFormat="1" outlineLevel="2">
      <c r="A384" s="6"/>
      <c r="B384" s="153" t="s">
        <v>836</v>
      </c>
      <c r="C384" s="3"/>
      <c r="D384" s="379"/>
      <c r="E384" s="461"/>
      <c r="F384" s="517"/>
      <c r="G384" s="174"/>
      <c r="H384" s="174"/>
      <c r="I384" s="512"/>
      <c r="J384" s="474"/>
      <c r="K384" s="454"/>
      <c r="L384" s="561"/>
      <c r="M384" s="561">
        <f>((M355-L355)/L355)</f>
        <v>0</v>
      </c>
      <c r="N384" s="561">
        <f>((N355-M355)/M355)</f>
        <v>6.5789473684210523E-2</v>
      </c>
      <c r="O384" s="561">
        <f>((O355-N355)/N355)</f>
        <v>0</v>
      </c>
      <c r="P384" s="561">
        <f>((P355-O355)/O355)</f>
        <v>0</v>
      </c>
      <c r="Q384" s="460"/>
      <c r="R384" s="588">
        <v>0.05</v>
      </c>
      <c r="S384" s="588">
        <v>0.02</v>
      </c>
      <c r="T384" s="588">
        <v>0.02</v>
      </c>
      <c r="U384" s="588">
        <v>0.02</v>
      </c>
      <c r="V384" s="588">
        <v>0.02</v>
      </c>
      <c r="W384" s="588">
        <v>0</v>
      </c>
      <c r="X384" s="588">
        <v>0</v>
      </c>
      <c r="Y384" s="588">
        <v>0</v>
      </c>
      <c r="Z384" s="588">
        <v>0</v>
      </c>
      <c r="AA384" s="588">
        <v>0</v>
      </c>
    </row>
    <row r="385" spans="1:42" s="1" customFormat="1" outlineLevel="2">
      <c r="A385" s="6"/>
      <c r="B385" s="667" t="s">
        <v>433</v>
      </c>
      <c r="C385" s="3"/>
      <c r="D385" s="379"/>
      <c r="E385" s="461"/>
      <c r="F385" s="517"/>
      <c r="G385" s="174"/>
      <c r="H385" s="174"/>
      <c r="I385" s="512"/>
      <c r="J385" s="474"/>
      <c r="K385" s="454"/>
      <c r="L385" s="561"/>
      <c r="M385" s="561">
        <v>0</v>
      </c>
      <c r="N385" s="561">
        <v>0</v>
      </c>
      <c r="O385" s="561">
        <v>0</v>
      </c>
      <c r="P385" s="561">
        <v>0</v>
      </c>
      <c r="Q385" s="460"/>
      <c r="R385" s="588">
        <v>0</v>
      </c>
      <c r="S385" s="588">
        <v>0</v>
      </c>
      <c r="T385" s="588">
        <v>0</v>
      </c>
      <c r="U385" s="588">
        <v>0</v>
      </c>
      <c r="V385" s="588">
        <v>0</v>
      </c>
      <c r="W385" s="588">
        <v>0.02</v>
      </c>
      <c r="X385" s="588">
        <v>0.02</v>
      </c>
      <c r="Y385" s="588">
        <v>0.02</v>
      </c>
      <c r="Z385" s="588">
        <v>0.02</v>
      </c>
      <c r="AA385" s="588">
        <v>0.02</v>
      </c>
    </row>
    <row r="386" spans="1:42" s="1" customFormat="1" ht="5" customHeight="1" outlineLevel="2">
      <c r="A386" s="6"/>
      <c r="B386" s="824"/>
      <c r="C386" s="3"/>
      <c r="D386" s="379"/>
      <c r="E386" s="461"/>
      <c r="F386" s="517"/>
      <c r="G386" s="174"/>
      <c r="H386" s="174"/>
      <c r="I386" s="512"/>
      <c r="J386" s="474"/>
      <c r="K386" s="454"/>
      <c r="L386" s="454"/>
      <c r="M386" s="454"/>
      <c r="N386" s="454"/>
      <c r="O386" s="454"/>
      <c r="P386" s="454"/>
      <c r="Q386" s="460"/>
      <c r="R386" s="460"/>
    </row>
    <row r="387" spans="1:42" s="1" customFormat="1" outlineLevel="2">
      <c r="A387" s="6"/>
      <c r="B387" s="541" t="s">
        <v>403</v>
      </c>
      <c r="C387" s="564"/>
      <c r="D387" s="564"/>
      <c r="E387" s="565"/>
      <c r="F387" s="363"/>
      <c r="G387" s="566"/>
      <c r="H387" s="566"/>
      <c r="I387" s="567"/>
      <c r="J387" s="568"/>
      <c r="K387"/>
      <c r="L387" s="561">
        <f>L$366/L$360</f>
        <v>0.2807017543859649</v>
      </c>
      <c r="M387" s="561">
        <f>M366/M360</f>
        <v>0.25</v>
      </c>
      <c r="N387" s="561">
        <f>N366/N360</f>
        <v>0.21035137701804368</v>
      </c>
      <c r="O387" s="561">
        <f>O366/O360</f>
        <v>0.25</v>
      </c>
      <c r="P387" s="561">
        <f>P366/P360</f>
        <v>0.25</v>
      </c>
      <c r="Q387" s="460"/>
      <c r="R387" s="588">
        <v>0.24</v>
      </c>
      <c r="S387" s="588">
        <v>0.24</v>
      </c>
      <c r="T387" s="588">
        <v>0.24</v>
      </c>
      <c r="U387" s="588">
        <v>0.24</v>
      </c>
      <c r="V387" s="588">
        <v>0.24</v>
      </c>
      <c r="W387" s="588">
        <v>0</v>
      </c>
      <c r="X387" s="588">
        <v>0</v>
      </c>
      <c r="Y387" s="588">
        <v>0</v>
      </c>
      <c r="Z387" s="588">
        <v>0</v>
      </c>
      <c r="AA387" s="588">
        <v>0</v>
      </c>
    </row>
    <row r="388" spans="1:42" s="1" customFormat="1" outlineLevel="2">
      <c r="A388" s="6"/>
      <c r="B388" s="541" t="s">
        <v>434</v>
      </c>
      <c r="C388" s="564"/>
      <c r="D388" s="564"/>
      <c r="E388" s="565"/>
      <c r="F388" s="363"/>
      <c r="G388" s="566"/>
      <c r="H388" s="566"/>
      <c r="I388" s="567"/>
      <c r="J388" s="568"/>
      <c r="K388"/>
      <c r="L388" s="491">
        <v>0</v>
      </c>
      <c r="M388" s="491">
        <v>0</v>
      </c>
      <c r="N388" s="491">
        <v>0</v>
      </c>
      <c r="O388" s="491">
        <v>0</v>
      </c>
      <c r="P388" s="491">
        <v>0</v>
      </c>
      <c r="Q388" s="460"/>
      <c r="R388" s="491">
        <v>0</v>
      </c>
      <c r="S388" s="491">
        <v>0</v>
      </c>
      <c r="T388" s="491">
        <v>0</v>
      </c>
      <c r="U388" s="491">
        <v>0</v>
      </c>
      <c r="V388" s="491">
        <v>0.05</v>
      </c>
      <c r="W388" s="491">
        <v>0.05</v>
      </c>
      <c r="X388" s="491">
        <v>0.05</v>
      </c>
      <c r="Y388" s="491">
        <v>0.05</v>
      </c>
      <c r="Z388" s="491">
        <v>0.05</v>
      </c>
      <c r="AA388" s="491">
        <v>0.05</v>
      </c>
    </row>
    <row r="389" spans="1:42" s="3" customFormat="1" outlineLevel="2">
      <c r="A389" s="168"/>
      <c r="B389" s="541" t="s">
        <v>777</v>
      </c>
      <c r="C389" s="150"/>
      <c r="D389" s="150"/>
      <c r="E389" s="150"/>
      <c r="F389" s="442"/>
      <c r="G389" s="484"/>
      <c r="H389" s="484"/>
      <c r="I389" s="484"/>
      <c r="J389" s="484"/>
      <c r="L389" s="588"/>
      <c r="M389" s="588"/>
      <c r="N389" s="588"/>
      <c r="O389" s="588"/>
      <c r="P389" s="588"/>
      <c r="Q389" s="485"/>
      <c r="R389" s="588">
        <v>0.75</v>
      </c>
      <c r="S389" s="588">
        <v>0.75</v>
      </c>
      <c r="T389" s="588">
        <v>0.75</v>
      </c>
      <c r="U389" s="588">
        <v>0.75</v>
      </c>
      <c r="V389" s="588">
        <v>0.75</v>
      </c>
      <c r="W389" s="588">
        <v>0.75</v>
      </c>
      <c r="X389" s="588">
        <v>0.75</v>
      </c>
      <c r="Y389" s="588">
        <v>0.75</v>
      </c>
      <c r="Z389" s="588">
        <v>0.75</v>
      </c>
      <c r="AA389" s="588">
        <v>0.75</v>
      </c>
    </row>
    <row r="390" spans="1:42" s="3" customFormat="1" ht="4.5" customHeight="1" outlineLevel="2">
      <c r="A390" s="168"/>
      <c r="B390" s="541"/>
      <c r="C390" s="150"/>
      <c r="D390" s="150"/>
      <c r="E390" s="150"/>
      <c r="F390" s="442"/>
      <c r="G390" s="484"/>
      <c r="H390" s="484"/>
      <c r="I390" s="484"/>
      <c r="J390" s="484"/>
      <c r="L390" s="588"/>
      <c r="M390" s="588"/>
      <c r="N390" s="588"/>
      <c r="O390" s="588"/>
      <c r="P390" s="588"/>
      <c r="Q390" s="485"/>
      <c r="R390" s="588"/>
      <c r="S390" s="588"/>
      <c r="T390" s="588"/>
      <c r="U390" s="588"/>
      <c r="V390" s="588"/>
      <c r="W390" s="588"/>
      <c r="X390" s="588"/>
      <c r="Y390" s="588"/>
      <c r="Z390" s="588"/>
      <c r="AA390" s="588"/>
    </row>
    <row r="391" spans="1:42" s="1" customFormat="1" outlineLevel="2">
      <c r="A391" s="6"/>
      <c r="B391" s="541" t="s">
        <v>404</v>
      </c>
      <c r="C391" s="564"/>
      <c r="D391" s="564"/>
      <c r="E391" s="565"/>
      <c r="F391" s="363"/>
      <c r="G391" s="566"/>
      <c r="H391" s="566"/>
      <c r="I391" s="567"/>
      <c r="J391" s="568"/>
      <c r="K391" s="569"/>
      <c r="L391" s="561">
        <f>L$376/SUM(L$360,L$366)</f>
        <v>7.4389620653319277E-2</v>
      </c>
      <c r="M391" s="561">
        <f>M$376/SUM(M$360,M$366)</f>
        <v>7.9633603238866396E-2</v>
      </c>
      <c r="N391" s="561">
        <f>N$376/SUM(N$360,N$366)</f>
        <v>8.3231986399895402E-2</v>
      </c>
      <c r="O391" s="561">
        <f>O$376/SUM(O$360,O$366)</f>
        <v>8.4656030389363715E-2</v>
      </c>
      <c r="P391" s="588">
        <v>9.5799999999999996E-2</v>
      </c>
      <c r="Q391" s="460"/>
      <c r="R391" s="588">
        <v>0.09</v>
      </c>
      <c r="S391" s="561">
        <f>R391</f>
        <v>0.09</v>
      </c>
      <c r="T391" s="561">
        <f t="shared" ref="T391:AA391" si="187">S391</f>
        <v>0.09</v>
      </c>
      <c r="U391" s="561">
        <f t="shared" si="187"/>
        <v>0.09</v>
      </c>
      <c r="V391" s="561">
        <f t="shared" si="187"/>
        <v>0.09</v>
      </c>
      <c r="W391" s="561">
        <f t="shared" si="187"/>
        <v>0.09</v>
      </c>
      <c r="X391" s="561">
        <f t="shared" si="187"/>
        <v>0.09</v>
      </c>
      <c r="Y391" s="561">
        <f t="shared" si="187"/>
        <v>0.09</v>
      </c>
      <c r="Z391" s="561">
        <f t="shared" si="187"/>
        <v>0.09</v>
      </c>
      <c r="AA391" s="561">
        <f t="shared" si="187"/>
        <v>0.09</v>
      </c>
    </row>
    <row r="392" spans="1:42" s="1" customFormat="1" ht="6.5" customHeight="1" outlineLevel="1">
      <c r="A392" s="6"/>
      <c r="B392" s="462"/>
      <c r="C392" s="379"/>
      <c r="D392" s="379"/>
      <c r="E392" s="461"/>
      <c r="F392" s="517"/>
      <c r="G392" s="174"/>
      <c r="H392" s="174"/>
      <c r="I392" s="512"/>
      <c r="J392" s="474"/>
      <c r="K392" s="454"/>
      <c r="L392" s="454"/>
      <c r="M392" s="454"/>
      <c r="N392" s="454"/>
      <c r="O392" s="454"/>
      <c r="P392" s="454"/>
      <c r="Q392" s="460"/>
      <c r="R392" s="460"/>
    </row>
    <row r="393" spans="1:42" outlineLevel="1">
      <c r="B393" s="390" t="s">
        <v>345</v>
      </c>
      <c r="C393" s="389"/>
      <c r="D393" s="389"/>
      <c r="E393" s="389"/>
      <c r="F393" s="389"/>
      <c r="G393" s="389"/>
      <c r="H393" s="389"/>
      <c r="I393" s="389"/>
      <c r="J393" s="389"/>
      <c r="K393" s="470"/>
      <c r="L393" s="470"/>
      <c r="M393" s="470"/>
      <c r="N393" s="470"/>
      <c r="O393" s="470"/>
      <c r="P393" s="470"/>
      <c r="Q393" s="470"/>
      <c r="R393" s="470"/>
      <c r="S393" s="470"/>
      <c r="T393" s="470"/>
      <c r="U393" s="470"/>
      <c r="V393" s="470"/>
      <c r="W393" s="470"/>
      <c r="X393" s="470"/>
      <c r="Y393" s="470"/>
      <c r="Z393" s="470"/>
      <c r="AA393" s="470"/>
      <c r="AC393" s="517"/>
      <c r="AD393" s="517"/>
      <c r="AE393" s="517"/>
      <c r="AF393" s="517"/>
      <c r="AG393" s="517"/>
      <c r="AH393" s="517"/>
      <c r="AI393" s="517"/>
      <c r="AJ393" s="517"/>
      <c r="AK393" s="517"/>
      <c r="AL393" s="517"/>
      <c r="AM393" s="517"/>
      <c r="AN393" s="517"/>
      <c r="AO393" s="517"/>
      <c r="AP393" s="517"/>
    </row>
    <row r="394" spans="1:42" s="1" customFormat="1" ht="14.5" customHeight="1" outlineLevel="2">
      <c r="A394" s="6"/>
      <c r="B394" s="462"/>
      <c r="C394" s="379"/>
      <c r="D394" s="379"/>
      <c r="E394" s="461"/>
      <c r="F394" s="517"/>
      <c r="G394" s="174"/>
      <c r="H394" s="174"/>
      <c r="I394" s="512"/>
      <c r="J394" s="474"/>
      <c r="K394" s="454"/>
      <c r="L394" s="454"/>
      <c r="M394" s="454"/>
      <c r="N394" s="454"/>
      <c r="O394" s="454"/>
      <c r="P394" s="454"/>
      <c r="Q394" s="460"/>
      <c r="R394" s="460"/>
    </row>
    <row r="395" spans="1:42" s="1" customFormat="1" ht="16" outlineLevel="2">
      <c r="A395" s="6"/>
      <c r="B395" s="293" t="s">
        <v>742</v>
      </c>
      <c r="C395" s="379"/>
      <c r="D395" s="379"/>
      <c r="E395" s="461"/>
      <c r="F395" s="517"/>
      <c r="G395" s="517"/>
      <c r="H395" s="517"/>
      <c r="I395" s="777"/>
      <c r="J395" s="474"/>
      <c r="K395" s="454"/>
      <c r="L395" s="454"/>
      <c r="M395" s="454"/>
      <c r="N395" s="454"/>
      <c r="O395" s="454"/>
      <c r="P395" s="454"/>
      <c r="Q395" s="460"/>
      <c r="R395" s="460"/>
    </row>
    <row r="396" spans="1:42" s="1" customFormat="1" ht="16" outlineLevel="2">
      <c r="A396" s="6"/>
      <c r="B396" s="153" t="s">
        <v>333</v>
      </c>
      <c r="C396" s="379"/>
      <c r="D396" s="379"/>
      <c r="E396" s="461"/>
      <c r="F396" s="517"/>
      <c r="G396" s="517"/>
      <c r="H396" s="517"/>
      <c r="I396" s="777"/>
      <c r="J396" s="474"/>
      <c r="K396" s="515">
        <f t="shared" ref="K396:O396" si="188">K$151</f>
        <v>21</v>
      </c>
      <c r="L396" s="515">
        <f t="shared" si="188"/>
        <v>21</v>
      </c>
      <c r="M396" s="515">
        <f t="shared" si="188"/>
        <v>19</v>
      </c>
      <c r="N396" s="515">
        <f t="shared" si="188"/>
        <v>19</v>
      </c>
      <c r="O396" s="515">
        <f t="shared" si="188"/>
        <v>18</v>
      </c>
      <c r="P396" s="515">
        <f>P$151</f>
        <v>16</v>
      </c>
      <c r="Q396" s="460"/>
      <c r="R396" s="515">
        <f ca="1">R$151</f>
        <v>18.50610921261341</v>
      </c>
      <c r="S396" s="515">
        <f t="shared" ref="S396:AA396" ca="1" si="189">S$151</f>
        <v>18.945629306412982</v>
      </c>
      <c r="T396" s="515">
        <f t="shared" ca="1" si="189"/>
        <v>18.471988573752657</v>
      </c>
      <c r="U396" s="515">
        <f t="shared" ca="1" si="189"/>
        <v>18.010188859408839</v>
      </c>
      <c r="V396" s="515">
        <f t="shared" ca="1" si="189"/>
        <v>17.559934137923616</v>
      </c>
      <c r="W396" s="515">
        <f t="shared" ca="1" si="189"/>
        <v>17.538519584096878</v>
      </c>
      <c r="X396" s="515">
        <f t="shared" ca="1" si="189"/>
        <v>17.51713114557969</v>
      </c>
      <c r="Y396" s="515">
        <f t="shared" ca="1" si="189"/>
        <v>17.495768790524103</v>
      </c>
      <c r="Z396" s="515">
        <f t="shared" ca="1" si="189"/>
        <v>17.91129329929905</v>
      </c>
      <c r="AA396" s="515">
        <f t="shared" ca="1" si="189"/>
        <v>18.336686515157403</v>
      </c>
    </row>
    <row r="397" spans="1:42" s="1" customFormat="1" ht="16" outlineLevel="2">
      <c r="A397" s="6"/>
      <c r="B397" s="153" t="s">
        <v>332</v>
      </c>
      <c r="C397" s="379"/>
      <c r="D397" s="379"/>
      <c r="E397" s="461"/>
      <c r="F397" s="517"/>
      <c r="G397" s="517"/>
      <c r="H397" s="517"/>
      <c r="I397" s="777"/>
      <c r="J397" s="474"/>
      <c r="K397" s="515">
        <f t="shared" ref="K397:O397" si="190">K$225</f>
        <v>2</v>
      </c>
      <c r="L397" s="515">
        <f t="shared" si="190"/>
        <v>2</v>
      </c>
      <c r="M397" s="515">
        <f t="shared" si="190"/>
        <v>2</v>
      </c>
      <c r="N397" s="515">
        <f t="shared" si="190"/>
        <v>2</v>
      </c>
      <c r="O397" s="515">
        <f t="shared" si="190"/>
        <v>2</v>
      </c>
      <c r="P397" s="515">
        <f>P$225</f>
        <v>2</v>
      </c>
      <c r="Q397" s="460"/>
      <c r="R397" s="515">
        <f>R$225</f>
        <v>2</v>
      </c>
      <c r="S397" s="515">
        <f t="shared" ref="S397:AA397" si="191">S$225</f>
        <v>2</v>
      </c>
      <c r="T397" s="515">
        <f t="shared" si="191"/>
        <v>2</v>
      </c>
      <c r="U397" s="515">
        <f t="shared" si="191"/>
        <v>2</v>
      </c>
      <c r="V397" s="515">
        <f t="shared" si="191"/>
        <v>2</v>
      </c>
      <c r="W397" s="515">
        <f t="shared" si="191"/>
        <v>2</v>
      </c>
      <c r="X397" s="515">
        <f t="shared" si="191"/>
        <v>2</v>
      </c>
      <c r="Y397" s="515">
        <f t="shared" si="191"/>
        <v>2</v>
      </c>
      <c r="Z397" s="515">
        <f t="shared" si="191"/>
        <v>2</v>
      </c>
      <c r="AA397" s="515">
        <f t="shared" si="191"/>
        <v>2</v>
      </c>
    </row>
    <row r="398" spans="1:42" s="1" customFormat="1" ht="16" outlineLevel="2">
      <c r="A398" s="6"/>
      <c r="B398" s="153" t="s">
        <v>392</v>
      </c>
      <c r="C398" s="379"/>
      <c r="D398" s="379"/>
      <c r="E398" s="461"/>
      <c r="F398" s="517"/>
      <c r="G398" s="517"/>
      <c r="H398" s="517"/>
      <c r="I398" s="777"/>
      <c r="J398" s="474"/>
      <c r="K398" s="515">
        <f t="shared" ref="K398:O398" si="192">K$348</f>
        <v>2</v>
      </c>
      <c r="L398" s="515">
        <f t="shared" si="192"/>
        <v>2</v>
      </c>
      <c r="M398" s="515">
        <f t="shared" si="192"/>
        <v>2</v>
      </c>
      <c r="N398" s="515">
        <f t="shared" si="192"/>
        <v>2</v>
      </c>
      <c r="O398" s="515">
        <f t="shared" si="192"/>
        <v>2</v>
      </c>
      <c r="P398" s="515">
        <f>P$348</f>
        <v>2</v>
      </c>
      <c r="Q398" s="460"/>
      <c r="R398" s="515">
        <f>R$348</f>
        <v>2</v>
      </c>
      <c r="S398" s="515">
        <f t="shared" ref="S398:AA398" si="193">S$348</f>
        <v>2</v>
      </c>
      <c r="T398" s="515">
        <f t="shared" si="193"/>
        <v>2</v>
      </c>
      <c r="U398" s="515">
        <f t="shared" si="193"/>
        <v>2</v>
      </c>
      <c r="V398" s="515">
        <f t="shared" si="193"/>
        <v>3</v>
      </c>
      <c r="W398" s="515">
        <f t="shared" si="193"/>
        <v>2</v>
      </c>
      <c r="X398" s="515">
        <f t="shared" si="193"/>
        <v>2</v>
      </c>
      <c r="Y398" s="515">
        <f t="shared" si="193"/>
        <v>2</v>
      </c>
      <c r="Z398" s="515">
        <f t="shared" si="193"/>
        <v>2</v>
      </c>
      <c r="AA398" s="515">
        <f t="shared" si="193"/>
        <v>2</v>
      </c>
    </row>
    <row r="399" spans="1:42" s="1" customFormat="1" ht="16" outlineLevel="2">
      <c r="A399" s="6"/>
      <c r="B399" s="155" t="s">
        <v>26</v>
      </c>
      <c r="C399" s="7"/>
      <c r="D399" s="7"/>
      <c r="E399" s="372"/>
      <c r="F399" s="517"/>
      <c r="G399" s="517"/>
      <c r="H399" s="517"/>
      <c r="I399" s="777"/>
      <c r="J399" s="474"/>
      <c r="K399" s="1310">
        <f t="shared" ref="K399:P399" si="194">SUM(K396:K398)</f>
        <v>25</v>
      </c>
      <c r="L399" s="1310">
        <f t="shared" si="194"/>
        <v>25</v>
      </c>
      <c r="M399" s="1310">
        <f t="shared" si="194"/>
        <v>23</v>
      </c>
      <c r="N399" s="1310">
        <f t="shared" si="194"/>
        <v>23</v>
      </c>
      <c r="O399" s="1310">
        <f t="shared" si="194"/>
        <v>22</v>
      </c>
      <c r="P399" s="1310">
        <f t="shared" si="194"/>
        <v>20</v>
      </c>
      <c r="Q399" s="460"/>
      <c r="R399" s="1310">
        <f ca="1">SUM(R396:R398)</f>
        <v>22.50610921261341</v>
      </c>
      <c r="S399" s="1310">
        <f t="shared" ref="S399:AA399" ca="1" si="195">SUM(S396:S398)</f>
        <v>22.945629306412982</v>
      </c>
      <c r="T399" s="1310">
        <f t="shared" ca="1" si="195"/>
        <v>22.471988573752657</v>
      </c>
      <c r="U399" s="1310">
        <f t="shared" ca="1" si="195"/>
        <v>22.010188859408839</v>
      </c>
      <c r="V399" s="1310">
        <f t="shared" ca="1" si="195"/>
        <v>22.559934137923616</v>
      </c>
      <c r="W399" s="1310">
        <f t="shared" ca="1" si="195"/>
        <v>21.538519584096878</v>
      </c>
      <c r="X399" s="1310">
        <f t="shared" ca="1" si="195"/>
        <v>21.51713114557969</v>
      </c>
      <c r="Y399" s="1310">
        <f t="shared" ca="1" si="195"/>
        <v>21.495768790524103</v>
      </c>
      <c r="Z399" s="1310">
        <f t="shared" ca="1" si="195"/>
        <v>21.91129329929905</v>
      </c>
      <c r="AA399" s="1310">
        <f t="shared" ca="1" si="195"/>
        <v>22.336686515157403</v>
      </c>
    </row>
    <row r="400" spans="1:42" s="1" customFormat="1" ht="16" outlineLevel="2">
      <c r="A400" s="6"/>
      <c r="B400" s="576"/>
      <c r="C400" s="379"/>
      <c r="D400" s="379"/>
      <c r="E400" s="461"/>
      <c r="F400" s="517"/>
      <c r="G400" s="517"/>
      <c r="H400" s="517"/>
      <c r="I400" s="777"/>
      <c r="J400" s="474"/>
      <c r="K400" s="454"/>
      <c r="L400" s="454"/>
      <c r="M400" s="454"/>
      <c r="N400" s="454"/>
      <c r="O400" s="454"/>
      <c r="P400" s="454"/>
      <c r="Q400" s="460"/>
      <c r="R400" s="460"/>
    </row>
    <row r="401" spans="1:27" s="1" customFormat="1" outlineLevel="2">
      <c r="A401" s="6"/>
      <c r="B401" s="293" t="s">
        <v>736</v>
      </c>
      <c r="C401" s="379"/>
      <c r="D401" s="379"/>
      <c r="E401" s="461"/>
      <c r="F401" s="517"/>
      <c r="G401" s="174"/>
      <c r="H401" s="174"/>
      <c r="J401" s="474"/>
      <c r="K401"/>
      <c r="L401"/>
      <c r="M401"/>
      <c r="N401"/>
      <c r="O401" s="454"/>
      <c r="P401" s="454"/>
      <c r="Q401" s="460"/>
      <c r="R401" s="460"/>
    </row>
    <row r="402" spans="1:27" s="1" customFormat="1" ht="5" customHeight="1" outlineLevel="2">
      <c r="A402" s="6"/>
      <c r="B402" s="462"/>
      <c r="C402" s="379"/>
      <c r="D402" s="379"/>
      <c r="E402" s="461"/>
      <c r="F402" s="517"/>
      <c r="G402" s="174"/>
      <c r="H402" s="174"/>
      <c r="I402" s="512"/>
      <c r="J402" s="474"/>
      <c r="K402" s="454"/>
      <c r="L402" s="454"/>
      <c r="M402" s="454"/>
      <c r="N402" s="454"/>
      <c r="O402" s="454"/>
      <c r="P402" s="454"/>
      <c r="Q402" s="460"/>
      <c r="R402" s="460"/>
    </row>
    <row r="403" spans="1:27" s="1" customFormat="1" outlineLevel="2">
      <c r="A403" s="6"/>
      <c r="B403" s="647" t="s">
        <v>744</v>
      </c>
      <c r="C403" s="482"/>
      <c r="D403" s="482"/>
      <c r="E403" s="379"/>
      <c r="K403" s="1300"/>
      <c r="L403" s="1300"/>
      <c r="M403" s="1300"/>
      <c r="N403" s="1300"/>
      <c r="O403" s="1300"/>
      <c r="P403" s="1300"/>
      <c r="Q403" s="460"/>
      <c r="R403" s="460"/>
      <c r="S403" s="460"/>
      <c r="T403" s="460"/>
      <c r="U403" s="460"/>
      <c r="V403" s="460"/>
      <c r="W403" s="460"/>
      <c r="X403" s="460"/>
      <c r="Y403" s="460"/>
      <c r="Z403" s="460"/>
      <c r="AA403" s="460"/>
    </row>
    <row r="404" spans="1:27" s="1" customFormat="1" ht="4" customHeight="1" outlineLevel="2">
      <c r="A404" s="6"/>
      <c r="B404" s="647"/>
      <c r="C404" s="482"/>
      <c r="D404" s="482"/>
      <c r="E404" s="379"/>
      <c r="K404" s="1300"/>
      <c r="L404" s="1300"/>
      <c r="M404" s="1300"/>
      <c r="N404" s="1300"/>
      <c r="O404" s="1300"/>
      <c r="P404" s="1300"/>
      <c r="Q404" s="460"/>
      <c r="R404" s="460"/>
      <c r="S404" s="460"/>
      <c r="T404" s="460"/>
      <c r="U404" s="460"/>
      <c r="V404" s="460"/>
      <c r="W404" s="460"/>
      <c r="X404" s="460"/>
      <c r="Y404" s="460"/>
      <c r="Z404" s="460"/>
      <c r="AA404" s="460"/>
    </row>
    <row r="405" spans="1:27" s="1" customFormat="1" outlineLevel="2">
      <c r="A405" s="6"/>
      <c r="B405" s="1304" t="s">
        <v>734</v>
      </c>
      <c r="C405" s="482"/>
      <c r="D405" s="482"/>
      <c r="E405" s="379"/>
      <c r="K405" s="1300"/>
      <c r="L405" s="1300"/>
      <c r="M405" s="1300"/>
      <c r="N405" s="1300"/>
      <c r="O405" s="1300"/>
      <c r="P405" s="1302"/>
      <c r="Q405" s="460"/>
      <c r="R405" s="460"/>
      <c r="S405" s="460"/>
      <c r="T405" s="460"/>
      <c r="U405" s="460"/>
      <c r="V405" s="460"/>
      <c r="W405" s="460"/>
      <c r="X405" s="460"/>
      <c r="Y405" s="460"/>
      <c r="Z405" s="460"/>
      <c r="AA405" s="460"/>
    </row>
    <row r="406" spans="1:27" s="1" customFormat="1" outlineLevel="2">
      <c r="A406" s="6"/>
      <c r="B406" s="828" t="s">
        <v>333</v>
      </c>
      <c r="C406" s="482"/>
      <c r="D406" s="482"/>
      <c r="E406" s="379"/>
      <c r="K406" s="1306"/>
      <c r="L406" s="1306"/>
      <c r="M406" s="1306"/>
      <c r="N406" s="1306"/>
      <c r="O406" s="1306"/>
      <c r="P406" s="1302">
        <v>10</v>
      </c>
      <c r="Q406" s="460"/>
      <c r="R406" s="1303">
        <f t="shared" ref="R406:AA406" ca="1" si="196">PRODUCT((_xlfn.XLOOKUP($B406,$B$466:$B$468,R$466:R$468)),R$396)</f>
        <v>11.103665527568046</v>
      </c>
      <c r="S406" s="1303">
        <f t="shared" ca="1" si="196"/>
        <v>11.367377583847789</v>
      </c>
      <c r="T406" s="1303">
        <f t="shared" ca="1" si="196"/>
        <v>11.083193144251593</v>
      </c>
      <c r="U406" s="1303">
        <f t="shared" ca="1" si="196"/>
        <v>10.806113315645304</v>
      </c>
      <c r="V406" s="1303">
        <f t="shared" ca="1" si="196"/>
        <v>10.535960482754168</v>
      </c>
      <c r="W406" s="1303">
        <f t="shared" ca="1" si="196"/>
        <v>10.523111750458126</v>
      </c>
      <c r="X406" s="1303">
        <f t="shared" ca="1" si="196"/>
        <v>10.510278687347814</v>
      </c>
      <c r="Y406" s="1303">
        <f t="shared" ca="1" si="196"/>
        <v>10.497461274314462</v>
      </c>
      <c r="Z406" s="1303">
        <f t="shared" ca="1" si="196"/>
        <v>10.74677597957943</v>
      </c>
      <c r="AA406" s="1303">
        <f t="shared" ca="1" si="196"/>
        <v>11.002011909094442</v>
      </c>
    </row>
    <row r="407" spans="1:27" s="1" customFormat="1" outlineLevel="2">
      <c r="A407" s="6"/>
      <c r="B407" s="828" t="s">
        <v>332</v>
      </c>
      <c r="C407" s="482"/>
      <c r="D407" s="482"/>
      <c r="E407" s="379"/>
      <c r="K407" s="1306"/>
      <c r="L407" s="1306"/>
      <c r="M407" s="1306"/>
      <c r="N407" s="1306"/>
      <c r="O407" s="1306"/>
      <c r="P407" s="1302">
        <v>1</v>
      </c>
      <c r="Q407" s="460"/>
      <c r="R407" s="1303">
        <f t="shared" ref="R407:AA407" si="197">PRODUCT((_xlfn.XLOOKUP($B407,$B$466:$B$468,R$466:R$468)),R$397)</f>
        <v>1</v>
      </c>
      <c r="S407" s="1303">
        <f t="shared" si="197"/>
        <v>1</v>
      </c>
      <c r="T407" s="1303">
        <f t="shared" si="197"/>
        <v>1</v>
      </c>
      <c r="U407" s="1303">
        <f t="shared" si="197"/>
        <v>1</v>
      </c>
      <c r="V407" s="1303">
        <f t="shared" si="197"/>
        <v>1</v>
      </c>
      <c r="W407" s="1303">
        <f t="shared" si="197"/>
        <v>1</v>
      </c>
      <c r="X407" s="1303">
        <f t="shared" si="197"/>
        <v>1</v>
      </c>
      <c r="Y407" s="1303">
        <f t="shared" si="197"/>
        <v>1</v>
      </c>
      <c r="Z407" s="1303">
        <f t="shared" si="197"/>
        <v>1</v>
      </c>
      <c r="AA407" s="1303">
        <f t="shared" si="197"/>
        <v>1</v>
      </c>
    </row>
    <row r="408" spans="1:27" s="1" customFormat="1" outlineLevel="2">
      <c r="A408" s="6"/>
      <c r="B408" s="828" t="s">
        <v>392</v>
      </c>
      <c r="C408" s="482"/>
      <c r="D408" s="482"/>
      <c r="E408" s="379"/>
      <c r="K408" s="1306"/>
      <c r="L408" s="1306"/>
      <c r="M408" s="1306"/>
      <c r="N408" s="1306"/>
      <c r="O408" s="1306"/>
      <c r="P408" s="1302">
        <v>1</v>
      </c>
      <c r="Q408" s="460"/>
      <c r="R408" s="1303">
        <f t="shared" ref="R408:AA408" si="198">PRODUCT((_xlfn.XLOOKUP($B408,$B$466:$B$468,R$466:R$468)),R$398)</f>
        <v>1</v>
      </c>
      <c r="S408" s="1303">
        <f t="shared" si="198"/>
        <v>1</v>
      </c>
      <c r="T408" s="1303">
        <f t="shared" si="198"/>
        <v>1</v>
      </c>
      <c r="U408" s="1303">
        <f t="shared" si="198"/>
        <v>1</v>
      </c>
      <c r="V408" s="1303">
        <f t="shared" si="198"/>
        <v>1.98</v>
      </c>
      <c r="W408" s="1303">
        <f t="shared" si="198"/>
        <v>1</v>
      </c>
      <c r="X408" s="1303">
        <f t="shared" si="198"/>
        <v>1</v>
      </c>
      <c r="Y408" s="1303">
        <f t="shared" si="198"/>
        <v>1</v>
      </c>
      <c r="Z408" s="1303">
        <f t="shared" si="198"/>
        <v>1</v>
      </c>
      <c r="AA408" s="1303">
        <f t="shared" si="198"/>
        <v>1</v>
      </c>
    </row>
    <row r="409" spans="1:27" s="1" customFormat="1" ht="4" customHeight="1" outlineLevel="2">
      <c r="A409" s="6"/>
      <c r="B409" s="828"/>
      <c r="C409" s="482"/>
      <c r="D409" s="482"/>
      <c r="E409" s="379"/>
      <c r="K409" s="1300"/>
      <c r="L409" s="1300"/>
      <c r="M409" s="1300"/>
      <c r="N409" s="1300"/>
      <c r="O409" s="1300"/>
      <c r="P409" s="1302"/>
      <c r="Q409" s="460"/>
      <c r="R409" s="1303"/>
      <c r="S409" s="1303"/>
      <c r="T409" s="1303"/>
      <c r="U409" s="1303"/>
      <c r="V409" s="1303"/>
      <c r="W409" s="1303"/>
      <c r="X409" s="1303"/>
      <c r="Y409" s="1303"/>
      <c r="Z409" s="1303"/>
      <c r="AA409" s="1303"/>
    </row>
    <row r="410" spans="1:27" s="1" customFormat="1" outlineLevel="2">
      <c r="A410" s="6"/>
      <c r="B410" s="1304" t="s">
        <v>735</v>
      </c>
      <c r="C410" s="482"/>
      <c r="D410" s="482"/>
      <c r="E410" s="379"/>
      <c r="K410" s="1300"/>
      <c r="L410" s="1300"/>
      <c r="M410" s="1300"/>
      <c r="N410" s="1300"/>
      <c r="O410" s="1300"/>
      <c r="Q410" s="460"/>
      <c r="R410" s="1303"/>
      <c r="S410" s="1303"/>
      <c r="T410" s="1303"/>
      <c r="U410" s="1303"/>
      <c r="V410" s="1303"/>
      <c r="W410" s="1303"/>
      <c r="X410" s="1303"/>
      <c r="Y410" s="1303"/>
      <c r="Z410" s="1303"/>
      <c r="AA410" s="1303"/>
    </row>
    <row r="411" spans="1:27" s="1" customFormat="1" outlineLevel="2">
      <c r="A411" s="6"/>
      <c r="B411" s="828" t="s">
        <v>333</v>
      </c>
      <c r="C411" s="482"/>
      <c r="D411" s="482"/>
      <c r="E411" s="379"/>
      <c r="F411" s="379"/>
      <c r="K411" s="1306"/>
      <c r="L411" s="1306"/>
      <c r="M411" s="1306"/>
      <c r="N411" s="1306"/>
      <c r="O411" s="1306"/>
      <c r="P411" s="1300">
        <v>0</v>
      </c>
      <c r="Q411" s="460"/>
      <c r="R411" s="1303">
        <f t="shared" ref="R411:AA411" ca="1" si="199">PRODUCT((_xlfn.XLOOKUP($B411,$B$471:$B$473,R$471:R$473)),R$396)</f>
        <v>0</v>
      </c>
      <c r="S411" s="1303">
        <f t="shared" ca="1" si="199"/>
        <v>0</v>
      </c>
      <c r="T411" s="1303">
        <f t="shared" ca="1" si="199"/>
        <v>0</v>
      </c>
      <c r="U411" s="1303">
        <f t="shared" ca="1" si="199"/>
        <v>0</v>
      </c>
      <c r="V411" s="1303">
        <f t="shared" ca="1" si="199"/>
        <v>0</v>
      </c>
      <c r="W411" s="1303">
        <f t="shared" ca="1" si="199"/>
        <v>0</v>
      </c>
      <c r="X411" s="1303">
        <f t="shared" ca="1" si="199"/>
        <v>0</v>
      </c>
      <c r="Y411" s="1303">
        <f t="shared" ca="1" si="199"/>
        <v>0</v>
      </c>
      <c r="Z411" s="1303">
        <f t="shared" ca="1" si="199"/>
        <v>0</v>
      </c>
      <c r="AA411" s="1303">
        <f t="shared" ca="1" si="199"/>
        <v>0</v>
      </c>
    </row>
    <row r="412" spans="1:27" s="1" customFormat="1" outlineLevel="2">
      <c r="A412" s="6"/>
      <c r="B412" s="828" t="s">
        <v>332</v>
      </c>
      <c r="C412" s="482"/>
      <c r="D412" s="482"/>
      <c r="E412" s="379"/>
      <c r="K412" s="1306"/>
      <c r="L412" s="1306"/>
      <c r="M412" s="1306"/>
      <c r="N412" s="1306"/>
      <c r="O412" s="1306"/>
      <c r="P412" s="1302">
        <v>1</v>
      </c>
      <c r="Q412" s="460"/>
      <c r="R412" s="1303">
        <f t="shared" ref="R412:AA412" si="200">PRODUCT((_xlfn.XLOOKUP($B412,$B$471:$B$473,R$471:R$473)),R$397)</f>
        <v>1</v>
      </c>
      <c r="S412" s="1303">
        <f t="shared" si="200"/>
        <v>1</v>
      </c>
      <c r="T412" s="1303">
        <f t="shared" si="200"/>
        <v>1</v>
      </c>
      <c r="U412" s="1303">
        <f t="shared" si="200"/>
        <v>1</v>
      </c>
      <c r="V412" s="1303">
        <f t="shared" si="200"/>
        <v>1</v>
      </c>
      <c r="W412" s="1303">
        <f t="shared" si="200"/>
        <v>1</v>
      </c>
      <c r="X412" s="1303">
        <f t="shared" si="200"/>
        <v>1</v>
      </c>
      <c r="Y412" s="1303">
        <f t="shared" si="200"/>
        <v>1</v>
      </c>
      <c r="Z412" s="1303">
        <f t="shared" si="200"/>
        <v>1</v>
      </c>
      <c r="AA412" s="1303">
        <f t="shared" si="200"/>
        <v>1</v>
      </c>
    </row>
    <row r="413" spans="1:27" s="1" customFormat="1" outlineLevel="2">
      <c r="A413" s="6"/>
      <c r="B413" s="828" t="s">
        <v>392</v>
      </c>
      <c r="C413" s="482"/>
      <c r="D413" s="482"/>
      <c r="E413" s="379"/>
      <c r="K413" s="1306"/>
      <c r="L413" s="1306"/>
      <c r="M413" s="1306"/>
      <c r="N413" s="1306"/>
      <c r="O413" s="1306"/>
      <c r="P413" s="1300">
        <v>0</v>
      </c>
      <c r="Q413" s="460"/>
      <c r="R413" s="1303">
        <f t="shared" ref="R413:AA413" si="201">PRODUCT((_xlfn.XLOOKUP($B413,$B$471:$B$473,R$471:R$473)),R$398)</f>
        <v>0</v>
      </c>
      <c r="S413" s="1303">
        <f t="shared" si="201"/>
        <v>0</v>
      </c>
      <c r="T413" s="1303">
        <f t="shared" si="201"/>
        <v>0</v>
      </c>
      <c r="U413" s="1303">
        <f t="shared" si="201"/>
        <v>0</v>
      </c>
      <c r="V413" s="1303">
        <f t="shared" si="201"/>
        <v>0</v>
      </c>
      <c r="W413" s="1303">
        <f t="shared" si="201"/>
        <v>0</v>
      </c>
      <c r="X413" s="1303">
        <f t="shared" si="201"/>
        <v>0</v>
      </c>
      <c r="Y413" s="1303">
        <f t="shared" si="201"/>
        <v>0</v>
      </c>
      <c r="Z413" s="1303">
        <f t="shared" si="201"/>
        <v>0</v>
      </c>
      <c r="AA413" s="1303">
        <f t="shared" si="201"/>
        <v>0</v>
      </c>
    </row>
    <row r="414" spans="1:27" s="1" customFormat="1" ht="4" customHeight="1" outlineLevel="2">
      <c r="A414" s="6"/>
      <c r="B414" s="1003"/>
      <c r="C414" s="482"/>
      <c r="D414" s="482"/>
      <c r="E414" s="379"/>
      <c r="K414" s="1300"/>
      <c r="L414" s="1300"/>
      <c r="M414" s="1300"/>
      <c r="N414" s="1300"/>
      <c r="O414" s="1300"/>
      <c r="P414" s="1300"/>
      <c r="Q414" s="460"/>
      <c r="R414" s="1303"/>
      <c r="S414" s="460"/>
      <c r="T414" s="460"/>
      <c r="U414" s="460"/>
      <c r="V414" s="460"/>
      <c r="W414" s="460"/>
      <c r="X414" s="460"/>
      <c r="Y414" s="460"/>
      <c r="Z414" s="460"/>
      <c r="AA414" s="460"/>
    </row>
    <row r="415" spans="1:27" s="1" customFormat="1" outlineLevel="2">
      <c r="A415" s="6"/>
      <c r="B415" s="1305" t="s">
        <v>26</v>
      </c>
      <c r="C415" s="482"/>
      <c r="D415" s="482"/>
      <c r="E415" s="379"/>
      <c r="K415" s="1300"/>
      <c r="L415" s="1300"/>
      <c r="M415" s="1300"/>
      <c r="N415" s="1300"/>
      <c r="O415" s="1300"/>
      <c r="P415" s="1300"/>
      <c r="Q415" s="460"/>
      <c r="R415" s="1303"/>
      <c r="S415" s="460"/>
      <c r="T415" s="460"/>
      <c r="U415" s="460"/>
      <c r="V415" s="460"/>
      <c r="W415" s="460"/>
      <c r="X415" s="460"/>
      <c r="Y415" s="460"/>
      <c r="Z415" s="460"/>
      <c r="AA415" s="460"/>
    </row>
    <row r="416" spans="1:27" s="1" customFormat="1" outlineLevel="2">
      <c r="A416" s="6"/>
      <c r="B416" s="1315" t="s">
        <v>734</v>
      </c>
      <c r="C416" s="482"/>
      <c r="D416" s="482"/>
      <c r="E416" s="379"/>
      <c r="K416" s="1306"/>
      <c r="L416" s="1306"/>
      <c r="M416" s="1306"/>
      <c r="N416" s="1306"/>
      <c r="O416" s="1306"/>
      <c r="P416" s="1303">
        <f>SUM(P$406:P$408)</f>
        <v>12</v>
      </c>
      <c r="Q416" s="460"/>
      <c r="R416" s="1303">
        <f ca="1">SUM(R$406:R$408)</f>
        <v>13.103665527568046</v>
      </c>
      <c r="S416" s="1303">
        <f t="shared" ref="S416:AA416" ca="1" si="202">SUM(S$406:S$408)</f>
        <v>13.367377583847789</v>
      </c>
      <c r="T416" s="1303">
        <f t="shared" ca="1" si="202"/>
        <v>13.083193144251593</v>
      </c>
      <c r="U416" s="1303">
        <f t="shared" ca="1" si="202"/>
        <v>12.806113315645304</v>
      </c>
      <c r="V416" s="1303">
        <f t="shared" ca="1" si="202"/>
        <v>13.515960482754169</v>
      </c>
      <c r="W416" s="1303">
        <f t="shared" ca="1" si="202"/>
        <v>12.523111750458126</v>
      </c>
      <c r="X416" s="1303">
        <f t="shared" ca="1" si="202"/>
        <v>12.510278687347814</v>
      </c>
      <c r="Y416" s="1303">
        <f t="shared" ca="1" si="202"/>
        <v>12.497461274314462</v>
      </c>
      <c r="Z416" s="1303">
        <f t="shared" ca="1" si="202"/>
        <v>12.74677597957943</v>
      </c>
      <c r="AA416" s="1303">
        <f t="shared" ca="1" si="202"/>
        <v>13.002011909094442</v>
      </c>
    </row>
    <row r="417" spans="1:34" s="1" customFormat="1" outlineLevel="2">
      <c r="A417" s="6"/>
      <c r="B417" s="1315" t="s">
        <v>735</v>
      </c>
      <c r="C417" s="482"/>
      <c r="D417" s="482"/>
      <c r="E417" s="379"/>
      <c r="K417" s="1306"/>
      <c r="L417" s="1306"/>
      <c r="M417" s="1306"/>
      <c r="N417" s="1306"/>
      <c r="O417" s="1306"/>
      <c r="P417" s="1303">
        <f>SUM(P$411:P$413)</f>
        <v>1</v>
      </c>
      <c r="Q417" s="460"/>
      <c r="R417" s="1303">
        <f ca="1">SUM(R$411:R$413)</f>
        <v>1</v>
      </c>
      <c r="S417" s="1303">
        <f t="shared" ref="S417:AA417" ca="1" si="203">SUM(S$411:S$413)</f>
        <v>1</v>
      </c>
      <c r="T417" s="1303">
        <f t="shared" ca="1" si="203"/>
        <v>1</v>
      </c>
      <c r="U417" s="1303">
        <f t="shared" ca="1" si="203"/>
        <v>1</v>
      </c>
      <c r="V417" s="1303">
        <f t="shared" ca="1" si="203"/>
        <v>1</v>
      </c>
      <c r="W417" s="1303">
        <f t="shared" ca="1" si="203"/>
        <v>1</v>
      </c>
      <c r="X417" s="1303">
        <f t="shared" ca="1" si="203"/>
        <v>1</v>
      </c>
      <c r="Y417" s="1303">
        <f t="shared" ca="1" si="203"/>
        <v>1</v>
      </c>
      <c r="Z417" s="1303">
        <f t="shared" ca="1" si="203"/>
        <v>1</v>
      </c>
      <c r="AA417" s="1303">
        <f t="shared" ca="1" si="203"/>
        <v>1</v>
      </c>
    </row>
    <row r="418" spans="1:34" s="1" customFormat="1" ht="5.5" customHeight="1" outlineLevel="2">
      <c r="A418" s="6"/>
      <c r="B418" s="1003"/>
      <c r="C418" s="482"/>
      <c r="D418" s="482"/>
      <c r="E418" s="379"/>
      <c r="K418" s="1300"/>
      <c r="L418" s="1300"/>
      <c r="M418" s="1300"/>
      <c r="N418" s="1300"/>
      <c r="O418" s="1300"/>
      <c r="P418" s="1300"/>
      <c r="Q418" s="460"/>
      <c r="R418" s="460"/>
      <c r="S418" s="460"/>
      <c r="T418" s="460"/>
      <c r="U418" s="460"/>
      <c r="V418" s="460"/>
      <c r="W418" s="460"/>
      <c r="X418" s="460"/>
      <c r="Y418" s="460"/>
      <c r="Z418" s="460"/>
      <c r="AA418" s="460"/>
    </row>
    <row r="419" spans="1:34" s="1" customFormat="1" outlineLevel="2">
      <c r="A419" s="6"/>
      <c r="B419" s="1003" t="s">
        <v>745</v>
      </c>
      <c r="C419" s="482"/>
      <c r="D419" s="482"/>
      <c r="E419" s="379"/>
      <c r="K419" s="1300"/>
      <c r="L419" s="1300"/>
      <c r="M419" s="1300"/>
      <c r="N419" s="1300"/>
      <c r="O419" s="1300"/>
      <c r="P419" s="1300"/>
      <c r="Q419" s="460"/>
      <c r="R419" s="460"/>
      <c r="S419" s="460"/>
      <c r="T419" s="460"/>
      <c r="U419" s="460"/>
      <c r="V419" s="460"/>
      <c r="W419" s="460"/>
      <c r="X419" s="460"/>
      <c r="Y419" s="460"/>
      <c r="Z419" s="460"/>
      <c r="AA419" s="460"/>
    </row>
    <row r="420" spans="1:34" s="1" customFormat="1" ht="4" customHeight="1" outlineLevel="2">
      <c r="A420" s="6"/>
      <c r="B420" s="1301"/>
      <c r="C420" s="482"/>
      <c r="D420" s="482"/>
      <c r="E420" s="379"/>
      <c r="K420" s="1300"/>
      <c r="L420" s="1300"/>
      <c r="M420" s="1300"/>
      <c r="N420" s="1300"/>
      <c r="O420" s="1300"/>
      <c r="P420" s="1300"/>
      <c r="Q420" s="460"/>
      <c r="R420" s="460"/>
      <c r="S420" s="460"/>
      <c r="T420" s="460"/>
      <c r="U420" s="460"/>
      <c r="V420" s="460"/>
      <c r="W420" s="460"/>
      <c r="X420" s="460"/>
      <c r="Y420" s="460"/>
      <c r="Z420" s="460"/>
      <c r="AA420" s="460"/>
    </row>
    <row r="421" spans="1:34" s="1" customFormat="1" outlineLevel="2">
      <c r="A421" s="6"/>
      <c r="B421" s="1322" t="s">
        <v>464</v>
      </c>
      <c r="C421" s="482"/>
      <c r="D421" s="482"/>
      <c r="E421" s="379"/>
      <c r="K421" s="1300"/>
      <c r="L421" s="1300"/>
      <c r="M421" s="1300"/>
      <c r="N421" s="1300"/>
      <c r="O421" s="1300"/>
      <c r="P421" s="1300"/>
      <c r="Q421" s="460"/>
      <c r="R421" s="460"/>
      <c r="S421" s="460"/>
      <c r="T421" s="460"/>
      <c r="U421" s="460"/>
      <c r="V421" s="460"/>
      <c r="W421" s="460"/>
      <c r="X421" s="460"/>
      <c r="Y421" s="460"/>
      <c r="Z421" s="460"/>
      <c r="AA421" s="460"/>
    </row>
    <row r="422" spans="1:34" s="1" customFormat="1" outlineLevel="2">
      <c r="A422" s="6"/>
      <c r="B422" s="1315" t="s">
        <v>734</v>
      </c>
      <c r="C422" s="482"/>
      <c r="D422" s="482"/>
      <c r="E422" s="379"/>
      <c r="I422" s="585">
        <v>2</v>
      </c>
      <c r="K422" s="1306"/>
      <c r="L422" s="1306"/>
      <c r="M422" s="1306"/>
      <c r="N422" s="1306"/>
      <c r="O422" s="1306"/>
      <c r="P422" s="1302">
        <v>714.6541666666667</v>
      </c>
      <c r="Q422" s="460"/>
      <c r="R422" s="668">
        <f ca="1">PRODUCT($P422,(1+OFFSET(R$574,$I422,0)))</f>
        <v>714.6541666666667</v>
      </c>
      <c r="S422" s="485">
        <f t="shared" ref="S422:AA422" ca="1" si="204">PRODUCT(R422,(1+OFFSET(S$574,$I422,0)))</f>
        <v>740.38171666666676</v>
      </c>
      <c r="T422" s="485">
        <f t="shared" ca="1" si="204"/>
        <v>767.0354584666668</v>
      </c>
      <c r="U422" s="485">
        <f t="shared" ca="1" si="204"/>
        <v>794.64873497146687</v>
      </c>
      <c r="V422" s="485">
        <f t="shared" ca="1" si="204"/>
        <v>823.25608943043972</v>
      </c>
      <c r="W422" s="485">
        <f t="shared" ca="1" si="204"/>
        <v>852.89330864993553</v>
      </c>
      <c r="X422" s="485">
        <f t="shared" ca="1" si="204"/>
        <v>883.59746776133329</v>
      </c>
      <c r="Y422" s="485">
        <f t="shared" ca="1" si="204"/>
        <v>915.40697660074136</v>
      </c>
      <c r="Z422" s="485">
        <f t="shared" ca="1" si="204"/>
        <v>948.36162775836806</v>
      </c>
      <c r="AA422" s="485">
        <f t="shared" ca="1" si="204"/>
        <v>982.50264635766939</v>
      </c>
    </row>
    <row r="423" spans="1:34" s="1" customFormat="1" outlineLevel="2">
      <c r="A423" s="6"/>
      <c r="B423" s="1315" t="s">
        <v>735</v>
      </c>
      <c r="C423" s="482"/>
      <c r="D423" s="482"/>
      <c r="E423" s="379"/>
      <c r="I423" s="585">
        <v>3</v>
      </c>
      <c r="K423" s="1306"/>
      <c r="L423" s="1306"/>
      <c r="M423" s="1306"/>
      <c r="N423" s="1306"/>
      <c r="O423" s="1306"/>
      <c r="P423" s="1302">
        <v>1550.75</v>
      </c>
      <c r="Q423" s="460"/>
      <c r="R423" s="668">
        <f ca="1">PRODUCT($P423,(1+OFFSET(R$574,$I423,0)))</f>
        <v>1550.75</v>
      </c>
      <c r="S423" s="485">
        <f t="shared" ref="S423:AA423" ca="1" si="205">PRODUCT(R423,(1+OFFSET(S$574,$I423,0)))</f>
        <v>1612.78</v>
      </c>
      <c r="T423" s="485">
        <f t="shared" ca="1" si="205"/>
        <v>1677.2912000000001</v>
      </c>
      <c r="U423" s="485">
        <f t="shared" ca="1" si="205"/>
        <v>1744.3828480000002</v>
      </c>
      <c r="V423" s="485">
        <f t="shared" ca="1" si="205"/>
        <v>1814.1581619200003</v>
      </c>
      <c r="W423" s="485">
        <f t="shared" ca="1" si="205"/>
        <v>1886.7244883968003</v>
      </c>
      <c r="X423" s="485">
        <f t="shared" ca="1" si="205"/>
        <v>1962.1934679326723</v>
      </c>
      <c r="Y423" s="485">
        <f t="shared" ca="1" si="205"/>
        <v>2040.6812066499792</v>
      </c>
      <c r="Z423" s="485">
        <f t="shared" ca="1" si="205"/>
        <v>2122.3084549159785</v>
      </c>
      <c r="AA423" s="485">
        <f t="shared" ca="1" si="205"/>
        <v>2207.2007931126177</v>
      </c>
    </row>
    <row r="424" spans="1:34" s="1" customFormat="1" ht="4" customHeight="1" outlineLevel="2">
      <c r="A424" s="6"/>
      <c r="B424" s="1003"/>
      <c r="C424" s="482"/>
      <c r="D424" s="482"/>
      <c r="E424" s="379"/>
      <c r="K424" s="1300"/>
      <c r="L424" s="1300"/>
      <c r="M424" s="1300"/>
      <c r="N424" s="1300"/>
      <c r="O424" s="1300"/>
      <c r="P424" s="1300"/>
      <c r="Q424" s="460"/>
      <c r="R424" s="460"/>
      <c r="S424" s="460"/>
      <c r="T424" s="460"/>
      <c r="U424" s="460"/>
      <c r="V424" s="460"/>
      <c r="W424" s="460"/>
      <c r="X424" s="460"/>
      <c r="Y424" s="460"/>
      <c r="Z424" s="460"/>
      <c r="AA424" s="460"/>
    </row>
    <row r="425" spans="1:34" s="1" customFormat="1" outlineLevel="2">
      <c r="A425" s="6"/>
      <c r="B425" s="1322" t="s">
        <v>636</v>
      </c>
      <c r="C425" s="482"/>
      <c r="D425" s="482"/>
      <c r="E425" s="379"/>
      <c r="K425" s="1300"/>
      <c r="L425" s="1300"/>
      <c r="M425" s="1300"/>
      <c r="N425" s="1300"/>
      <c r="O425" s="1300"/>
      <c r="P425" s="1300"/>
      <c r="Q425" s="460"/>
      <c r="R425" s="460"/>
      <c r="S425" s="460"/>
      <c r="T425" s="460"/>
      <c r="U425" s="460"/>
      <c r="V425" s="460"/>
      <c r="W425" s="460"/>
      <c r="X425" s="460"/>
      <c r="Y425" s="460"/>
      <c r="Z425" s="460"/>
      <c r="AA425" s="460"/>
    </row>
    <row r="426" spans="1:34" s="1" customFormat="1" outlineLevel="2">
      <c r="A426" s="6"/>
      <c r="B426" s="1315" t="s">
        <v>734</v>
      </c>
      <c r="C426" s="482"/>
      <c r="D426" s="482"/>
      <c r="E426" s="379"/>
      <c r="K426" s="1300"/>
      <c r="L426" s="1300"/>
      <c r="M426" s="1300"/>
      <c r="N426" s="1300"/>
      <c r="O426" s="1300"/>
      <c r="P426" s="485">
        <f>PRODUCT(P422,$D$582,P$10)</f>
        <v>8575.85</v>
      </c>
      <c r="Q426" s="460"/>
      <c r="R426" s="485">
        <f t="shared" ref="R426:Z426" ca="1" si="206">PRODUCT(R422,$D$582)</f>
        <v>8575.85</v>
      </c>
      <c r="S426" s="485">
        <f t="shared" ca="1" si="206"/>
        <v>8884.5806000000011</v>
      </c>
      <c r="T426" s="485">
        <f t="shared" ca="1" si="206"/>
        <v>9204.4255016000025</v>
      </c>
      <c r="U426" s="485">
        <f t="shared" ca="1" si="206"/>
        <v>9535.7848196576015</v>
      </c>
      <c r="V426" s="485">
        <f t="shared" ca="1" si="206"/>
        <v>9879.0730731652766</v>
      </c>
      <c r="W426" s="485">
        <f t="shared" ca="1" si="206"/>
        <v>10234.719703799226</v>
      </c>
      <c r="X426" s="485">
        <f t="shared" ca="1" si="206"/>
        <v>10603.169613136</v>
      </c>
      <c r="Y426" s="485">
        <f t="shared" ca="1" si="206"/>
        <v>10984.883719208896</v>
      </c>
      <c r="Z426" s="485">
        <f t="shared" ca="1" si="206"/>
        <v>11380.339533100418</v>
      </c>
      <c r="AA426" s="485">
        <f ca="1">PRODUCT(AA422,$D$582,AA$10)</f>
        <v>11790.031756292032</v>
      </c>
    </row>
    <row r="427" spans="1:34" s="1" customFormat="1" outlineLevel="2">
      <c r="A427" s="6"/>
      <c r="B427" s="1315" t="s">
        <v>735</v>
      </c>
      <c r="C427" s="482"/>
      <c r="D427" s="482"/>
      <c r="E427" s="379"/>
      <c r="K427" s="1300"/>
      <c r="L427" s="1300"/>
      <c r="M427" s="1300"/>
      <c r="N427" s="1300"/>
      <c r="O427" s="1300"/>
      <c r="P427" s="485">
        <f>PRODUCT(P423,$D$582,P$10)</f>
        <v>18609</v>
      </c>
      <c r="Q427" s="460"/>
      <c r="R427" s="485">
        <f t="shared" ref="R427:Z427" ca="1" si="207">PRODUCT(R423,$D$582)</f>
        <v>18609</v>
      </c>
      <c r="S427" s="485">
        <f t="shared" ca="1" si="207"/>
        <v>19353.36</v>
      </c>
      <c r="T427" s="485">
        <f t="shared" ca="1" si="207"/>
        <v>20127.494400000003</v>
      </c>
      <c r="U427" s="485">
        <f t="shared" ca="1" si="207"/>
        <v>20932.594176000002</v>
      </c>
      <c r="V427" s="485">
        <f t="shared" ca="1" si="207"/>
        <v>21769.897943040003</v>
      </c>
      <c r="W427" s="485">
        <f t="shared" ca="1" si="207"/>
        <v>22640.693860761603</v>
      </c>
      <c r="X427" s="485">
        <f t="shared" ca="1" si="207"/>
        <v>23546.321615192068</v>
      </c>
      <c r="Y427" s="485">
        <f t="shared" ca="1" si="207"/>
        <v>24488.174479799753</v>
      </c>
      <c r="Z427" s="485">
        <f t="shared" ca="1" si="207"/>
        <v>25467.701458991742</v>
      </c>
      <c r="AA427" s="485">
        <f ca="1">PRODUCT(AA423,$D$582,AA$10)</f>
        <v>26486.409517351414</v>
      </c>
    </row>
    <row r="428" spans="1:34" s="1" customFormat="1" ht="4" customHeight="1" outlineLevel="2">
      <c r="A428" s="6"/>
      <c r="B428" s="1324"/>
      <c r="C428" s="1308"/>
      <c r="D428" s="1308"/>
      <c r="E428" s="458"/>
      <c r="K428" s="1325"/>
      <c r="L428" s="1325"/>
      <c r="M428" s="1325"/>
      <c r="N428" s="1325"/>
      <c r="O428" s="1325"/>
      <c r="P428" s="1325"/>
      <c r="Q428" s="460"/>
      <c r="R428" s="1326"/>
      <c r="S428" s="1326"/>
      <c r="T428" s="1326"/>
      <c r="U428" s="1326"/>
      <c r="V428" s="1326"/>
      <c r="W428" s="1326"/>
      <c r="X428" s="1326"/>
      <c r="Y428" s="1326"/>
      <c r="Z428" s="1326"/>
      <c r="AA428" s="1326"/>
    </row>
    <row r="429" spans="1:34" s="1" customFormat="1" outlineLevel="2">
      <c r="A429" s="6"/>
      <c r="B429" s="1309" t="s">
        <v>737</v>
      </c>
      <c r="C429" s="482"/>
      <c r="D429" s="482"/>
      <c r="E429" s="379"/>
      <c r="K429" s="1300">
        <v>150764.875</v>
      </c>
      <c r="L429" s="1300">
        <v>148731.215</v>
      </c>
      <c r="M429" s="1300">
        <v>122237</v>
      </c>
      <c r="N429" s="1300">
        <v>93412.99</v>
      </c>
      <c r="O429" s="1300">
        <v>102838.88</v>
      </c>
      <c r="P429" s="1307">
        <f>SUMPRODUCT(P$426:P$427,P$416:P$417)</f>
        <v>121519.20000000001</v>
      </c>
      <c r="Q429" s="460"/>
      <c r="R429" s="1307">
        <f ca="1">SUMPRODUCT(R$426:R$427,R$416:R$417)</f>
        <v>130984.07001459443</v>
      </c>
      <c r="S429" s="1307">
        <f t="shared" ref="S429:AA429" ca="1" si="208">SUMPRODUCT(S$426:S$427,S$416:S$417)</f>
        <v>138116.90355432895</v>
      </c>
      <c r="T429" s="1307">
        <f t="shared" ca="1" si="208"/>
        <v>140550.77101930769</v>
      </c>
      <c r="U429" s="1307">
        <f t="shared" ca="1" si="208"/>
        <v>143048.93513014558</v>
      </c>
      <c r="V429" s="1307">
        <f t="shared" ca="1" si="208"/>
        <v>155295.05920618266</v>
      </c>
      <c r="W429" s="1307">
        <f t="shared" ca="1" si="208"/>
        <v>150811.23244605499</v>
      </c>
      <c r="X429" s="1307">
        <f t="shared" ca="1" si="208"/>
        <v>156194.92844474135</v>
      </c>
      <c r="Y429" s="1307">
        <f t="shared" ca="1" si="208"/>
        <v>161771.33336346035</v>
      </c>
      <c r="Z429" s="1307">
        <f t="shared" ca="1" si="208"/>
        <v>170530.34005897434</v>
      </c>
      <c r="AA429" s="1307">
        <f t="shared" ca="1" si="208"/>
        <v>179780.54282126209</v>
      </c>
    </row>
    <row r="430" spans="1:34" s="1" customFormat="1" outlineLevel="2">
      <c r="A430" s="6"/>
      <c r="B430" s="1309"/>
      <c r="C430" s="482"/>
      <c r="D430" s="482"/>
      <c r="E430" s="379"/>
      <c r="K430" s="1300"/>
      <c r="L430" s="1300"/>
      <c r="M430" s="1300"/>
      <c r="N430" s="1300"/>
      <c r="O430" s="1300"/>
      <c r="P430" s="1307"/>
      <c r="Q430" s="460"/>
      <c r="R430" s="1307"/>
      <c r="S430" s="1307"/>
      <c r="T430" s="1307"/>
      <c r="U430" s="1307"/>
      <c r="V430" s="1307"/>
      <c r="W430" s="1307"/>
      <c r="X430" s="1307"/>
      <c r="Y430" s="1307"/>
      <c r="Z430" s="1307"/>
      <c r="AA430" s="1307"/>
    </row>
    <row r="431" spans="1:34" s="1" customFormat="1" outlineLevel="2">
      <c r="A431" s="6"/>
      <c r="B431" s="923" t="s">
        <v>444</v>
      </c>
      <c r="C431" s="483"/>
      <c r="D431" s="483"/>
      <c r="Q431" s="460"/>
      <c r="R431" s="460"/>
      <c r="AH431" s="3"/>
    </row>
    <row r="432" spans="1:34" s="1" customFormat="1" ht="4.5" customHeight="1" outlineLevel="2">
      <c r="A432" s="6"/>
      <c r="C432" s="483"/>
      <c r="D432" s="483"/>
      <c r="Q432" s="460"/>
      <c r="R432" s="460"/>
    </row>
    <row r="433" spans="1:27" s="1" customFormat="1" outlineLevel="2">
      <c r="A433" s="6"/>
      <c r="B433" s="647" t="s">
        <v>439</v>
      </c>
      <c r="C433" s="379"/>
      <c r="D433" s="379"/>
      <c r="E433" s="461"/>
      <c r="F433" s="517"/>
      <c r="G433" s="174"/>
      <c r="H433" s="174"/>
      <c r="I433" s="512"/>
      <c r="J433" s="474"/>
      <c r="K433" s="454"/>
      <c r="L433" s="454"/>
      <c r="M433" s="454"/>
      <c r="N433" s="454"/>
      <c r="O433" s="454"/>
      <c r="P433" s="454"/>
      <c r="Q433" s="460"/>
      <c r="R433" s="460"/>
    </row>
    <row r="434" spans="1:27" s="1" customFormat="1" outlineLevel="2">
      <c r="A434" s="6"/>
      <c r="B434" s="576" t="s">
        <v>333</v>
      </c>
      <c r="E434" s="461"/>
      <c r="F434" s="517"/>
      <c r="G434" s="174"/>
      <c r="H434" s="174"/>
      <c r="I434" s="512"/>
      <c r="J434" s="474"/>
      <c r="K434" s="646"/>
      <c r="L434" s="646"/>
      <c r="M434" s="646"/>
      <c r="N434" s="646"/>
      <c r="O434" s="646"/>
      <c r="P434" s="454">
        <v>9</v>
      </c>
      <c r="Q434" s="515"/>
      <c r="R434" s="515">
        <f t="shared" ref="R434:AA434" ca="1" si="209">PRODUCT(R$482,R$151)</f>
        <v>10.409686432095043</v>
      </c>
      <c r="S434" s="515">
        <f t="shared" ca="1" si="209"/>
        <v>10.656916484857302</v>
      </c>
      <c r="T434" s="515">
        <f t="shared" ca="1" si="209"/>
        <v>10.713753372776541</v>
      </c>
      <c r="U434" s="515">
        <f t="shared" ca="1" si="209"/>
        <v>10.806113315645304</v>
      </c>
      <c r="V434" s="515">
        <f t="shared" ca="1" si="209"/>
        <v>10.887159165512642</v>
      </c>
      <c r="W434" s="515">
        <f t="shared" ca="1" si="209"/>
        <v>10.873882142140065</v>
      </c>
      <c r="X434" s="515">
        <f t="shared" ca="1" si="209"/>
        <v>10.860621310259408</v>
      </c>
      <c r="Y434" s="515">
        <f t="shared" ca="1" si="209"/>
        <v>10.847376650124945</v>
      </c>
      <c r="Z434" s="515">
        <f t="shared" ca="1" si="209"/>
        <v>11.105001845565411</v>
      </c>
      <c r="AA434" s="515">
        <f t="shared" ca="1" si="209"/>
        <v>11.36874563939759</v>
      </c>
    </row>
    <row r="435" spans="1:27" s="1" customFormat="1" outlineLevel="2">
      <c r="A435" s="6"/>
      <c r="B435" s="576" t="s">
        <v>332</v>
      </c>
      <c r="E435" s="461"/>
      <c r="F435" s="517"/>
      <c r="G435" s="174"/>
      <c r="H435" s="174"/>
      <c r="I435" s="512"/>
      <c r="J435" s="474"/>
      <c r="K435" s="646"/>
      <c r="L435" s="646"/>
      <c r="M435" s="646"/>
      <c r="N435" s="646"/>
      <c r="O435" s="646"/>
      <c r="P435" s="454">
        <v>1</v>
      </c>
      <c r="Q435" s="515"/>
      <c r="R435" s="515">
        <f t="shared" ref="R435:AA435" si="210">PRODUCT(R$483,R$225)</f>
        <v>1</v>
      </c>
      <c r="S435" s="515">
        <f t="shared" si="210"/>
        <v>1</v>
      </c>
      <c r="T435" s="515">
        <f t="shared" si="210"/>
        <v>1</v>
      </c>
      <c r="U435" s="515">
        <f t="shared" si="210"/>
        <v>1</v>
      </c>
      <c r="V435" s="515">
        <f t="shared" si="210"/>
        <v>1</v>
      </c>
      <c r="W435" s="515">
        <f t="shared" si="210"/>
        <v>2</v>
      </c>
      <c r="X435" s="515">
        <f t="shared" si="210"/>
        <v>2</v>
      </c>
      <c r="Y435" s="515">
        <f t="shared" si="210"/>
        <v>2</v>
      </c>
      <c r="Z435" s="515">
        <f t="shared" si="210"/>
        <v>2</v>
      </c>
      <c r="AA435" s="515">
        <f t="shared" si="210"/>
        <v>2</v>
      </c>
    </row>
    <row r="436" spans="1:27" s="1" customFormat="1" outlineLevel="2">
      <c r="A436" s="6"/>
      <c r="B436" s="576" t="s">
        <v>392</v>
      </c>
      <c r="E436" s="461"/>
      <c r="F436" s="517"/>
      <c r="G436" s="174"/>
      <c r="H436" s="174"/>
      <c r="I436" s="512"/>
      <c r="J436" s="474"/>
      <c r="K436" s="646"/>
      <c r="L436" s="646"/>
      <c r="M436" s="646"/>
      <c r="N436" s="646"/>
      <c r="O436" s="646"/>
      <c r="P436" s="454">
        <v>1</v>
      </c>
      <c r="Q436" s="515"/>
      <c r="R436" s="515">
        <f t="shared" ref="R436:AA436" si="211">PRODUCT(R$484,R$348)</f>
        <v>2</v>
      </c>
      <c r="S436" s="515">
        <f t="shared" si="211"/>
        <v>2</v>
      </c>
      <c r="T436" s="515">
        <f t="shared" si="211"/>
        <v>2</v>
      </c>
      <c r="U436" s="515">
        <f t="shared" si="211"/>
        <v>2</v>
      </c>
      <c r="V436" s="515">
        <f t="shared" si="211"/>
        <v>3</v>
      </c>
      <c r="W436" s="515">
        <f t="shared" si="211"/>
        <v>2</v>
      </c>
      <c r="X436" s="515">
        <f t="shared" si="211"/>
        <v>2</v>
      </c>
      <c r="Y436" s="515">
        <f t="shared" si="211"/>
        <v>2</v>
      </c>
      <c r="Z436" s="515">
        <f t="shared" si="211"/>
        <v>2</v>
      </c>
      <c r="AA436" s="515">
        <f t="shared" si="211"/>
        <v>2</v>
      </c>
    </row>
    <row r="437" spans="1:27" s="3" customFormat="1" outlineLevel="2">
      <c r="A437" s="168"/>
      <c r="B437" s="648" t="s">
        <v>26</v>
      </c>
      <c r="C437" s="591"/>
      <c r="D437" s="591"/>
      <c r="E437" s="591"/>
      <c r="K437" s="596">
        <f t="shared" ref="K437:O437" si="212">SUM(K434:K436)</f>
        <v>0</v>
      </c>
      <c r="L437" s="596">
        <f t="shared" si="212"/>
        <v>0</v>
      </c>
      <c r="M437" s="596">
        <f t="shared" si="212"/>
        <v>0</v>
      </c>
      <c r="N437" s="596">
        <f t="shared" si="212"/>
        <v>0</v>
      </c>
      <c r="O437" s="596">
        <f t="shared" si="212"/>
        <v>0</v>
      </c>
      <c r="P437" s="596">
        <f>SUM(P434:P436)</f>
        <v>11</v>
      </c>
      <c r="Q437" s="515"/>
      <c r="R437" s="596">
        <f t="shared" ref="R437:AA437" ca="1" si="213">SUM(R434:R436)</f>
        <v>13.409686432095043</v>
      </c>
      <c r="S437" s="596">
        <f t="shared" ca="1" si="213"/>
        <v>13.656916484857302</v>
      </c>
      <c r="T437" s="596">
        <f t="shared" ca="1" si="213"/>
        <v>13.713753372776541</v>
      </c>
      <c r="U437" s="596">
        <f t="shared" ca="1" si="213"/>
        <v>13.806113315645304</v>
      </c>
      <c r="V437" s="596">
        <f t="shared" ca="1" si="213"/>
        <v>14.887159165512642</v>
      </c>
      <c r="W437" s="596">
        <f t="shared" ca="1" si="213"/>
        <v>14.873882142140065</v>
      </c>
      <c r="X437" s="596">
        <f t="shared" ca="1" si="213"/>
        <v>14.860621310259408</v>
      </c>
      <c r="Y437" s="596">
        <f t="shared" ca="1" si="213"/>
        <v>14.847376650124945</v>
      </c>
      <c r="Z437" s="596">
        <f t="shared" ca="1" si="213"/>
        <v>15.105001845565411</v>
      </c>
      <c r="AA437" s="596">
        <f t="shared" ca="1" si="213"/>
        <v>15.36874563939759</v>
      </c>
    </row>
    <row r="438" spans="1:27" s="1" customFormat="1" ht="6" customHeight="1" outlineLevel="2">
      <c r="A438" s="6"/>
      <c r="C438" s="483"/>
      <c r="D438" s="483"/>
      <c r="Q438" s="460"/>
      <c r="R438" s="460"/>
    </row>
    <row r="439" spans="1:27" s="1" customFormat="1" outlineLevel="2">
      <c r="A439" s="6"/>
      <c r="B439" s="647" t="s">
        <v>445</v>
      </c>
      <c r="C439" s="483"/>
      <c r="D439" s="483"/>
      <c r="Q439" s="460"/>
      <c r="R439" s="460"/>
    </row>
    <row r="440" spans="1:27" s="1" customFormat="1" outlineLevel="2">
      <c r="A440" s="6"/>
      <c r="B440" s="576" t="s">
        <v>333</v>
      </c>
      <c r="C440" s="483"/>
      <c r="D440" s="483"/>
      <c r="I440" s="585">
        <v>1</v>
      </c>
      <c r="K440" s="650"/>
      <c r="L440" s="650"/>
      <c r="M440" s="650"/>
      <c r="N440" s="650"/>
      <c r="O440" s="650"/>
      <c r="P440" s="454">
        <v>1453</v>
      </c>
      <c r="Q440" s="460"/>
      <c r="R440" s="668">
        <f ca="1">PRODUCT($P440,(1+OFFSET(R$574,$I440,0)))</f>
        <v>1453</v>
      </c>
      <c r="S440" s="1327">
        <f t="shared" ref="S440:Z442" ca="1" si="214">PRODUCT(R440,(1+OFFSET(S$574,$I440,0)))</f>
        <v>1489.3249999999998</v>
      </c>
      <c r="T440" s="1327">
        <f t="shared" ca="1" si="214"/>
        <v>1526.5581249999998</v>
      </c>
      <c r="U440" s="1327">
        <f t="shared" ca="1" si="214"/>
        <v>1564.7220781249996</v>
      </c>
      <c r="V440" s="1327">
        <f t="shared" ca="1" si="214"/>
        <v>1603.8401300781245</v>
      </c>
      <c r="W440" s="1327">
        <f t="shared" ca="1" si="214"/>
        <v>1643.9361333300774</v>
      </c>
      <c r="X440" s="1327">
        <f t="shared" ca="1" si="214"/>
        <v>1685.0345366633292</v>
      </c>
      <c r="Y440" s="1327">
        <f t="shared" ca="1" si="214"/>
        <v>1727.1604000799123</v>
      </c>
      <c r="Z440" s="1327">
        <f t="shared" ca="1" si="214"/>
        <v>1770.33941008191</v>
      </c>
      <c r="AA440" s="1327">
        <f ca="1">PRODUCT((Z440/Z$10),(1+OFFSET(AA$574,$I440,0)),AA$10)</f>
        <v>1814.5978953339577</v>
      </c>
    </row>
    <row r="441" spans="1:27" s="1" customFormat="1" outlineLevel="2">
      <c r="A441" s="6"/>
      <c r="B441" s="576" t="s">
        <v>332</v>
      </c>
      <c r="C441" s="483"/>
      <c r="D441" s="483"/>
      <c r="I441" s="585">
        <v>1</v>
      </c>
      <c r="K441" s="650"/>
      <c r="L441" s="650"/>
      <c r="M441" s="650"/>
      <c r="N441" s="650"/>
      <c r="O441" s="650"/>
      <c r="P441" s="454">
        <v>1641.8263499999998</v>
      </c>
      <c r="Q441" s="460"/>
      <c r="R441" s="668">
        <f ca="1">PRODUCT($P441,(1+OFFSET(R$574,$I441,0)))</f>
        <v>1641.8263499999998</v>
      </c>
      <c r="S441" s="1327">
        <f t="shared" ca="1" si="214"/>
        <v>1682.8720087499996</v>
      </c>
      <c r="T441" s="1327">
        <f t="shared" ca="1" si="214"/>
        <v>1724.9438089687494</v>
      </c>
      <c r="U441" s="1327">
        <f t="shared" ca="1" si="214"/>
        <v>1768.0674041929681</v>
      </c>
      <c r="V441" s="1327">
        <f t="shared" ca="1" si="214"/>
        <v>1812.2690892977921</v>
      </c>
      <c r="W441" s="1327">
        <f t="shared" ca="1" si="214"/>
        <v>1857.5758165302368</v>
      </c>
      <c r="X441" s="1327">
        <f t="shared" ca="1" si="214"/>
        <v>1904.0152119434927</v>
      </c>
      <c r="Y441" s="1327">
        <f t="shared" ca="1" si="214"/>
        <v>1951.6155922420799</v>
      </c>
      <c r="Z441" s="1327">
        <f t="shared" ca="1" si="214"/>
        <v>2000.4059820481316</v>
      </c>
      <c r="AA441" s="1327">
        <f ca="1">PRODUCT((Z441/Z$10),(1+OFFSET(AA$574,$I441,0)),AA$10)</f>
        <v>2050.4161315993347</v>
      </c>
    </row>
    <row r="442" spans="1:27" s="1" customFormat="1" outlineLevel="2">
      <c r="A442" s="6"/>
      <c r="B442" s="576" t="s">
        <v>392</v>
      </c>
      <c r="C442" s="483"/>
      <c r="D442" s="483"/>
      <c r="I442" s="585">
        <v>1</v>
      </c>
      <c r="K442" s="650"/>
      <c r="L442" s="650"/>
      <c r="M442" s="650"/>
      <c r="N442" s="650"/>
      <c r="O442" s="650"/>
      <c r="P442" s="454">
        <v>2369.25</v>
      </c>
      <c r="Q442" s="460"/>
      <c r="R442" s="668">
        <f ca="1">PRODUCT($P442,(1+OFFSET(R$574,$I442,0)))</f>
        <v>2369.25</v>
      </c>
      <c r="S442" s="1327">
        <f t="shared" ca="1" si="214"/>
        <v>2428.4812499999998</v>
      </c>
      <c r="T442" s="1327">
        <f t="shared" ca="1" si="214"/>
        <v>2489.1932812499995</v>
      </c>
      <c r="U442" s="1327">
        <f t="shared" ca="1" si="214"/>
        <v>2551.4231132812492</v>
      </c>
      <c r="V442" s="1327">
        <f t="shared" ca="1" si="214"/>
        <v>2615.2086911132801</v>
      </c>
      <c r="W442" s="1327">
        <f t="shared" ca="1" si="214"/>
        <v>2680.588908391112</v>
      </c>
      <c r="X442" s="1327">
        <f t="shared" ca="1" si="214"/>
        <v>2747.6036311008897</v>
      </c>
      <c r="Y442" s="1327">
        <f t="shared" ca="1" si="214"/>
        <v>2816.2937218784118</v>
      </c>
      <c r="Z442" s="1327">
        <f t="shared" ca="1" si="214"/>
        <v>2886.7010649253721</v>
      </c>
      <c r="AA442" s="1327">
        <f ca="1">PRODUCT((Z442/Z$10),(1+OFFSET(AA$574,$I442,0)),AA$10)</f>
        <v>2958.8685915485062</v>
      </c>
    </row>
    <row r="443" spans="1:27" s="1" customFormat="1" ht="8.5" customHeight="1" outlineLevel="2">
      <c r="A443" s="6"/>
      <c r="B443" s="576"/>
      <c r="C443" s="483"/>
      <c r="D443" s="483"/>
      <c r="I443" s="585"/>
      <c r="K443"/>
      <c r="L443"/>
      <c r="M443"/>
      <c r="N443"/>
      <c r="O443"/>
      <c r="P443" s="454"/>
      <c r="Q443" s="460"/>
      <c r="R443" s="668"/>
      <c r="S443" s="1327"/>
      <c r="T443" s="1327"/>
      <c r="U443" s="1327"/>
      <c r="V443" s="1327"/>
      <c r="W443" s="1327"/>
      <c r="X443" s="1327"/>
      <c r="Y443" s="1327"/>
      <c r="Z443" s="1327"/>
      <c r="AA443" s="1327"/>
    </row>
    <row r="444" spans="1:27" s="1" customFormat="1" outlineLevel="2">
      <c r="A444" s="6"/>
      <c r="B444" s="834" t="s">
        <v>496</v>
      </c>
      <c r="C444" s="832"/>
      <c r="D444" s="832"/>
      <c r="E444" s="583"/>
      <c r="K444" s="833">
        <v>18526.400000000001</v>
      </c>
      <c r="L444" s="833">
        <v>19112.400000000001</v>
      </c>
      <c r="M444" s="833">
        <v>17119.400000000001</v>
      </c>
      <c r="N444" s="833">
        <v>17185.400000000001</v>
      </c>
      <c r="O444" s="833">
        <v>14459.28</v>
      </c>
      <c r="P444" s="833">
        <v>13117.250000000002</v>
      </c>
      <c r="Q444" s="669"/>
      <c r="R444" s="835">
        <f ca="1">SUMPRODUCT(R$434:R$436,R$440:R$442)</f>
        <v>21505.600735834098</v>
      </c>
      <c r="S444" s="835">
        <f t="shared" ref="S444:AA444" ca="1" si="215">SUMPRODUCT(S$434:S$436,S$440:S$442)</f>
        <v>22411.446652560095</v>
      </c>
      <c r="T444" s="835">
        <f t="shared" ca="1" si="215"/>
        <v>23058.49763192693</v>
      </c>
      <c r="U444" s="835">
        <f t="shared" ca="1" si="215"/>
        <v>23779.477714466215</v>
      </c>
      <c r="V444" s="835">
        <f t="shared" ca="1" si="215"/>
        <v>27119.157934834675</v>
      </c>
      <c r="W444" s="835">
        <f t="shared" ca="1" si="215"/>
        <v>26952.297212879417</v>
      </c>
      <c r="X444" s="835">
        <f t="shared" ca="1" si="215"/>
        <v>27603.759683497607</v>
      </c>
      <c r="Y444" s="835">
        <f t="shared" ca="1" si="215"/>
        <v>28270.978023088282</v>
      </c>
      <c r="Z444" s="835">
        <f t="shared" ca="1" si="215"/>
        <v>29433.836510183799</v>
      </c>
      <c r="AA444" s="835">
        <f t="shared" ca="1" si="215"/>
        <v>30648.271356133657</v>
      </c>
    </row>
    <row r="445" spans="1:27" s="1" customFormat="1" outlineLevel="2">
      <c r="A445" s="6"/>
      <c r="B445" s="514"/>
      <c r="C445" s="483"/>
      <c r="D445" s="483"/>
      <c r="Q445" s="460"/>
      <c r="R445" s="460"/>
    </row>
    <row r="446" spans="1:27" s="1" customFormat="1" outlineLevel="2">
      <c r="A446" s="6"/>
      <c r="B446" s="923" t="s">
        <v>468</v>
      </c>
      <c r="C446" s="483"/>
      <c r="D446" s="483"/>
      <c r="Q446" s="460"/>
      <c r="R446" s="460"/>
    </row>
    <row r="447" spans="1:27" s="1" customFormat="1" ht="3.75" customHeight="1" outlineLevel="2">
      <c r="A447" s="6"/>
      <c r="B447" s="26"/>
      <c r="C447" s="483"/>
      <c r="D447" s="483"/>
      <c r="Q447" s="460"/>
      <c r="R447" s="460"/>
    </row>
    <row r="448" spans="1:27" s="1" customFormat="1" outlineLevel="2">
      <c r="A448" s="6"/>
      <c r="B448" s="774" t="s">
        <v>462</v>
      </c>
      <c r="C448" s="483"/>
      <c r="D448" s="483"/>
      <c r="E448" s="375"/>
      <c r="I448" s="585">
        <v>1</v>
      </c>
      <c r="K448" s="776">
        <f t="shared" ref="K448:O451" si="216">$R448</f>
        <v>20592</v>
      </c>
      <c r="L448" s="776">
        <f t="shared" si="216"/>
        <v>20592</v>
      </c>
      <c r="M448" s="776">
        <f t="shared" si="216"/>
        <v>20592</v>
      </c>
      <c r="N448" s="776">
        <f t="shared" si="216"/>
        <v>20592</v>
      </c>
      <c r="O448" s="776">
        <f t="shared" si="216"/>
        <v>20592</v>
      </c>
      <c r="P448" s="776">
        <f>$R448</f>
        <v>20592</v>
      </c>
      <c r="Q448" s="460"/>
      <c r="R448" s="652">
        <f>_xlfn.XLOOKUP($B448,Manager!$B$18:$B$21,Manager!$E$18:$E$21,0)</f>
        <v>20592</v>
      </c>
      <c r="S448" s="485">
        <f t="shared" ref="S448:AA448" ca="1" si="217">PRODUCT(R448,(1+OFFSET(S$574,$I448,0)))</f>
        <v>21106.799999999999</v>
      </c>
      <c r="T448" s="485">
        <f t="shared" ca="1" si="217"/>
        <v>21634.469999999998</v>
      </c>
      <c r="U448" s="485">
        <f t="shared" ca="1" si="217"/>
        <v>22175.331749999994</v>
      </c>
      <c r="V448" s="485">
        <f t="shared" ca="1" si="217"/>
        <v>22729.715043749991</v>
      </c>
      <c r="W448" s="485">
        <f t="shared" ca="1" si="217"/>
        <v>23297.957919843739</v>
      </c>
      <c r="X448" s="485">
        <f t="shared" ca="1" si="217"/>
        <v>23880.406867839829</v>
      </c>
      <c r="Y448" s="485">
        <f t="shared" ca="1" si="217"/>
        <v>24477.417039535823</v>
      </c>
      <c r="Z448" s="485">
        <f t="shared" ca="1" si="217"/>
        <v>25089.352465524218</v>
      </c>
      <c r="AA448" s="485">
        <f t="shared" ca="1" si="217"/>
        <v>25716.586277162321</v>
      </c>
    </row>
    <row r="449" spans="1:45" s="1" customFormat="1" outlineLevel="2">
      <c r="A449" s="6"/>
      <c r="B449" s="774" t="s">
        <v>481</v>
      </c>
      <c r="C449" s="483"/>
      <c r="D449" s="483"/>
      <c r="E449" s="375"/>
      <c r="I449" s="585">
        <v>2</v>
      </c>
      <c r="K449" s="776">
        <f t="shared" si="216"/>
        <v>7904.76</v>
      </c>
      <c r="L449" s="776">
        <f t="shared" si="216"/>
        <v>7904.76</v>
      </c>
      <c r="M449" s="776">
        <f t="shared" si="216"/>
        <v>7904.76</v>
      </c>
      <c r="N449" s="776">
        <f t="shared" si="216"/>
        <v>7904.76</v>
      </c>
      <c r="O449" s="776">
        <f t="shared" si="216"/>
        <v>7904.76</v>
      </c>
      <c r="P449" s="776">
        <f>$R449</f>
        <v>7904.76</v>
      </c>
      <c r="Q449" s="460"/>
      <c r="R449" s="652">
        <f>_xlfn.XLOOKUP($B449,Manager!$B$18:$B$21,Manager!$E$18:$E$21,0)</f>
        <v>7904.76</v>
      </c>
      <c r="S449" s="485">
        <f t="shared" ref="S449:AA449" ca="1" si="218">PRODUCT(R449,(1+OFFSET(S$574,$I449,0)))</f>
        <v>8189.3313600000001</v>
      </c>
      <c r="T449" s="485">
        <f t="shared" ca="1" si="218"/>
        <v>8484.1472889600009</v>
      </c>
      <c r="U449" s="485">
        <f t="shared" ca="1" si="218"/>
        <v>8789.5765913625619</v>
      </c>
      <c r="V449" s="485">
        <f t="shared" ca="1" si="218"/>
        <v>9106.0013486516145</v>
      </c>
      <c r="W449" s="485">
        <f t="shared" ca="1" si="218"/>
        <v>9433.8173972030727</v>
      </c>
      <c r="X449" s="485">
        <f t="shared" ca="1" si="218"/>
        <v>9773.4348235023845</v>
      </c>
      <c r="Y449" s="485">
        <f t="shared" ca="1" si="218"/>
        <v>10125.278477148471</v>
      </c>
      <c r="Z449" s="485">
        <f t="shared" ca="1" si="218"/>
        <v>10489.788502325817</v>
      </c>
      <c r="AA449" s="485">
        <f t="shared" ca="1" si="218"/>
        <v>10867.420888409546</v>
      </c>
    </row>
    <row r="450" spans="1:45" s="1" customFormat="1" outlineLevel="2">
      <c r="A450" s="6"/>
      <c r="B450" s="774" t="s">
        <v>467</v>
      </c>
      <c r="C450" s="483"/>
      <c r="D450" s="483"/>
      <c r="E450" s="375"/>
      <c r="I450" s="585">
        <v>0</v>
      </c>
      <c r="K450" s="776">
        <f t="shared" si="216"/>
        <v>305</v>
      </c>
      <c r="L450" s="776">
        <f t="shared" si="216"/>
        <v>305</v>
      </c>
      <c r="M450" s="776">
        <f t="shared" si="216"/>
        <v>305</v>
      </c>
      <c r="N450" s="776">
        <f t="shared" si="216"/>
        <v>305</v>
      </c>
      <c r="O450" s="776">
        <f t="shared" si="216"/>
        <v>305</v>
      </c>
      <c r="P450" s="776">
        <f>$R450</f>
        <v>305</v>
      </c>
      <c r="Q450" s="460"/>
      <c r="R450" s="652">
        <f>_xlfn.XLOOKUP($B450,Manager!$B$18:$B$21,Manager!$E$18:$E$21,0)</f>
        <v>305</v>
      </c>
      <c r="S450" s="485">
        <f t="shared" ref="S450:AA450" ca="1" si="219">PRODUCT(R450,(1+OFFSET(S$574,$I450,0)))</f>
        <v>305</v>
      </c>
      <c r="T450" s="485">
        <f t="shared" ca="1" si="219"/>
        <v>305</v>
      </c>
      <c r="U450" s="485">
        <f t="shared" ca="1" si="219"/>
        <v>305</v>
      </c>
      <c r="V450" s="485">
        <f t="shared" ca="1" si="219"/>
        <v>305</v>
      </c>
      <c r="W450" s="485">
        <f t="shared" ca="1" si="219"/>
        <v>305</v>
      </c>
      <c r="X450" s="485">
        <f t="shared" ca="1" si="219"/>
        <v>305</v>
      </c>
      <c r="Y450" s="485">
        <f t="shared" ca="1" si="219"/>
        <v>305</v>
      </c>
      <c r="Z450" s="485">
        <f t="shared" ca="1" si="219"/>
        <v>305</v>
      </c>
      <c r="AA450" s="485">
        <f t="shared" ca="1" si="219"/>
        <v>305</v>
      </c>
    </row>
    <row r="451" spans="1:45" s="1" customFormat="1" outlineLevel="2">
      <c r="A451" s="6"/>
      <c r="B451" s="774" t="s">
        <v>372</v>
      </c>
      <c r="C451" s="483"/>
      <c r="D451" s="483"/>
      <c r="E451" s="375"/>
      <c r="I451" s="585">
        <v>0</v>
      </c>
      <c r="K451" s="776">
        <f t="shared" si="216"/>
        <v>0</v>
      </c>
      <c r="L451" s="776">
        <f t="shared" si="216"/>
        <v>0</v>
      </c>
      <c r="M451" s="776">
        <f t="shared" si="216"/>
        <v>0</v>
      </c>
      <c r="N451" s="776">
        <f t="shared" si="216"/>
        <v>0</v>
      </c>
      <c r="O451" s="776">
        <f t="shared" si="216"/>
        <v>0</v>
      </c>
      <c r="P451" s="776">
        <f>$R451</f>
        <v>0</v>
      </c>
      <c r="Q451" s="460"/>
      <c r="R451" s="652">
        <f>_xlfn.XLOOKUP($B451,Manager!$B$18:$B$21,Manager!$E$18:$E$21,0)</f>
        <v>0</v>
      </c>
      <c r="S451" s="454">
        <v>0</v>
      </c>
      <c r="T451" s="454">
        <v>0</v>
      </c>
      <c r="U451" s="454">
        <v>0</v>
      </c>
      <c r="V451" s="454">
        <v>0</v>
      </c>
      <c r="W451" s="454">
        <v>0</v>
      </c>
      <c r="X451" s="454">
        <v>0</v>
      </c>
      <c r="Y451" s="454">
        <v>0</v>
      </c>
      <c r="Z451" s="454">
        <v>0</v>
      </c>
      <c r="AA451" s="454">
        <v>0</v>
      </c>
    </row>
    <row r="452" spans="1:45" s="1" customFormat="1" outlineLevel="2">
      <c r="A452" s="6"/>
      <c r="B452" s="649" t="s">
        <v>26</v>
      </c>
      <c r="C452" s="645"/>
      <c r="D452" s="645"/>
      <c r="E452" s="583"/>
      <c r="K452" s="775">
        <f t="shared" ref="K452:P452" si="220">SUM(K$448:K$451)</f>
        <v>28801.760000000002</v>
      </c>
      <c r="L452" s="775">
        <f t="shared" si="220"/>
        <v>28801.760000000002</v>
      </c>
      <c r="M452" s="775">
        <f t="shared" si="220"/>
        <v>28801.760000000002</v>
      </c>
      <c r="N452" s="775">
        <f t="shared" si="220"/>
        <v>28801.760000000002</v>
      </c>
      <c r="O452" s="775">
        <f t="shared" si="220"/>
        <v>28801.760000000002</v>
      </c>
      <c r="P452" s="775">
        <f t="shared" si="220"/>
        <v>28801.760000000002</v>
      </c>
      <c r="Q452" s="460"/>
      <c r="R452" s="775">
        <f t="shared" ref="R452:AA452" si="221">SUM(R$448:R$451)</f>
        <v>28801.760000000002</v>
      </c>
      <c r="S452" s="775">
        <f t="shared" ca="1" si="221"/>
        <v>29601.131359999999</v>
      </c>
      <c r="T452" s="775">
        <f t="shared" ca="1" si="221"/>
        <v>30423.617288959998</v>
      </c>
      <c r="U452" s="775">
        <f t="shared" ca="1" si="221"/>
        <v>31269.908341362556</v>
      </c>
      <c r="V452" s="775">
        <f t="shared" ca="1" si="221"/>
        <v>32140.716392401606</v>
      </c>
      <c r="W452" s="775">
        <f t="shared" ca="1" si="221"/>
        <v>33036.775317046813</v>
      </c>
      <c r="X452" s="775">
        <f t="shared" ca="1" si="221"/>
        <v>33958.841691342212</v>
      </c>
      <c r="Y452" s="775">
        <f t="shared" ca="1" si="221"/>
        <v>34907.695516684296</v>
      </c>
      <c r="Z452" s="775">
        <f t="shared" ca="1" si="221"/>
        <v>35884.140967850035</v>
      </c>
      <c r="AA452" s="775">
        <f t="shared" ca="1" si="221"/>
        <v>36889.007165571864</v>
      </c>
    </row>
    <row r="453" spans="1:45" s="1" customFormat="1" ht="15" outlineLevel="2" thickBot="1">
      <c r="A453" s="6"/>
      <c r="B453" s="570"/>
      <c r="C453" s="836"/>
      <c r="D453" s="836"/>
      <c r="E453" s="837"/>
      <c r="K453" s="837"/>
      <c r="L453" s="837"/>
      <c r="M453" s="837"/>
      <c r="N453" s="837"/>
      <c r="O453" s="837"/>
      <c r="P453" s="837"/>
      <c r="Q453" s="460"/>
      <c r="R453" s="838"/>
      <c r="S453" s="837"/>
      <c r="T453" s="837"/>
      <c r="U453" s="837"/>
      <c r="V453" s="837"/>
      <c r="W453" s="837"/>
      <c r="X453" s="837"/>
      <c r="Y453" s="837"/>
      <c r="Z453" s="837"/>
      <c r="AA453" s="837"/>
    </row>
    <row r="454" spans="1:45" s="1" customFormat="1" ht="15" outlineLevel="2" thickTop="1">
      <c r="A454" s="6"/>
      <c r="B454" s="466" t="s">
        <v>442</v>
      </c>
      <c r="C454" s="483"/>
      <c r="D454" s="483"/>
      <c r="E454" s="379"/>
      <c r="K454" s="794">
        <f t="shared" ref="K454:P454" si="222">SUM(K$429,K$444,K$452)</f>
        <v>198093.035</v>
      </c>
      <c r="L454" s="794">
        <f t="shared" si="222"/>
        <v>196645.375</v>
      </c>
      <c r="M454" s="794">
        <f t="shared" si="222"/>
        <v>168158.16</v>
      </c>
      <c r="N454" s="794">
        <f t="shared" si="222"/>
        <v>139400.15000000002</v>
      </c>
      <c r="O454" s="794">
        <f t="shared" si="222"/>
        <v>146099.92000000001</v>
      </c>
      <c r="P454" s="794">
        <f t="shared" si="222"/>
        <v>163438.21000000002</v>
      </c>
      <c r="Q454" s="460"/>
      <c r="R454" s="794">
        <f t="shared" ref="R454:AA454" ca="1" si="223">SUM(R$429,R$444,R$452)</f>
        <v>181291.43075042852</v>
      </c>
      <c r="S454" s="794">
        <f t="shared" ca="1" si="223"/>
        <v>190129.48156688904</v>
      </c>
      <c r="T454" s="794">
        <f t="shared" ca="1" si="223"/>
        <v>194032.88594019462</v>
      </c>
      <c r="U454" s="794">
        <f t="shared" ca="1" si="223"/>
        <v>198098.32118597435</v>
      </c>
      <c r="V454" s="794">
        <f t="shared" ca="1" si="223"/>
        <v>214554.93353341895</v>
      </c>
      <c r="W454" s="794">
        <f t="shared" ca="1" si="223"/>
        <v>210800.30497598121</v>
      </c>
      <c r="X454" s="794">
        <f t="shared" ca="1" si="223"/>
        <v>217757.52981958116</v>
      </c>
      <c r="Y454" s="794">
        <f t="shared" ca="1" si="223"/>
        <v>224950.00690323292</v>
      </c>
      <c r="Z454" s="794">
        <f t="shared" ca="1" si="223"/>
        <v>235848.3175370082</v>
      </c>
      <c r="AA454" s="794">
        <f t="shared" ca="1" si="223"/>
        <v>247317.82134296763</v>
      </c>
    </row>
    <row r="455" spans="1:45" s="1" customFormat="1" outlineLevel="2">
      <c r="A455" s="6"/>
      <c r="B455" s="546" t="s">
        <v>385</v>
      </c>
      <c r="C455" s="379"/>
      <c r="D455" s="379"/>
      <c r="E455" s="379"/>
      <c r="F455" s="571"/>
      <c r="G455" s="497"/>
      <c r="H455" s="497"/>
      <c r="I455" s="587"/>
      <c r="J455" s="587"/>
      <c r="K455" s="490"/>
      <c r="L455" s="490">
        <f>(L$454/$B$10)/L$51</f>
        <v>6.6066774199183997E-2</v>
      </c>
      <c r="M455" s="490">
        <f>(M$454/$B$10)/M$51</f>
        <v>6.2780556481651914E-2</v>
      </c>
      <c r="N455" s="490">
        <f>(N$454/$B$10)/N$51</f>
        <v>5.0020650540466456E-2</v>
      </c>
      <c r="O455" s="490">
        <f>(O$454/$B$10)/O$51</f>
        <v>5.2969778929908368E-2</v>
      </c>
      <c r="P455" s="490">
        <f>(P$454/$B$10)/P$51</f>
        <v>5.9004220667516039E-2</v>
      </c>
      <c r="Q455" s="490"/>
      <c r="R455" s="490">
        <f t="shared" ref="R455:AA455" ca="1" si="224">(R$454/$B$10)/R$51</f>
        <v>6.3931198044530638E-2</v>
      </c>
      <c r="S455" s="490">
        <f t="shared" ca="1" si="224"/>
        <v>6.549243169241005E-2</v>
      </c>
      <c r="T455" s="490">
        <f t="shared" ca="1" si="224"/>
        <v>6.5286453919932597E-2</v>
      </c>
      <c r="U455" s="490">
        <f t="shared" ca="1" si="224"/>
        <v>6.51080393569341E-2</v>
      </c>
      <c r="V455" s="490">
        <f t="shared" ca="1" si="224"/>
        <v>6.8880836524456812E-2</v>
      </c>
      <c r="W455" s="490">
        <f t="shared" ca="1" si="224"/>
        <v>6.6105444161976085E-2</v>
      </c>
      <c r="X455" s="490">
        <f t="shared" ca="1" si="224"/>
        <v>6.6702983470788152E-2</v>
      </c>
      <c r="Y455" s="490">
        <f t="shared" ca="1" si="224"/>
        <v>6.7307610681307431E-2</v>
      </c>
      <c r="Z455" s="490">
        <f t="shared" ca="1" si="224"/>
        <v>6.8931389173592886E-2</v>
      </c>
      <c r="AA455" s="490">
        <f t="shared" ca="1" si="224"/>
        <v>7.0606672644089624E-2</v>
      </c>
    </row>
    <row r="456" spans="1:45" s="1" customFormat="1" outlineLevel="2">
      <c r="A456" s="6"/>
      <c r="B456" s="514"/>
      <c r="C456" s="483"/>
      <c r="D456" s="483"/>
      <c r="Q456" s="460"/>
      <c r="R456" s="460"/>
    </row>
    <row r="457" spans="1:45" outlineLevel="2">
      <c r="B457" s="852" t="str">
        <f>_xlfn.CONCAT(B393," Assumptions")</f>
        <v>Employee Benefits Assumptions</v>
      </c>
      <c r="C457" s="853"/>
      <c r="D457" s="853"/>
      <c r="E457" s="853"/>
      <c r="F457" s="853"/>
      <c r="G457" s="853"/>
      <c r="H457" s="853"/>
      <c r="I457" s="853"/>
      <c r="J457" s="853"/>
      <c r="K457" s="853"/>
      <c r="L457" s="854"/>
      <c r="M457" s="854"/>
      <c r="N457" s="854"/>
      <c r="O457" s="854"/>
      <c r="P457" s="854"/>
      <c r="Q457" s="854"/>
      <c r="R457" s="854"/>
      <c r="S457" s="854"/>
      <c r="T457" s="854"/>
      <c r="U457" s="854"/>
      <c r="V457" s="854"/>
      <c r="W457" s="854"/>
      <c r="X457" s="854"/>
      <c r="Y457" s="854"/>
      <c r="Z457" s="854"/>
      <c r="AA457" s="854"/>
      <c r="AC457" s="517"/>
      <c r="AD457" s="517"/>
      <c r="AE457" s="517"/>
      <c r="AF457" s="517"/>
      <c r="AG457" s="517"/>
      <c r="AH457" s="517"/>
      <c r="AI457" s="517"/>
      <c r="AJ457" s="517"/>
      <c r="AK457" s="517"/>
      <c r="AL457" s="517"/>
      <c r="AM457" s="517"/>
      <c r="AN457" s="517"/>
      <c r="AO457" s="517"/>
      <c r="AP457" s="517"/>
    </row>
    <row r="458" spans="1:45" s="1" customFormat="1" ht="8.5" customHeight="1" outlineLevel="3">
      <c r="A458" s="6"/>
      <c r="B458" s="462"/>
      <c r="C458" s="379"/>
      <c r="D458" s="379"/>
      <c r="E458" s="461"/>
      <c r="F458" s="517"/>
      <c r="G458" s="174"/>
      <c r="H458" s="174"/>
      <c r="I458" s="512"/>
      <c r="J458" s="474"/>
      <c r="K458" s="454"/>
      <c r="L458" s="454"/>
      <c r="M458" s="454"/>
      <c r="N458" s="454"/>
      <c r="O458" s="454"/>
      <c r="P458" s="454"/>
      <c r="Q458" s="460"/>
      <c r="R458" s="460"/>
    </row>
    <row r="459" spans="1:45" s="1" customFormat="1" outlineLevel="3">
      <c r="A459" s="6"/>
      <c r="B459" s="1006" t="s">
        <v>736</v>
      </c>
      <c r="C459" s="379"/>
      <c r="D459" s="379"/>
      <c r="E459" s="461"/>
      <c r="F459" s="517"/>
      <c r="G459" s="174"/>
      <c r="H459" s="174"/>
      <c r="I459"/>
      <c r="J459" s="474"/>
      <c r="K459" s="454"/>
      <c r="L459" s="454"/>
      <c r="M459" s="454"/>
      <c r="N459" s="454"/>
      <c r="O459" s="454"/>
      <c r="P459" s="454"/>
      <c r="Q459" s="460"/>
      <c r="R459" s="460"/>
    </row>
    <row r="460" spans="1:45" s="1" customFormat="1" ht="4.5" customHeight="1" outlineLevel="3">
      <c r="A460" s="6"/>
      <c r="B460" s="1006"/>
      <c r="C460" s="379"/>
      <c r="D460" s="379"/>
      <c r="E460" s="461"/>
      <c r="F460" s="517"/>
      <c r="G460" s="174"/>
      <c r="H460" s="174"/>
      <c r="I460" s="517"/>
      <c r="J460" s="474"/>
      <c r="K460" s="454"/>
      <c r="L460" s="454"/>
      <c r="M460" s="454"/>
      <c r="N460" s="454"/>
      <c r="O460" s="454"/>
      <c r="P460" s="454"/>
      <c r="Q460" s="460"/>
      <c r="R460" s="460"/>
    </row>
    <row r="461" spans="1:45" s="544" customFormat="1" outlineLevel="3">
      <c r="A461" s="1314"/>
      <c r="B461" s="1313" t="s">
        <v>743</v>
      </c>
      <c r="C461" s="564"/>
      <c r="D461" s="564"/>
      <c r="E461" s="565"/>
      <c r="F461" s="363"/>
      <c r="G461" s="566"/>
      <c r="H461" s="566"/>
      <c r="I461" s="363"/>
      <c r="J461" s="568"/>
      <c r="K461" s="1319"/>
      <c r="L461" s="1319"/>
      <c r="M461" s="1319"/>
      <c r="N461" s="1319"/>
      <c r="O461" s="1319"/>
      <c r="P461" s="1318">
        <f>SUM(P$416:P$417)/P$399</f>
        <v>0.65</v>
      </c>
      <c r="Q461" s="642"/>
      <c r="R461" s="1318">
        <f t="shared" ref="R461:AA461" ca="1" si="225">SUM(R$416:R$417)/R$399</f>
        <v>0.62665942808380815</v>
      </c>
      <c r="S461" s="1318">
        <f t="shared" ca="1" si="225"/>
        <v>0.62614877073048103</v>
      </c>
      <c r="T461" s="1318">
        <f t="shared" ca="1" si="225"/>
        <v>0.62669990677642118</v>
      </c>
      <c r="U461" s="1318">
        <f t="shared" ca="1" si="225"/>
        <v>0.62726010230228058</v>
      </c>
      <c r="V461" s="1318">
        <f t="shared" ca="1" si="225"/>
        <v>0.64343984313112879</v>
      </c>
      <c r="W461" s="1318">
        <f t="shared" ca="1" si="225"/>
        <v>0.62785706778301575</v>
      </c>
      <c r="X461" s="1318">
        <f t="shared" ca="1" si="225"/>
        <v>0.62788475823940215</v>
      </c>
      <c r="Y461" s="1318">
        <f t="shared" ca="1" si="225"/>
        <v>0.62791246993057048</v>
      </c>
      <c r="Z461" s="1318">
        <f t="shared" ca="1" si="225"/>
        <v>0.62738313945253033</v>
      </c>
      <c r="AA461" s="1318">
        <f t="shared" ca="1" si="225"/>
        <v>0.62686163856903521</v>
      </c>
      <c r="AD461" s="3" t="s">
        <v>543</v>
      </c>
      <c r="AE461" s="1"/>
      <c r="AF461" s="1"/>
      <c r="AG461" s="1"/>
      <c r="AH461" s="1"/>
      <c r="AI461" s="1"/>
      <c r="AJ461" s="1"/>
      <c r="AK461" s="1"/>
      <c r="AL461" s="1"/>
      <c r="AR461" s="278" t="s">
        <v>545</v>
      </c>
      <c r="AS461" s="990" t="s">
        <v>544</v>
      </c>
    </row>
    <row r="462" spans="1:45" s="1" customFormat="1" ht="3.5" customHeight="1" outlineLevel="3">
      <c r="A462" s="6"/>
      <c r="B462" s="1006"/>
      <c r="C462" s="379"/>
      <c r="D462" s="379"/>
      <c r="E462" s="461"/>
      <c r="F462" s="517"/>
      <c r="G462" s="174"/>
      <c r="H462" s="174"/>
      <c r="I462" s="517"/>
      <c r="J462" s="474"/>
      <c r="K462" s="454"/>
      <c r="L462" s="454"/>
      <c r="M462" s="454"/>
      <c r="N462" s="454"/>
      <c r="O462" s="454"/>
      <c r="P462" s="454"/>
      <c r="Q462" s="460"/>
      <c r="R462" s="460"/>
    </row>
    <row r="463" spans="1:45" s="1" customFormat="1" outlineLevel="3">
      <c r="A463" s="6"/>
      <c r="B463" s="647" t="s">
        <v>741</v>
      </c>
      <c r="C463" s="379"/>
      <c r="D463" s="379"/>
      <c r="E463" s="461"/>
      <c r="F463" s="517"/>
      <c r="G463" s="174"/>
      <c r="H463" s="174"/>
      <c r="I463" s="585"/>
      <c r="J463" s="474"/>
      <c r="K463" s="454"/>
      <c r="L463" s="454"/>
      <c r="M463" s="454"/>
      <c r="N463" s="454"/>
      <c r="O463" s="454"/>
      <c r="P463" s="454"/>
      <c r="Q463" s="460"/>
      <c r="R463" s="460"/>
      <c r="AD463" s="3" t="s">
        <v>783</v>
      </c>
      <c r="AR463" s="1482" t="s">
        <v>841</v>
      </c>
    </row>
    <row r="464" spans="1:45" s="1" customFormat="1" ht="4.5" customHeight="1" outlineLevel="3">
      <c r="A464" s="6"/>
      <c r="B464" s="647"/>
      <c r="C464" s="379"/>
      <c r="D464" s="379"/>
      <c r="F464" s="517"/>
      <c r="G464" s="174"/>
      <c r="H464" s="174"/>
      <c r="I464" s="512"/>
      <c r="J464" s="474"/>
      <c r="K464" s="454"/>
      <c r="L464" s="454"/>
      <c r="M464" s="454"/>
      <c r="N464" s="454"/>
      <c r="O464" s="454"/>
      <c r="Q464" s="644"/>
    </row>
    <row r="465" spans="1:30" s="1" customFormat="1" outlineLevel="3">
      <c r="A465" s="6"/>
      <c r="B465" s="1304" t="s">
        <v>734</v>
      </c>
      <c r="C465" s="379"/>
      <c r="D465" s="379"/>
      <c r="F465" s="517"/>
      <c r="G465" s="174"/>
      <c r="H465" s="174"/>
      <c r="I465" s="512"/>
      <c r="J465" s="474"/>
      <c r="K465" s="454"/>
      <c r="L465" s="454"/>
      <c r="M465" s="454"/>
      <c r="N465" s="454"/>
      <c r="O465" s="454"/>
      <c r="Q465" s="644"/>
    </row>
    <row r="466" spans="1:30" s="1" customFormat="1" outlineLevel="3">
      <c r="A466" s="6"/>
      <c r="B466" s="828" t="s">
        <v>333</v>
      </c>
      <c r="C466" s="379"/>
      <c r="D466" s="379"/>
      <c r="F466" s="517"/>
      <c r="G466" s="174"/>
      <c r="H466" s="174"/>
      <c r="I466" s="512"/>
      <c r="J466" s="474"/>
      <c r="K466" s="626"/>
      <c r="L466" s="626"/>
      <c r="M466" s="626"/>
      <c r="N466" s="626"/>
      <c r="O466" s="626"/>
      <c r="P466" s="1311">
        <f>P406/P$396</f>
        <v>0.625</v>
      </c>
      <c r="Q466" s="644"/>
      <c r="R466" s="1312">
        <v>0.6</v>
      </c>
      <c r="S466" s="1312">
        <v>0.6</v>
      </c>
      <c r="T466" s="1312">
        <v>0.6</v>
      </c>
      <c r="U466" s="1312">
        <v>0.6</v>
      </c>
      <c r="V466" s="1312">
        <v>0.6</v>
      </c>
      <c r="W466" s="1312">
        <v>0.6</v>
      </c>
      <c r="X466" s="1312">
        <v>0.6</v>
      </c>
      <c r="Y466" s="1312">
        <v>0.6</v>
      </c>
      <c r="Z466" s="1312">
        <v>0.6</v>
      </c>
      <c r="AA466" s="1312">
        <v>0.6</v>
      </c>
    </row>
    <row r="467" spans="1:30" s="1" customFormat="1" outlineLevel="3">
      <c r="A467" s="6"/>
      <c r="B467" s="828" t="s">
        <v>332</v>
      </c>
      <c r="C467" s="379"/>
      <c r="D467" s="379"/>
      <c r="F467" s="517"/>
      <c r="G467" s="174"/>
      <c r="H467" s="174"/>
      <c r="I467" s="512"/>
      <c r="J467" s="474"/>
      <c r="K467" s="626"/>
      <c r="L467" s="626"/>
      <c r="M467" s="626"/>
      <c r="N467" s="626"/>
      <c r="O467" s="626"/>
      <c r="P467" s="1311">
        <f>P$407/P$397</f>
        <v>0.5</v>
      </c>
      <c r="Q467" s="644"/>
      <c r="R467" s="1312">
        <v>0.5</v>
      </c>
      <c r="S467" s="1312">
        <v>0.5</v>
      </c>
      <c r="T467" s="1312">
        <v>0.5</v>
      </c>
      <c r="U467" s="1312">
        <v>0.5</v>
      </c>
      <c r="V467" s="1312">
        <v>0.5</v>
      </c>
      <c r="W467" s="1312">
        <v>0.5</v>
      </c>
      <c r="X467" s="1312">
        <v>0.5</v>
      </c>
      <c r="Y467" s="1312">
        <v>0.5</v>
      </c>
      <c r="Z467" s="1312">
        <v>0.5</v>
      </c>
      <c r="AA467" s="1312">
        <v>0.5</v>
      </c>
      <c r="AC467" s="3"/>
    </row>
    <row r="468" spans="1:30" s="1" customFormat="1" outlineLevel="3">
      <c r="A468" s="6"/>
      <c r="B468" s="828" t="s">
        <v>392</v>
      </c>
      <c r="C468" s="379"/>
      <c r="D468" s="379"/>
      <c r="F468" s="517"/>
      <c r="G468" s="174"/>
      <c r="H468" s="174"/>
      <c r="I468" s="512"/>
      <c r="J468" s="474"/>
      <c r="K468" s="626"/>
      <c r="L468" s="626"/>
      <c r="M468" s="626"/>
      <c r="N468" s="626"/>
      <c r="O468" s="626"/>
      <c r="P468" s="1311">
        <f>P$408/P$398</f>
        <v>0.5</v>
      </c>
      <c r="Q468" s="644"/>
      <c r="R468" s="1312">
        <v>0.5</v>
      </c>
      <c r="S468" s="1312">
        <v>0.5</v>
      </c>
      <c r="T468" s="1312">
        <v>0.5</v>
      </c>
      <c r="U468" s="1312">
        <v>0.5</v>
      </c>
      <c r="V468" s="1328">
        <v>0.66</v>
      </c>
      <c r="W468" s="1312">
        <v>0.5</v>
      </c>
      <c r="X468" s="1312">
        <v>0.5</v>
      </c>
      <c r="Y468" s="1312">
        <v>0.5</v>
      </c>
      <c r="Z468" s="1312">
        <v>0.5</v>
      </c>
      <c r="AA468" s="1312">
        <v>0.5</v>
      </c>
      <c r="AC468" s="3"/>
      <c r="AD468" s="3" t="s">
        <v>639</v>
      </c>
    </row>
    <row r="469" spans="1:30" s="1" customFormat="1" ht="4.5" customHeight="1" outlineLevel="3">
      <c r="A469" s="6"/>
      <c r="B469" s="828"/>
      <c r="C469" s="379"/>
      <c r="D469" s="379"/>
      <c r="F469" s="517"/>
      <c r="G469" s="174"/>
      <c r="H469" s="174"/>
      <c r="I469" s="512"/>
      <c r="J469" s="474"/>
      <c r="K469" s="454"/>
      <c r="L469" s="454"/>
      <c r="M469" s="454"/>
      <c r="N469" s="454"/>
      <c r="O469" s="454"/>
      <c r="P469" s="1311"/>
      <c r="Q469" s="644"/>
      <c r="R469" s="1312"/>
      <c r="S469" s="1320"/>
      <c r="T469" s="1320"/>
      <c r="U469" s="1320"/>
      <c r="V469" s="1320"/>
      <c r="W469" s="1320"/>
      <c r="X469" s="1320"/>
      <c r="Y469" s="1320"/>
      <c r="Z469" s="1320"/>
      <c r="AA469" s="1320"/>
      <c r="AC469" s="3"/>
    </row>
    <row r="470" spans="1:30" s="1" customFormat="1" outlineLevel="3">
      <c r="A470" s="6"/>
      <c r="B470" s="1304" t="s">
        <v>735</v>
      </c>
      <c r="C470" s="379"/>
      <c r="D470" s="379"/>
      <c r="F470" s="517"/>
      <c r="G470" s="174"/>
      <c r="H470" s="174"/>
      <c r="I470" s="512"/>
      <c r="J470" s="474"/>
      <c r="K470" s="454"/>
      <c r="L470" s="454"/>
      <c r="M470" s="454"/>
      <c r="N470" s="454"/>
      <c r="O470" s="454"/>
      <c r="P470" s="1311"/>
      <c r="Q470" s="644"/>
      <c r="R470" s="1312"/>
      <c r="S470" s="1320"/>
      <c r="T470" s="1320"/>
      <c r="U470" s="1320"/>
      <c r="V470" s="1320"/>
      <c r="W470" s="1320"/>
      <c r="X470" s="1320"/>
      <c r="Y470" s="1320"/>
      <c r="Z470" s="1320"/>
      <c r="AA470" s="1320"/>
      <c r="AC470" s="3"/>
    </row>
    <row r="471" spans="1:30" s="1" customFormat="1" outlineLevel="3">
      <c r="A471" s="6"/>
      <c r="B471" s="828" t="s">
        <v>333</v>
      </c>
      <c r="C471" s="379"/>
      <c r="D471" s="379"/>
      <c r="F471" s="517"/>
      <c r="G471" s="174"/>
      <c r="H471" s="174"/>
      <c r="I471" s="512"/>
      <c r="J471" s="474"/>
      <c r="K471" s="626"/>
      <c r="L471" s="626"/>
      <c r="M471" s="626"/>
      <c r="N471" s="626"/>
      <c r="O471" s="626"/>
      <c r="P471" s="1316">
        <f>P$411/P$396</f>
        <v>0</v>
      </c>
      <c r="Q471" s="644"/>
      <c r="R471" s="1317">
        <v>0</v>
      </c>
      <c r="S471" s="1321">
        <v>0</v>
      </c>
      <c r="T471" s="1321">
        <v>0</v>
      </c>
      <c r="U471" s="1321">
        <v>0</v>
      </c>
      <c r="V471" s="1321">
        <v>0</v>
      </c>
      <c r="W471" s="1321">
        <v>0</v>
      </c>
      <c r="X471" s="1321">
        <v>0</v>
      </c>
      <c r="Y471" s="1321">
        <v>0</v>
      </c>
      <c r="Z471" s="1321">
        <v>0</v>
      </c>
      <c r="AA471" s="1321">
        <v>0</v>
      </c>
      <c r="AC471" s="3"/>
    </row>
    <row r="472" spans="1:30" s="1" customFormat="1" outlineLevel="3">
      <c r="A472" s="6"/>
      <c r="B472" s="828" t="s">
        <v>332</v>
      </c>
      <c r="C472" s="379"/>
      <c r="D472" s="379"/>
      <c r="F472" s="517"/>
      <c r="G472" s="174"/>
      <c r="H472" s="174"/>
      <c r="I472" s="512"/>
      <c r="J472" s="474"/>
      <c r="K472" s="626"/>
      <c r="L472" s="626"/>
      <c r="M472" s="626"/>
      <c r="N472" s="626"/>
      <c r="O472" s="626"/>
      <c r="P472" s="1316">
        <f>P$412/P$397</f>
        <v>0.5</v>
      </c>
      <c r="Q472" s="644"/>
      <c r="R472" s="1317">
        <v>0.5</v>
      </c>
      <c r="S472" s="1321">
        <v>0.5</v>
      </c>
      <c r="T472" s="1321">
        <v>0.5</v>
      </c>
      <c r="U472" s="1321">
        <v>0.5</v>
      </c>
      <c r="V472" s="1321">
        <v>0.5</v>
      </c>
      <c r="W472" s="1321">
        <v>0.5</v>
      </c>
      <c r="X472" s="1321">
        <v>0.5</v>
      </c>
      <c r="Y472" s="1321">
        <v>0.5</v>
      </c>
      <c r="Z472" s="1321">
        <v>0.5</v>
      </c>
      <c r="AA472" s="1321">
        <v>0.5</v>
      </c>
      <c r="AC472" s="3"/>
    </row>
    <row r="473" spans="1:30" s="1" customFormat="1" outlineLevel="3">
      <c r="A473" s="6"/>
      <c r="B473" s="828" t="s">
        <v>392</v>
      </c>
      <c r="C473" s="379"/>
      <c r="D473" s="379"/>
      <c r="F473" s="517"/>
      <c r="G473" s="174"/>
      <c r="H473" s="174"/>
      <c r="I473" s="512"/>
      <c r="J473" s="474"/>
      <c r="K473" s="626"/>
      <c r="L473" s="626"/>
      <c r="M473" s="626"/>
      <c r="N473" s="626"/>
      <c r="O473" s="626"/>
      <c r="P473" s="1316">
        <f>P$413/P$398</f>
        <v>0</v>
      </c>
      <c r="Q473" s="644"/>
      <c r="R473" s="1317">
        <v>0</v>
      </c>
      <c r="S473" s="1321">
        <v>0</v>
      </c>
      <c r="T473" s="1321">
        <v>0</v>
      </c>
      <c r="U473" s="1321">
        <v>0</v>
      </c>
      <c r="V473" s="1321">
        <v>0</v>
      </c>
      <c r="W473" s="1321">
        <v>0</v>
      </c>
      <c r="X473" s="1321">
        <v>0</v>
      </c>
      <c r="Y473" s="1321">
        <v>0</v>
      </c>
      <c r="Z473" s="1321">
        <v>0</v>
      </c>
      <c r="AA473" s="1321">
        <v>0</v>
      </c>
      <c r="AC473" s="3"/>
    </row>
    <row r="474" spans="1:30" s="1" customFormat="1" ht="3.5" customHeight="1" outlineLevel="3">
      <c r="A474" s="6"/>
      <c r="B474" s="828"/>
      <c r="C474" s="379"/>
      <c r="D474" s="379"/>
      <c r="F474" s="517"/>
      <c r="G474" s="174"/>
      <c r="H474" s="174"/>
      <c r="I474" s="512"/>
      <c r="J474" s="474"/>
      <c r="K474" s="454"/>
      <c r="L474" s="454"/>
      <c r="M474" s="454"/>
      <c r="N474" s="454"/>
      <c r="O474" s="454"/>
      <c r="P474" s="1316"/>
      <c r="Q474" s="644"/>
      <c r="R474" s="1317"/>
      <c r="S474" s="1321"/>
      <c r="T474" s="1321"/>
      <c r="U474" s="1321"/>
      <c r="V474" s="1321"/>
      <c r="W474" s="1321"/>
      <c r="X474" s="1321"/>
      <c r="Y474" s="1321"/>
      <c r="Z474" s="1321"/>
      <c r="AA474" s="1321"/>
      <c r="AC474" s="3"/>
    </row>
    <row r="475" spans="1:30" s="1" customFormat="1" outlineLevel="3" collapsed="1">
      <c r="A475" s="6"/>
      <c r="B475" s="1330" t="s">
        <v>21</v>
      </c>
      <c r="C475" s="379"/>
      <c r="D475" s="379"/>
      <c r="F475" s="3"/>
      <c r="G475" s="207"/>
      <c r="H475" s="207"/>
      <c r="I475" s="563"/>
      <c r="J475" s="484"/>
      <c r="K475" s="3"/>
      <c r="L475" s="3"/>
      <c r="M475" s="3"/>
      <c r="N475" s="3"/>
      <c r="O475" s="3"/>
      <c r="P475" s="1333" t="b">
        <f>AND(P476=TRUE,P477=TRUE,P478=TRUE)</f>
        <v>1</v>
      </c>
      <c r="Q475"/>
      <c r="R475" s="1333" t="b">
        <f ca="1">AND(R$476=TRUE,R$477=TRUE,R$478=TRUE)</f>
        <v>1</v>
      </c>
      <c r="S475" s="1333" t="b">
        <f t="shared" ref="S475:Z475" ca="1" si="226">AND(S$476=TRUE,S$477=TRUE,S$478=TRUE)</f>
        <v>1</v>
      </c>
      <c r="T475" s="1333" t="b">
        <f t="shared" ca="1" si="226"/>
        <v>1</v>
      </c>
      <c r="U475" s="1333" t="b">
        <f t="shared" ca="1" si="226"/>
        <v>1</v>
      </c>
      <c r="V475" s="1333" t="b">
        <f t="shared" ca="1" si="226"/>
        <v>1</v>
      </c>
      <c r="W475" s="1333" t="b">
        <f t="shared" ca="1" si="226"/>
        <v>1</v>
      </c>
      <c r="X475" s="1333" t="b">
        <f t="shared" ca="1" si="226"/>
        <v>1</v>
      </c>
      <c r="Y475" s="1333" t="b">
        <f t="shared" ca="1" si="226"/>
        <v>1</v>
      </c>
      <c r="Z475" s="1333" t="b">
        <f t="shared" ca="1" si="226"/>
        <v>1</v>
      </c>
      <c r="AA475" s="1332" t="b">
        <f ca="1">SUMPRODUCT(AA$476:AA$478,AA$396:AA$398)=SUM(AA$416:AA$417)</f>
        <v>1</v>
      </c>
      <c r="AC475" s="3"/>
    </row>
    <row r="476" spans="1:30" s="1" customFormat="1" hidden="1" outlineLevel="4">
      <c r="A476" s="6"/>
      <c r="B476" s="1338" t="s">
        <v>333</v>
      </c>
      <c r="C476" s="7"/>
      <c r="D476" s="7"/>
      <c r="F476" s="517"/>
      <c r="G476" s="174"/>
      <c r="H476" s="174"/>
      <c r="I476" s="512"/>
      <c r="J476" s="474"/>
      <c r="K476" s="517"/>
      <c r="L476" s="517"/>
      <c r="M476" s="517"/>
      <c r="N476" s="517"/>
      <c r="O476" s="517"/>
      <c r="P476" s="1337" t="b">
        <f>SUM(P406,P411)&lt;=P$396</f>
        <v>1</v>
      </c>
      <c r="Q476" s="1336"/>
      <c r="R476" s="1337" t="b">
        <f ca="1">SUM(R$406,R$411)&lt;=R$396</f>
        <v>1</v>
      </c>
      <c r="S476" s="1337" t="b">
        <f t="shared" ref="S476:Z476" ca="1" si="227">SUM(S$406,S$411)&lt;=S$396</f>
        <v>1</v>
      </c>
      <c r="T476" s="1337" t="b">
        <f t="shared" ca="1" si="227"/>
        <v>1</v>
      </c>
      <c r="U476" s="1337" t="b">
        <f t="shared" ca="1" si="227"/>
        <v>1</v>
      </c>
      <c r="V476" s="1337" t="b">
        <f t="shared" ca="1" si="227"/>
        <v>1</v>
      </c>
      <c r="W476" s="1337" t="b">
        <f t="shared" ca="1" si="227"/>
        <v>1</v>
      </c>
      <c r="X476" s="1337" t="b">
        <f t="shared" ca="1" si="227"/>
        <v>1</v>
      </c>
      <c r="Y476" s="1337" t="b">
        <f t="shared" ca="1" si="227"/>
        <v>1</v>
      </c>
      <c r="Z476" s="1337" t="b">
        <f t="shared" ca="1" si="227"/>
        <v>1</v>
      </c>
      <c r="AA476" s="1331">
        <f t="shared" ref="AA476" si="228">SUM(AA466,AA471)</f>
        <v>0.6</v>
      </c>
      <c r="AC476" s="3"/>
    </row>
    <row r="477" spans="1:30" s="1" customFormat="1" hidden="1" outlineLevel="4">
      <c r="A477" s="6"/>
      <c r="B477" s="602" t="s">
        <v>332</v>
      </c>
      <c r="C477" s="379"/>
      <c r="D477" s="379"/>
      <c r="F477" s="517"/>
      <c r="G477" s="174"/>
      <c r="H477" s="174"/>
      <c r="I477" s="512"/>
      <c r="J477" s="474"/>
      <c r="K477" s="517"/>
      <c r="L477" s="517"/>
      <c r="M477" s="517"/>
      <c r="N477" s="517"/>
      <c r="O477" s="517"/>
      <c r="P477" s="1333" t="b">
        <f>SUM(P407,P412)&lt;=P$397</f>
        <v>1</v>
      </c>
      <c r="Q477" s="1336"/>
      <c r="R477" s="1333" t="b">
        <f>SUM(R$407,R$412)&lt;=R$397</f>
        <v>1</v>
      </c>
      <c r="S477" s="1333" t="b">
        <f t="shared" ref="S477:Z477" si="229">SUM(S$407,S$412)&lt;=S$397</f>
        <v>1</v>
      </c>
      <c r="T477" s="1333" t="b">
        <f t="shared" si="229"/>
        <v>1</v>
      </c>
      <c r="U477" s="1333" t="b">
        <f t="shared" si="229"/>
        <v>1</v>
      </c>
      <c r="V477" s="1333" t="b">
        <f t="shared" si="229"/>
        <v>1</v>
      </c>
      <c r="W477" s="1333" t="b">
        <f t="shared" si="229"/>
        <v>1</v>
      </c>
      <c r="X477" s="1333" t="b">
        <f t="shared" si="229"/>
        <v>1</v>
      </c>
      <c r="Y477" s="1333" t="b">
        <f t="shared" si="229"/>
        <v>1</v>
      </c>
      <c r="Z477" s="1333" t="b">
        <f t="shared" si="229"/>
        <v>1</v>
      </c>
      <c r="AA477" s="1331">
        <f t="shared" ref="AA477" si="230">SUM(AA467,AA472)</f>
        <v>1</v>
      </c>
      <c r="AC477" s="3"/>
    </row>
    <row r="478" spans="1:30" s="1" customFormat="1" hidden="1" outlineLevel="4">
      <c r="A478" s="6"/>
      <c r="B478" s="602" t="s">
        <v>392</v>
      </c>
      <c r="C478" s="379"/>
      <c r="D478" s="379"/>
      <c r="F478" s="517"/>
      <c r="G478" s="174"/>
      <c r="H478" s="174"/>
      <c r="I478" s="512"/>
      <c r="J478" s="474"/>
      <c r="K478" s="517"/>
      <c r="L478" s="517"/>
      <c r="M478" s="517"/>
      <c r="N478" s="517"/>
      <c r="O478" s="517"/>
      <c r="P478" s="1333" t="b">
        <f>SUM(P408,P413)&lt;=P$398</f>
        <v>1</v>
      </c>
      <c r="Q478" s="1336"/>
      <c r="R478" s="1333" t="b">
        <f>SUM(R$408,R$413)&lt;=R$398</f>
        <v>1</v>
      </c>
      <c r="S478" s="1333" t="b">
        <f t="shared" ref="S478:Z478" si="231">SUM(S$408,S$413)&lt;=S$398</f>
        <v>1</v>
      </c>
      <c r="T478" s="1333" t="b">
        <f t="shared" si="231"/>
        <v>1</v>
      </c>
      <c r="U478" s="1333" t="b">
        <f t="shared" si="231"/>
        <v>1</v>
      </c>
      <c r="V478" s="1333" t="b">
        <f t="shared" si="231"/>
        <v>1</v>
      </c>
      <c r="W478" s="1333" t="b">
        <f t="shared" si="231"/>
        <v>1</v>
      </c>
      <c r="X478" s="1333" t="b">
        <f t="shared" si="231"/>
        <v>1</v>
      </c>
      <c r="Y478" s="1333" t="b">
        <f t="shared" si="231"/>
        <v>1</v>
      </c>
      <c r="Z478" s="1333" t="b">
        <f t="shared" si="231"/>
        <v>1</v>
      </c>
      <c r="AA478" s="1331">
        <f t="shared" ref="AA478" si="232">SUM(AA468,AA473)</f>
        <v>0.5</v>
      </c>
      <c r="AC478" s="3"/>
    </row>
    <row r="479" spans="1:30" s="1" customFormat="1" outlineLevel="3">
      <c r="A479" s="6"/>
      <c r="C479" s="379"/>
      <c r="D479" s="379"/>
      <c r="F479" s="517"/>
      <c r="G479" s="174"/>
      <c r="H479" s="174"/>
      <c r="I479" s="512"/>
      <c r="J479" s="474"/>
      <c r="K479" s="517"/>
      <c r="L479" s="517"/>
      <c r="M479" s="517"/>
      <c r="N479" s="517"/>
      <c r="O479" s="517"/>
      <c r="P479" s="13"/>
      <c r="Q479"/>
      <c r="R479" s="1334"/>
      <c r="S479" s="1335"/>
      <c r="T479" s="1335"/>
      <c r="U479" s="1335"/>
      <c r="V479" s="1335"/>
      <c r="W479" s="1335"/>
      <c r="X479" s="1335"/>
      <c r="Y479" s="1335"/>
      <c r="Z479" s="1335"/>
      <c r="AA479" s="1335"/>
      <c r="AC479" s="3"/>
    </row>
    <row r="480" spans="1:30" s="1" customFormat="1" outlineLevel="3">
      <c r="A480" s="6"/>
      <c r="B480" s="1007" t="s">
        <v>441</v>
      </c>
      <c r="C480" s="379"/>
      <c r="D480" s="379"/>
      <c r="E480" s="461"/>
      <c r="F480" s="517"/>
      <c r="G480" s="174"/>
      <c r="H480" s="174"/>
      <c r="I480" s="512"/>
      <c r="J480" s="474"/>
      <c r="K480" s="454"/>
      <c r="L480" s="454"/>
      <c r="M480" s="454"/>
      <c r="N480" s="454"/>
      <c r="O480" s="454"/>
      <c r="P480" s="454"/>
      <c r="Q480" s="460"/>
      <c r="R480" s="460"/>
    </row>
    <row r="481" spans="1:45" s="1" customFormat="1" outlineLevel="3">
      <c r="A481" s="6"/>
      <c r="B481" s="647" t="s">
        <v>393</v>
      </c>
      <c r="C481" s="379"/>
      <c r="D481" s="379"/>
      <c r="F481" s="517"/>
      <c r="G481" s="174"/>
      <c r="H481" s="174"/>
      <c r="I481" s="512"/>
      <c r="J481" s="474"/>
      <c r="K481" s="454"/>
      <c r="L481" s="454"/>
      <c r="M481" s="454"/>
      <c r="N481" s="454"/>
      <c r="O481" s="454"/>
      <c r="P481" s="454"/>
      <c r="Q481" s="460"/>
      <c r="R481" s="460"/>
    </row>
    <row r="482" spans="1:45" s="1" customFormat="1" outlineLevel="3">
      <c r="A482" s="6"/>
      <c r="B482" s="1000" t="s">
        <v>333</v>
      </c>
      <c r="C482" s="379"/>
      <c r="D482" s="379"/>
      <c r="F482" s="517"/>
      <c r="G482" s="174"/>
      <c r="H482" s="174"/>
      <c r="I482" s="512"/>
      <c r="J482" s="474"/>
      <c r="K482" s="626"/>
      <c r="L482" s="626"/>
      <c r="M482" s="626"/>
      <c r="N482" s="626"/>
      <c r="O482" s="626"/>
      <c r="P482" s="643">
        <v>0.5625</v>
      </c>
      <c r="Q482" s="644"/>
      <c r="R482" s="643">
        <v>0.5625</v>
      </c>
      <c r="S482" s="643">
        <v>0.5625</v>
      </c>
      <c r="T482" s="643">
        <v>0.57999999999999996</v>
      </c>
      <c r="U482" s="643">
        <v>0.6</v>
      </c>
      <c r="V482" s="643">
        <v>0.62</v>
      </c>
      <c r="W482" s="643">
        <v>0.62</v>
      </c>
      <c r="X482" s="643">
        <v>0.62</v>
      </c>
      <c r="Y482" s="643">
        <v>0.62</v>
      </c>
      <c r="Z482" s="643">
        <v>0.62</v>
      </c>
      <c r="AA482" s="643">
        <v>0.62</v>
      </c>
      <c r="AD482" s="3" t="s">
        <v>546</v>
      </c>
      <c r="AR482" s="278" t="s">
        <v>545</v>
      </c>
      <c r="AS482" s="655" t="s">
        <v>544</v>
      </c>
    </row>
    <row r="483" spans="1:45" s="1" customFormat="1" outlineLevel="3">
      <c r="A483" s="6"/>
      <c r="B483" s="1000" t="s">
        <v>332</v>
      </c>
      <c r="C483" s="379"/>
      <c r="D483" s="379"/>
      <c r="F483" s="517"/>
      <c r="G483" s="174"/>
      <c r="H483" s="174"/>
      <c r="I483" s="512"/>
      <c r="J483" s="474"/>
      <c r="K483" s="626"/>
      <c r="L483" s="626"/>
      <c r="M483" s="626"/>
      <c r="N483" s="626"/>
      <c r="O483" s="626"/>
      <c r="P483" s="643">
        <v>0.5</v>
      </c>
      <c r="Q483" s="644"/>
      <c r="R483" s="643">
        <v>0.5</v>
      </c>
      <c r="S483" s="643">
        <v>0.5</v>
      </c>
      <c r="T483" s="643">
        <v>0.5</v>
      </c>
      <c r="U483" s="643">
        <v>0.5</v>
      </c>
      <c r="V483" s="643">
        <v>0.5</v>
      </c>
      <c r="W483" s="643">
        <v>1</v>
      </c>
      <c r="X483" s="643">
        <v>1</v>
      </c>
      <c r="Y483" s="643">
        <v>1</v>
      </c>
      <c r="Z483" s="643">
        <v>1</v>
      </c>
      <c r="AA483" s="643">
        <v>1</v>
      </c>
      <c r="AD483" s="3" t="s">
        <v>640</v>
      </c>
    </row>
    <row r="484" spans="1:45" s="1" customFormat="1" outlineLevel="3">
      <c r="A484" s="6"/>
      <c r="B484" s="1000" t="s">
        <v>392</v>
      </c>
      <c r="C484" s="379"/>
      <c r="D484" s="379"/>
      <c r="F484" s="517"/>
      <c r="G484" s="174"/>
      <c r="H484" s="174"/>
      <c r="I484" s="512"/>
      <c r="J484" s="474"/>
      <c r="K484" s="626"/>
      <c r="L484" s="626"/>
      <c r="M484" s="626"/>
      <c r="N484" s="626"/>
      <c r="O484" s="626"/>
      <c r="P484" s="643">
        <v>1</v>
      </c>
      <c r="Q484" s="644"/>
      <c r="R484" s="643">
        <v>1</v>
      </c>
      <c r="S484" s="643">
        <v>1</v>
      </c>
      <c r="T484" s="643">
        <v>1</v>
      </c>
      <c r="U484" s="643">
        <v>1</v>
      </c>
      <c r="V484" s="643">
        <v>1</v>
      </c>
      <c r="W484" s="643">
        <v>1</v>
      </c>
      <c r="X484" s="643">
        <v>1</v>
      </c>
      <c r="Y484" s="643">
        <v>1</v>
      </c>
      <c r="Z484" s="643">
        <v>1</v>
      </c>
      <c r="AA484" s="643">
        <v>1</v>
      </c>
      <c r="AC484" s="3"/>
    </row>
    <row r="485" spans="1:45" s="1" customFormat="1" ht="6.5" customHeight="1" outlineLevel="1">
      <c r="A485" s="6"/>
      <c r="B485" s="575"/>
      <c r="C485" s="379"/>
      <c r="D485" s="379"/>
      <c r="F485" s="517"/>
      <c r="G485" s="174"/>
      <c r="H485" s="174"/>
      <c r="I485" s="512"/>
      <c r="J485" s="474"/>
      <c r="K485" s="454"/>
      <c r="L485" s="454"/>
      <c r="M485" s="454"/>
      <c r="N485" s="454"/>
      <c r="O485" s="454"/>
      <c r="P485" s="643"/>
      <c r="Q485" s="644"/>
      <c r="R485" s="643"/>
      <c r="S485" s="643"/>
      <c r="T485" s="643"/>
      <c r="U485" s="643"/>
      <c r="V485" s="643"/>
      <c r="W485" s="643"/>
      <c r="X485" s="643"/>
      <c r="Y485" s="643"/>
      <c r="Z485" s="643"/>
      <c r="AA485" s="643"/>
    </row>
    <row r="486" spans="1:45" outlineLevel="1">
      <c r="B486" s="390" t="s">
        <v>631</v>
      </c>
      <c r="C486" s="389"/>
      <c r="D486" s="389"/>
      <c r="E486" s="389"/>
      <c r="F486" s="389"/>
      <c r="G486" s="389"/>
      <c r="H486" s="389"/>
      <c r="I486" s="389"/>
      <c r="J486" s="389"/>
      <c r="K486" s="470"/>
      <c r="L486" s="470"/>
      <c r="M486" s="470"/>
      <c r="N486" s="470"/>
      <c r="O486" s="470"/>
      <c r="P486" s="470"/>
      <c r="Q486" s="470"/>
      <c r="R486" s="470"/>
      <c r="S486" s="470"/>
      <c r="T486" s="470"/>
      <c r="U486" s="470"/>
      <c r="V486" s="470"/>
      <c r="W486" s="470"/>
      <c r="X486" s="470"/>
      <c r="Y486" s="470"/>
      <c r="Z486" s="470"/>
      <c r="AA486" s="470"/>
      <c r="AC486" s="517"/>
      <c r="AD486" s="517"/>
      <c r="AE486" s="517"/>
      <c r="AF486" s="517"/>
      <c r="AG486" s="517"/>
      <c r="AH486" s="517"/>
      <c r="AI486" s="517"/>
      <c r="AJ486" s="517"/>
      <c r="AK486" s="517"/>
      <c r="AL486" s="517"/>
      <c r="AM486" s="517"/>
      <c r="AN486" s="517"/>
      <c r="AO486" s="517"/>
      <c r="AP486" s="517"/>
    </row>
    <row r="487" spans="1:45" s="1" customFormat="1" ht="6" customHeight="1" outlineLevel="2">
      <c r="A487" s="6"/>
      <c r="B487" s="575"/>
      <c r="C487" s="379"/>
      <c r="D487" s="379"/>
      <c r="F487" s="517"/>
      <c r="G487" s="174"/>
      <c r="H487" s="174"/>
      <c r="I487" s="512"/>
      <c r="J487" s="474"/>
      <c r="K487" s="454"/>
      <c r="L487" s="454"/>
      <c r="M487" s="454"/>
      <c r="N487" s="454"/>
      <c r="O487" s="454"/>
      <c r="P487" s="643"/>
      <c r="Q487" s="644"/>
      <c r="R487" s="643"/>
      <c r="S487" s="643"/>
      <c r="T487" s="643"/>
      <c r="U487" s="643"/>
      <c r="V487" s="643"/>
      <c r="W487" s="643"/>
      <c r="X487" s="643"/>
      <c r="Y487" s="643"/>
      <c r="Z487" s="643"/>
      <c r="AA487" s="643"/>
    </row>
    <row r="488" spans="1:45" s="1" customFormat="1" outlineLevel="2">
      <c r="A488" s="6"/>
      <c r="B488" s="867" t="s">
        <v>443</v>
      </c>
      <c r="C488"/>
      <c r="D488" s="379"/>
      <c r="F488" s="517"/>
      <c r="G488" s="174"/>
      <c r="H488" s="174"/>
      <c r="I488" s="512"/>
      <c r="J488" s="474"/>
      <c r="K488" s="454"/>
      <c r="L488" s="454"/>
      <c r="M488" s="454"/>
      <c r="N488" s="454"/>
      <c r="O488" s="454"/>
      <c r="P488" s="643"/>
      <c r="Q488" s="644"/>
      <c r="R488" s="643"/>
      <c r="S488" s="643"/>
      <c r="T488" s="643"/>
      <c r="U488" s="643"/>
      <c r="V488" s="643"/>
      <c r="W488" s="643"/>
      <c r="X488" s="643"/>
      <c r="Y488" s="643"/>
      <c r="Z488" s="643"/>
      <c r="AA488" s="643"/>
    </row>
    <row r="489" spans="1:45" s="1" customFormat="1" outlineLevel="2">
      <c r="A489" s="6"/>
      <c r="B489" s="867"/>
      <c r="C489" s="517"/>
      <c r="D489" s="379"/>
      <c r="F489" s="517"/>
      <c r="G489" s="174"/>
      <c r="H489" s="174"/>
      <c r="I489" s="512"/>
      <c r="J489" s="474"/>
      <c r="K489" s="454"/>
      <c r="L489" s="454"/>
      <c r="M489" s="454"/>
      <c r="N489" s="454"/>
      <c r="O489" s="454"/>
      <c r="P489" s="643"/>
      <c r="Q489" s="644"/>
      <c r="R489" s="643"/>
      <c r="S489" s="643"/>
      <c r="T489" s="643"/>
      <c r="U489" s="643"/>
      <c r="V489" s="643"/>
      <c r="W489" s="643"/>
      <c r="X489" s="643"/>
      <c r="Y489" s="643"/>
      <c r="Z489" s="643"/>
      <c r="AA489" s="643"/>
    </row>
    <row r="490" spans="1:45" s="1" customFormat="1" outlineLevel="2">
      <c r="A490" s="6"/>
      <c r="B490" s="795" t="s">
        <v>568</v>
      </c>
      <c r="C490" s="517"/>
      <c r="D490" s="379"/>
      <c r="F490" s="517"/>
      <c r="G490" s="174"/>
      <c r="H490" s="174"/>
      <c r="I490" s="512"/>
      <c r="J490" s="474"/>
      <c r="K490" s="454"/>
      <c r="L490" s="454"/>
      <c r="M490" s="454"/>
      <c r="N490" s="454"/>
      <c r="O490" s="454"/>
      <c r="P490" s="643"/>
      <c r="Q490" s="644"/>
      <c r="R490" s="885">
        <f>IFERROR((INDEX('Managed IT Services &amp; CMMC'!$G$14:$P$17,MATCH($B490,'Managed IT Services &amp; CMMC'!$B$14:$B$17,0),MATCH(R$13,'Managed IT Services &amp; CMMC'!$G$9:$P$9,0))),"")</f>
        <v>7704</v>
      </c>
      <c r="S490" s="885">
        <f>IFERROR((INDEX('Managed IT Services &amp; CMMC'!$G$14:$P$17,MATCH($B490,'Managed IT Services &amp; CMMC'!$B$14:$B$17,0),MATCH(S$13,'Managed IT Services &amp; CMMC'!$G$9:$P$9,0))),"")</f>
        <v>25192</v>
      </c>
      <c r="T490" s="885">
        <f>IFERROR((INDEX('Managed IT Services &amp; CMMC'!$G$14:$P$17,MATCH($B490,'Managed IT Services &amp; CMMC'!$B$14:$B$17,0),MATCH(T$13,'Managed IT Services &amp; CMMC'!$G$9:$P$9,0))),"")</f>
        <v>27783</v>
      </c>
      <c r="U490" s="885">
        <f>IFERROR((INDEX('Managed IT Services &amp; CMMC'!$G$14:$P$17,MATCH($B490,'Managed IT Services &amp; CMMC'!$B$14:$B$17,0),MATCH(U$13,'Managed IT Services &amp; CMMC'!$G$9:$P$9,0))),"")</f>
        <v>27783</v>
      </c>
      <c r="V490" s="885">
        <f>IFERROR((INDEX('Managed IT Services &amp; CMMC'!$G$14:$P$17,MATCH($B490,'Managed IT Services &amp; CMMC'!$B$14:$B$17,0),MATCH(V$13,'Managed IT Services &amp; CMMC'!$G$9:$P$9,0))),"")</f>
        <v>28477.575000000004</v>
      </c>
      <c r="W490" s="885">
        <f>IFERROR((INDEX('Managed IT Services &amp; CMMC'!$G$14:$P$17,MATCH($B490,'Managed IT Services &amp; CMMC'!$B$14:$B$17,0),MATCH(W$13,'Managed IT Services &amp; CMMC'!$G$9:$P$9,0))),"")</f>
        <v>29172.150000000005</v>
      </c>
      <c r="X490" s="885">
        <f>IFERROR((INDEX('Managed IT Services &amp; CMMC'!$G$14:$P$17,MATCH($B490,'Managed IT Services &amp; CMMC'!$B$14:$B$17,0),MATCH(X$13,'Managed IT Services &amp; CMMC'!$G$9:$P$9,0))),"")</f>
        <v>29172.150000000005</v>
      </c>
      <c r="Y490" s="885">
        <f>IFERROR((INDEX('Managed IT Services &amp; CMMC'!$G$14:$P$17,MATCH($B490,'Managed IT Services &amp; CMMC'!$B$14:$B$17,0),MATCH(Y$13,'Managed IT Services &amp; CMMC'!$G$9:$P$9,0))),"")</f>
        <v>29779.903125000004</v>
      </c>
      <c r="Z490" s="885">
        <f>IFERROR((INDEX('Managed IT Services &amp; CMMC'!$G$14:$P$17,MATCH($B490,'Managed IT Services &amp; CMMC'!$B$14:$B$17,0),MATCH(Z$13,'Managed IT Services &amp; CMMC'!$G$9:$P$9,0))),"")</f>
        <v>30630.757500000007</v>
      </c>
      <c r="AA490" s="885">
        <f>IFERROR((INDEX('Managed IT Services &amp; CMMC'!$G$14:$P$17,MATCH($B490,'Managed IT Services &amp; CMMC'!$B$14:$B$17,0),MATCH(AA$13,'Managed IT Services &amp; CMMC'!$G$9:$P$9,0))),"")</f>
        <v>30630.757500000007</v>
      </c>
    </row>
    <row r="491" spans="1:45" s="1" customFormat="1" ht="9" customHeight="1" outlineLevel="2">
      <c r="A491" s="6"/>
      <c r="B491" s="867"/>
      <c r="C491" s="517"/>
      <c r="D491" s="379"/>
      <c r="F491" s="517"/>
      <c r="G491" s="174"/>
      <c r="H491" s="174"/>
      <c r="I491" s="512"/>
      <c r="J491" s="474"/>
      <c r="K491" s="454"/>
      <c r="L491" s="454"/>
      <c r="M491" s="454"/>
      <c r="N491" s="454"/>
      <c r="O491" s="454"/>
      <c r="P491" s="643"/>
      <c r="Q491" s="644"/>
      <c r="R491" s="643"/>
      <c r="S491" s="643"/>
      <c r="T491" s="643"/>
      <c r="U491" s="643"/>
      <c r="V491" s="643"/>
      <c r="W491" s="643"/>
      <c r="X491" s="643"/>
      <c r="Y491" s="643"/>
      <c r="Z491" s="643"/>
      <c r="AA491" s="643"/>
    </row>
    <row r="492" spans="1:45" s="1" customFormat="1" outlineLevel="2">
      <c r="A492" s="6"/>
      <c r="B492" s="1101" t="s">
        <v>522</v>
      </c>
      <c r="C492" s="517"/>
      <c r="D492" s="379"/>
      <c r="F492" s="517"/>
      <c r="G492" s="174"/>
      <c r="H492" s="174"/>
      <c r="I492" s="512"/>
      <c r="J492" s="474"/>
      <c r="K492" s="454"/>
      <c r="L492" s="454"/>
      <c r="M492" s="454"/>
      <c r="N492" s="454"/>
      <c r="O492" s="454"/>
      <c r="P492" s="643"/>
      <c r="Q492" s="644"/>
      <c r="R492" s="643"/>
      <c r="S492" s="643"/>
      <c r="T492" s="643"/>
      <c r="U492" s="643"/>
      <c r="V492" s="643"/>
      <c r="W492" s="643"/>
      <c r="X492" s="643"/>
      <c r="Y492" s="643"/>
      <c r="Z492" s="643"/>
      <c r="AA492" s="643"/>
    </row>
    <row r="493" spans="1:45" s="1" customFormat="1" outlineLevel="2">
      <c r="A493" s="6"/>
      <c r="B493" s="153" t="s">
        <v>523</v>
      </c>
      <c r="C493" s="475"/>
      <c r="D493" s="475"/>
      <c r="E493" s="475"/>
      <c r="F493" s="517"/>
      <c r="G493" s="174"/>
      <c r="H493" s="174"/>
      <c r="I493" s="512"/>
      <c r="J493" s="474"/>
      <c r="K493" s="454"/>
      <c r="L493" s="454"/>
      <c r="M493" s="454"/>
      <c r="N493" s="454"/>
      <c r="O493" s="454"/>
      <c r="P493" s="643"/>
      <c r="Q493" s="644"/>
      <c r="R493" s="885">
        <f>IFERROR((INDEX('Managed IT Services &amp; CMMC'!$G$14:$P$17,MATCH($B493,'Managed IT Services &amp; CMMC'!$B$14:$B$17,0),MATCH(R$13,'Managed IT Services &amp; CMMC'!$G$9:$P$9,0))),"")</f>
        <v>2955</v>
      </c>
      <c r="S493" s="885">
        <f>IFERROR((INDEX('Managed IT Services &amp; CMMC'!$G$14:$P$17,MATCH($B493,'Managed IT Services &amp; CMMC'!$B$14:$B$17,0),MATCH(S$13,'Managed IT Services &amp; CMMC'!$G$9:$P$9,0))),"")</f>
        <v>11820</v>
      </c>
      <c r="T493" s="885">
        <f>IFERROR((INDEX('Managed IT Services &amp; CMMC'!$G$14:$P$17,MATCH($B493,'Managed IT Services &amp; CMMC'!$B$14:$B$17,0),MATCH(T$13,'Managed IT Services &amp; CMMC'!$G$9:$P$9,0))),"")</f>
        <v>8865</v>
      </c>
      <c r="U493" s="885">
        <f>IFERROR((INDEX('Managed IT Services &amp; CMMC'!$G$14:$P$17,MATCH($B493,'Managed IT Services &amp; CMMC'!$B$14:$B$17,0),MATCH(U$13,'Managed IT Services &amp; CMMC'!$G$9:$P$9,0))),"")</f>
        <v>0</v>
      </c>
      <c r="V493" s="885">
        <f>IFERROR((INDEX('Managed IT Services &amp; CMMC'!$G$14:$P$17,MATCH($B493,'Managed IT Services &amp; CMMC'!$B$14:$B$17,0),MATCH(V$13,'Managed IT Services &amp; CMMC'!$G$9:$P$9,0))),"")</f>
        <v>0</v>
      </c>
      <c r="W493" s="885">
        <f>IFERROR((INDEX('Managed IT Services &amp; CMMC'!$G$14:$P$17,MATCH($B493,'Managed IT Services &amp; CMMC'!$B$14:$B$17,0),MATCH(W$13,'Managed IT Services &amp; CMMC'!$G$9:$P$9,0))),"")</f>
        <v>0</v>
      </c>
      <c r="X493" s="885">
        <f>IFERROR((INDEX('Managed IT Services &amp; CMMC'!$G$14:$P$17,MATCH($B493,'Managed IT Services &amp; CMMC'!$B$14:$B$17,0),MATCH(X$13,'Managed IT Services &amp; CMMC'!$G$9:$P$9,0))),"")</f>
        <v>0</v>
      </c>
      <c r="Y493" s="885">
        <f>IFERROR((INDEX('Managed IT Services &amp; CMMC'!$G$14:$P$17,MATCH($B493,'Managed IT Services &amp; CMMC'!$B$14:$B$17,0),MATCH(Y$13,'Managed IT Services &amp; CMMC'!$G$9:$P$9,0))),"")</f>
        <v>0</v>
      </c>
      <c r="Z493" s="885">
        <f>IFERROR((INDEX('Managed IT Services &amp; CMMC'!$G$14:$P$17,MATCH($B493,'Managed IT Services &amp; CMMC'!$B$14:$B$17,0),MATCH(Z$13,'Managed IT Services &amp; CMMC'!$G$9:$P$9,0))),"")</f>
        <v>0</v>
      </c>
      <c r="AA493" s="885">
        <f>IFERROR((INDEX('Managed IT Services &amp; CMMC'!$G$14:$P$17,MATCH($B493,'Managed IT Services &amp; CMMC'!$B$14:$B$17,0),MATCH(AA$13,'Managed IT Services &amp; CMMC'!$G$9:$P$9,0))),"")</f>
        <v>0</v>
      </c>
    </row>
    <row r="494" spans="1:45" s="1" customFormat="1" outlineLevel="2">
      <c r="A494" s="6"/>
      <c r="B494" s="294" t="s">
        <v>524</v>
      </c>
      <c r="C494" s="475"/>
      <c r="D494" s="475"/>
      <c r="E494" s="475"/>
      <c r="F494" s="517"/>
      <c r="G494" s="174"/>
      <c r="H494" s="174"/>
      <c r="I494" s="512"/>
      <c r="J494" s="474"/>
      <c r="K494" s="454"/>
      <c r="L494" s="454"/>
      <c r="M494" s="454"/>
      <c r="N494" s="454"/>
      <c r="O494" s="454"/>
      <c r="P494" s="643"/>
      <c r="Q494" s="644"/>
      <c r="R494" s="885">
        <f>IFERROR((INDEX('Managed IT Services &amp; CMMC'!$G$14:$P$17,MATCH($B494,'Managed IT Services &amp; CMMC'!$B$14:$B$17,0),MATCH(R$13,'Managed IT Services &amp; CMMC'!$G$9:$P$9,0))),"")</f>
        <v>0</v>
      </c>
      <c r="S494" s="885">
        <f>IFERROR((INDEX('Managed IT Services &amp; CMMC'!$G$14:$P$17,MATCH($B494,'Managed IT Services &amp; CMMC'!$B$14:$B$17,0),MATCH(S$13,'Managed IT Services &amp; CMMC'!$G$9:$P$9,0))),"")</f>
        <v>50000</v>
      </c>
      <c r="T494" s="885">
        <f>IFERROR((INDEX('Managed IT Services &amp; CMMC'!$G$14:$P$17,MATCH($B494,'Managed IT Services &amp; CMMC'!$B$14:$B$17,0),MATCH(T$13,'Managed IT Services &amp; CMMC'!$G$9:$P$9,0))),"")</f>
        <v>0</v>
      </c>
      <c r="U494" s="885">
        <f>IFERROR((INDEX('Managed IT Services &amp; CMMC'!$G$14:$P$17,MATCH($B494,'Managed IT Services &amp; CMMC'!$B$14:$B$17,0),MATCH(U$13,'Managed IT Services &amp; CMMC'!$G$9:$P$9,0))),"")</f>
        <v>0</v>
      </c>
      <c r="V494" s="885">
        <f>IFERROR((INDEX('Managed IT Services &amp; CMMC'!$G$14:$P$17,MATCH($B494,'Managed IT Services &amp; CMMC'!$B$14:$B$17,0),MATCH(V$13,'Managed IT Services &amp; CMMC'!$G$9:$P$9,0))),"")</f>
        <v>55000.000000000007</v>
      </c>
      <c r="W494" s="885">
        <f>IFERROR((INDEX('Managed IT Services &amp; CMMC'!$G$14:$P$17,MATCH($B494,'Managed IT Services &amp; CMMC'!$B$14:$B$17,0),MATCH(W$13,'Managed IT Services &amp; CMMC'!$G$9:$P$9,0))),"")</f>
        <v>0</v>
      </c>
      <c r="X494" s="885">
        <f>IFERROR((INDEX('Managed IT Services &amp; CMMC'!$G$14:$P$17,MATCH($B494,'Managed IT Services &amp; CMMC'!$B$14:$B$17,0),MATCH(X$13,'Managed IT Services &amp; CMMC'!$G$9:$P$9,0))),"")</f>
        <v>0</v>
      </c>
      <c r="Y494" s="885">
        <f>IFERROR((INDEX('Managed IT Services &amp; CMMC'!$G$14:$P$17,MATCH($B494,'Managed IT Services &amp; CMMC'!$B$14:$B$17,0),MATCH(Y$13,'Managed IT Services &amp; CMMC'!$G$9:$P$9,0))),"")</f>
        <v>57750.000000000007</v>
      </c>
      <c r="Z494" s="885">
        <f>IFERROR((INDEX('Managed IT Services &amp; CMMC'!$G$14:$P$17,MATCH($B494,'Managed IT Services &amp; CMMC'!$B$14:$B$17,0),MATCH(Z$13,'Managed IT Services &amp; CMMC'!$G$9:$P$9,0))),"")</f>
        <v>0</v>
      </c>
      <c r="AA494" s="885">
        <f>IFERROR((INDEX('Managed IT Services &amp; CMMC'!$G$14:$P$17,MATCH($B494,'Managed IT Services &amp; CMMC'!$B$14:$B$17,0),MATCH(AA$13,'Managed IT Services &amp; CMMC'!$G$9:$P$9,0))),"")</f>
        <v>0</v>
      </c>
    </row>
    <row r="495" spans="1:45" s="1" customFormat="1" outlineLevel="2">
      <c r="A495" s="6"/>
      <c r="B495" s="956"/>
      <c r="C495" s="475"/>
      <c r="D495" s="475"/>
      <c r="E495" s="475"/>
      <c r="F495" s="517"/>
      <c r="G495" s="174"/>
      <c r="H495" s="174"/>
      <c r="I495" s="512"/>
      <c r="J495" s="474"/>
      <c r="K495" s="454"/>
      <c r="L495" s="454"/>
      <c r="M495" s="454"/>
      <c r="N495" s="454"/>
      <c r="O495" s="454"/>
      <c r="P495" s="643"/>
      <c r="Q495" s="644"/>
      <c r="R495" s="885"/>
      <c r="S495" s="885"/>
      <c r="T495" s="885"/>
      <c r="U495" s="885"/>
      <c r="V495" s="885"/>
      <c r="W495" s="885"/>
      <c r="X495" s="885"/>
      <c r="Y495" s="885"/>
      <c r="Z495" s="885"/>
      <c r="AA495" s="885"/>
    </row>
    <row r="496" spans="1:45" s="1" customFormat="1" outlineLevel="2">
      <c r="A496" s="6"/>
      <c r="B496" s="7" t="s">
        <v>26</v>
      </c>
      <c r="C496" s="7"/>
      <c r="D496" s="7"/>
      <c r="E496" s="7"/>
      <c r="F496" s="517"/>
      <c r="G496" s="174"/>
      <c r="H496" s="174"/>
      <c r="I496" s="512"/>
      <c r="J496" s="474"/>
      <c r="K496" s="454"/>
      <c r="L496" s="454"/>
      <c r="M496" s="454"/>
      <c r="N496" s="454"/>
      <c r="O496" s="454"/>
      <c r="P496" s="643"/>
      <c r="Q496" s="644"/>
      <c r="R496" s="886">
        <f>SUM(R$490:R$495)</f>
        <v>10659</v>
      </c>
      <c r="S496" s="886">
        <f>SUM(S$490:S$495)</f>
        <v>87012</v>
      </c>
      <c r="T496" s="886">
        <f t="shared" ref="T496:AA496" si="233">SUM(T$490:T$495)</f>
        <v>36648</v>
      </c>
      <c r="U496" s="886">
        <f t="shared" si="233"/>
        <v>27783</v>
      </c>
      <c r="V496" s="886">
        <f t="shared" si="233"/>
        <v>83477.575000000012</v>
      </c>
      <c r="W496" s="886">
        <f t="shared" si="233"/>
        <v>29172.150000000005</v>
      </c>
      <c r="X496" s="886">
        <f t="shared" si="233"/>
        <v>29172.150000000005</v>
      </c>
      <c r="Y496" s="886">
        <f t="shared" si="233"/>
        <v>87529.903125000012</v>
      </c>
      <c r="Z496" s="886">
        <f t="shared" si="233"/>
        <v>30630.757500000007</v>
      </c>
      <c r="AA496" s="886">
        <f t="shared" si="233"/>
        <v>30630.757500000007</v>
      </c>
    </row>
    <row r="497" spans="1:42" s="1" customFormat="1" ht="7.5" customHeight="1" outlineLevel="1">
      <c r="A497" s="6"/>
      <c r="B497" s="462"/>
      <c r="C497" s="379"/>
      <c r="D497" s="379"/>
      <c r="F497" s="517"/>
      <c r="G497" s="174"/>
      <c r="H497" s="174"/>
      <c r="I497" s="512"/>
      <c r="J497" s="474"/>
      <c r="K497" s="454"/>
      <c r="L497" s="454"/>
      <c r="M497" s="454"/>
      <c r="N497" s="454"/>
      <c r="O497" s="454"/>
      <c r="P497" s="454"/>
      <c r="Q497" s="460"/>
      <c r="R497" s="460"/>
    </row>
    <row r="498" spans="1:42" outlineLevel="1">
      <c r="B498" s="390" t="s">
        <v>335</v>
      </c>
      <c r="C498" s="389"/>
      <c r="D498" s="389"/>
      <c r="E498" s="389"/>
      <c r="F498" s="389"/>
      <c r="G498" s="389"/>
      <c r="H498" s="389"/>
      <c r="I498" s="389"/>
      <c r="J498" s="389"/>
      <c r="K498" s="470"/>
      <c r="L498" s="470"/>
      <c r="M498" s="470"/>
      <c r="N498" s="470"/>
      <c r="O498" s="470"/>
      <c r="P498" s="470"/>
      <c r="Q498" s="470"/>
      <c r="R498" s="470"/>
      <c r="S498" s="470"/>
      <c r="T498" s="470"/>
      <c r="U498" s="470"/>
      <c r="V498" s="470"/>
      <c r="W498" s="470"/>
      <c r="X498" s="470"/>
      <c r="Y498" s="470"/>
      <c r="Z498" s="470"/>
      <c r="AA498" s="470"/>
      <c r="AC498" s="517"/>
      <c r="AD498" s="517"/>
      <c r="AE498" s="517"/>
      <c r="AF498" s="517"/>
      <c r="AG498" s="517"/>
      <c r="AH498" s="517"/>
      <c r="AI498" s="517"/>
      <c r="AJ498" s="517"/>
      <c r="AK498" s="517"/>
      <c r="AL498" s="517"/>
      <c r="AM498" s="517"/>
      <c r="AN498" s="517"/>
      <c r="AO498" s="517"/>
      <c r="AP498" s="517"/>
    </row>
    <row r="499" spans="1:42" s="1" customFormat="1" ht="6" customHeight="1" outlineLevel="2">
      <c r="A499" s="6"/>
      <c r="B499" s="462"/>
      <c r="C499" s="379"/>
      <c r="D499" s="379"/>
      <c r="E499" s="461"/>
      <c r="F499" s="517"/>
      <c r="G499" s="174"/>
      <c r="H499" s="174"/>
      <c r="I499" s="512"/>
      <c r="J499" s="474"/>
      <c r="K499" s="454"/>
      <c r="L499" s="454"/>
      <c r="M499" s="454"/>
      <c r="N499" s="454"/>
      <c r="O499" s="454"/>
      <c r="P499" s="454"/>
      <c r="Q499" s="460"/>
      <c r="R499" s="460"/>
    </row>
    <row r="500" spans="1:42" s="1" customFormat="1" ht="16" outlineLevel="2">
      <c r="A500" s="6"/>
      <c r="B500" s="867" t="s">
        <v>443</v>
      </c>
      <c r="F500" s="517"/>
      <c r="I500" s="877" t="s">
        <v>176</v>
      </c>
      <c r="J500" s="474"/>
      <c r="K500" s="454"/>
      <c r="L500" s="454"/>
      <c r="M500" s="454"/>
      <c r="N500" s="454"/>
      <c r="O500" s="454"/>
      <c r="P500" s="454"/>
      <c r="Q500" s="878"/>
      <c r="R500" s="515"/>
      <c r="S500" s="515"/>
      <c r="T500" s="515"/>
      <c r="U500" s="515"/>
      <c r="V500" s="515"/>
      <c r="W500" s="515"/>
      <c r="X500" s="515"/>
      <c r="Y500" s="515"/>
      <c r="Z500" s="515"/>
      <c r="AA500" s="515"/>
    </row>
    <row r="501" spans="1:42" s="1" customFormat="1" ht="3.5" customHeight="1" outlineLevel="2">
      <c r="A501" s="6"/>
      <c r="B501" s="461"/>
      <c r="F501" s="517"/>
      <c r="G501" s="517"/>
      <c r="H501" s="517"/>
      <c r="J501" s="474"/>
      <c r="K501" s="454"/>
      <c r="L501" s="879"/>
      <c r="M501" s="454"/>
      <c r="N501" s="454"/>
      <c r="O501" s="454"/>
      <c r="P501" s="454"/>
      <c r="Q501" s="878"/>
      <c r="R501" s="515"/>
      <c r="S501" s="515"/>
      <c r="T501" s="515"/>
      <c r="U501" s="515"/>
      <c r="V501" s="515"/>
      <c r="W501" s="515"/>
      <c r="X501" s="515"/>
      <c r="Y501" s="515"/>
      <c r="Z501" s="515"/>
      <c r="AA501" s="515"/>
    </row>
    <row r="502" spans="1:42" s="1" customFormat="1" outlineLevel="2">
      <c r="A502" s="6"/>
      <c r="B502" s="929" t="s">
        <v>334</v>
      </c>
      <c r="C502" s="930"/>
      <c r="D502" s="930"/>
      <c r="E502" s="930"/>
      <c r="F502" s="174"/>
      <c r="G502" s="174"/>
      <c r="H502" s="174"/>
      <c r="I502" s="931">
        <v>1</v>
      </c>
      <c r="J502" s="512"/>
      <c r="K502" s="454"/>
      <c r="L502" s="884"/>
      <c r="M502" s="454"/>
      <c r="N502" s="454"/>
      <c r="O502" s="454"/>
      <c r="P502" s="454"/>
      <c r="Q502" s="174"/>
      <c r="R502" s="932">
        <f>INDEX(Software!$AM$18:$AO$24,MATCH($B502,Software!$B$18:$B$24,0),MATCH(YEAR(R$13),Software!$AM$9:$AO$9,0))</f>
        <v>9020</v>
      </c>
      <c r="S502" s="932">
        <f>INDEX(Software!$AM$18:$AO$24,MATCH($B502,Software!$B$18:$B$24,0),MATCH(YEAR(S$13),Software!$AM$9:$AO$9,0))</f>
        <v>15720</v>
      </c>
      <c r="T502" s="932">
        <f>INDEX(Software!$AM$18:$AO$24,MATCH($B502,Software!$B$18:$B$24,0),MATCH(YEAR(T$13),Software!$AM$9:$AO$9,0))</f>
        <v>13320</v>
      </c>
      <c r="U502" s="1512">
        <f t="shared" ref="U502:U508" ca="1" si="234">PRODUCT(T502,(1+(OFFSET(T$574,$I502,0))))</f>
        <v>13652.999999999998</v>
      </c>
      <c r="V502" s="933">
        <f t="shared" ref="V502:AA508" ca="1" si="235">PRODUCT(U502,(1+(OFFSET(V$574,$I502,0))))</f>
        <v>13994.324999999997</v>
      </c>
      <c r="W502" s="933">
        <f t="shared" ca="1" si="235"/>
        <v>14344.183124999996</v>
      </c>
      <c r="X502" s="933">
        <f t="shared" ca="1" si="235"/>
        <v>14702.787703124994</v>
      </c>
      <c r="Y502" s="933">
        <f t="shared" ca="1" si="235"/>
        <v>15070.357395703117</v>
      </c>
      <c r="Z502" s="933">
        <f t="shared" ca="1" si="235"/>
        <v>15447.116330595692</v>
      </c>
      <c r="AA502" s="933">
        <f t="shared" ca="1" si="235"/>
        <v>15833.294238860584</v>
      </c>
    </row>
    <row r="503" spans="1:42" s="1" customFormat="1" outlineLevel="2">
      <c r="A503" s="6"/>
      <c r="B503" s="883" t="s">
        <v>336</v>
      </c>
      <c r="C503" s="375"/>
      <c r="D503" s="375"/>
      <c r="E503" s="375"/>
      <c r="F503" s="174"/>
      <c r="G503" s="174"/>
      <c r="H503" s="174"/>
      <c r="I503" s="882">
        <v>1</v>
      </c>
      <c r="J503" s="512"/>
      <c r="K503" s="454"/>
      <c r="L503" s="884"/>
      <c r="M503" s="454"/>
      <c r="N503" s="454"/>
      <c r="O503" s="454"/>
      <c r="P503" s="454"/>
      <c r="Q503" s="174"/>
      <c r="R503" s="885">
        <f>INDEX(Software!$AM$18:$AO$24,MATCH($B503,Software!$B$18:$B$24,0),MATCH(YEAR(R$13),Software!$AM$9:$AO$9,0))</f>
        <v>0</v>
      </c>
      <c r="S503" s="885">
        <f>INDEX(Software!$AM$18:$AO$24,MATCH($B503,Software!$B$18:$B$24,0),MATCH(YEAR(S$13),Software!$AM$9:$AO$9,0))</f>
        <v>13766.666666666666</v>
      </c>
      <c r="T503" s="885">
        <f>INDEX(Software!$AM$18:$AO$24,MATCH($B503,Software!$B$18:$B$24,0),MATCH(YEAR(T$13),Software!$AM$9:$AO$9,0))</f>
        <v>3199.9999999999995</v>
      </c>
      <c r="U503" s="1512">
        <f t="shared" ca="1" si="234"/>
        <v>3279.9999999999991</v>
      </c>
      <c r="V503" s="880">
        <f t="shared" ca="1" si="235"/>
        <v>3361.9999999999986</v>
      </c>
      <c r="W503" s="880">
        <f t="shared" ca="1" si="235"/>
        <v>3446.0499999999984</v>
      </c>
      <c r="X503" s="880">
        <f t="shared" ca="1" si="235"/>
        <v>3532.2012499999978</v>
      </c>
      <c r="Y503" s="880">
        <f t="shared" ca="1" si="235"/>
        <v>3620.5062812499973</v>
      </c>
      <c r="Z503" s="880">
        <f t="shared" ca="1" si="235"/>
        <v>3711.0189382812468</v>
      </c>
      <c r="AA503" s="880">
        <f t="shared" ca="1" si="235"/>
        <v>3803.7944117382776</v>
      </c>
    </row>
    <row r="504" spans="1:42" s="1" customFormat="1" outlineLevel="2">
      <c r="A504" s="6"/>
      <c r="B504" s="929" t="s">
        <v>548</v>
      </c>
      <c r="C504" s="930"/>
      <c r="D504" s="930"/>
      <c r="E504" s="930"/>
      <c r="F504" s="174"/>
      <c r="G504" s="174"/>
      <c r="H504" s="174"/>
      <c r="I504" s="931">
        <v>0</v>
      </c>
      <c r="J504" s="512"/>
      <c r="K504" s="454"/>
      <c r="L504" s="884"/>
      <c r="M504" s="454"/>
      <c r="N504" s="454"/>
      <c r="O504" s="454"/>
      <c r="P504" s="454"/>
      <c r="Q504" s="174"/>
      <c r="R504" s="932">
        <f>INDEX(Software!$AM$18:$AO$24,MATCH($B504,Software!$B$18:$B$24,0),MATCH(YEAR(R$13),Software!$AM$9:$AO$9,0))</f>
        <v>0</v>
      </c>
      <c r="S504" s="932">
        <f>INDEX(Software!$AM$18:$AO$24,MATCH($B504,Software!$B$18:$B$24,0),MATCH(YEAR(S$13),Software!$AM$9:$AO$9,0))</f>
        <v>0</v>
      </c>
      <c r="T504" s="932">
        <f>INDEX(Software!$AM$18:$AO$24,MATCH($B504,Software!$B$18:$B$24,0),MATCH(YEAR(T$13),Software!$AM$9:$AO$9,0))</f>
        <v>5000</v>
      </c>
      <c r="U504" s="1512">
        <f t="shared" ca="1" si="234"/>
        <v>5000</v>
      </c>
      <c r="V504" s="933">
        <f t="shared" ca="1" si="235"/>
        <v>5000</v>
      </c>
      <c r="W504" s="933">
        <f t="shared" ca="1" si="235"/>
        <v>5000</v>
      </c>
      <c r="X504" s="933">
        <f t="shared" ca="1" si="235"/>
        <v>5000</v>
      </c>
      <c r="Y504" s="933">
        <f t="shared" ca="1" si="235"/>
        <v>5000</v>
      </c>
      <c r="Z504" s="933">
        <f t="shared" ca="1" si="235"/>
        <v>5000</v>
      </c>
      <c r="AA504" s="933">
        <f t="shared" ca="1" si="235"/>
        <v>5000</v>
      </c>
    </row>
    <row r="505" spans="1:42" s="1" customFormat="1" outlineLevel="2">
      <c r="A505" s="6"/>
      <c r="B505" s="883" t="s">
        <v>498</v>
      </c>
      <c r="C505" s="375"/>
      <c r="D505" s="375"/>
      <c r="E505" s="375"/>
      <c r="F505" s="174"/>
      <c r="G505" s="174"/>
      <c r="H505" s="174"/>
      <c r="I505" s="882">
        <v>0</v>
      </c>
      <c r="J505" s="512"/>
      <c r="K505" s="454"/>
      <c r="L505" s="884"/>
      <c r="M505" s="454"/>
      <c r="N505" s="454"/>
      <c r="O505" s="454"/>
      <c r="P505" s="454"/>
      <c r="Q505" s="174"/>
      <c r="R505" s="885">
        <f>INDEX(Software!$AM$18:$AO$24,MATCH($B505,Software!$B$18:$B$24,0),MATCH(YEAR(R$13),Software!$AM$9:$AO$9,0))</f>
        <v>1380.79</v>
      </c>
      <c r="S505" s="885">
        <f>INDEX(Software!$AM$18:$AO$24,MATCH($B505,Software!$B$18:$B$24,0),MATCH(YEAR(S$13),Software!$AM$9:$AO$9,0))</f>
        <v>1380.79</v>
      </c>
      <c r="T505" s="885">
        <f>INDEX(Software!$AM$18:$AO$24,MATCH($B505,Software!$B$18:$B$24,0),MATCH(YEAR(T$13),Software!$AM$9:$AO$9,0))</f>
        <v>1380.79</v>
      </c>
      <c r="U505" s="1512">
        <f t="shared" ca="1" si="234"/>
        <v>1380.79</v>
      </c>
      <c r="V505" s="880">
        <f t="shared" ca="1" si="235"/>
        <v>1380.79</v>
      </c>
      <c r="W505" s="880">
        <f t="shared" ca="1" si="235"/>
        <v>1380.79</v>
      </c>
      <c r="X505" s="880">
        <f t="shared" ca="1" si="235"/>
        <v>1380.79</v>
      </c>
      <c r="Y505" s="880">
        <f t="shared" ca="1" si="235"/>
        <v>1380.79</v>
      </c>
      <c r="Z505" s="880">
        <f t="shared" ca="1" si="235"/>
        <v>1380.79</v>
      </c>
      <c r="AA505" s="880">
        <f t="shared" ca="1" si="235"/>
        <v>1380.79</v>
      </c>
    </row>
    <row r="506" spans="1:42" s="1" customFormat="1" outlineLevel="2">
      <c r="A506" s="6"/>
      <c r="B506" s="929" t="s">
        <v>339</v>
      </c>
      <c r="C506" s="930"/>
      <c r="D506" s="930"/>
      <c r="E506" s="930"/>
      <c r="F506" s="174"/>
      <c r="G506" s="174"/>
      <c r="H506" s="174"/>
      <c r="I506" s="931">
        <v>0</v>
      </c>
      <c r="J506" s="512"/>
      <c r="K506" s="454"/>
      <c r="L506" s="884"/>
      <c r="M506" s="454"/>
      <c r="N506" s="454"/>
      <c r="O506" s="454"/>
      <c r="P506" s="454"/>
      <c r="Q506" s="174"/>
      <c r="R506" s="932">
        <f>INDEX(Software!$AM$18:$AO$24,MATCH($B506,Software!$B$18:$B$24,0),MATCH(YEAR(R$13),Software!$AM$9:$AO$9,0))</f>
        <v>3400</v>
      </c>
      <c r="S506" s="932">
        <f>INDEX(Software!$AM$18:$AO$24,MATCH($B506,Software!$B$18:$B$24,0),MATCH(YEAR(S$13),Software!$AM$9:$AO$9,0))</f>
        <v>2400</v>
      </c>
      <c r="T506" s="932">
        <f>INDEX(Software!$AM$18:$AO$24,MATCH($B506,Software!$B$18:$B$24,0),MATCH(YEAR(T$13),Software!$AM$9:$AO$9,0))</f>
        <v>2400</v>
      </c>
      <c r="U506" s="1512">
        <f t="shared" ca="1" si="234"/>
        <v>2400</v>
      </c>
      <c r="V506" s="933">
        <f t="shared" ca="1" si="235"/>
        <v>2400</v>
      </c>
      <c r="W506" s="933">
        <f t="shared" ca="1" si="235"/>
        <v>2400</v>
      </c>
      <c r="X506" s="933">
        <f t="shared" ca="1" si="235"/>
        <v>2400</v>
      </c>
      <c r="Y506" s="933">
        <f t="shared" ca="1" si="235"/>
        <v>2400</v>
      </c>
      <c r="Z506" s="933">
        <f t="shared" ca="1" si="235"/>
        <v>2400</v>
      </c>
      <c r="AA506" s="933">
        <f t="shared" ca="1" si="235"/>
        <v>2400</v>
      </c>
    </row>
    <row r="507" spans="1:42" s="1" customFormat="1" outlineLevel="2">
      <c r="A507" s="6"/>
      <c r="B507" s="883" t="s">
        <v>497</v>
      </c>
      <c r="C507" s="375"/>
      <c r="D507" s="375"/>
      <c r="E507" s="375"/>
      <c r="F507" s="174"/>
      <c r="G507" s="174"/>
      <c r="H507" s="174"/>
      <c r="I507" s="882">
        <v>1</v>
      </c>
      <c r="J507" s="512"/>
      <c r="K507" s="454"/>
      <c r="L507" s="884"/>
      <c r="M507" s="454"/>
      <c r="N507" s="454"/>
      <c r="O507" s="454"/>
      <c r="P507" s="454"/>
      <c r="Q507" s="174"/>
      <c r="R507" s="885">
        <f>INDEX(Software!$AM$18:$AO$24,MATCH($B507,Software!$B$18:$B$24,0),MATCH(YEAR(R$13),Software!$AM$9:$AO$9,0))</f>
        <v>720</v>
      </c>
      <c r="S507" s="885">
        <f>INDEX(Software!$AM$18:$AO$24,MATCH($B507,Software!$B$18:$B$24,0),MATCH(YEAR(S$13),Software!$AM$9:$AO$9,0))</f>
        <v>2160</v>
      </c>
      <c r="T507" s="885">
        <f>INDEX(Software!$AM$18:$AO$24,MATCH($B507,Software!$B$18:$B$24,0),MATCH(YEAR(T$13),Software!$AM$9:$AO$9,0))</f>
        <v>2160</v>
      </c>
      <c r="U507" s="1512">
        <f t="shared" ca="1" si="234"/>
        <v>2214</v>
      </c>
      <c r="V507" s="880">
        <f t="shared" ca="1" si="235"/>
        <v>2269.35</v>
      </c>
      <c r="W507" s="880">
        <f t="shared" ca="1" si="235"/>
        <v>2326.0837499999998</v>
      </c>
      <c r="X507" s="880">
        <f t="shared" ca="1" si="235"/>
        <v>2384.2358437499997</v>
      </c>
      <c r="Y507" s="880">
        <f t="shared" ca="1" si="235"/>
        <v>2443.8417398437496</v>
      </c>
      <c r="Z507" s="880">
        <f t="shared" ca="1" si="235"/>
        <v>2504.937783339843</v>
      </c>
      <c r="AA507" s="880">
        <f t="shared" ca="1" si="235"/>
        <v>2567.5612279233387</v>
      </c>
    </row>
    <row r="508" spans="1:42" s="1" customFormat="1" outlineLevel="2">
      <c r="A508" s="6"/>
      <c r="B508" s="929" t="s">
        <v>519</v>
      </c>
      <c r="C508" s="930"/>
      <c r="D508" s="930"/>
      <c r="E508" s="930"/>
      <c r="F508" s="174"/>
      <c r="G508" s="174"/>
      <c r="H508" s="174"/>
      <c r="I508" s="931">
        <v>1</v>
      </c>
      <c r="J508" s="512"/>
      <c r="K508" s="454"/>
      <c r="L508" s="884"/>
      <c r="M508" s="454"/>
      <c r="N508" s="454"/>
      <c r="O508" s="454"/>
      <c r="P508" s="454"/>
      <c r="Q508" s="174"/>
      <c r="R508" s="932">
        <f>INDEX(Software!$AM$18:$AO$24,MATCH($B508,Software!$B$18:$B$24,0),MATCH(YEAR(R$13),Software!$AM$9:$AO$9,0))</f>
        <v>924</v>
      </c>
      <c r="S508" s="932">
        <f>INDEX(Software!$AM$18:$AO$24,MATCH($B508,Software!$B$18:$B$24,0),MATCH(YEAR(S$13),Software!$AM$9:$AO$9,0))</f>
        <v>2772</v>
      </c>
      <c r="T508" s="932">
        <f>INDEX(Software!$AM$18:$AO$24,MATCH($B508,Software!$B$18:$B$24,0),MATCH(YEAR(T$13),Software!$AM$9:$AO$9,0))</f>
        <v>2772</v>
      </c>
      <c r="U508" s="1512">
        <f t="shared" ca="1" si="234"/>
        <v>2841.2999999999997</v>
      </c>
      <c r="V508" s="933">
        <f t="shared" ca="1" si="235"/>
        <v>2912.3324999999995</v>
      </c>
      <c r="W508" s="933">
        <f t="shared" ca="1" si="235"/>
        <v>2985.1408124999994</v>
      </c>
      <c r="X508" s="933">
        <f t="shared" ca="1" si="235"/>
        <v>3059.7693328124992</v>
      </c>
      <c r="Y508" s="933">
        <f t="shared" ca="1" si="235"/>
        <v>3136.2635661328113</v>
      </c>
      <c r="Z508" s="933">
        <f t="shared" ca="1" si="235"/>
        <v>3214.6701552861314</v>
      </c>
      <c r="AA508" s="933">
        <f t="shared" ca="1" si="235"/>
        <v>3295.0369091682842</v>
      </c>
    </row>
    <row r="509" spans="1:42" s="1" customFormat="1" outlineLevel="2">
      <c r="A509" s="6"/>
      <c r="B509" s="7" t="s">
        <v>26</v>
      </c>
      <c r="C509" s="7"/>
      <c r="D509" s="7"/>
      <c r="E509" s="7"/>
      <c r="I509" s="818"/>
      <c r="K509"/>
      <c r="L509"/>
      <c r="M509"/>
      <c r="N509"/>
      <c r="O509"/>
      <c r="P509"/>
      <c r="Q509" s="794"/>
      <c r="R509" s="886">
        <f>SUM(R$502:R$508)</f>
        <v>15444.79</v>
      </c>
      <c r="S509" s="886">
        <f>SUM(S$502:S$508)</f>
        <v>38199.456666666665</v>
      </c>
      <c r="T509" s="886">
        <f>SUM(T$502:T$508)</f>
        <v>30232.79</v>
      </c>
      <c r="U509" s="894">
        <f ca="1">SUM(U$502:U$508)</f>
        <v>30769.089999999997</v>
      </c>
      <c r="V509" s="886">
        <f ca="1">SUM(V$502:V$508)</f>
        <v>31318.797499999997</v>
      </c>
      <c r="W509" s="886">
        <f t="shared" ref="W509:AA509" ca="1" si="236">SUM(W$502:W$508)</f>
        <v>31882.247687499996</v>
      </c>
      <c r="X509" s="886">
        <f t="shared" ca="1" si="236"/>
        <v>32459.78412968749</v>
      </c>
      <c r="Y509" s="886">
        <f t="shared" ca="1" si="236"/>
        <v>33051.758982929678</v>
      </c>
      <c r="Z509" s="886">
        <f t="shared" ca="1" si="236"/>
        <v>33658.533207502915</v>
      </c>
      <c r="AA509" s="886">
        <f t="shared" ca="1" si="236"/>
        <v>34280.476787690481</v>
      </c>
      <c r="AB509" s="819"/>
    </row>
    <row r="510" spans="1:42" s="3" customFormat="1" ht="6.5" customHeight="1" outlineLevel="1">
      <c r="A510" s="168"/>
      <c r="B510" s="521"/>
      <c r="C510" s="150"/>
      <c r="D510" s="150"/>
      <c r="E510" s="334"/>
      <c r="G510" s="207"/>
      <c r="H510" s="207"/>
      <c r="I510" s="563"/>
      <c r="J510" s="484"/>
      <c r="K510" s="454"/>
      <c r="L510" s="454"/>
      <c r="M510" s="454"/>
      <c r="N510" s="454"/>
      <c r="O510" s="454"/>
      <c r="P510" s="454"/>
      <c r="Q510" s="485"/>
      <c r="R510" s="485"/>
    </row>
    <row r="511" spans="1:42" outlineLevel="1">
      <c r="B511" s="390" t="s">
        <v>490</v>
      </c>
      <c r="C511" s="389"/>
      <c r="D511" s="389"/>
      <c r="E511" s="389"/>
      <c r="F511" s="389"/>
      <c r="G511" s="389"/>
      <c r="H511" s="389"/>
      <c r="I511" s="389"/>
      <c r="J511" s="389"/>
      <c r="K511" s="389"/>
      <c r="L511" s="389"/>
      <c r="M511" s="389"/>
      <c r="N511" s="389"/>
      <c r="O511" s="389"/>
      <c r="P511" s="470"/>
      <c r="Q511" s="470"/>
      <c r="R511" s="470"/>
      <c r="S511" s="470"/>
      <c r="T511" s="470"/>
      <c r="U511" s="470"/>
      <c r="V511" s="470"/>
      <c r="W511" s="470"/>
      <c r="X511" s="470"/>
      <c r="Y511" s="470"/>
      <c r="Z511" s="470"/>
      <c r="AA511" s="470"/>
      <c r="AC511" s="517"/>
      <c r="AD511" s="517"/>
      <c r="AE511" s="517"/>
      <c r="AF511" s="517"/>
      <c r="AG511" s="517"/>
      <c r="AH511" s="517"/>
      <c r="AI511" s="517"/>
      <c r="AJ511" s="517"/>
      <c r="AK511" s="517"/>
      <c r="AL511" s="517"/>
      <c r="AM511" s="517"/>
      <c r="AN511" s="517"/>
      <c r="AO511" s="517"/>
      <c r="AP511" s="517"/>
    </row>
    <row r="512" spans="1:42" s="1" customFormat="1" ht="7" customHeight="1" outlineLevel="2">
      <c r="A512" s="6"/>
      <c r="B512" s="462"/>
      <c r="C512" s="379"/>
      <c r="D512" s="379"/>
      <c r="E512" s="461"/>
      <c r="F512" s="517"/>
      <c r="G512" s="174"/>
      <c r="H512" s="174"/>
      <c r="I512" s="512"/>
      <c r="J512" s="474"/>
      <c r="K512" s="454"/>
      <c r="L512" s="454"/>
      <c r="M512" s="454"/>
      <c r="N512" s="454"/>
      <c r="O512" s="454"/>
      <c r="P512" s="454"/>
      <c r="Q512" s="460"/>
      <c r="R512" s="460"/>
    </row>
    <row r="513" spans="1:55" s="1" customFormat="1" outlineLevel="2">
      <c r="A513" s="6"/>
      <c r="B513" s="810" t="s">
        <v>443</v>
      </c>
      <c r="C513" s="379"/>
      <c r="D513" s="379"/>
      <c r="E513" s="461"/>
      <c r="F513" s="517"/>
      <c r="G513" s="174"/>
      <c r="H513" s="174"/>
      <c r="I513" s="512"/>
      <c r="J513" s="474"/>
      <c r="K513"/>
      <c r="L513" s="454"/>
      <c r="M513" s="454"/>
      <c r="N513" s="454"/>
      <c r="O513" s="454"/>
      <c r="P513" s="454"/>
      <c r="Q513" s="460"/>
      <c r="R513" s="460"/>
    </row>
    <row r="514" spans="1:55" s="1" customFormat="1" ht="10" customHeight="1" outlineLevel="2">
      <c r="A514" s="6"/>
      <c r="B514" s="810"/>
      <c r="C514" s="379"/>
      <c r="D514" s="379"/>
      <c r="E514" s="461"/>
      <c r="F514" s="517"/>
      <c r="G514" s="174"/>
      <c r="H514" s="174"/>
      <c r="I514" s="512"/>
      <c r="J514" s="474"/>
      <c r="K514" s="517"/>
      <c r="L514"/>
      <c r="M514"/>
      <c r="N514"/>
      <c r="O514"/>
      <c r="P514"/>
      <c r="Q514" s="460"/>
      <c r="R514" s="460"/>
    </row>
    <row r="515" spans="1:55" s="1" customFormat="1" outlineLevel="2">
      <c r="A515" s="6"/>
      <c r="B515" s="463" t="s">
        <v>838</v>
      </c>
      <c r="C515" s="379"/>
      <c r="D515" s="379"/>
      <c r="E515" s="461"/>
      <c r="F515" s="517"/>
      <c r="G515" s="174"/>
      <c r="H515" s="174"/>
      <c r="I515" s="512"/>
      <c r="J515" s="474"/>
      <c r="K515"/>
      <c r="L515"/>
      <c r="M515"/>
      <c r="N515"/>
      <c r="O515"/>
      <c r="P515"/>
      <c r="Q515" s="460"/>
      <c r="R515" s="652">
        <f>_xlfn.XLOOKUP(YEAR(R$8),'Transition Period'!$G$9:$H$9,'Transition Period'!$G$10:$H$10,0)</f>
        <v>34000</v>
      </c>
      <c r="S515" s="652">
        <f>_xlfn.XLOOKUP(YEAR(S$8),'Transition Period'!$G$9:$H$9,'Transition Period'!$G$10:$H$10,0)</f>
        <v>3500</v>
      </c>
      <c r="T515" s="652">
        <f>_xlfn.XLOOKUP(YEAR(T$8),'Transition Period'!$G$9:$H$9,'Transition Period'!$G$10:$H$10,0)</f>
        <v>0</v>
      </c>
      <c r="U515" s="652">
        <f>_xlfn.XLOOKUP(YEAR(U$8),'Transition Period'!$G$9:$H$9,'Transition Period'!$G$10:$H$10,0)</f>
        <v>0</v>
      </c>
      <c r="V515" s="652">
        <f>_xlfn.XLOOKUP(YEAR(V$8),'Transition Period'!$G$9:$H$9,'Transition Period'!$G$10:$H$10,0)</f>
        <v>0</v>
      </c>
      <c r="W515" s="652">
        <f>_xlfn.XLOOKUP(YEAR(W$8),'Transition Period'!$G$9:$H$9,'Transition Period'!$G$10:$H$10,0)</f>
        <v>0</v>
      </c>
      <c r="X515" s="652">
        <f>_xlfn.XLOOKUP(YEAR(X$8),'Transition Period'!$G$9:$H$9,'Transition Period'!$G$10:$H$10,0)</f>
        <v>0</v>
      </c>
      <c r="Y515" s="652">
        <f>_xlfn.XLOOKUP(YEAR(Y$8),'Transition Period'!$G$9:$H$9,'Transition Period'!$G$10:$H$10,0)</f>
        <v>0</v>
      </c>
      <c r="Z515" s="652">
        <f>_xlfn.XLOOKUP(YEAR(Z$8),'Transition Period'!$G$9:$H$9,'Transition Period'!$G$10:$H$10,0)</f>
        <v>0</v>
      </c>
      <c r="AA515" s="652">
        <f>_xlfn.XLOOKUP(YEAR(AA$8),'Transition Period'!$G$9:$H$9,'Transition Period'!$G$10:$H$10,0)</f>
        <v>0</v>
      </c>
    </row>
    <row r="516" spans="1:55" s="1" customFormat="1" outlineLevel="2">
      <c r="A516" s="6"/>
      <c r="B516" s="463" t="s">
        <v>839</v>
      </c>
      <c r="C516" s="379"/>
      <c r="D516" s="379"/>
      <c r="E516" s="461"/>
      <c r="F516" s="517"/>
      <c r="G516" s="174"/>
      <c r="H516" s="174"/>
      <c r="I516" s="512"/>
      <c r="J516" s="474"/>
      <c r="K516"/>
      <c r="L516"/>
      <c r="M516"/>
      <c r="N516"/>
      <c r="O516"/>
      <c r="P516"/>
      <c r="Q516" s="460"/>
      <c r="R516" s="483">
        <v>0</v>
      </c>
      <c r="S516" s="483">
        <v>0</v>
      </c>
      <c r="T516" s="483">
        <v>0</v>
      </c>
      <c r="U516" s="483">
        <v>0</v>
      </c>
      <c r="V516" s="483">
        <v>0</v>
      </c>
      <c r="W516" s="483">
        <v>0</v>
      </c>
      <c r="X516" s="483">
        <v>0</v>
      </c>
      <c r="Y516" s="483">
        <v>0</v>
      </c>
      <c r="Z516" s="483">
        <v>0</v>
      </c>
      <c r="AA516" s="483">
        <v>0</v>
      </c>
    </row>
    <row r="517" spans="1:55" s="1" customFormat="1" outlineLevel="2">
      <c r="A517" s="6"/>
      <c r="B517" s="463" t="s">
        <v>840</v>
      </c>
      <c r="C517" s="379"/>
      <c r="D517" s="379"/>
      <c r="E517" s="461"/>
      <c r="F517" s="517"/>
      <c r="G517" s="174"/>
      <c r="H517" s="174"/>
      <c r="I517" s="512"/>
      <c r="J517" s="474"/>
      <c r="K517"/>
      <c r="L517"/>
      <c r="M517"/>
      <c r="N517"/>
      <c r="O517"/>
      <c r="P517"/>
      <c r="Q517" s="460"/>
      <c r="R517" s="483">
        <v>0</v>
      </c>
      <c r="S517" s="483">
        <v>0</v>
      </c>
      <c r="T517" s="483">
        <v>0</v>
      </c>
      <c r="U517" s="483">
        <v>0</v>
      </c>
      <c r="V517" s="483">
        <v>0</v>
      </c>
      <c r="W517" s="483">
        <v>0</v>
      </c>
      <c r="X517" s="483">
        <v>0</v>
      </c>
      <c r="Y517" s="483">
        <v>0</v>
      </c>
      <c r="Z517" s="483">
        <v>0</v>
      </c>
      <c r="AA517" s="483">
        <v>0</v>
      </c>
    </row>
    <row r="518" spans="1:55" s="1" customFormat="1" outlineLevel="2">
      <c r="A518" s="6"/>
      <c r="B518" s="1009" t="s">
        <v>865</v>
      </c>
      <c r="C518" s="379"/>
      <c r="D518" s="379"/>
      <c r="E518" s="461"/>
      <c r="F518" s="517"/>
      <c r="G518" s="174"/>
      <c r="H518" s="174"/>
      <c r="I518" s="512"/>
      <c r="J518" s="474"/>
      <c r="K518" s="517"/>
      <c r="L518" s="517"/>
      <c r="M518" s="517"/>
      <c r="N518" s="517"/>
      <c r="O518" s="517"/>
      <c r="P518" s="517"/>
      <c r="Q518" s="460"/>
      <c r="R518" s="483">
        <v>0</v>
      </c>
      <c r="S518" s="483">
        <v>0</v>
      </c>
      <c r="T518" s="483">
        <v>0</v>
      </c>
      <c r="U518" s="483">
        <v>0</v>
      </c>
      <c r="V518" s="483">
        <v>0</v>
      </c>
      <c r="W518" s="483">
        <v>0</v>
      </c>
      <c r="X518" s="483">
        <v>0</v>
      </c>
      <c r="Y518" s="483">
        <v>0</v>
      </c>
      <c r="Z518" s="483">
        <v>0</v>
      </c>
      <c r="AA518" s="483">
        <v>0</v>
      </c>
    </row>
    <row r="519" spans="1:55" s="1" customFormat="1" outlineLevel="2">
      <c r="A519" s="6"/>
      <c r="B519" s="446" t="s">
        <v>26</v>
      </c>
      <c r="C519" s="583"/>
      <c r="D519" s="583"/>
      <c r="E519" s="583"/>
      <c r="F519" s="517"/>
      <c r="G519" s="174"/>
      <c r="H519" s="174"/>
      <c r="I519" s="512"/>
      <c r="J519" s="474"/>
      <c r="K519"/>
      <c r="L519"/>
      <c r="M519"/>
      <c r="N519"/>
      <c r="O519"/>
      <c r="P519"/>
      <c r="Q519" s="460"/>
      <c r="R519" s="597">
        <f>SUM(R$515:R$518)</f>
        <v>34000</v>
      </c>
      <c r="S519" s="597">
        <f>SUM(S$515:S$518)</f>
        <v>3500</v>
      </c>
      <c r="T519" s="597">
        <f t="shared" ref="T519:AA519" si="237">SUM(T$515:T$518)</f>
        <v>0</v>
      </c>
      <c r="U519" s="597">
        <f t="shared" si="237"/>
        <v>0</v>
      </c>
      <c r="V519" s="597">
        <f t="shared" si="237"/>
        <v>0</v>
      </c>
      <c r="W519" s="597">
        <f t="shared" si="237"/>
        <v>0</v>
      </c>
      <c r="X519" s="597">
        <f t="shared" si="237"/>
        <v>0</v>
      </c>
      <c r="Y519" s="597">
        <f t="shared" si="237"/>
        <v>0</v>
      </c>
      <c r="Z519" s="597">
        <f t="shared" si="237"/>
        <v>0</v>
      </c>
      <c r="AA519" s="597">
        <f t="shared" si="237"/>
        <v>0</v>
      </c>
    </row>
    <row r="520" spans="1:55" s="1" customFormat="1" ht="6.5" customHeight="1" outlineLevel="1">
      <c r="A520" s="6"/>
      <c r="B520" s="462"/>
      <c r="C520" s="379"/>
      <c r="D520" s="379"/>
      <c r="E520" s="461"/>
      <c r="F520" s="517"/>
      <c r="G520" s="174"/>
      <c r="H520" s="174"/>
      <c r="I520" s="512"/>
      <c r="J520" s="474"/>
      <c r="K520" s="454"/>
      <c r="L520" s="454"/>
      <c r="M520" s="454"/>
      <c r="N520" s="454"/>
      <c r="O520" s="454"/>
      <c r="P520" s="454"/>
      <c r="Q520" s="460"/>
      <c r="R520" s="460"/>
    </row>
    <row r="521" spans="1:55" outlineLevel="1">
      <c r="B521" s="390" t="s">
        <v>410</v>
      </c>
      <c r="C521" s="389"/>
      <c r="D521" s="389"/>
      <c r="E521" s="389"/>
      <c r="F521" s="389"/>
      <c r="G521" s="389"/>
      <c r="H521" s="389"/>
      <c r="I521" s="389"/>
      <c r="J521" s="389"/>
      <c r="K521" s="389"/>
      <c r="L521" s="389"/>
      <c r="M521" s="389"/>
      <c r="N521" s="389"/>
      <c r="O521" s="389"/>
      <c r="P521" s="470"/>
      <c r="Q521" s="470"/>
      <c r="R521" s="470"/>
      <c r="S521" s="470"/>
      <c r="T521" s="470"/>
      <c r="U521" s="470"/>
      <c r="V521" s="470"/>
      <c r="W521" s="470"/>
      <c r="X521" s="470"/>
      <c r="Y521" s="470"/>
      <c r="Z521" s="470"/>
      <c r="AA521" s="470"/>
      <c r="AC521" s="517"/>
      <c r="AD521" s="517"/>
      <c r="AE521" s="517"/>
      <c r="AF521" s="517"/>
      <c r="AG521" s="517"/>
      <c r="AH521" s="517"/>
      <c r="AI521" s="517"/>
      <c r="AJ521" s="517"/>
      <c r="AK521" s="517"/>
      <c r="AL521" s="517"/>
      <c r="AM521" s="517"/>
      <c r="AN521" s="517"/>
      <c r="AO521" s="517"/>
      <c r="AP521" s="517"/>
    </row>
    <row r="522" spans="1:55" s="1" customFormat="1" ht="7" customHeight="1" outlineLevel="2">
      <c r="A522" s="6"/>
      <c r="B522" s="462"/>
      <c r="C522" s="379"/>
      <c r="D522" s="379"/>
      <c r="E522" s="461"/>
      <c r="F522" s="517"/>
      <c r="G522" s="174"/>
      <c r="H522" s="174"/>
      <c r="I522" s="512"/>
      <c r="J522" s="474"/>
      <c r="K522" s="454"/>
      <c r="L522" s="454"/>
      <c r="M522" s="454"/>
      <c r="N522" s="454"/>
      <c r="O522" s="454"/>
      <c r="P522" s="454"/>
      <c r="Q522" s="460"/>
      <c r="R522" s="460"/>
    </row>
    <row r="523" spans="1:55" s="1" customFormat="1" ht="16" outlineLevel="2">
      <c r="A523" s="6"/>
      <c r="B523" s="241" t="str">
        <f>units</f>
        <v>($ '000)</v>
      </c>
      <c r="C523" s="379"/>
      <c r="D523" s="379"/>
      <c r="E523" s="461"/>
      <c r="F523" s="517"/>
      <c r="G523" s="777" t="s">
        <v>378</v>
      </c>
      <c r="H523" s="777" t="s">
        <v>379</v>
      </c>
      <c r="I523" s="777" t="s">
        <v>176</v>
      </c>
      <c r="J523" s="474"/>
      <c r="K523" s="454"/>
      <c r="L523" s="454"/>
      <c r="M523" s="454"/>
      <c r="N523" s="454"/>
      <c r="O523" s="454"/>
      <c r="P523" s="454"/>
      <c r="Q523" s="460"/>
      <c r="R523" s="460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</row>
    <row r="524" spans="1:55" s="1" customFormat="1" ht="5.25" customHeight="1" outlineLevel="2">
      <c r="A524" s="6"/>
      <c r="B524" s="462"/>
      <c r="C524" s="379"/>
      <c r="D524" s="379"/>
      <c r="E524" s="461"/>
      <c r="F524"/>
      <c r="G524" s="517"/>
      <c r="H524" s="517"/>
      <c r="I524" s="517"/>
      <c r="J524"/>
      <c r="K524" s="454"/>
      <c r="L524" s="454"/>
      <c r="M524" s="454"/>
      <c r="N524" s="454"/>
      <c r="O524" s="454"/>
      <c r="P524" s="454"/>
      <c r="Q524" s="460"/>
      <c r="R524" s="460"/>
    </row>
    <row r="525" spans="1:55" s="1" customFormat="1" outlineLevel="2">
      <c r="A525" s="6"/>
      <c r="B525" s="1014" t="s">
        <v>358</v>
      </c>
      <c r="C525" s="840"/>
      <c r="D525" s="840"/>
      <c r="E525" s="650"/>
      <c r="F525"/>
      <c r="G525" s="1010">
        <v>1</v>
      </c>
      <c r="H525" s="1011">
        <f>1-G525</f>
        <v>0</v>
      </c>
      <c r="I525" s="841">
        <v>0</v>
      </c>
      <c r="J525"/>
      <c r="K525" s="842">
        <v>0.33700000000000002</v>
      </c>
      <c r="L525" s="842">
        <v>0.47799999999999998</v>
      </c>
      <c r="M525" s="842">
        <v>1.0269999999999999</v>
      </c>
      <c r="N525" s="842">
        <v>3.9369999999999998</v>
      </c>
      <c r="O525" s="842">
        <v>0.97139999999999993</v>
      </c>
      <c r="P525" s="843">
        <v>0.87802999999999998</v>
      </c>
      <c r="Q525" s="460"/>
      <c r="R525" s="636">
        <f ca="1">($G525*R$51*(OFFSET(R$549,MATCH($B525,$B$550:$B$568,0),0)))+($H525*(P525*(1+OFFSET(R$574,$I525,0))))</f>
        <v>2.8357270987499996</v>
      </c>
      <c r="S525" s="844">
        <f t="shared" ref="S525:AA525" ca="1" si="238">($G525*S$51*(OFFSET(S$549,MATCH($B525,$B$550:$B$568,0),0)))+($H525*(R525*(1+OFFSET(S$574,$I525,0))))</f>
        <v>17.418453704071876</v>
      </c>
      <c r="T525" s="844">
        <f t="shared" ca="1" si="238"/>
        <v>20.804165642800847</v>
      </c>
      <c r="U525" s="844">
        <f t="shared" ca="1" si="238"/>
        <v>24.340873802076988</v>
      </c>
      <c r="V525" s="844">
        <f t="shared" ca="1" si="238"/>
        <v>26.476405152056088</v>
      </c>
      <c r="W525" s="844">
        <f t="shared" ca="1" si="238"/>
        <v>27.105219774417417</v>
      </c>
      <c r="X525" s="844">
        <f t="shared" ca="1" si="238"/>
        <v>27.748968744059827</v>
      </c>
      <c r="Y525" s="844">
        <f t="shared" ca="1" si="238"/>
        <v>28.408006751731246</v>
      </c>
      <c r="Z525" s="844">
        <f t="shared" ca="1" si="238"/>
        <v>29.082696912084863</v>
      </c>
      <c r="AA525" s="844">
        <f t="shared" ca="1" si="238"/>
        <v>29.773410963746876</v>
      </c>
      <c r="AD525" s="3" t="s">
        <v>570</v>
      </c>
    </row>
    <row r="526" spans="1:55" s="1" customFormat="1" outlineLevel="2">
      <c r="A526" s="6"/>
      <c r="B526" s="795" t="s">
        <v>351</v>
      </c>
      <c r="C526" s="379"/>
      <c r="D526" s="379"/>
      <c r="E526" s="153"/>
      <c r="F526"/>
      <c r="G526" s="1012">
        <v>0.9</v>
      </c>
      <c r="H526" s="1013">
        <f>1-G526</f>
        <v>9.9999999999999978E-2</v>
      </c>
      <c r="I526" s="585">
        <v>1</v>
      </c>
      <c r="J526"/>
      <c r="K526" s="483">
        <v>25.067</v>
      </c>
      <c r="L526" s="483">
        <v>22.556039999999999</v>
      </c>
      <c r="M526" s="483">
        <v>20.266069999999999</v>
      </c>
      <c r="N526" s="483">
        <v>12.992030000000002</v>
      </c>
      <c r="O526" s="483">
        <v>21.749399999999998</v>
      </c>
      <c r="P526" s="483">
        <v>21.73518</v>
      </c>
      <c r="Q526" s="460"/>
      <c r="R526" s="636">
        <f ca="1">($G526*R$51*(OFFSET(R$549,MATCH($B526,$B$550:$B$568,0),0)))+($H526*(P526*(1+OFFSET(R$574,$I526,0))))</f>
        <v>23.866830305437496</v>
      </c>
      <c r="S526" s="522">
        <f t="shared" ref="S526:AA526" ca="1" si="239">($G526*S$51*(OFFSET(S$549,MATCH($B526,$B$550:$B$568,0),0)))+($H526*(R526*(1+OFFSET(S$574,$I526,0))))</f>
        <v>24.654878578998989</v>
      </c>
      <c r="T526" s="522">
        <f t="shared" ca="1" si="239"/>
        <v>25.263106078265466</v>
      </c>
      <c r="U526" s="522">
        <f t="shared" ca="1" si="239"/>
        <v>25.865428946258334</v>
      </c>
      <c r="V526" s="522">
        <f t="shared" ca="1" si="239"/>
        <v>26.479971103841958</v>
      </c>
      <c r="W526" s="522">
        <f t="shared" ca="1" si="239"/>
        <v>27.108894835119479</v>
      </c>
      <c r="X526" s="522">
        <f t="shared" ca="1" si="239"/>
        <v>27.752733590253591</v>
      </c>
      <c r="Y526" s="522">
        <f t="shared" ca="1" si="239"/>
        <v>28.411861269559118</v>
      </c>
      <c r="Z526" s="522">
        <f t="shared" ca="1" si="239"/>
        <v>29.086643001006188</v>
      </c>
      <c r="AA526" s="522">
        <f t="shared" ca="1" si="239"/>
        <v>29.777450774975321</v>
      </c>
    </row>
    <row r="527" spans="1:55" s="1" customFormat="1" outlineLevel="2">
      <c r="A527" s="6"/>
      <c r="B527" s="1014" t="s">
        <v>359</v>
      </c>
      <c r="C527" s="840"/>
      <c r="D527" s="840"/>
      <c r="E527" s="650"/>
      <c r="F527"/>
      <c r="G527" s="1010">
        <v>0</v>
      </c>
      <c r="H527" s="1011">
        <f t="shared" ref="H527:H543" si="240">1-G527</f>
        <v>1</v>
      </c>
      <c r="I527" s="841">
        <v>0</v>
      </c>
      <c r="J527"/>
      <c r="K527" s="842">
        <v>0.72499999999999998</v>
      </c>
      <c r="L527" s="842">
        <v>1.401</v>
      </c>
      <c r="M527" s="842">
        <v>0.70499999999999996</v>
      </c>
      <c r="N527" s="842">
        <v>0.82399999999999995</v>
      </c>
      <c r="O527" s="842">
        <v>0.73875000000000002</v>
      </c>
      <c r="P527" s="842">
        <v>0.78874999999999995</v>
      </c>
      <c r="Q527" s="460"/>
      <c r="R527" s="636">
        <f ca="1">($G527*R$51*(OFFSET(R$549,MATCH($B527,$B$550:$B$568,0),0)))+($H527*(P527*(1+OFFSET(R$574,$I527,0))))</f>
        <v>0.78874999999999995</v>
      </c>
      <c r="S527" s="844">
        <f t="shared" ref="S527:AA527" ca="1" si="241">($G527*S$51*(OFFSET(S$549,MATCH($B527,$B$550:$B$568,0),0)))+($H527*(R527*(1+OFFSET(S$574,$I527,0))))</f>
        <v>0.78874999999999995</v>
      </c>
      <c r="T527" s="844">
        <f t="shared" ca="1" si="241"/>
        <v>0.78874999999999995</v>
      </c>
      <c r="U527" s="844">
        <f t="shared" ca="1" si="241"/>
        <v>0.78874999999999995</v>
      </c>
      <c r="V527" s="844">
        <f t="shared" ca="1" si="241"/>
        <v>0.78874999999999995</v>
      </c>
      <c r="W527" s="844">
        <f t="shared" ca="1" si="241"/>
        <v>0.78874999999999995</v>
      </c>
      <c r="X527" s="844">
        <f t="shared" ca="1" si="241"/>
        <v>0.78874999999999995</v>
      </c>
      <c r="Y527" s="844">
        <f t="shared" ca="1" si="241"/>
        <v>0.78874999999999995</v>
      </c>
      <c r="Z527" s="844">
        <f t="shared" ca="1" si="241"/>
        <v>0.78874999999999995</v>
      </c>
      <c r="AA527" s="844">
        <f t="shared" ca="1" si="241"/>
        <v>0.78874999999999995</v>
      </c>
    </row>
    <row r="528" spans="1:55" s="1" customFormat="1" outlineLevel="2">
      <c r="A528" s="6"/>
      <c r="B528" s="956" t="s">
        <v>382</v>
      </c>
      <c r="C528" s="475"/>
      <c r="D528" s="475"/>
      <c r="E528" s="153"/>
      <c r="F528"/>
      <c r="G528" s="1012">
        <v>1</v>
      </c>
      <c r="H528" s="1013">
        <f t="shared" si="240"/>
        <v>0</v>
      </c>
      <c r="I528" s="585">
        <v>0</v>
      </c>
      <c r="J528"/>
      <c r="K528" s="483">
        <v>0</v>
      </c>
      <c r="L528" s="483">
        <v>0</v>
      </c>
      <c r="M528" s="483">
        <v>0</v>
      </c>
      <c r="N528" s="483">
        <v>0</v>
      </c>
      <c r="O528" s="483">
        <v>0</v>
      </c>
      <c r="P528" s="483">
        <v>0</v>
      </c>
      <c r="Q528" s="460"/>
      <c r="R528" s="636">
        <f ca="1">($G528*R$51*(OFFSET(R$549,MATCH($B528,$B$550:$B$568,0),0)))+($H528*(P528*(1+OFFSET(R$574,$I528,0))))</f>
        <v>0</v>
      </c>
      <c r="S528" s="522">
        <f t="shared" ref="S528:AA528" ca="1" si="242">($G528*S$51*(OFFSET(S$549,MATCH($B528,$B$550:$B$568,0),0)))+($H528*(R528*(1+OFFSET(S$574,$I528,0))))</f>
        <v>0</v>
      </c>
      <c r="T528" s="522">
        <f t="shared" ca="1" si="242"/>
        <v>0</v>
      </c>
      <c r="U528" s="522">
        <f t="shared" ca="1" si="242"/>
        <v>0</v>
      </c>
      <c r="V528" s="522">
        <f t="shared" ca="1" si="242"/>
        <v>0</v>
      </c>
      <c r="W528" s="522">
        <f t="shared" ca="1" si="242"/>
        <v>0</v>
      </c>
      <c r="X528" s="522">
        <f t="shared" ca="1" si="242"/>
        <v>0</v>
      </c>
      <c r="Y528" s="522">
        <f t="shared" ca="1" si="242"/>
        <v>0</v>
      </c>
      <c r="Z528" s="522">
        <f t="shared" ca="1" si="242"/>
        <v>0</v>
      </c>
      <c r="AA528" s="522">
        <f t="shared" ca="1" si="242"/>
        <v>0</v>
      </c>
    </row>
    <row r="529" spans="1:30" s="1" customFormat="1" outlineLevel="2">
      <c r="A529" s="6"/>
      <c r="B529" s="1014" t="s">
        <v>356</v>
      </c>
      <c r="C529" s="840"/>
      <c r="D529" s="840"/>
      <c r="E529" s="650"/>
      <c r="F529"/>
      <c r="G529" s="1010">
        <v>1</v>
      </c>
      <c r="H529" s="1011">
        <f t="shared" si="240"/>
        <v>0</v>
      </c>
      <c r="I529" s="841">
        <v>0</v>
      </c>
      <c r="J529"/>
      <c r="K529" s="842">
        <v>0</v>
      </c>
      <c r="L529" s="842">
        <v>0.84599999999999997</v>
      </c>
      <c r="M529" s="842">
        <v>1.5980000000000001</v>
      </c>
      <c r="N529" s="842">
        <v>2.032</v>
      </c>
      <c r="O529" s="842">
        <v>3.1500900000000001</v>
      </c>
      <c r="P529" s="842">
        <v>3.3370899999999999</v>
      </c>
      <c r="Q529" s="460"/>
      <c r="R529" s="636">
        <f ca="1">($G529*R$51*(OFFSET(R$549,MATCH($B529,$B$550:$B$568,0),0)))+($H529*(P529*(1+OFFSET(R$574,$I529,0))))</f>
        <v>3.4163458874999999</v>
      </c>
      <c r="S529" s="844">
        <f t="shared" ref="S529:AA529" ca="1" si="243">($G529*S$51*(OFFSET(S$549,MATCH($B529,$B$550:$B$568,0),0)))+($H529*(R529*(1+OFFSET(S$574,$I529,0))))</f>
        <v>3.4974841023281256</v>
      </c>
      <c r="T529" s="844">
        <f t="shared" ca="1" si="243"/>
        <v>3.5805493497584182</v>
      </c>
      <c r="U529" s="844">
        <f t="shared" ca="1" si="243"/>
        <v>3.6655873968151806</v>
      </c>
      <c r="V529" s="844">
        <f t="shared" ca="1" si="243"/>
        <v>3.7526450974895411</v>
      </c>
      <c r="W529" s="844">
        <f t="shared" ca="1" si="243"/>
        <v>3.8417704185549173</v>
      </c>
      <c r="X529" s="844">
        <f t="shared" ca="1" si="243"/>
        <v>3.9330124659955961</v>
      </c>
      <c r="Y529" s="844">
        <f t="shared" ca="1" si="243"/>
        <v>4.0264215120629911</v>
      </c>
      <c r="Z529" s="844">
        <f t="shared" ca="1" si="243"/>
        <v>4.1220490229744868</v>
      </c>
      <c r="AA529" s="844">
        <f t="shared" ca="1" si="243"/>
        <v>4.2199476872701309</v>
      </c>
      <c r="AD529" s="3"/>
    </row>
    <row r="530" spans="1:30" s="1" customFormat="1" outlineLevel="2">
      <c r="A530" s="6"/>
      <c r="B530" s="956" t="s">
        <v>360</v>
      </c>
      <c r="C530" s="475"/>
      <c r="D530" s="475"/>
      <c r="E530" s="153"/>
      <c r="F530"/>
      <c r="G530" s="1012"/>
      <c r="H530" s="1013">
        <f t="shared" si="240"/>
        <v>1</v>
      </c>
      <c r="I530" s="585">
        <v>1</v>
      </c>
      <c r="J530"/>
      <c r="K530" s="483">
        <v>0.435</v>
      </c>
      <c r="L530" s="483">
        <v>9.5000000000000001E-2</v>
      </c>
      <c r="M530" s="483">
        <v>0.39400000000000002</v>
      </c>
      <c r="N530" s="483">
        <v>9.5000000000000001E-2</v>
      </c>
      <c r="O530" s="483">
        <v>0.15790999999999999</v>
      </c>
      <c r="P530" s="839">
        <v>0.2016</v>
      </c>
      <c r="Q530" s="460"/>
      <c r="R530" s="936">
        <v>2.5</v>
      </c>
      <c r="S530" s="522">
        <f t="shared" ref="S530:AA530" ca="1" si="244">($G530*S$51*(OFFSET(S$549,MATCH($B530,$B$550:$B$568,0),0)))+($H530*(R530*(1+OFFSET(S$574,$I530,0))))</f>
        <v>2.5625</v>
      </c>
      <c r="T530" s="522">
        <f t="shared" ca="1" si="244"/>
        <v>2.6265624999999999</v>
      </c>
      <c r="U530" s="522">
        <f t="shared" ca="1" si="244"/>
        <v>2.6922265624999997</v>
      </c>
      <c r="V530" s="522">
        <f t="shared" ca="1" si="244"/>
        <v>2.7595322265624995</v>
      </c>
      <c r="W530" s="522">
        <f t="shared" ca="1" si="244"/>
        <v>2.8285205322265616</v>
      </c>
      <c r="X530" s="522">
        <f t="shared" ca="1" si="244"/>
        <v>2.8992335455322253</v>
      </c>
      <c r="Y530" s="522">
        <f t="shared" ca="1" si="244"/>
        <v>2.9717143841705309</v>
      </c>
      <c r="Z530" s="522">
        <f t="shared" ca="1" si="244"/>
        <v>3.046007243774794</v>
      </c>
      <c r="AA530" s="522">
        <f t="shared" ca="1" si="244"/>
        <v>3.1221574248691635</v>
      </c>
    </row>
    <row r="531" spans="1:30" s="1" customFormat="1" outlineLevel="2">
      <c r="A531" s="6"/>
      <c r="B531" s="1014" t="s">
        <v>355</v>
      </c>
      <c r="C531" s="840"/>
      <c r="D531" s="840"/>
      <c r="E531" s="650"/>
      <c r="F531"/>
      <c r="G531" s="1010">
        <v>0</v>
      </c>
      <c r="H531" s="1011">
        <f>1-G531</f>
        <v>1</v>
      </c>
      <c r="I531" s="841">
        <v>1</v>
      </c>
      <c r="J531"/>
      <c r="K531" s="845">
        <v>0.94617999999999935</v>
      </c>
      <c r="L531" s="845">
        <v>0.62394999999999978</v>
      </c>
      <c r="M531" s="845">
        <v>0.92431000000000041</v>
      </c>
      <c r="N531" s="842">
        <v>0.62409000000000014</v>
      </c>
      <c r="O531" s="842">
        <v>0.59627000000000041</v>
      </c>
      <c r="P531" s="842">
        <v>0.63555000000000017</v>
      </c>
      <c r="Q531" s="460"/>
      <c r="R531" s="636">
        <f ca="1">($G531*R$51*(OFFSET(R$549,MATCH($B531,$B$550:$B$568,0),0)))+($H531*(P531*(1+OFFSET(R$574,$I531,0))))</f>
        <v>0.63555000000000017</v>
      </c>
      <c r="S531" s="844">
        <f t="shared" ref="S531:AA531" ca="1" si="245">($G531*S$51*(OFFSET(S$549,MATCH($B531,$B$550:$B$568,0),0)))+($H531*(R531*(1+OFFSET(S$574,$I531,0))))</f>
        <v>0.65143875000000007</v>
      </c>
      <c r="T531" s="844">
        <f t="shared" ca="1" si="245"/>
        <v>0.66772471875000006</v>
      </c>
      <c r="U531" s="844">
        <f t="shared" ca="1" si="245"/>
        <v>0.68441783671875001</v>
      </c>
      <c r="V531" s="844">
        <f t="shared" ca="1" si="245"/>
        <v>0.70152828263671874</v>
      </c>
      <c r="W531" s="844">
        <f t="shared" ca="1" si="245"/>
        <v>0.71906648970263665</v>
      </c>
      <c r="X531" s="844">
        <f t="shared" ca="1" si="245"/>
        <v>0.73704315194520253</v>
      </c>
      <c r="Y531" s="844">
        <f t="shared" ca="1" si="245"/>
        <v>0.75546923074383254</v>
      </c>
      <c r="Z531" s="844">
        <f t="shared" ca="1" si="245"/>
        <v>0.77435596151242825</v>
      </c>
      <c r="AA531" s="844">
        <f t="shared" ca="1" si="245"/>
        <v>0.79371486055023888</v>
      </c>
    </row>
    <row r="532" spans="1:30" s="1" customFormat="1" outlineLevel="2">
      <c r="A532" s="6"/>
      <c r="B532" s="956" t="s">
        <v>348</v>
      </c>
      <c r="C532" s="475"/>
      <c r="D532" s="475"/>
      <c r="E532" s="153"/>
      <c r="F532"/>
      <c r="G532" s="1012">
        <v>0</v>
      </c>
      <c r="H532" s="1013">
        <f t="shared" si="240"/>
        <v>1</v>
      </c>
      <c r="I532" s="585">
        <v>4</v>
      </c>
      <c r="J532"/>
      <c r="K532" s="937">
        <v>78.027000000000001</v>
      </c>
      <c r="L532" s="937">
        <v>75.957999999999998</v>
      </c>
      <c r="M532" s="937">
        <v>78.678483333333332</v>
      </c>
      <c r="N532" s="483">
        <v>72.313000000000002</v>
      </c>
      <c r="O532" s="483">
        <v>56.484999999999999</v>
      </c>
      <c r="P532" s="483">
        <v>49.765000000000001</v>
      </c>
      <c r="Q532" s="460"/>
      <c r="R532" s="936">
        <v>80</v>
      </c>
      <c r="S532" s="522">
        <f t="shared" ref="S532:AA532" ca="1" si="246">($G532*S$51*(OFFSET(S$549,MATCH($B532,$B$550:$B$568,0),0)))+($H532*(R532*(1+OFFSET(S$574,$I532,0))))</f>
        <v>82.4</v>
      </c>
      <c r="T532" s="522">
        <f t="shared" ca="1" si="246"/>
        <v>84.872000000000014</v>
      </c>
      <c r="U532" s="522">
        <f t="shared" ca="1" si="246"/>
        <v>87.418160000000015</v>
      </c>
      <c r="V532" s="522">
        <f t="shared" ca="1" si="246"/>
        <v>90.040704800000015</v>
      </c>
      <c r="W532" s="522">
        <f t="shared" ca="1" si="246"/>
        <v>92.741925944000016</v>
      </c>
      <c r="X532" s="522">
        <f t="shared" ca="1" si="246"/>
        <v>95.524183722320018</v>
      </c>
      <c r="Y532" s="522">
        <f t="shared" ca="1" si="246"/>
        <v>98.389909233989627</v>
      </c>
      <c r="Z532" s="522">
        <f t="shared" ca="1" si="246"/>
        <v>101.34160651100932</v>
      </c>
      <c r="AA532" s="522">
        <f t="shared" ca="1" si="246"/>
        <v>104.3818547063396</v>
      </c>
      <c r="AD532" s="3" t="s">
        <v>555</v>
      </c>
    </row>
    <row r="533" spans="1:30" s="1" customFormat="1" outlineLevel="2">
      <c r="A533" s="6"/>
      <c r="B533" s="1014" t="s">
        <v>353</v>
      </c>
      <c r="C533" s="840"/>
      <c r="D533" s="840"/>
      <c r="E533" s="650"/>
      <c r="F533"/>
      <c r="G533" s="1010">
        <v>0.65</v>
      </c>
      <c r="H533" s="1011">
        <f t="shared" si="240"/>
        <v>0.35</v>
      </c>
      <c r="I533" s="841">
        <v>1</v>
      </c>
      <c r="J533"/>
      <c r="K533" s="842">
        <v>10.308999999999999</v>
      </c>
      <c r="L533" s="842">
        <v>10.853</v>
      </c>
      <c r="M533" s="842">
        <v>13.006</v>
      </c>
      <c r="N533" s="842">
        <v>9.9009999999999998</v>
      </c>
      <c r="O533" s="842">
        <v>13.62975</v>
      </c>
      <c r="P533" s="842">
        <v>13.88157</v>
      </c>
      <c r="Q533" s="460"/>
      <c r="R533" s="636">
        <f ca="1">($G533*R$51*(OFFSET(R$549,MATCH($B533,$B$550:$B$568,0),0)))+($H533*(P533*(1+OFFSET(R$574,$I533,0))))</f>
        <v>14.074662570937498</v>
      </c>
      <c r="S533" s="844">
        <f t="shared" ref="S533:AA533" ca="1" si="247">($G533*S$51*(OFFSET(S$549,MATCH($B533,$B$550:$B$568,0),0)))+($H533*(R533*(1+OFFSET(S$574,$I533,0))))</f>
        <v>14.484280953696093</v>
      </c>
      <c r="T533" s="844">
        <f t="shared" ca="1" si="247"/>
        <v>14.855312697724582</v>
      </c>
      <c r="U533" s="844">
        <f t="shared" ca="1" si="247"/>
        <v>15.21782341240247</v>
      </c>
      <c r="V533" s="844">
        <f t="shared" ca="1" si="247"/>
        <v>15.58272553086789</v>
      </c>
      <c r="W533" s="844">
        <f t="shared" ca="1" si="247"/>
        <v>15.954063286181984</v>
      </c>
      <c r="X533" s="844">
        <f t="shared" ca="1" si="247"/>
        <v>16.333420017823016</v>
      </c>
      <c r="Y533" s="844">
        <f t="shared" ca="1" si="247"/>
        <v>16.721499365879485</v>
      </c>
      <c r="Z533" s="844">
        <f t="shared" ca="1" si="247"/>
        <v>17.118692599188769</v>
      </c>
      <c r="AA533" s="844">
        <f t="shared" ca="1" si="247"/>
        <v>17.525282220803362</v>
      </c>
    </row>
    <row r="534" spans="1:30" s="1" customFormat="1" outlineLevel="2">
      <c r="A534" s="6"/>
      <c r="B534" s="956" t="s">
        <v>349</v>
      </c>
      <c r="C534" s="475"/>
      <c r="D534" s="475"/>
      <c r="E534" s="153"/>
      <c r="F534"/>
      <c r="G534" s="1012">
        <v>0</v>
      </c>
      <c r="H534" s="1013">
        <f t="shared" si="240"/>
        <v>1</v>
      </c>
      <c r="I534" s="585">
        <v>1</v>
      </c>
      <c r="J534"/>
      <c r="K534" s="483">
        <v>20.574000000000002</v>
      </c>
      <c r="L534" s="483">
        <v>19.343</v>
      </c>
      <c r="M534" s="483">
        <v>22.931849999999997</v>
      </c>
      <c r="N534" s="483">
        <v>26.141999999999999</v>
      </c>
      <c r="O534" s="483">
        <v>23.761749999999999</v>
      </c>
      <c r="P534" s="483">
        <v>31.337800000000001</v>
      </c>
      <c r="Q534" s="460"/>
      <c r="R534" s="636">
        <f ca="1">($G534*R$51*(OFFSET(R$549,MATCH($B534,$B$550:$B$568,0),0)))+($H534*(P534*(1+OFFSET(R$574,$I534,0))))</f>
        <v>31.337800000000001</v>
      </c>
      <c r="S534" s="522">
        <f t="shared" ref="S534:AA534" ca="1" si="248">($G534*S$51*(OFFSET(S$549,MATCH($B534,$B$550:$B$568,0),0)))+($H534*(R534*(1+OFFSET(S$574,$I534,0))))</f>
        <v>32.121245000000002</v>
      </c>
      <c r="T534" s="522">
        <f t="shared" ca="1" si="248"/>
        <v>32.924276124999999</v>
      </c>
      <c r="U534" s="522">
        <f t="shared" ca="1" si="248"/>
        <v>33.747383028124993</v>
      </c>
      <c r="V534" s="522">
        <f t="shared" ca="1" si="248"/>
        <v>34.591067603828115</v>
      </c>
      <c r="W534" s="522">
        <f t="shared" ca="1" si="248"/>
        <v>35.455844293923818</v>
      </c>
      <c r="X534" s="522">
        <f t="shared" ca="1" si="248"/>
        <v>36.342240401271908</v>
      </c>
      <c r="Y534" s="522">
        <f t="shared" ca="1" si="248"/>
        <v>37.250796411303703</v>
      </c>
      <c r="Z534" s="522">
        <f t="shared" ca="1" si="248"/>
        <v>38.182066321586291</v>
      </c>
      <c r="AA534" s="522">
        <f t="shared" ca="1" si="248"/>
        <v>39.136617979625946</v>
      </c>
    </row>
    <row r="535" spans="1:30" s="1" customFormat="1" outlineLevel="2">
      <c r="A535" s="6"/>
      <c r="B535" s="1014" t="s">
        <v>482</v>
      </c>
      <c r="C535" s="850"/>
      <c r="D535" s="850"/>
      <c r="E535" s="840"/>
      <c r="F535"/>
      <c r="G535" s="1010">
        <v>0</v>
      </c>
      <c r="H535" s="1011">
        <f>1-G535</f>
        <v>1</v>
      </c>
      <c r="I535" s="841">
        <v>1</v>
      </c>
      <c r="J535"/>
      <c r="K535" s="851">
        <f>$P$535</f>
        <v>0</v>
      </c>
      <c r="L535" s="851">
        <f>$P$535</f>
        <v>0</v>
      </c>
      <c r="M535" s="851">
        <f>$P$535</f>
        <v>0</v>
      </c>
      <c r="N535" s="851">
        <f>$P$535</f>
        <v>0</v>
      </c>
      <c r="O535" s="851">
        <f>$P$535</f>
        <v>0</v>
      </c>
      <c r="P535" s="842">
        <v>0</v>
      </c>
      <c r="Q535" s="460"/>
      <c r="R535" s="939">
        <v>15.095000000000001</v>
      </c>
      <c r="S535" s="844">
        <f t="shared" ref="S535:AA535" ca="1" si="249">($G535*S$51*(OFFSET(S$549,MATCH($B535,$B$550:$B$568,0),0)))+($H535*(R535*(1+OFFSET(S$574,$I535,0))))</f>
        <v>15.472375</v>
      </c>
      <c r="T535" s="844">
        <f t="shared" ca="1" si="249"/>
        <v>15.859184374999998</v>
      </c>
      <c r="U535" s="844">
        <f t="shared" ca="1" si="249"/>
        <v>16.255663984374998</v>
      </c>
      <c r="V535" s="844">
        <f t="shared" ca="1" si="249"/>
        <v>16.662055583984372</v>
      </c>
      <c r="W535" s="844">
        <f t="shared" ca="1" si="249"/>
        <v>17.07860697358398</v>
      </c>
      <c r="X535" s="844">
        <f t="shared" ca="1" si="249"/>
        <v>17.50557214792358</v>
      </c>
      <c r="Y535" s="844">
        <f t="shared" ca="1" si="249"/>
        <v>17.943211451621668</v>
      </c>
      <c r="Z535" s="844">
        <f t="shared" ca="1" si="249"/>
        <v>18.391791737912207</v>
      </c>
      <c r="AA535" s="844">
        <f t="shared" ca="1" si="249"/>
        <v>18.85158653136001</v>
      </c>
    </row>
    <row r="536" spans="1:30" s="1" customFormat="1" outlineLevel="2">
      <c r="A536" s="6"/>
      <c r="B536" s="956" t="s">
        <v>350</v>
      </c>
      <c r="C536" s="475"/>
      <c r="D536" s="475"/>
      <c r="E536" s="153"/>
      <c r="F536"/>
      <c r="G536" s="1012">
        <v>1</v>
      </c>
      <c r="H536" s="1013">
        <f t="shared" si="240"/>
        <v>0</v>
      </c>
      <c r="I536" s="585">
        <v>0</v>
      </c>
      <c r="J536"/>
      <c r="K536" s="483">
        <v>16.869479999999999</v>
      </c>
      <c r="L536" s="483">
        <v>20.47681</v>
      </c>
      <c r="M536" s="483">
        <v>17.336659999999998</v>
      </c>
      <c r="N536" s="483">
        <v>43.535520000000005</v>
      </c>
      <c r="O536" s="483">
        <v>27.319159999999997</v>
      </c>
      <c r="P536" s="483">
        <v>34.640759999999993</v>
      </c>
      <c r="Q536" s="460"/>
      <c r="R536" s="636">
        <f t="shared" ref="R536:R543" ca="1" si="250">($G536*R$51*(OFFSET(R$549,MATCH($B536,$B$550:$B$568,0),0)))+($H536*(P536*(1+OFFSET(R$574,$I536,0))))</f>
        <v>28.357270987499998</v>
      </c>
      <c r="S536" s="522">
        <f t="shared" ref="S536:AA536" ca="1" si="251">($G536*S$51*(OFFSET(S$549,MATCH($B536,$B$550:$B$568,0),0)))+($H536*(R536*(1+OFFSET(S$574,$I536,0))))</f>
        <v>29.030756173453128</v>
      </c>
      <c r="T536" s="522">
        <f t="shared" ca="1" si="251"/>
        <v>29.720236632572636</v>
      </c>
      <c r="U536" s="522">
        <f t="shared" ca="1" si="251"/>
        <v>30.426092252596238</v>
      </c>
      <c r="V536" s="522">
        <f t="shared" ca="1" si="251"/>
        <v>31.148711943595394</v>
      </c>
      <c r="W536" s="522">
        <f t="shared" ca="1" si="251"/>
        <v>31.888493852255785</v>
      </c>
      <c r="X536" s="522">
        <f t="shared" ca="1" si="251"/>
        <v>32.645845581246853</v>
      </c>
      <c r="Y536" s="522">
        <f t="shared" ca="1" si="251"/>
        <v>33.42118441380147</v>
      </c>
      <c r="Z536" s="522">
        <f t="shared" ca="1" si="251"/>
        <v>34.214937543629247</v>
      </c>
      <c r="AA536" s="522">
        <f t="shared" ca="1" si="251"/>
        <v>35.027542310290443</v>
      </c>
    </row>
    <row r="537" spans="1:30" s="1" customFormat="1" outlineLevel="2">
      <c r="A537" s="6"/>
      <c r="B537" s="1014" t="s">
        <v>346</v>
      </c>
      <c r="C537" s="850"/>
      <c r="D537" s="850"/>
      <c r="E537" s="840"/>
      <c r="F537"/>
      <c r="G537" s="1010">
        <v>0.55000000000000004</v>
      </c>
      <c r="H537" s="1011">
        <f t="shared" si="240"/>
        <v>0.44999999999999996</v>
      </c>
      <c r="I537" s="841">
        <v>1</v>
      </c>
      <c r="J537"/>
      <c r="K537" s="842">
        <v>78.903999999999996</v>
      </c>
      <c r="L537" s="842">
        <v>83.563209999999998</v>
      </c>
      <c r="M537" s="842">
        <v>64.769210000000001</v>
      </c>
      <c r="N537" s="842">
        <v>73.714209999999994</v>
      </c>
      <c r="O537" s="842">
        <v>95.196209999999994</v>
      </c>
      <c r="P537" s="842">
        <v>94.406570000000002</v>
      </c>
      <c r="Q537" s="460"/>
      <c r="R537" s="636">
        <f t="shared" ca="1" si="250"/>
        <v>89.272453629375008</v>
      </c>
      <c r="S537" s="844">
        <f t="shared" ref="S537:AA537" ca="1" si="252">($G537*S$51*(OFFSET(S$549,MATCH($B537,$B$550:$B$568,0),0)))+($H537*(R537*(1+OFFSET(S$574,$I537,0))))</f>
        <v>89.077666922746886</v>
      </c>
      <c r="T537" s="844">
        <f t="shared" ca="1" si="252"/>
        <v>90.125464311861847</v>
      </c>
      <c r="U537" s="844">
        <f t="shared" ca="1" si="252"/>
        <v>91.773422630630051</v>
      </c>
      <c r="V537" s="844">
        <f t="shared" ca="1" si="252"/>
        <v>93.725865895310505</v>
      </c>
      <c r="W537" s="844">
        <f t="shared" ca="1" si="252"/>
        <v>95.847070500434</v>
      </c>
      <c r="X537" s="844">
        <f t="shared" ca="1" si="252"/>
        <v>98.075106477382491</v>
      </c>
      <c r="Y537" s="844">
        <f t="shared" ca="1" si="252"/>
        <v>100.38209714546508</v>
      </c>
      <c r="Z537" s="844">
        <f t="shared" ca="1" si="252"/>
        <v>102.75588925533403</v>
      </c>
      <c r="AA537" s="844">
        <f t="shared" ca="1" si="252"/>
        <v>105.19159873100205</v>
      </c>
    </row>
    <row r="538" spans="1:30" s="1" customFormat="1" outlineLevel="2">
      <c r="A538" s="6"/>
      <c r="B538" s="956" t="s">
        <v>352</v>
      </c>
      <c r="C538" s="294"/>
      <c r="D538" s="294"/>
      <c r="F538"/>
      <c r="G538" s="1012">
        <v>0</v>
      </c>
      <c r="H538" s="1013">
        <f t="shared" si="240"/>
        <v>1</v>
      </c>
      <c r="I538" s="585">
        <v>0</v>
      </c>
      <c r="J538"/>
      <c r="K538" s="483">
        <v>26.95139</v>
      </c>
      <c r="L538" s="483">
        <v>21.92109</v>
      </c>
      <c r="M538" s="483">
        <v>21.004650000000002</v>
      </c>
      <c r="N538" s="483">
        <v>21.624639999999999</v>
      </c>
      <c r="O538" s="483">
        <v>20.555040000000002</v>
      </c>
      <c r="P538" s="483">
        <v>20.829000000000001</v>
      </c>
      <c r="Q538" s="460"/>
      <c r="R538" s="636">
        <f t="shared" ca="1" si="250"/>
        <v>20.829000000000001</v>
      </c>
      <c r="S538" s="522">
        <f t="shared" ref="S538:AA538" ca="1" si="253">($G538*S$51*(OFFSET(S$549,MATCH($B538,$B$550:$B$568,0),0)))+($H538*(R538*(1+OFFSET(S$574,$I538,0))))</f>
        <v>20.829000000000001</v>
      </c>
      <c r="T538" s="522">
        <f t="shared" ca="1" si="253"/>
        <v>20.829000000000001</v>
      </c>
      <c r="U538" s="522">
        <f t="shared" ca="1" si="253"/>
        <v>20.829000000000001</v>
      </c>
      <c r="V538" s="522">
        <f t="shared" ca="1" si="253"/>
        <v>20.829000000000001</v>
      </c>
      <c r="W538" s="522">
        <f t="shared" ca="1" si="253"/>
        <v>20.829000000000001</v>
      </c>
      <c r="X538" s="522">
        <f t="shared" ca="1" si="253"/>
        <v>20.829000000000001</v>
      </c>
      <c r="Y538" s="522">
        <f t="shared" ca="1" si="253"/>
        <v>20.829000000000001</v>
      </c>
      <c r="Z538" s="522">
        <f t="shared" ca="1" si="253"/>
        <v>20.829000000000001</v>
      </c>
      <c r="AA538" s="522">
        <f t="shared" ca="1" si="253"/>
        <v>20.829000000000001</v>
      </c>
    </row>
    <row r="539" spans="1:30" s="1" customFormat="1" outlineLevel="2">
      <c r="A539" s="6"/>
      <c r="B539" s="1014" t="s">
        <v>354</v>
      </c>
      <c r="C539" s="840"/>
      <c r="D539" s="840"/>
      <c r="E539" s="650"/>
      <c r="F539"/>
      <c r="G539" s="1010">
        <v>0</v>
      </c>
      <c r="H539" s="1011">
        <f t="shared" si="240"/>
        <v>1</v>
      </c>
      <c r="I539" s="841">
        <v>1</v>
      </c>
      <c r="J539"/>
      <c r="K539" s="842">
        <v>3.62</v>
      </c>
      <c r="L539" s="842">
        <v>3.625</v>
      </c>
      <c r="M539" s="842">
        <v>3.391</v>
      </c>
      <c r="N539" s="842">
        <v>3.9470000000000001</v>
      </c>
      <c r="O539" s="842">
        <v>4.94604</v>
      </c>
      <c r="P539" s="842">
        <v>5.2564899999999994</v>
      </c>
      <c r="Q539" s="460"/>
      <c r="R539" s="636">
        <f t="shared" ca="1" si="250"/>
        <v>5.2564899999999994</v>
      </c>
      <c r="S539" s="844">
        <f t="shared" ref="S539:AA539" ca="1" si="254">($G539*S$51*(OFFSET(S$549,MATCH($B539,$B$550:$B$568,0),0)))+($H539*(R539*(1+OFFSET(S$574,$I539,0))))</f>
        <v>5.3879022499999989</v>
      </c>
      <c r="T539" s="844">
        <f t="shared" ca="1" si="254"/>
        <v>5.5225998062499988</v>
      </c>
      <c r="U539" s="844">
        <f t="shared" ca="1" si="254"/>
        <v>5.6606648014062486</v>
      </c>
      <c r="V539" s="844">
        <f t="shared" ca="1" si="254"/>
        <v>5.8021814214414045</v>
      </c>
      <c r="W539" s="844">
        <f t="shared" ca="1" si="254"/>
        <v>5.9472359569774387</v>
      </c>
      <c r="X539" s="844">
        <f t="shared" ca="1" si="254"/>
        <v>6.0959168559018737</v>
      </c>
      <c r="Y539" s="844">
        <f t="shared" ca="1" si="254"/>
        <v>6.2483147772994201</v>
      </c>
      <c r="Z539" s="844">
        <f t="shared" ca="1" si="254"/>
        <v>6.4045226467319054</v>
      </c>
      <c r="AA539" s="844">
        <f t="shared" ca="1" si="254"/>
        <v>6.5646357129002029</v>
      </c>
    </row>
    <row r="540" spans="1:30" s="1" customFormat="1" outlineLevel="2">
      <c r="A540" s="6"/>
      <c r="B540" s="956" t="s">
        <v>66</v>
      </c>
      <c r="C540" s="294"/>
      <c r="D540" s="294"/>
      <c r="F540"/>
      <c r="G540" s="1012">
        <v>0</v>
      </c>
      <c r="H540" s="1013">
        <f t="shared" si="240"/>
        <v>1</v>
      </c>
      <c r="I540" s="585">
        <v>1</v>
      </c>
      <c r="J540"/>
      <c r="K540" s="483">
        <v>0.67400000000000004</v>
      </c>
      <c r="L540" s="483">
        <v>1.4139999999999999</v>
      </c>
      <c r="M540" s="483">
        <v>1.7769999999999999</v>
      </c>
      <c r="N540" s="483">
        <v>2.101</v>
      </c>
      <c r="O540" s="483">
        <v>2.21305</v>
      </c>
      <c r="P540" s="483">
        <v>2.4154500000000003</v>
      </c>
      <c r="Q540" s="460"/>
      <c r="R540" s="636">
        <f t="shared" ca="1" si="250"/>
        <v>2.4154500000000003</v>
      </c>
      <c r="S540" s="522">
        <f t="shared" ref="S540:AA540" ca="1" si="255">($G540*S$51*(OFFSET(S$549,MATCH($B540,$B$550:$B$568,0),0)))+($H540*(R540*(1+OFFSET(S$574,$I540,0))))</f>
        <v>2.47583625</v>
      </c>
      <c r="T540" s="522">
        <f t="shared" ca="1" si="255"/>
        <v>2.5377321562499997</v>
      </c>
      <c r="U540" s="522">
        <f t="shared" ca="1" si="255"/>
        <v>2.6011754601562496</v>
      </c>
      <c r="V540" s="522">
        <f t="shared" ca="1" si="255"/>
        <v>2.6662048466601558</v>
      </c>
      <c r="W540" s="522">
        <f t="shared" ca="1" si="255"/>
        <v>2.7328599678266596</v>
      </c>
      <c r="X540" s="522">
        <f t="shared" ca="1" si="255"/>
        <v>2.8011814670223258</v>
      </c>
      <c r="Y540" s="522">
        <f t="shared" ca="1" si="255"/>
        <v>2.871211003697884</v>
      </c>
      <c r="Z540" s="522">
        <f t="shared" ca="1" si="255"/>
        <v>2.942991278790331</v>
      </c>
      <c r="AA540" s="522">
        <f t="shared" ca="1" si="255"/>
        <v>3.016566060760089</v>
      </c>
    </row>
    <row r="541" spans="1:30" s="1" customFormat="1" outlineLevel="2">
      <c r="A541" s="6"/>
      <c r="B541" s="1014" t="s">
        <v>357</v>
      </c>
      <c r="C541" s="840"/>
      <c r="D541" s="840"/>
      <c r="E541" s="650"/>
      <c r="F541"/>
      <c r="G541" s="1010">
        <v>0</v>
      </c>
      <c r="H541" s="1011">
        <f t="shared" si="240"/>
        <v>1</v>
      </c>
      <c r="I541" s="841">
        <v>1</v>
      </c>
      <c r="J541"/>
      <c r="K541" s="842">
        <v>4.6399999999999997</v>
      </c>
      <c r="L541" s="842">
        <v>2.899</v>
      </c>
      <c r="M541" s="842">
        <v>3.1379999999999999</v>
      </c>
      <c r="N541" s="842">
        <v>5.2190000000000003</v>
      </c>
      <c r="O541" s="842">
        <v>2.84762</v>
      </c>
      <c r="P541" s="842">
        <v>2.7316199999999999</v>
      </c>
      <c r="Q541" s="460"/>
      <c r="R541" s="636">
        <f t="shared" ca="1" si="250"/>
        <v>2.7316199999999999</v>
      </c>
      <c r="S541" s="844">
        <f t="shared" ref="S541:AA541" ca="1" si="256">($G541*S$51*(OFFSET(S$549,MATCH($B541,$B$550:$B$568,0),0)))+($H541*(R541*(1+OFFSET(S$574,$I541,0))))</f>
        <v>2.7999104999999997</v>
      </c>
      <c r="T541" s="844">
        <f t="shared" ca="1" si="256"/>
        <v>2.8699082624999996</v>
      </c>
      <c r="U541" s="844">
        <f t="shared" ca="1" si="256"/>
        <v>2.9416559690624995</v>
      </c>
      <c r="V541" s="844">
        <f t="shared" ca="1" si="256"/>
        <v>3.0151973682890616</v>
      </c>
      <c r="W541" s="844">
        <f t="shared" ca="1" si="256"/>
        <v>3.0905773024962877</v>
      </c>
      <c r="X541" s="844">
        <f t="shared" ca="1" si="256"/>
        <v>3.1678417350586945</v>
      </c>
      <c r="Y541" s="844">
        <f t="shared" ca="1" si="256"/>
        <v>3.2470377784351614</v>
      </c>
      <c r="Z541" s="844">
        <f t="shared" ca="1" si="256"/>
        <v>3.3282137228960402</v>
      </c>
      <c r="AA541" s="844">
        <f t="shared" ca="1" si="256"/>
        <v>3.4114190659684409</v>
      </c>
    </row>
    <row r="542" spans="1:30" s="1" customFormat="1" outlineLevel="2">
      <c r="A542" s="6"/>
      <c r="B542" s="956" t="s">
        <v>391</v>
      </c>
      <c r="C542" s="294"/>
      <c r="D542" s="294"/>
      <c r="F542"/>
      <c r="G542" s="1012">
        <v>1</v>
      </c>
      <c r="H542" s="1013">
        <f t="shared" si="240"/>
        <v>0</v>
      </c>
      <c r="I542" s="585">
        <v>0</v>
      </c>
      <c r="J542"/>
      <c r="K542" s="483">
        <v>0</v>
      </c>
      <c r="L542" s="483">
        <v>0</v>
      </c>
      <c r="M542" s="483">
        <v>0</v>
      </c>
      <c r="N542" s="483">
        <v>0</v>
      </c>
      <c r="O542" s="483">
        <v>0</v>
      </c>
      <c r="P542" s="483">
        <v>0</v>
      </c>
      <c r="Q542" s="460"/>
      <c r="R542" s="636">
        <f t="shared" ca="1" si="250"/>
        <v>0</v>
      </c>
      <c r="S542" s="522">
        <f t="shared" ref="S542:AA542" ca="1" si="257">($G542*S$51*(OFFSET(S$549,MATCH($B542,$B$550:$B$568,0),0)))+($H542*(R542*(1+OFFSET(S$574,$I542,0))))</f>
        <v>4.354613426017969</v>
      </c>
      <c r="T542" s="522">
        <f t="shared" ca="1" si="257"/>
        <v>4.4580354948858956</v>
      </c>
      <c r="U542" s="522">
        <f t="shared" ca="1" si="257"/>
        <v>4.5639138378894355</v>
      </c>
      <c r="V542" s="522">
        <f t="shared" ca="1" si="257"/>
        <v>4.6723067915393095</v>
      </c>
      <c r="W542" s="522">
        <f t="shared" ca="1" si="257"/>
        <v>4.7832740778383673</v>
      </c>
      <c r="X542" s="522">
        <f t="shared" ca="1" si="257"/>
        <v>4.8968768371870279</v>
      </c>
      <c r="Y542" s="522">
        <f t="shared" ca="1" si="257"/>
        <v>5.0131776620702198</v>
      </c>
      <c r="Z542" s="522">
        <f t="shared" ca="1" si="257"/>
        <v>5.1322406315443878</v>
      </c>
      <c r="AA542" s="522">
        <f t="shared" ca="1" si="257"/>
        <v>5.2541313465435664</v>
      </c>
    </row>
    <row r="543" spans="1:30" s="1" customFormat="1" outlineLevel="2">
      <c r="A543" s="6"/>
      <c r="B543" s="1014" t="s">
        <v>347</v>
      </c>
      <c r="C543" s="850"/>
      <c r="D543" s="850"/>
      <c r="E543" s="840"/>
      <c r="F543"/>
      <c r="G543" s="1010">
        <v>0.9</v>
      </c>
      <c r="H543" s="1011">
        <f t="shared" si="240"/>
        <v>9.9999999999999978E-2</v>
      </c>
      <c r="I543" s="841">
        <v>1</v>
      </c>
      <c r="J543"/>
      <c r="K543" s="842">
        <v>75.686999999999998</v>
      </c>
      <c r="L543" s="842">
        <v>92.103999999999999</v>
      </c>
      <c r="M543" s="842">
        <v>80.957999999999998</v>
      </c>
      <c r="N543" s="842">
        <v>84.210999999999999</v>
      </c>
      <c r="O543" s="842">
        <v>85.271419999999992</v>
      </c>
      <c r="P543" s="842">
        <v>89.938759999999988</v>
      </c>
      <c r="Q543" s="460"/>
      <c r="R543" s="636">
        <f t="shared" ca="1" si="250"/>
        <v>85.558507666249994</v>
      </c>
      <c r="S543" s="844">
        <f t="shared" ref="S543:AA543" ca="1" si="258">($G543*S$51*(OFFSET(S$549,MATCH($B543,$B$550:$B$568,0),0)))+($H543*(R543*(1+OFFSET(S$574,$I543,0))))</f>
        <v>87.152788704114073</v>
      </c>
      <c r="T543" s="844">
        <f t="shared" ca="1" si="258"/>
        <v>89.177799750117799</v>
      </c>
      <c r="U543" s="844">
        <f t="shared" ca="1" si="258"/>
        <v>91.291173556396913</v>
      </c>
      <c r="V543" s="844">
        <f t="shared" ca="1" si="258"/>
        <v>93.458867537238248</v>
      </c>
      <c r="W543" s="844">
        <f t="shared" ca="1" si="258"/>
        <v>95.678467323657543</v>
      </c>
      <c r="X543" s="844">
        <f t="shared" ca="1" si="258"/>
        <v>97.950825970041393</v>
      </c>
      <c r="Y543" s="844">
        <f t="shared" ca="1" si="258"/>
        <v>100.2771575791932</v>
      </c>
      <c r="Z543" s="844">
        <f t="shared" ca="1" si="258"/>
        <v>102.65874001966627</v>
      </c>
      <c r="AA543" s="844">
        <f t="shared" ca="1" si="258"/>
        <v>105.09688508979998</v>
      </c>
    </row>
    <row r="544" spans="1:30" s="1" customFormat="1" outlineLevel="2">
      <c r="A544" s="6"/>
      <c r="B544" s="446" t="s">
        <v>26</v>
      </c>
      <c r="C544" s="583"/>
      <c r="D544" s="583"/>
      <c r="E544" s="583"/>
      <c r="K544" s="924">
        <f t="shared" ref="K544:P544" si="259">SUM(K$525:K$543)</f>
        <v>343.76605000000001</v>
      </c>
      <c r="L544" s="924">
        <f t="shared" si="259"/>
        <v>358.15709999999996</v>
      </c>
      <c r="M544" s="924">
        <f t="shared" si="259"/>
        <v>331.90523333333329</v>
      </c>
      <c r="N544" s="924">
        <f t="shared" si="259"/>
        <v>363.21249</v>
      </c>
      <c r="O544" s="924">
        <f t="shared" si="259"/>
        <v>359.58886000000001</v>
      </c>
      <c r="P544" s="924">
        <f t="shared" si="259"/>
        <v>372.77922000000001</v>
      </c>
      <c r="Q544" s="494"/>
      <c r="R544" s="924">
        <f ca="1">SUM(R$525:R$543)</f>
        <v>408.97145814575003</v>
      </c>
      <c r="S544" s="924">
        <f t="shared" ref="S544:AA544" ca="1" si="260">SUM(S$525:S$543)</f>
        <v>435.15988031542724</v>
      </c>
      <c r="T544" s="924">
        <f t="shared" ca="1" si="260"/>
        <v>447.48240790173759</v>
      </c>
      <c r="U544" s="924">
        <f t="shared" ca="1" si="260"/>
        <v>460.76341347740942</v>
      </c>
      <c r="V544" s="924">
        <f t="shared" ca="1" si="260"/>
        <v>473.15372118534128</v>
      </c>
      <c r="W544" s="924">
        <f t="shared" ca="1" si="260"/>
        <v>484.41964152919695</v>
      </c>
      <c r="X544" s="924">
        <f t="shared" ca="1" si="260"/>
        <v>496.02775271096561</v>
      </c>
      <c r="Y544" s="924">
        <f t="shared" ca="1" si="260"/>
        <v>507.95681997102469</v>
      </c>
      <c r="Z544" s="924">
        <f t="shared" ca="1" si="260"/>
        <v>520.20119440964152</v>
      </c>
      <c r="AA544" s="924">
        <f t="shared" ca="1" si="260"/>
        <v>532.76255146680546</v>
      </c>
    </row>
    <row r="545" spans="1:45" s="1" customFormat="1" outlineLevel="2">
      <c r="A545" s="6"/>
      <c r="B545" s="517"/>
      <c r="C545" s="517"/>
      <c r="D545" s="517"/>
      <c r="E545" s="517"/>
      <c r="F545" s="517"/>
      <c r="G545" s="517"/>
      <c r="H545" s="517"/>
      <c r="I545" s="517"/>
      <c r="J545" s="517"/>
      <c r="K545" s="517"/>
      <c r="L545" s="517"/>
      <c r="M545" s="517"/>
      <c r="N545" s="517"/>
      <c r="O545" s="517"/>
      <c r="P545" s="517"/>
      <c r="Q545" s="517"/>
      <c r="R545" s="517"/>
    </row>
    <row r="546" spans="1:45" outlineLevel="2">
      <c r="B546" s="852" t="str">
        <f>_xlfn.CONCAT(B521," Assumptions")</f>
        <v>Other SG&amp;A Assumptions</v>
      </c>
      <c r="C546" s="853"/>
      <c r="D546" s="853"/>
      <c r="E546" s="853"/>
      <c r="F546" s="853"/>
      <c r="G546" s="853"/>
      <c r="H546" s="853"/>
      <c r="I546" s="853"/>
      <c r="J546" s="853"/>
      <c r="K546" s="854"/>
      <c r="L546" s="854"/>
      <c r="M546" s="854"/>
      <c r="N546" s="854"/>
      <c r="O546" s="854"/>
      <c r="P546" s="854"/>
      <c r="Q546" s="854"/>
      <c r="R546" s="854"/>
      <c r="S546" s="854"/>
      <c r="T546" s="854"/>
      <c r="U546" s="854"/>
      <c r="V546" s="854"/>
      <c r="W546" s="854"/>
      <c r="X546" s="854"/>
      <c r="Y546" s="854"/>
      <c r="Z546" s="854"/>
      <c r="AA546" s="854"/>
      <c r="AC546" s="517"/>
      <c r="AD546" s="517"/>
      <c r="AE546" s="517"/>
      <c r="AF546" s="517"/>
      <c r="AG546" s="517"/>
      <c r="AH546" s="517"/>
      <c r="AI546" s="517"/>
      <c r="AJ546" s="517"/>
      <c r="AK546" s="517"/>
      <c r="AL546" s="517"/>
      <c r="AM546" s="517"/>
      <c r="AN546" s="517"/>
      <c r="AO546" s="517"/>
      <c r="AP546" s="517"/>
    </row>
    <row r="547" spans="1:45" s="1" customFormat="1" ht="7.5" customHeight="1" outlineLevel="2">
      <c r="A547" s="6"/>
      <c r="B547" s="517"/>
      <c r="C547" s="517"/>
      <c r="D547" s="517"/>
      <c r="E547" s="517"/>
      <c r="F547"/>
      <c r="G547" s="517"/>
      <c r="H547" s="517"/>
      <c r="I547" s="517"/>
      <c r="J547" s="517"/>
      <c r="K547" s="517"/>
      <c r="L547" s="517"/>
      <c r="M547" s="517"/>
      <c r="N547" s="517"/>
      <c r="O547" s="517"/>
      <c r="P547" s="517"/>
      <c r="Q547" s="517"/>
      <c r="R547" s="517"/>
    </row>
    <row r="548" spans="1:45" s="1" customFormat="1" outlineLevel="2">
      <c r="A548" s="6"/>
      <c r="B548" s="363" t="s">
        <v>385</v>
      </c>
      <c r="C548" s="517"/>
      <c r="D548" s="517"/>
      <c r="E548" s="517"/>
      <c r="F548" s="517"/>
      <c r="G548" s="517"/>
      <c r="H548" s="517"/>
      <c r="I548" s="517"/>
      <c r="J548" s="517"/>
      <c r="K548" s="517"/>
      <c r="L548" s="517"/>
      <c r="M548" s="517"/>
      <c r="N548" s="517"/>
      <c r="O548" s="517"/>
      <c r="P548" s="517"/>
      <c r="Q548" s="517"/>
      <c r="R548" s="517"/>
    </row>
    <row r="549" spans="1:45" s="1" customFormat="1" ht="7" customHeight="1" outlineLevel="2">
      <c r="A549" s="6"/>
      <c r="B549" s="517"/>
      <c r="C549" s="517"/>
      <c r="D549" s="517"/>
      <c r="E549" s="517"/>
      <c r="F549" s="517"/>
      <c r="G549" s="517"/>
      <c r="H549" s="517"/>
      <c r="I549" s="517"/>
      <c r="J549" s="517"/>
      <c r="K549" s="517"/>
      <c r="L549" s="517"/>
      <c r="M549" s="517"/>
      <c r="N549" s="517"/>
      <c r="O549" s="517"/>
      <c r="P549" s="517"/>
      <c r="Q549" s="517"/>
      <c r="R549" s="517"/>
    </row>
    <row r="550" spans="1:45" s="1" customFormat="1" outlineLevel="2">
      <c r="A550" s="6"/>
      <c r="B550" s="1014" t="s">
        <v>358</v>
      </c>
      <c r="C550" s="620"/>
      <c r="D550" s="620"/>
      <c r="E550" s="620"/>
      <c r="F550"/>
      <c r="G550" s="846" t="str">
        <f t="shared" ref="G550:G568" si="261">IF(G525=1,"Variable","")</f>
        <v>Variable</v>
      </c>
      <c r="H550" s="846" t="str">
        <f t="shared" ref="H550:H568" si="262">IF(H525=1,"Fixed"," ")</f>
        <v xml:space="preserve"> </v>
      </c>
      <c r="I550" s="847">
        <f t="shared" ref="I550:I568" si="263">INDEX($I$525:$I$543,MATCH($B550,$B$525:$B$543,0),MATCH("Fixed Rate",$I$523,0))</f>
        <v>0</v>
      </c>
      <c r="J550"/>
      <c r="K550" s="848">
        <f t="shared" ref="K550:P559" si="264">K525/K$51</f>
        <v>1.229701711584228E-4</v>
      </c>
      <c r="L550" s="848">
        <f t="shared" si="264"/>
        <v>1.6059324083879395E-4</v>
      </c>
      <c r="M550" s="848">
        <f t="shared" si="264"/>
        <v>3.8342255592387845E-4</v>
      </c>
      <c r="N550" s="848">
        <f t="shared" si="264"/>
        <v>1.4127050880348149E-3</v>
      </c>
      <c r="O550" s="848">
        <f t="shared" si="264"/>
        <v>3.5218940060003441E-4</v>
      </c>
      <c r="P550" s="848">
        <f t="shared" si="264"/>
        <v>3.1698509101818413E-4</v>
      </c>
      <c r="Q550" s="517"/>
      <c r="R550" s="849">
        <v>1E-3</v>
      </c>
      <c r="S550" s="849">
        <v>6.0000000000000001E-3</v>
      </c>
      <c r="T550" s="849">
        <v>7.0000000000000001E-3</v>
      </c>
      <c r="U550" s="849">
        <v>8.0000000000000002E-3</v>
      </c>
      <c r="V550" s="849">
        <v>8.5000000000000006E-3</v>
      </c>
      <c r="W550" s="849">
        <v>8.5000000000000006E-3</v>
      </c>
      <c r="X550" s="849">
        <v>8.5000000000000006E-3</v>
      </c>
      <c r="Y550" s="849">
        <v>8.5000000000000006E-3</v>
      </c>
      <c r="Z550" s="849">
        <v>8.5000000000000006E-3</v>
      </c>
      <c r="AA550" s="849">
        <v>8.5000000000000006E-3</v>
      </c>
      <c r="AC550" s="3"/>
      <c r="AD550" s="3" t="s">
        <v>765</v>
      </c>
      <c r="AE550" s="3"/>
      <c r="AF550" s="3"/>
      <c r="AG550" s="3"/>
      <c r="AH550" s="3"/>
      <c r="AI550" s="363" t="s">
        <v>733</v>
      </c>
      <c r="AJ550" s="3"/>
      <c r="AK550" s="3"/>
      <c r="AL550" s="3"/>
      <c r="AM550" s="3"/>
      <c r="AO550" s="3"/>
      <c r="AP550" s="3"/>
      <c r="AQ550" s="3"/>
      <c r="AR550" s="3"/>
      <c r="AS550" s="3"/>
    </row>
    <row r="551" spans="1:45" s="1" customFormat="1" outlineLevel="2">
      <c r="A551" s="6"/>
      <c r="B551" s="795" t="s">
        <v>351</v>
      </c>
      <c r="C551" s="517"/>
      <c r="D551" s="517"/>
      <c r="E551" s="517"/>
      <c r="F551"/>
      <c r="G551" s="278" t="str">
        <f t="shared" si="261"/>
        <v/>
      </c>
      <c r="H551" s="278" t="str">
        <f t="shared" si="262"/>
        <v xml:space="preserve"> </v>
      </c>
      <c r="I551" s="635">
        <f t="shared" si="263"/>
        <v>1</v>
      </c>
      <c r="J551"/>
      <c r="K551" s="561">
        <f t="shared" si="264"/>
        <v>9.1468643336147896E-3</v>
      </c>
      <c r="L551" s="561">
        <f t="shared" si="264"/>
        <v>7.5781329792666734E-3</v>
      </c>
      <c r="M551" s="561">
        <f t="shared" si="264"/>
        <v>7.5661814585513496E-3</v>
      </c>
      <c r="N551" s="561">
        <f t="shared" si="264"/>
        <v>4.6619016725681891E-3</v>
      </c>
      <c r="O551" s="561">
        <f t="shared" si="264"/>
        <v>7.8854314900251056E-3</v>
      </c>
      <c r="P551" s="561">
        <f t="shared" si="264"/>
        <v>7.8468025131221211E-3</v>
      </c>
      <c r="Q551" s="517"/>
      <c r="R551" s="588">
        <v>8.5000000000000006E-3</v>
      </c>
      <c r="S551" s="588">
        <v>8.5000000000000006E-3</v>
      </c>
      <c r="T551" s="588">
        <v>8.5000000000000006E-3</v>
      </c>
      <c r="U551" s="588">
        <v>8.5000000000000006E-3</v>
      </c>
      <c r="V551" s="588">
        <v>8.5000000000000006E-3</v>
      </c>
      <c r="W551" s="588">
        <v>8.5000000000000006E-3</v>
      </c>
      <c r="X551" s="588">
        <v>8.5000000000000006E-3</v>
      </c>
      <c r="Y551" s="588">
        <v>8.5000000000000006E-3</v>
      </c>
      <c r="Z551" s="588">
        <v>8.5000000000000006E-3</v>
      </c>
      <c r="AA551" s="588">
        <v>8.5000000000000006E-3</v>
      </c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</row>
    <row r="552" spans="1:45" s="1" customFormat="1" outlineLevel="2">
      <c r="A552" s="6"/>
      <c r="B552" s="1014" t="s">
        <v>359</v>
      </c>
      <c r="C552" s="620"/>
      <c r="D552" s="620"/>
      <c r="E552" s="620"/>
      <c r="F552"/>
      <c r="G552" s="846" t="str">
        <f t="shared" si="261"/>
        <v/>
      </c>
      <c r="H552" s="846" t="str">
        <f t="shared" si="262"/>
        <v>Fixed</v>
      </c>
      <c r="I552" s="847">
        <f t="shared" si="263"/>
        <v>0</v>
      </c>
      <c r="J552"/>
      <c r="K552" s="848">
        <f t="shared" si="264"/>
        <v>2.6455007148325378E-4</v>
      </c>
      <c r="L552" s="848">
        <f t="shared" si="264"/>
        <v>4.7069274145428939E-4</v>
      </c>
      <c r="M552" s="848">
        <f t="shared" si="264"/>
        <v>2.6320633098961472E-4</v>
      </c>
      <c r="N552" s="848">
        <f t="shared" si="264"/>
        <v>2.9567411545356555E-4</v>
      </c>
      <c r="O552" s="848">
        <f t="shared" si="264"/>
        <v>2.6784014792389897E-4</v>
      </c>
      <c r="P552" s="848">
        <f t="shared" si="264"/>
        <v>2.847533575624896E-4</v>
      </c>
      <c r="Q552" s="517"/>
      <c r="R552" s="849">
        <v>0</v>
      </c>
      <c r="S552" s="849">
        <v>0</v>
      </c>
      <c r="T552" s="849">
        <v>0</v>
      </c>
      <c r="U552" s="849">
        <v>0</v>
      </c>
      <c r="V552" s="849">
        <v>0</v>
      </c>
      <c r="W552" s="849">
        <v>0</v>
      </c>
      <c r="X552" s="849">
        <v>0</v>
      </c>
      <c r="Y552" s="849">
        <v>0</v>
      </c>
      <c r="Z552" s="849">
        <v>0</v>
      </c>
      <c r="AA552" s="849">
        <v>0</v>
      </c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</row>
    <row r="553" spans="1:45" s="1" customFormat="1" outlineLevel="2">
      <c r="A553" s="6"/>
      <c r="B553" s="956" t="s">
        <v>382</v>
      </c>
      <c r="C553" s="174"/>
      <c r="D553" s="517"/>
      <c r="E553" s="517"/>
      <c r="F553"/>
      <c r="G553" s="278" t="str">
        <f t="shared" si="261"/>
        <v>Variable</v>
      </c>
      <c r="H553" s="278" t="str">
        <f t="shared" si="262"/>
        <v xml:space="preserve"> </v>
      </c>
      <c r="I553" s="635">
        <f t="shared" si="263"/>
        <v>0</v>
      </c>
      <c r="J553"/>
      <c r="K553" s="561">
        <f t="shared" si="264"/>
        <v>0</v>
      </c>
      <c r="L553" s="561">
        <f t="shared" si="264"/>
        <v>0</v>
      </c>
      <c r="M553" s="561">
        <f t="shared" si="264"/>
        <v>0</v>
      </c>
      <c r="N553" s="561">
        <f t="shared" si="264"/>
        <v>0</v>
      </c>
      <c r="O553" s="561">
        <f t="shared" si="264"/>
        <v>0</v>
      </c>
      <c r="P553" s="561">
        <f t="shared" si="264"/>
        <v>0</v>
      </c>
      <c r="Q553" s="517"/>
      <c r="R553" s="588">
        <v>0</v>
      </c>
      <c r="S553" s="588">
        <v>0</v>
      </c>
      <c r="T553" s="588">
        <v>0</v>
      </c>
      <c r="U553" s="588">
        <v>0</v>
      </c>
      <c r="V553" s="588">
        <v>0</v>
      </c>
      <c r="W553" s="588">
        <v>0</v>
      </c>
      <c r="X553" s="588">
        <v>0</v>
      </c>
      <c r="Y553" s="588">
        <v>0</v>
      </c>
      <c r="Z553" s="588">
        <v>0</v>
      </c>
      <c r="AA553" s="588">
        <v>0</v>
      </c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</row>
    <row r="554" spans="1:45" s="1" customFormat="1" outlineLevel="2">
      <c r="A554" s="6"/>
      <c r="B554" s="1014" t="s">
        <v>356</v>
      </c>
      <c r="C554" s="620"/>
      <c r="D554" s="620"/>
      <c r="E554" s="620"/>
      <c r="F554"/>
      <c r="G554" s="846" t="str">
        <f t="shared" si="261"/>
        <v>Variable</v>
      </c>
      <c r="H554" s="846" t="str">
        <f t="shared" si="262"/>
        <v xml:space="preserve"> </v>
      </c>
      <c r="I554" s="847">
        <f t="shared" si="263"/>
        <v>0</v>
      </c>
      <c r="J554"/>
      <c r="K554" s="848">
        <f t="shared" si="264"/>
        <v>0</v>
      </c>
      <c r="L554" s="848">
        <f t="shared" si="264"/>
        <v>2.8422987813727968E-4</v>
      </c>
      <c r="M554" s="848">
        <f t="shared" si="264"/>
        <v>5.9660101690979343E-4</v>
      </c>
      <c r="N554" s="848">
        <f t="shared" si="264"/>
        <v>7.2913810995345286E-4</v>
      </c>
      <c r="O554" s="848">
        <f t="shared" si="264"/>
        <v>1.1420921442620573E-3</v>
      </c>
      <c r="P554" s="848">
        <f t="shared" si="264"/>
        <v>1.204751292536556E-3</v>
      </c>
      <c r="Q554" s="517"/>
      <c r="R554" s="848">
        <f>$P$554</f>
        <v>1.204751292536556E-3</v>
      </c>
      <c r="S554" s="848">
        <f t="shared" ref="S554:AA554" si="265">$P$554</f>
        <v>1.204751292536556E-3</v>
      </c>
      <c r="T554" s="848">
        <f t="shared" si="265"/>
        <v>1.204751292536556E-3</v>
      </c>
      <c r="U554" s="848">
        <f t="shared" si="265"/>
        <v>1.204751292536556E-3</v>
      </c>
      <c r="V554" s="848">
        <f t="shared" si="265"/>
        <v>1.204751292536556E-3</v>
      </c>
      <c r="W554" s="848">
        <f t="shared" si="265"/>
        <v>1.204751292536556E-3</v>
      </c>
      <c r="X554" s="848">
        <f t="shared" si="265"/>
        <v>1.204751292536556E-3</v>
      </c>
      <c r="Y554" s="848">
        <f t="shared" si="265"/>
        <v>1.204751292536556E-3</v>
      </c>
      <c r="Z554" s="848">
        <f t="shared" si="265"/>
        <v>1.204751292536556E-3</v>
      </c>
      <c r="AA554" s="848">
        <f t="shared" si="265"/>
        <v>1.204751292536556E-3</v>
      </c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</row>
    <row r="555" spans="1:45" s="1" customFormat="1" outlineLevel="2">
      <c r="A555" s="6"/>
      <c r="B555" s="795" t="s">
        <v>360</v>
      </c>
      <c r="C555" s="517"/>
      <c r="D555" s="517"/>
      <c r="E555" s="517"/>
      <c r="F555"/>
      <c r="G555" s="278" t="str">
        <f t="shared" si="261"/>
        <v/>
      </c>
      <c r="H555" s="278" t="str">
        <f t="shared" si="262"/>
        <v>Fixed</v>
      </c>
      <c r="I555" s="635">
        <f t="shared" si="263"/>
        <v>1</v>
      </c>
      <c r="J555"/>
      <c r="K555" s="561">
        <f t="shared" si="264"/>
        <v>1.5873004288995227E-4</v>
      </c>
      <c r="L555" s="561">
        <f t="shared" si="264"/>
        <v>3.1917066693902564E-5</v>
      </c>
      <c r="M555" s="561">
        <f t="shared" si="264"/>
        <v>1.4709687150341589E-4</v>
      </c>
      <c r="N555" s="561">
        <f t="shared" si="264"/>
        <v>3.4088641951563992E-5</v>
      </c>
      <c r="O555" s="561">
        <f t="shared" si="264"/>
        <v>5.7251624715618115E-5</v>
      </c>
      <c r="P555" s="561">
        <f t="shared" si="264"/>
        <v>7.2781333609632845E-5</v>
      </c>
      <c r="Q555" s="517"/>
      <c r="R555" s="588">
        <v>0</v>
      </c>
      <c r="S555" s="588">
        <v>0</v>
      </c>
      <c r="T555" s="588">
        <v>0</v>
      </c>
      <c r="U555" s="588">
        <v>0</v>
      </c>
      <c r="V555" s="588">
        <v>0</v>
      </c>
      <c r="W555" s="588">
        <v>0</v>
      </c>
      <c r="X555" s="588">
        <v>0</v>
      </c>
      <c r="Y555" s="588">
        <v>0</v>
      </c>
      <c r="Z555" s="588">
        <v>0</v>
      </c>
      <c r="AA555" s="588">
        <v>0</v>
      </c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</row>
    <row r="556" spans="1:45" s="1" customFormat="1" outlineLevel="2">
      <c r="A556" s="6"/>
      <c r="B556" s="1014" t="s">
        <v>355</v>
      </c>
      <c r="C556" s="620"/>
      <c r="D556" s="620"/>
      <c r="E556" s="620"/>
      <c r="F556"/>
      <c r="G556" s="846" t="str">
        <f t="shared" si="261"/>
        <v/>
      </c>
      <c r="H556" s="846" t="str">
        <f t="shared" si="262"/>
        <v>Fixed</v>
      </c>
      <c r="I556" s="847">
        <f t="shared" si="263"/>
        <v>1</v>
      </c>
      <c r="J556"/>
      <c r="K556" s="848">
        <f t="shared" si="264"/>
        <v>3.4525791260141367E-4</v>
      </c>
      <c r="L556" s="848">
        <f t="shared" si="264"/>
        <v>2.0962793435432104E-4</v>
      </c>
      <c r="M556" s="848">
        <f t="shared" si="264"/>
        <v>3.450840337546254E-4</v>
      </c>
      <c r="N556" s="848">
        <f t="shared" si="264"/>
        <v>2.2394084795317447E-4</v>
      </c>
      <c r="O556" s="848">
        <f t="shared" si="264"/>
        <v>2.1618280203395375E-4</v>
      </c>
      <c r="P556" s="848">
        <f t="shared" si="264"/>
        <v>2.2944532031548694E-4</v>
      </c>
      <c r="Q556" s="517"/>
      <c r="R556" s="849">
        <v>0</v>
      </c>
      <c r="S556" s="849">
        <v>0</v>
      </c>
      <c r="T556" s="849">
        <v>0</v>
      </c>
      <c r="U556" s="849">
        <v>0</v>
      </c>
      <c r="V556" s="849">
        <v>0</v>
      </c>
      <c r="W556" s="849">
        <v>0</v>
      </c>
      <c r="X556" s="849">
        <v>0</v>
      </c>
      <c r="Y556" s="849">
        <v>0</v>
      </c>
      <c r="Z556" s="849">
        <v>0</v>
      </c>
      <c r="AA556" s="849">
        <v>0</v>
      </c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</row>
    <row r="557" spans="1:45" s="1" customFormat="1" outlineLevel="2">
      <c r="A557" s="6"/>
      <c r="B557" s="956" t="s">
        <v>348</v>
      </c>
      <c r="C557" s="174"/>
      <c r="D557" s="517"/>
      <c r="E557" s="517"/>
      <c r="F557"/>
      <c r="G557" s="278" t="str">
        <f t="shared" si="261"/>
        <v/>
      </c>
      <c r="H557" s="278" t="str">
        <f t="shared" si="262"/>
        <v>Fixed</v>
      </c>
      <c r="I557" s="635">
        <f t="shared" si="263"/>
        <v>4</v>
      </c>
      <c r="J557"/>
      <c r="K557" s="561">
        <f t="shared" si="264"/>
        <v>2.8471790934653581E-2</v>
      </c>
      <c r="L557" s="561">
        <f t="shared" si="264"/>
        <v>2.5519542651952117E-2</v>
      </c>
      <c r="M557" s="561">
        <f t="shared" si="264"/>
        <v>2.9374006987225844E-2</v>
      </c>
      <c r="N557" s="561">
        <f t="shared" si="264"/>
        <v>2.5947915425720492E-2</v>
      </c>
      <c r="O557" s="561">
        <f t="shared" si="264"/>
        <v>2.0479121158012089E-2</v>
      </c>
      <c r="P557" s="561">
        <f t="shared" si="264"/>
        <v>1.7966086642278663E-2</v>
      </c>
      <c r="Q557" s="517"/>
      <c r="R557" s="588">
        <v>0</v>
      </c>
      <c r="S557" s="588">
        <v>0</v>
      </c>
      <c r="T557" s="588">
        <v>0</v>
      </c>
      <c r="U557" s="588">
        <v>0</v>
      </c>
      <c r="V557" s="588">
        <v>0</v>
      </c>
      <c r="W557" s="588">
        <v>0</v>
      </c>
      <c r="X557" s="588">
        <v>0</v>
      </c>
      <c r="Y557" s="588">
        <v>0</v>
      </c>
      <c r="Z557" s="588">
        <v>0</v>
      </c>
      <c r="AA557" s="588">
        <v>0</v>
      </c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</row>
    <row r="558" spans="1:45" s="1" customFormat="1" outlineLevel="2">
      <c r="A558" s="6"/>
      <c r="B558" s="1014" t="s">
        <v>353</v>
      </c>
      <c r="C558" s="620"/>
      <c r="D558" s="620"/>
      <c r="E558" s="620"/>
      <c r="F558"/>
      <c r="G558" s="846" t="str">
        <f t="shared" si="261"/>
        <v/>
      </c>
      <c r="H558" s="846" t="str">
        <f t="shared" si="262"/>
        <v xml:space="preserve"> </v>
      </c>
      <c r="I558" s="847">
        <f t="shared" si="263"/>
        <v>1</v>
      </c>
      <c r="J558"/>
      <c r="K558" s="848">
        <f t="shared" si="264"/>
        <v>3.7617195681667079E-3</v>
      </c>
      <c r="L558" s="848">
        <f t="shared" si="264"/>
        <v>3.6462728929360475E-3</v>
      </c>
      <c r="M558" s="848">
        <f t="shared" si="264"/>
        <v>4.855690128866566E-3</v>
      </c>
      <c r="N558" s="848">
        <f t="shared" si="264"/>
        <v>3.5527541469730006E-3</v>
      </c>
      <c r="O558" s="848">
        <f t="shared" si="264"/>
        <v>4.9415827494629595E-3</v>
      </c>
      <c r="P558" s="848">
        <f t="shared" si="264"/>
        <v>5.0115038551362652E-3</v>
      </c>
      <c r="Q558" s="517"/>
      <c r="R558" s="849">
        <v>5.0000000000000001E-3</v>
      </c>
      <c r="S558" s="849">
        <v>5.0000000000000001E-3</v>
      </c>
      <c r="T558" s="849">
        <v>5.0000000000000001E-3</v>
      </c>
      <c r="U558" s="849">
        <v>5.0000000000000001E-3</v>
      </c>
      <c r="V558" s="849">
        <v>5.0000000000000001E-3</v>
      </c>
      <c r="W558" s="849">
        <v>5.0000000000000001E-3</v>
      </c>
      <c r="X558" s="849">
        <v>5.0000000000000001E-3</v>
      </c>
      <c r="Y558" s="849">
        <v>5.0000000000000001E-3</v>
      </c>
      <c r="Z558" s="849">
        <v>5.0000000000000001E-3</v>
      </c>
      <c r="AA558" s="849">
        <v>5.0000000000000001E-3</v>
      </c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</row>
    <row r="559" spans="1:45" s="1" customFormat="1" outlineLevel="2">
      <c r="A559" s="6"/>
      <c r="B559" s="795" t="s">
        <v>349</v>
      </c>
      <c r="C559" s="517"/>
      <c r="D559" s="517"/>
      <c r="E559" s="517"/>
      <c r="F559"/>
      <c r="G559" s="278" t="str">
        <f t="shared" si="261"/>
        <v/>
      </c>
      <c r="H559" s="278" t="str">
        <f t="shared" si="262"/>
        <v>Fixed</v>
      </c>
      <c r="I559" s="635">
        <f t="shared" si="263"/>
        <v>1</v>
      </c>
      <c r="J559"/>
      <c r="K559" s="561">
        <f t="shared" si="264"/>
        <v>7.5073836837192612E-3</v>
      </c>
      <c r="L559" s="561">
        <f t="shared" si="264"/>
        <v>6.4986507480016562E-3</v>
      </c>
      <c r="M559" s="561">
        <f t="shared" si="264"/>
        <v>8.5614299309279378E-3</v>
      </c>
      <c r="N559" s="561">
        <f t="shared" si="264"/>
        <v>9.380476609450376E-3</v>
      </c>
      <c r="O559" s="561">
        <f t="shared" si="264"/>
        <v>8.6150262401769283E-3</v>
      </c>
      <c r="P559" s="561">
        <f t="shared" si="264"/>
        <v>1.1313526172579129E-2</v>
      </c>
      <c r="Q559" s="517"/>
      <c r="R559" s="588">
        <v>0</v>
      </c>
      <c r="S559" s="588">
        <v>0</v>
      </c>
      <c r="T559" s="588">
        <v>0</v>
      </c>
      <c r="U559" s="588">
        <v>0</v>
      </c>
      <c r="V559" s="588">
        <v>0</v>
      </c>
      <c r="W559" s="588">
        <v>0</v>
      </c>
      <c r="X559" s="588">
        <v>0</v>
      </c>
      <c r="Y559" s="588">
        <v>0</v>
      </c>
      <c r="Z559" s="588">
        <v>0</v>
      </c>
      <c r="AA559" s="588">
        <v>0</v>
      </c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</row>
    <row r="560" spans="1:45" s="1" customFormat="1" outlineLevel="2">
      <c r="A560" s="6"/>
      <c r="B560" s="1014" t="s">
        <v>482</v>
      </c>
      <c r="C560" s="620"/>
      <c r="D560" s="620"/>
      <c r="E560" s="620"/>
      <c r="F560"/>
      <c r="G560" s="846" t="str">
        <f t="shared" si="261"/>
        <v/>
      </c>
      <c r="H560" s="846" t="str">
        <f t="shared" si="262"/>
        <v>Fixed</v>
      </c>
      <c r="I560" s="847">
        <f t="shared" si="263"/>
        <v>1</v>
      </c>
      <c r="J560"/>
      <c r="K560" s="848">
        <v>0</v>
      </c>
      <c r="L560" s="849">
        <v>0</v>
      </c>
      <c r="M560" s="849">
        <v>0</v>
      </c>
      <c r="N560" s="849">
        <v>0</v>
      </c>
      <c r="O560" s="849">
        <v>0</v>
      </c>
      <c r="P560" s="849">
        <v>0</v>
      </c>
      <c r="Q560" s="517"/>
      <c r="R560" s="849">
        <v>0</v>
      </c>
      <c r="S560" s="849">
        <v>0</v>
      </c>
      <c r="T560" s="849">
        <v>0</v>
      </c>
      <c r="U560" s="849">
        <v>0</v>
      </c>
      <c r="V560" s="849">
        <v>0</v>
      </c>
      <c r="W560" s="849">
        <v>0</v>
      </c>
      <c r="X560" s="849">
        <v>0</v>
      </c>
      <c r="Y560" s="849">
        <v>0</v>
      </c>
      <c r="Z560" s="849">
        <v>0</v>
      </c>
      <c r="AA560" s="849">
        <v>0</v>
      </c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</row>
    <row r="561" spans="1:45" s="1" customFormat="1" outlineLevel="2">
      <c r="A561" s="6"/>
      <c r="B561" s="795" t="s">
        <v>350</v>
      </c>
      <c r="C561" s="517"/>
      <c r="D561" s="517"/>
      <c r="E561" s="517"/>
      <c r="F561"/>
      <c r="G561" s="278" t="str">
        <f t="shared" si="261"/>
        <v>Variable</v>
      </c>
      <c r="H561" s="278" t="str">
        <f t="shared" si="262"/>
        <v xml:space="preserve"> </v>
      </c>
      <c r="I561" s="635">
        <f t="shared" si="263"/>
        <v>0</v>
      </c>
      <c r="J561"/>
      <c r="K561" s="561">
        <f t="shared" ref="K561:P568" si="266">K536/K$51</f>
        <v>6.1556167446694069E-3</v>
      </c>
      <c r="L561" s="561">
        <f t="shared" si="266"/>
        <v>6.8795758994565368E-3</v>
      </c>
      <c r="M561" s="561">
        <f t="shared" si="266"/>
        <v>6.4725087520771827E-3</v>
      </c>
      <c r="N561" s="561">
        <f t="shared" si="266"/>
        <v>1.562175529952793E-2</v>
      </c>
      <c r="O561" s="561">
        <f t="shared" si="266"/>
        <v>9.9047957435623168E-3</v>
      </c>
      <c r="P561" s="561">
        <f t="shared" si="266"/>
        <v>1.2505955903031867E-2</v>
      </c>
      <c r="Q561" s="517"/>
      <c r="R561" s="588">
        <v>0.01</v>
      </c>
      <c r="S561" s="588">
        <v>0.01</v>
      </c>
      <c r="T561" s="588">
        <v>0.01</v>
      </c>
      <c r="U561" s="588">
        <v>0.01</v>
      </c>
      <c r="V561" s="588">
        <v>0.01</v>
      </c>
      <c r="W561" s="588">
        <v>0.01</v>
      </c>
      <c r="X561" s="588">
        <v>0.01</v>
      </c>
      <c r="Y561" s="588">
        <v>0.01</v>
      </c>
      <c r="Z561" s="588">
        <v>0.01</v>
      </c>
      <c r="AA561" s="588">
        <v>0.01</v>
      </c>
      <c r="AC561" s="3"/>
      <c r="AD561" s="3" t="s">
        <v>766</v>
      </c>
      <c r="AE561" s="3"/>
      <c r="AF561" s="3"/>
      <c r="AG561" s="3"/>
      <c r="AH561" s="3"/>
      <c r="AI561" s="363" t="s">
        <v>733</v>
      </c>
      <c r="AJ561" s="3"/>
      <c r="AK561" s="3"/>
      <c r="AL561" s="3"/>
      <c r="AM561" s="3"/>
      <c r="AN561" s="3"/>
      <c r="AO561" s="3"/>
      <c r="AP561" s="3"/>
      <c r="AQ561" s="3"/>
      <c r="AR561" s="3"/>
      <c r="AS561" s="3"/>
    </row>
    <row r="562" spans="1:45" s="1" customFormat="1" outlineLevel="2">
      <c r="A562" s="6"/>
      <c r="B562" s="1014" t="s">
        <v>346</v>
      </c>
      <c r="C562" s="620"/>
      <c r="D562" s="620"/>
      <c r="E562" s="620"/>
      <c r="F562"/>
      <c r="G562" s="846" t="str">
        <f t="shared" si="261"/>
        <v/>
      </c>
      <c r="H562" s="846" t="str">
        <f t="shared" si="262"/>
        <v xml:space="preserve"> </v>
      </c>
      <c r="I562" s="847">
        <f t="shared" si="263"/>
        <v>1</v>
      </c>
      <c r="J562"/>
      <c r="K562" s="848">
        <f t="shared" si="266"/>
        <v>2.8791805296985735E-2</v>
      </c>
      <c r="L562" s="848">
        <f t="shared" si="266"/>
        <v>2.807465838659564E-2</v>
      </c>
      <c r="M562" s="848">
        <f t="shared" si="266"/>
        <v>2.4181086702405482E-2</v>
      </c>
      <c r="N562" s="848">
        <f t="shared" si="266"/>
        <v>2.6450708541393659E-2</v>
      </c>
      <c r="O562" s="848">
        <f t="shared" si="266"/>
        <v>3.4514202325813259E-2</v>
      </c>
      <c r="P562" s="848">
        <f t="shared" si="266"/>
        <v>3.4082520169202164E-2</v>
      </c>
      <c r="Q562" s="517"/>
      <c r="R562" s="849">
        <v>0.03</v>
      </c>
      <c r="S562" s="849">
        <v>0.03</v>
      </c>
      <c r="T562" s="849">
        <v>0.03</v>
      </c>
      <c r="U562" s="849">
        <v>0.03</v>
      </c>
      <c r="V562" s="849">
        <v>0.03</v>
      </c>
      <c r="W562" s="849">
        <v>0.03</v>
      </c>
      <c r="X562" s="849">
        <v>0.03</v>
      </c>
      <c r="Y562" s="849">
        <v>0.03</v>
      </c>
      <c r="Z562" s="849">
        <v>0.03</v>
      </c>
      <c r="AA562" s="849">
        <v>0.03</v>
      </c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</row>
    <row r="563" spans="1:45" s="1" customFormat="1" outlineLevel="2">
      <c r="A563" s="6"/>
      <c r="B563" s="795" t="s">
        <v>352</v>
      </c>
      <c r="C563" s="517"/>
      <c r="D563" s="517"/>
      <c r="E563" s="517"/>
      <c r="F563"/>
      <c r="G563" s="278" t="str">
        <f t="shared" si="261"/>
        <v/>
      </c>
      <c r="H563" s="278" t="str">
        <f t="shared" si="262"/>
        <v>Fixed</v>
      </c>
      <c r="I563" s="635">
        <f t="shared" si="263"/>
        <v>0</v>
      </c>
      <c r="J563"/>
      <c r="K563" s="561">
        <f t="shared" si="266"/>
        <v>9.8344719325145543E-3</v>
      </c>
      <c r="L563" s="561">
        <f t="shared" si="266"/>
        <v>7.3648093845583218E-3</v>
      </c>
      <c r="M563" s="561">
        <f t="shared" si="266"/>
        <v>7.8419246244269668E-3</v>
      </c>
      <c r="N563" s="561">
        <f t="shared" si="266"/>
        <v>7.7595222135944074E-3</v>
      </c>
      <c r="O563" s="561">
        <f t="shared" si="266"/>
        <v>7.4524060293491168E-3</v>
      </c>
      <c r="P563" s="561">
        <f t="shared" si="266"/>
        <v>7.5196547507690604E-3</v>
      </c>
      <c r="Q563" s="517"/>
      <c r="R563" s="588">
        <v>0</v>
      </c>
      <c r="S563" s="588">
        <v>0</v>
      </c>
      <c r="T563" s="588">
        <v>0</v>
      </c>
      <c r="U563" s="588">
        <v>0</v>
      </c>
      <c r="V563" s="588">
        <v>0</v>
      </c>
      <c r="W563" s="588">
        <v>0</v>
      </c>
      <c r="X563" s="588">
        <v>0</v>
      </c>
      <c r="Y563" s="588">
        <v>0</v>
      </c>
      <c r="Z563" s="588">
        <v>0</v>
      </c>
      <c r="AA563" s="588">
        <v>0</v>
      </c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</row>
    <row r="564" spans="1:45" s="1" customFormat="1" outlineLevel="2">
      <c r="A564" s="6"/>
      <c r="B564" s="1014" t="s">
        <v>354</v>
      </c>
      <c r="C564" s="620"/>
      <c r="D564" s="620"/>
      <c r="E564" s="620"/>
      <c r="F564"/>
      <c r="G564" s="846" t="str">
        <f t="shared" si="261"/>
        <v/>
      </c>
      <c r="H564" s="846" t="str">
        <f t="shared" si="262"/>
        <v>Fixed</v>
      </c>
      <c r="I564" s="847">
        <f t="shared" si="263"/>
        <v>1</v>
      </c>
      <c r="J564"/>
      <c r="K564" s="848">
        <f t="shared" si="266"/>
        <v>1.3209258741646605E-3</v>
      </c>
      <c r="L564" s="848">
        <f t="shared" si="266"/>
        <v>1.2178880712147031E-3</v>
      </c>
      <c r="M564" s="848">
        <f t="shared" si="266"/>
        <v>1.2660037849443737E-3</v>
      </c>
      <c r="N564" s="848">
        <f t="shared" si="266"/>
        <v>1.4162933661349796E-3</v>
      </c>
      <c r="O564" s="848">
        <f t="shared" si="266"/>
        <v>1.7932292185956291E-3</v>
      </c>
      <c r="P564" s="848">
        <f t="shared" si="266"/>
        <v>1.8976902396116017E-3</v>
      </c>
      <c r="Q564" s="517"/>
      <c r="R564" s="849">
        <v>0</v>
      </c>
      <c r="S564" s="849">
        <v>0</v>
      </c>
      <c r="T564" s="849">
        <v>0</v>
      </c>
      <c r="U564" s="849">
        <v>0</v>
      </c>
      <c r="V564" s="849">
        <v>0</v>
      </c>
      <c r="W564" s="849">
        <v>0</v>
      </c>
      <c r="X564" s="849">
        <v>0</v>
      </c>
      <c r="Y564" s="849">
        <v>0</v>
      </c>
      <c r="Z564" s="849">
        <v>0</v>
      </c>
      <c r="AA564" s="849">
        <v>0</v>
      </c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</row>
    <row r="565" spans="1:45" s="1" customFormat="1" outlineLevel="2">
      <c r="A565" s="6"/>
      <c r="B565" s="795" t="s">
        <v>66</v>
      </c>
      <c r="C565" s="517"/>
      <c r="D565" s="517"/>
      <c r="E565" s="517"/>
      <c r="F565"/>
      <c r="G565" s="278" t="str">
        <f t="shared" si="261"/>
        <v/>
      </c>
      <c r="H565" s="278" t="str">
        <f t="shared" si="262"/>
        <v>Fixed</v>
      </c>
      <c r="I565" s="635">
        <f t="shared" si="263"/>
        <v>1</v>
      </c>
      <c r="J565"/>
      <c r="K565" s="561">
        <f t="shared" si="266"/>
        <v>2.459403423168456E-4</v>
      </c>
      <c r="L565" s="561">
        <f t="shared" si="266"/>
        <v>4.7506034005450763E-4</v>
      </c>
      <c r="M565" s="561">
        <f t="shared" si="266"/>
        <v>6.6342929101921328E-4</v>
      </c>
      <c r="N565" s="561">
        <f t="shared" si="266"/>
        <v>7.538972288445888E-4</v>
      </c>
      <c r="O565" s="561">
        <f t="shared" si="266"/>
        <v>8.0236025632891307E-4</v>
      </c>
      <c r="P565" s="561">
        <f t="shared" si="266"/>
        <v>8.7202218386601027E-4</v>
      </c>
      <c r="Q565" s="517"/>
      <c r="R565" s="588">
        <v>0</v>
      </c>
      <c r="S565" s="588">
        <v>0</v>
      </c>
      <c r="T565" s="588">
        <v>0</v>
      </c>
      <c r="U565" s="588">
        <v>0</v>
      </c>
      <c r="V565" s="588">
        <v>0</v>
      </c>
      <c r="W565" s="588">
        <v>0</v>
      </c>
      <c r="X565" s="588">
        <v>0</v>
      </c>
      <c r="Y565" s="588">
        <v>0</v>
      </c>
      <c r="Z565" s="588">
        <v>0</v>
      </c>
      <c r="AA565" s="588">
        <v>0</v>
      </c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</row>
    <row r="566" spans="1:45" s="1" customFormat="1" outlineLevel="2">
      <c r="A566" s="6"/>
      <c r="B566" s="1014" t="s">
        <v>357</v>
      </c>
      <c r="C566" s="620"/>
      <c r="D566" s="620"/>
      <c r="E566" s="620"/>
      <c r="F566"/>
      <c r="G566" s="846" t="str">
        <f t="shared" si="261"/>
        <v/>
      </c>
      <c r="H566" s="846" t="str">
        <f t="shared" si="262"/>
        <v>Fixed</v>
      </c>
      <c r="I566" s="847">
        <f t="shared" si="263"/>
        <v>1</v>
      </c>
      <c r="J566"/>
      <c r="K566" s="848">
        <f t="shared" si="266"/>
        <v>1.6931204574928242E-3</v>
      </c>
      <c r="L566" s="848">
        <f t="shared" si="266"/>
        <v>9.7397448784866875E-4</v>
      </c>
      <c r="M566" s="848">
        <f t="shared" si="266"/>
        <v>1.1715481796388809E-3</v>
      </c>
      <c r="N566" s="848">
        <f t="shared" si="266"/>
        <v>1.8727223404759207E-3</v>
      </c>
      <c r="O566" s="848">
        <f t="shared" si="266"/>
        <v>1.0324290518186844E-3</v>
      </c>
      <c r="P566" s="848">
        <f t="shared" si="266"/>
        <v>9.8616540929933163E-4</v>
      </c>
      <c r="Q566" s="517"/>
      <c r="R566" s="849">
        <v>0</v>
      </c>
      <c r="S566" s="849">
        <v>0</v>
      </c>
      <c r="T566" s="849">
        <v>0</v>
      </c>
      <c r="U566" s="849">
        <v>0</v>
      </c>
      <c r="V566" s="849">
        <v>0</v>
      </c>
      <c r="W566" s="849">
        <v>0</v>
      </c>
      <c r="X566" s="849">
        <v>0</v>
      </c>
      <c r="Y566" s="849">
        <v>0</v>
      </c>
      <c r="Z566" s="849">
        <v>0</v>
      </c>
      <c r="AA566" s="849">
        <v>0</v>
      </c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</row>
    <row r="567" spans="1:45" s="1" customFormat="1" outlineLevel="2">
      <c r="A567" s="6"/>
      <c r="B567" s="795" t="s">
        <v>391</v>
      </c>
      <c r="C567" s="517"/>
      <c r="D567" s="517"/>
      <c r="E567" s="517"/>
      <c r="F567"/>
      <c r="G567" s="278" t="str">
        <f t="shared" si="261"/>
        <v>Variable</v>
      </c>
      <c r="H567" s="278" t="str">
        <f t="shared" si="262"/>
        <v xml:space="preserve"> </v>
      </c>
      <c r="I567" s="635">
        <f t="shared" si="263"/>
        <v>0</v>
      </c>
      <c r="J567"/>
      <c r="K567" s="561">
        <f t="shared" si="266"/>
        <v>0</v>
      </c>
      <c r="L567" s="561">
        <f t="shared" si="266"/>
        <v>0</v>
      </c>
      <c r="M567" s="561">
        <f t="shared" si="266"/>
        <v>0</v>
      </c>
      <c r="N567" s="561">
        <f t="shared" si="266"/>
        <v>0</v>
      </c>
      <c r="O567" s="561">
        <f t="shared" si="266"/>
        <v>0</v>
      </c>
      <c r="P567" s="561">
        <f t="shared" si="266"/>
        <v>0</v>
      </c>
      <c r="Q567" s="517"/>
      <c r="R567" s="588">
        <v>0</v>
      </c>
      <c r="S567" s="588">
        <v>1.5E-3</v>
      </c>
      <c r="T567" s="588">
        <v>1.5E-3</v>
      </c>
      <c r="U567" s="588">
        <v>1.5E-3</v>
      </c>
      <c r="V567" s="588">
        <v>1.5E-3</v>
      </c>
      <c r="W567" s="588">
        <v>1.5E-3</v>
      </c>
      <c r="X567" s="588">
        <v>1.5E-3</v>
      </c>
      <c r="Y567" s="588">
        <v>1.5E-3</v>
      </c>
      <c r="Z567" s="588">
        <v>1.5E-3</v>
      </c>
      <c r="AA567" s="588">
        <v>1.5E-3</v>
      </c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</row>
    <row r="568" spans="1:45" s="1" customFormat="1" outlineLevel="2">
      <c r="A568" s="6"/>
      <c r="B568" s="1014" t="s">
        <v>347</v>
      </c>
      <c r="C568" s="620"/>
      <c r="D568" s="620"/>
      <c r="E568" s="620"/>
      <c r="F568"/>
      <c r="G568" s="846" t="str">
        <f t="shared" si="261"/>
        <v/>
      </c>
      <c r="H568" s="846" t="str">
        <f t="shared" si="262"/>
        <v xml:space="preserve"> </v>
      </c>
      <c r="I568" s="847">
        <f t="shared" si="263"/>
        <v>1</v>
      </c>
      <c r="J568"/>
      <c r="K568" s="848">
        <f t="shared" si="266"/>
        <v>2.7617932772900731E-2</v>
      </c>
      <c r="L568" s="848">
        <f t="shared" si="266"/>
        <v>3.0944100113423176E-2</v>
      </c>
      <c r="M568" s="848">
        <f t="shared" si="266"/>
        <v>3.0225047013130821E-2</v>
      </c>
      <c r="N568" s="848">
        <f t="shared" si="266"/>
        <v>3.0217248709296367E-2</v>
      </c>
      <c r="O568" s="848">
        <f t="shared" si="266"/>
        <v>3.0915884597605296E-2</v>
      </c>
      <c r="P568" s="848">
        <f t="shared" si="266"/>
        <v>3.2469558015856652E-2</v>
      </c>
      <c r="Q568" s="517"/>
      <c r="R568" s="849">
        <v>0.03</v>
      </c>
      <c r="S568" s="849">
        <v>0.03</v>
      </c>
      <c r="T568" s="849">
        <v>0.03</v>
      </c>
      <c r="U568" s="849">
        <v>0.03</v>
      </c>
      <c r="V568" s="849">
        <v>0.03</v>
      </c>
      <c r="W568" s="849">
        <v>0.03</v>
      </c>
      <c r="X568" s="849">
        <v>0.03</v>
      </c>
      <c r="Y568" s="849">
        <v>0.03</v>
      </c>
      <c r="Z568" s="849">
        <v>0.03</v>
      </c>
      <c r="AA568" s="849">
        <v>0.03</v>
      </c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</row>
    <row r="569" spans="1:45" s="1" customFormat="1" outlineLevel="2">
      <c r="A569" s="6"/>
      <c r="B569" s="517"/>
      <c r="C569" s="517"/>
      <c r="D569" s="517"/>
      <c r="E569" s="517"/>
      <c r="F569" s="517"/>
      <c r="G569" s="517"/>
      <c r="H569" s="517"/>
      <c r="I569" s="334"/>
      <c r="J569" s="517"/>
      <c r="K569" s="517"/>
      <c r="L569" s="517"/>
      <c r="M569" s="517"/>
      <c r="N569" s="517"/>
      <c r="O569" s="517"/>
      <c r="P569" s="517"/>
      <c r="Q569" s="517"/>
      <c r="R569" s="517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</row>
    <row r="570" spans="1:45" s="1" customFormat="1" ht="6.5" customHeight="1">
      <c r="A570" s="6"/>
      <c r="B570"/>
      <c r="C570"/>
      <c r="D570" s="517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</row>
    <row r="571" spans="1:45">
      <c r="A571" s="380" t="s">
        <v>63</v>
      </c>
      <c r="B571" s="518" t="s">
        <v>422</v>
      </c>
      <c r="C571" s="518"/>
      <c r="D571" s="518"/>
      <c r="E571" s="518"/>
      <c r="F571" s="518"/>
      <c r="G571" s="518"/>
      <c r="H571" s="518"/>
      <c r="I571" s="518"/>
      <c r="J571" s="518"/>
      <c r="K571" s="518"/>
      <c r="L571" s="518"/>
      <c r="M571" s="518"/>
      <c r="N571" s="518"/>
      <c r="O571" s="518"/>
      <c r="P571" s="518"/>
      <c r="Q571" s="518"/>
      <c r="R571" s="518"/>
      <c r="S571" s="518"/>
      <c r="T571" s="518"/>
      <c r="U571" s="518"/>
      <c r="V571" s="518"/>
      <c r="W571" s="518"/>
      <c r="X571" s="518"/>
      <c r="Y571" s="518"/>
      <c r="Z571" s="518"/>
      <c r="AA571" s="518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</row>
    <row r="572" spans="1:45" s="1" customFormat="1" ht="6" customHeight="1" outlineLevel="1">
      <c r="A572" s="6"/>
      <c r="B572"/>
      <c r="C572"/>
      <c r="D572" s="517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</row>
    <row r="573" spans="1:45" outlineLevel="1">
      <c r="B573" s="852" t="s">
        <v>554</v>
      </c>
      <c r="C573" s="853"/>
      <c r="D573" s="853"/>
      <c r="E573" s="853"/>
      <c r="F573" s="853"/>
      <c r="G573" s="853"/>
      <c r="H573" s="853"/>
      <c r="I573" s="853"/>
      <c r="J573" s="853"/>
      <c r="K573" s="853"/>
      <c r="L573" s="853"/>
      <c r="M573" s="853"/>
      <c r="N573" s="853"/>
      <c r="O573" s="853"/>
      <c r="P573" s="854"/>
      <c r="Q573" s="854"/>
      <c r="R573" s="854"/>
      <c r="S573" s="854"/>
      <c r="T573" s="854"/>
      <c r="U573" s="854"/>
      <c r="V573" s="854"/>
      <c r="W573" s="854"/>
      <c r="X573" s="854"/>
      <c r="Y573" s="854"/>
      <c r="Z573" s="854"/>
      <c r="AA573" s="854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</row>
    <row r="574" spans="1:45" customFormat="1" ht="6" customHeight="1" outlineLevel="2">
      <c r="A574" s="380"/>
      <c r="D574" s="517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</row>
    <row r="575" spans="1:45" s="1" customFormat="1" outlineLevel="2">
      <c r="A575" s="6"/>
      <c r="B575" s="278">
        <v>1</v>
      </c>
      <c r="C575" s="921" t="s">
        <v>600</v>
      </c>
      <c r="D575" s="151"/>
      <c r="E575" s="475"/>
      <c r="F575" s="475"/>
      <c r="G575" s="379"/>
      <c r="H575" s="379"/>
      <c r="I575" s="379"/>
      <c r="J575" s="379"/>
      <c r="K575"/>
      <c r="L575"/>
      <c r="M575"/>
      <c r="N575"/>
      <c r="O575"/>
      <c r="P575"/>
      <c r="Q575" s="460"/>
      <c r="R575" s="1008">
        <v>0</v>
      </c>
      <c r="S575" s="1008">
        <v>2.5000000000000001E-2</v>
      </c>
      <c r="T575" s="1008">
        <v>2.5000000000000001E-2</v>
      </c>
      <c r="U575" s="1008">
        <v>2.5000000000000001E-2</v>
      </c>
      <c r="V575" s="1008">
        <v>2.5000000000000001E-2</v>
      </c>
      <c r="W575" s="1008">
        <v>2.5000000000000001E-2</v>
      </c>
      <c r="X575" s="1008">
        <v>2.5000000000000001E-2</v>
      </c>
      <c r="Y575" s="1008">
        <v>2.5000000000000001E-2</v>
      </c>
      <c r="Z575" s="1008">
        <v>2.5000000000000001E-2</v>
      </c>
      <c r="AA575" s="1008">
        <v>2.5000000000000001E-2</v>
      </c>
      <c r="AC575" s="3"/>
      <c r="AD575" s="604"/>
      <c r="AE575" s="3"/>
      <c r="AF575" s="3"/>
      <c r="AG575" s="3"/>
      <c r="AH575" s="3"/>
      <c r="AI575" s="376"/>
      <c r="AJ575" s="376"/>
      <c r="AK575" s="363"/>
      <c r="AL575" s="363"/>
      <c r="AM575" s="3"/>
      <c r="AN575" s="3"/>
      <c r="AO575" s="3"/>
      <c r="AP575" s="3"/>
      <c r="AQ575" s="3"/>
      <c r="AR575" s="3"/>
      <c r="AS575" s="3"/>
    </row>
    <row r="576" spans="1:45" s="1" customFormat="1" outlineLevel="2">
      <c r="A576" s="6"/>
      <c r="B576" s="278">
        <v>2</v>
      </c>
      <c r="C576" s="921" t="s">
        <v>739</v>
      </c>
      <c r="D576" s="475"/>
      <c r="E576" s="475"/>
      <c r="F576" s="475"/>
      <c r="G576" s="379"/>
      <c r="H576" s="379"/>
      <c r="I576" s="379"/>
      <c r="J576" s="379"/>
      <c r="K576"/>
      <c r="L576"/>
      <c r="M576"/>
      <c r="N576"/>
      <c r="O576"/>
      <c r="P576"/>
      <c r="Q576" s="460"/>
      <c r="R576" s="1008">
        <v>0</v>
      </c>
      <c r="S576" s="1008">
        <v>3.5999999999999997E-2</v>
      </c>
      <c r="T576" s="1008">
        <v>3.5999999999999997E-2</v>
      </c>
      <c r="U576" s="1008">
        <v>3.5999999999999997E-2</v>
      </c>
      <c r="V576" s="1008">
        <v>3.5999999999999997E-2</v>
      </c>
      <c r="W576" s="1008">
        <v>3.5999999999999997E-2</v>
      </c>
      <c r="X576" s="1008">
        <v>3.5999999999999997E-2</v>
      </c>
      <c r="Y576" s="1008">
        <v>3.5999999999999997E-2</v>
      </c>
      <c r="Z576" s="1008">
        <v>3.5999999999999997E-2</v>
      </c>
      <c r="AA576" s="1008">
        <v>3.5999999999999997E-2</v>
      </c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</row>
    <row r="577" spans="1:56" s="1" customFormat="1" outlineLevel="2">
      <c r="A577" s="6"/>
      <c r="B577" s="278">
        <v>3</v>
      </c>
      <c r="C577" s="921" t="s">
        <v>740</v>
      </c>
      <c r="D577" s="206"/>
      <c r="F577" s="475"/>
      <c r="G577" s="379"/>
      <c r="H577" s="379"/>
      <c r="I577" s="379"/>
      <c r="J577" s="379"/>
      <c r="K577"/>
      <c r="L577"/>
      <c r="M577"/>
      <c r="N577"/>
      <c r="O577"/>
      <c r="P577"/>
      <c r="Q577" s="460"/>
      <c r="R577" s="1008">
        <v>0</v>
      </c>
      <c r="S577" s="1008">
        <v>0.04</v>
      </c>
      <c r="T577" s="1008">
        <v>0.04</v>
      </c>
      <c r="U577" s="1008">
        <v>0.04</v>
      </c>
      <c r="V577" s="1008">
        <v>0.04</v>
      </c>
      <c r="W577" s="1008">
        <v>0.04</v>
      </c>
      <c r="X577" s="1008">
        <v>0.04</v>
      </c>
      <c r="Y577" s="1008">
        <v>0.04</v>
      </c>
      <c r="Z577" s="1008">
        <v>0.04</v>
      </c>
      <c r="AA577" s="1008">
        <v>0.04</v>
      </c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</row>
    <row r="578" spans="1:56" s="1" customFormat="1" outlineLevel="2">
      <c r="A578" s="6"/>
      <c r="B578" s="278">
        <v>4</v>
      </c>
      <c r="C578" s="920" t="s">
        <v>348</v>
      </c>
      <c r="F578" s="475"/>
      <c r="G578" s="379"/>
      <c r="H578" s="379"/>
      <c r="I578" s="379"/>
      <c r="J578" s="379"/>
      <c r="K578"/>
      <c r="L578"/>
      <c r="M578"/>
      <c r="N578"/>
      <c r="O578"/>
      <c r="P578"/>
      <c r="Q578" s="460"/>
      <c r="R578" s="1008">
        <v>0</v>
      </c>
      <c r="S578" s="1008">
        <v>0.03</v>
      </c>
      <c r="T578" s="1008">
        <v>0.03</v>
      </c>
      <c r="U578" s="1008">
        <v>0.03</v>
      </c>
      <c r="V578" s="1008">
        <v>0.03</v>
      </c>
      <c r="W578" s="1008">
        <v>0.03</v>
      </c>
      <c r="X578" s="1008">
        <v>0.03</v>
      </c>
      <c r="Y578" s="1008">
        <v>0.03</v>
      </c>
      <c r="Z578" s="1008">
        <v>0.03</v>
      </c>
      <c r="AA578" s="1008">
        <v>0.03</v>
      </c>
      <c r="AC578" s="3"/>
      <c r="AD578" s="291"/>
      <c r="AE578" s="192"/>
      <c r="AF578" s="192"/>
      <c r="AG578" s="150"/>
      <c r="AH578" s="150"/>
      <c r="AI578" s="150"/>
      <c r="AJ578" s="150"/>
      <c r="AK578" s="3"/>
      <c r="AL578" s="3"/>
      <c r="AM578" s="3"/>
      <c r="AN578" s="3"/>
      <c r="AO578" s="3"/>
      <c r="AP578" s="3"/>
      <c r="AQ578" s="3"/>
      <c r="AR578" s="3"/>
      <c r="AS578" s="3"/>
    </row>
    <row r="579" spans="1:56" s="1" customFormat="1" ht="6" customHeight="1" outlineLevel="1">
      <c r="A579" s="6"/>
      <c r="B579" s="291"/>
      <c r="C579" s="379"/>
      <c r="D579" s="379"/>
      <c r="E579" s="379"/>
      <c r="F579" s="379"/>
      <c r="G579" s="379"/>
      <c r="H579" s="379"/>
      <c r="I579" s="379"/>
      <c r="J579" s="379"/>
      <c r="K579" s="517"/>
      <c r="L579" s="517"/>
      <c r="M579" s="517"/>
      <c r="N579" s="517"/>
      <c r="O579" s="460"/>
      <c r="P579" s="471"/>
      <c r="Q579" s="460"/>
      <c r="R579" s="460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</row>
    <row r="580" spans="1:56" outlineLevel="1" collapsed="1">
      <c r="B580" s="852" t="s">
        <v>420</v>
      </c>
      <c r="C580" s="853"/>
      <c r="D580" s="853"/>
      <c r="E580" s="853"/>
      <c r="F580" s="853"/>
      <c r="G580" s="853"/>
      <c r="H580" s="853"/>
      <c r="I580" s="853"/>
      <c r="J580" s="853"/>
      <c r="K580" s="853"/>
      <c r="L580" s="853"/>
      <c r="M580" s="853"/>
      <c r="N580" s="853"/>
      <c r="O580" s="853"/>
      <c r="P580" s="854"/>
      <c r="Q580" s="854"/>
      <c r="R580" s="854"/>
      <c r="S580" s="854"/>
      <c r="T580" s="854"/>
      <c r="U580" s="854"/>
      <c r="V580" s="854"/>
      <c r="W580" s="854"/>
      <c r="X580" s="854"/>
      <c r="Y580" s="854"/>
      <c r="Z580" s="854"/>
      <c r="AA580" s="854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</row>
    <row r="581" spans="1:56" s="1" customFormat="1" ht="6.75" hidden="1" customHeight="1" outlineLevel="2">
      <c r="A581" s="6"/>
      <c r="B581" s="291"/>
      <c r="C581" s="379"/>
      <c r="D581" s="379"/>
      <c r="E581" s="379"/>
      <c r="F581" s="379"/>
      <c r="G581" s="379"/>
      <c r="H581" s="379"/>
      <c r="I581" s="379"/>
      <c r="J581" s="379"/>
      <c r="K581" s="517"/>
      <c r="L581" s="517"/>
      <c r="M581" s="517"/>
      <c r="N581" s="517"/>
      <c r="O581" s="460"/>
      <c r="P581" s="471"/>
      <c r="Q581" s="460"/>
      <c r="R581" s="460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</row>
    <row r="582" spans="1:56" hidden="1" outlineLevel="2">
      <c r="B582" s="3" t="s">
        <v>440</v>
      </c>
      <c r="D582" s="532">
        <v>12</v>
      </c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</row>
    <row r="583" spans="1:56" hidden="1" outlineLevel="2">
      <c r="B583" s="3" t="s">
        <v>421</v>
      </c>
      <c r="C583" s="3"/>
      <c r="D583" s="532">
        <v>52</v>
      </c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</row>
    <row r="584" spans="1:56" hidden="1" outlineLevel="2"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</row>
    <row r="585" spans="1:56" ht="5" customHeight="1"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</row>
    <row r="586" spans="1:56">
      <c r="A586" s="380" t="s">
        <v>63</v>
      </c>
      <c r="B586" s="518" t="s">
        <v>423</v>
      </c>
      <c r="C586" s="518"/>
      <c r="D586" s="518"/>
      <c r="E586" s="518"/>
      <c r="F586" s="518"/>
      <c r="G586" s="518"/>
      <c r="H586" s="518"/>
      <c r="I586" s="518"/>
      <c r="J586" s="518"/>
      <c r="K586" s="518"/>
      <c r="L586" s="518"/>
      <c r="M586" s="518"/>
      <c r="N586" s="518"/>
      <c r="O586" s="518"/>
      <c r="P586" s="518"/>
      <c r="Q586" s="518"/>
      <c r="R586" s="518"/>
      <c r="S586" s="518"/>
      <c r="T586" s="518"/>
      <c r="U586" s="518"/>
      <c r="V586" s="518"/>
      <c r="W586" s="518"/>
      <c r="X586" s="518"/>
      <c r="Y586" s="518"/>
      <c r="Z586" s="518"/>
      <c r="AA586" s="518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</row>
    <row r="587" spans="1:56" ht="5.25" customHeight="1" outlineLevel="1"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</row>
    <row r="588" spans="1:56" outlineLevel="1">
      <c r="B588" s="391" t="s">
        <v>529</v>
      </c>
      <c r="C588" s="389"/>
      <c r="D588" s="389"/>
      <c r="E588" s="389"/>
      <c r="F588" s="389"/>
      <c r="G588" s="389"/>
      <c r="H588" s="389"/>
      <c r="I588" s="389"/>
      <c r="J588" s="389"/>
      <c r="K588" s="389"/>
      <c r="L588" s="470"/>
      <c r="M588" s="470"/>
      <c r="N588" s="470"/>
      <c r="O588" s="470"/>
      <c r="P588" s="470"/>
      <c r="Q588" s="470"/>
      <c r="R588" s="470"/>
      <c r="S588" s="470"/>
      <c r="T588" s="470"/>
      <c r="U588" s="470"/>
      <c r="V588" s="470"/>
      <c r="W588" s="470"/>
      <c r="X588" s="470"/>
      <c r="Y588" s="470"/>
      <c r="Z588" s="470"/>
      <c r="AA588" s="470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</row>
    <row r="589" spans="1:56" ht="4.5" customHeight="1" outlineLevel="1"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</row>
    <row r="590" spans="1:56" outlineLevel="1">
      <c r="B590" s="962" t="s">
        <v>577</v>
      </c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</row>
    <row r="591" spans="1:56" ht="4" customHeight="1" outlineLevel="1"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</row>
    <row r="592" spans="1:56" outlineLevel="1">
      <c r="B592" s="541" t="s">
        <v>571</v>
      </c>
      <c r="C592" s="150"/>
      <c r="D592" s="150"/>
      <c r="E592" s="150"/>
      <c r="F592" s="150"/>
      <c r="G592" s="150"/>
      <c r="H592" s="150"/>
      <c r="I592" s="150"/>
      <c r="J592" s="150"/>
      <c r="K592" s="152">
        <v>34.079161409114093</v>
      </c>
      <c r="L592" s="152">
        <v>29.86530745878331</v>
      </c>
      <c r="M592" s="152">
        <v>34.187812464182471</v>
      </c>
      <c r="N592" s="152">
        <v>28.661814477410356</v>
      </c>
      <c r="O592" s="152">
        <v>26.165319459425163</v>
      </c>
      <c r="P592" s="152">
        <v>39.053085678964059</v>
      </c>
      <c r="R592" s="24">
        <f t="shared" ref="R592:AA592" ca="1" si="267">OFFSET(R600,MATCH($C$5,$B$601:$B$603,0),0)</f>
        <v>29.3</v>
      </c>
      <c r="S592" s="24">
        <f t="shared" ca="1" si="267"/>
        <v>30</v>
      </c>
      <c r="T592" s="24">
        <f t="shared" ca="1" si="267"/>
        <v>30</v>
      </c>
      <c r="U592" s="24">
        <f t="shared" ca="1" si="267"/>
        <v>30</v>
      </c>
      <c r="V592" s="24">
        <f t="shared" ca="1" si="267"/>
        <v>30</v>
      </c>
      <c r="W592" s="24">
        <f t="shared" ca="1" si="267"/>
        <v>30</v>
      </c>
      <c r="X592" s="24">
        <f t="shared" ca="1" si="267"/>
        <v>30</v>
      </c>
      <c r="Y592" s="24">
        <f t="shared" ca="1" si="267"/>
        <v>30</v>
      </c>
      <c r="Z592" s="24">
        <f t="shared" ca="1" si="267"/>
        <v>30</v>
      </c>
      <c r="AA592" s="24">
        <f t="shared" ca="1" si="267"/>
        <v>30</v>
      </c>
      <c r="AC592" s="150" t="s">
        <v>768</v>
      </c>
      <c r="AD592" s="150"/>
      <c r="AE592" s="150"/>
      <c r="AF592" s="150"/>
      <c r="AG592" s="150"/>
      <c r="AH592" s="150"/>
      <c r="AI592" s="150"/>
      <c r="AJ592" s="150"/>
      <c r="AK592" s="150"/>
      <c r="AL592" s="150"/>
      <c r="AM592" s="150"/>
      <c r="AN592" s="150"/>
      <c r="AO592" s="150"/>
      <c r="AP592" s="150"/>
      <c r="AQ592" s="3"/>
      <c r="AR592" s="3"/>
      <c r="AS592" s="3"/>
    </row>
    <row r="593" spans="1:54" outlineLevel="1">
      <c r="B593" s="541" t="s">
        <v>572</v>
      </c>
      <c r="C593" s="4"/>
      <c r="D593" s="4"/>
      <c r="E593" s="4"/>
      <c r="F593" s="4"/>
      <c r="G593" s="4"/>
      <c r="H593" s="4"/>
      <c r="I593" s="4"/>
      <c r="J593" s="4"/>
      <c r="K593" s="152">
        <v>46.208047937242988</v>
      </c>
      <c r="L593" s="152">
        <v>42.516102163673906</v>
      </c>
      <c r="M593" s="152">
        <v>45.107082660448675</v>
      </c>
      <c r="N593" s="152">
        <v>41.64746158805162</v>
      </c>
      <c r="O593" s="152">
        <v>45.968950101407167</v>
      </c>
      <c r="P593" s="152">
        <v>46.393628179190891</v>
      </c>
      <c r="R593" s="24">
        <f t="shared" ref="R593:AA593" ca="1" si="268">OFFSET(R605,MATCH($C$5,$B$606:$B$608,0),0)</f>
        <v>45.9</v>
      </c>
      <c r="S593" s="24">
        <f t="shared" ca="1" si="268"/>
        <v>45.5</v>
      </c>
      <c r="T593" s="24">
        <f t="shared" ca="1" si="268"/>
        <v>45</v>
      </c>
      <c r="U593" s="24">
        <f t="shared" ca="1" si="268"/>
        <v>44</v>
      </c>
      <c r="V593" s="24">
        <f t="shared" ca="1" si="268"/>
        <v>44</v>
      </c>
      <c r="W593" s="24">
        <f t="shared" ca="1" si="268"/>
        <v>44</v>
      </c>
      <c r="X593" s="24">
        <f t="shared" ca="1" si="268"/>
        <v>44</v>
      </c>
      <c r="Y593" s="24">
        <f t="shared" ca="1" si="268"/>
        <v>44</v>
      </c>
      <c r="Z593" s="24">
        <f t="shared" ca="1" si="268"/>
        <v>44</v>
      </c>
      <c r="AA593" s="24">
        <f t="shared" ca="1" si="268"/>
        <v>44</v>
      </c>
      <c r="AC593" s="150"/>
      <c r="AD593" s="150"/>
      <c r="AE593" s="150"/>
      <c r="AF593" s="150"/>
      <c r="AG593" s="150"/>
      <c r="AH593" s="150"/>
      <c r="AI593" s="150"/>
      <c r="AJ593" s="150"/>
      <c r="AK593" s="150"/>
      <c r="AL593" s="150"/>
      <c r="AM593" s="150"/>
      <c r="AN593" s="150"/>
      <c r="AO593" s="150"/>
      <c r="AP593" s="150"/>
      <c r="AQ593" s="3"/>
      <c r="AR593" s="3"/>
      <c r="AS593" s="3"/>
    </row>
    <row r="594" spans="1:54" outlineLevel="1">
      <c r="B594" s="541" t="s">
        <v>573</v>
      </c>
      <c r="C594" s="150"/>
      <c r="D594" s="150"/>
      <c r="E594" s="150"/>
      <c r="F594" s="150"/>
      <c r="G594" s="150"/>
      <c r="H594" s="150"/>
      <c r="I594" s="150"/>
      <c r="J594" s="150"/>
      <c r="K594" s="152">
        <v>15.170690019835712</v>
      </c>
      <c r="L594" s="152">
        <v>17.322366431874936</v>
      </c>
      <c r="M594" s="152">
        <v>21.212549383402887</v>
      </c>
      <c r="N594" s="152">
        <v>16.108295696544989</v>
      </c>
      <c r="O594" s="152">
        <v>15.692864869182403</v>
      </c>
      <c r="P594" s="152">
        <v>16.413608696004957</v>
      </c>
      <c r="R594" s="24">
        <f t="shared" ref="R594:AA594" ca="1" si="269">OFFSET(R610,MATCH($C$5,$B$611:$B$613,0),0)</f>
        <v>15.7</v>
      </c>
      <c r="S594" s="24">
        <f t="shared" ca="1" si="269"/>
        <v>16</v>
      </c>
      <c r="T594" s="24">
        <f t="shared" ca="1" si="269"/>
        <v>17</v>
      </c>
      <c r="U594" s="24">
        <f t="shared" ca="1" si="269"/>
        <v>17</v>
      </c>
      <c r="V594" s="24">
        <f t="shared" ca="1" si="269"/>
        <v>17</v>
      </c>
      <c r="W594" s="24">
        <f t="shared" ca="1" si="269"/>
        <v>17</v>
      </c>
      <c r="X594" s="24">
        <f t="shared" ca="1" si="269"/>
        <v>17</v>
      </c>
      <c r="Y594" s="24">
        <f t="shared" ca="1" si="269"/>
        <v>17</v>
      </c>
      <c r="Z594" s="24">
        <f t="shared" ca="1" si="269"/>
        <v>17</v>
      </c>
      <c r="AA594" s="24">
        <f t="shared" ca="1" si="269"/>
        <v>17</v>
      </c>
      <c r="AC594" s="150"/>
      <c r="AD594" s="150"/>
      <c r="AE594" s="150"/>
      <c r="AF594" s="150"/>
      <c r="AG594" s="150"/>
      <c r="AH594" s="150"/>
      <c r="AI594" s="150"/>
      <c r="AJ594" s="150"/>
      <c r="AK594" s="150"/>
      <c r="AL594" s="150"/>
      <c r="AM594" s="150"/>
      <c r="AN594" s="150"/>
      <c r="AO594" s="150"/>
      <c r="AP594" s="150"/>
      <c r="AQ594" s="3"/>
      <c r="AR594" s="3"/>
      <c r="AS594" s="3"/>
    </row>
    <row r="595" spans="1:54" ht="4.5" customHeight="1" outlineLevel="1">
      <c r="B595" s="4"/>
      <c r="C595" s="150"/>
      <c r="D595" s="150"/>
      <c r="E595" s="150"/>
      <c r="F595" s="150"/>
      <c r="G595" s="150"/>
      <c r="H595" s="150"/>
      <c r="I595" s="150"/>
      <c r="J595" s="150"/>
      <c r="K595" s="277"/>
      <c r="L595" s="277"/>
      <c r="M595" s="277"/>
      <c r="N595" s="277"/>
      <c r="O595" s="277"/>
      <c r="P595" s="277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C595" s="150"/>
      <c r="AD595" s="150"/>
      <c r="AE595" s="150"/>
      <c r="AF595" s="150"/>
      <c r="AG595" s="150"/>
      <c r="AH595" s="150"/>
      <c r="AI595" s="150"/>
      <c r="AJ595" s="150"/>
      <c r="AK595" s="150"/>
      <c r="AL595" s="150"/>
      <c r="AM595" s="150"/>
      <c r="AN595" s="150"/>
      <c r="AO595" s="150"/>
      <c r="AP595" s="150"/>
      <c r="AQ595" s="3"/>
      <c r="AR595" s="3"/>
      <c r="AS595" s="3"/>
    </row>
    <row r="596" spans="1:54" s="3" customFormat="1" outlineLevel="1">
      <c r="A596" s="168"/>
      <c r="B596" s="961" t="s">
        <v>843</v>
      </c>
      <c r="C596" s="376"/>
      <c r="D596" s="376"/>
      <c r="E596" s="376"/>
      <c r="F596" s="376"/>
      <c r="G596" s="376"/>
      <c r="H596" s="376"/>
      <c r="I596" s="376"/>
      <c r="J596" s="376"/>
      <c r="K596" s="377">
        <f t="shared" ref="K596:O596" si="270">SUM(K$592:K$593,-K$594)</f>
        <v>65.11651932652137</v>
      </c>
      <c r="L596" s="377">
        <f t="shared" si="270"/>
        <v>55.059043190582273</v>
      </c>
      <c r="M596" s="377">
        <f t="shared" si="270"/>
        <v>58.082345741228266</v>
      </c>
      <c r="N596" s="377">
        <f t="shared" si="270"/>
        <v>54.200980368916987</v>
      </c>
      <c r="O596" s="377">
        <f t="shared" si="270"/>
        <v>56.441404691649936</v>
      </c>
      <c r="P596" s="377">
        <f>SUM(P$592:P$593,-P$594)</f>
        <v>69.033105162149994</v>
      </c>
      <c r="Q596" s="377"/>
      <c r="R596" s="377">
        <f ca="1">SUM(R$592:R$593,-R$594)</f>
        <v>59.5</v>
      </c>
      <c r="S596" s="377">
        <f t="shared" ref="S596:AA596" ca="1" si="271">SUM(S$592:S$593,-S$594)</f>
        <v>59.5</v>
      </c>
      <c r="T596" s="377">
        <f t="shared" ca="1" si="271"/>
        <v>58</v>
      </c>
      <c r="U596" s="377">
        <f t="shared" ca="1" si="271"/>
        <v>57</v>
      </c>
      <c r="V596" s="377">
        <f t="shared" ca="1" si="271"/>
        <v>57</v>
      </c>
      <c r="W596" s="377">
        <f t="shared" ca="1" si="271"/>
        <v>57</v>
      </c>
      <c r="X596" s="377">
        <f t="shared" ca="1" si="271"/>
        <v>57</v>
      </c>
      <c r="Y596" s="377">
        <f t="shared" ca="1" si="271"/>
        <v>57</v>
      </c>
      <c r="Z596" s="377">
        <f t="shared" ca="1" si="271"/>
        <v>57</v>
      </c>
      <c r="AA596" s="377">
        <f t="shared" ca="1" si="271"/>
        <v>57</v>
      </c>
      <c r="AC596" s="150" t="s">
        <v>328</v>
      </c>
      <c r="AD596" s="150"/>
      <c r="AE596" s="150"/>
      <c r="AF596" s="150"/>
      <c r="AG596" s="150"/>
      <c r="AH596" s="150"/>
      <c r="AI596" s="150"/>
      <c r="AJ596" s="150"/>
      <c r="AK596" s="150"/>
      <c r="AL596" s="150"/>
      <c r="AM596" s="150"/>
      <c r="AN596" s="150"/>
      <c r="AO596" s="150"/>
      <c r="AP596" s="150"/>
    </row>
    <row r="597" spans="1:54" outlineLevel="1">
      <c r="B597" s="148"/>
      <c r="C597" s="14"/>
      <c r="D597" s="14"/>
      <c r="E597" s="14"/>
      <c r="F597" s="14"/>
      <c r="G597" s="14"/>
      <c r="H597" s="14"/>
      <c r="I597" s="14"/>
      <c r="J597" s="14"/>
      <c r="AC597" s="150"/>
      <c r="AD597" s="150"/>
      <c r="AE597" s="150"/>
      <c r="AF597" s="150"/>
      <c r="AG597" s="150"/>
      <c r="AH597" s="150"/>
      <c r="AI597" s="150"/>
      <c r="AJ597" s="150"/>
      <c r="AK597" s="150"/>
      <c r="AL597" s="150"/>
      <c r="AM597" s="150"/>
      <c r="AN597" s="150"/>
      <c r="AO597" s="150"/>
      <c r="AP597" s="150"/>
      <c r="AQ597" s="3"/>
      <c r="AR597" s="3"/>
      <c r="AS597" s="3"/>
    </row>
    <row r="598" spans="1:54" outlineLevel="1">
      <c r="B598" s="852" t="s">
        <v>424</v>
      </c>
      <c r="C598" s="853"/>
      <c r="D598" s="853"/>
      <c r="E598" s="853"/>
      <c r="F598" s="853"/>
      <c r="G598" s="853"/>
      <c r="H598" s="853"/>
      <c r="I598" s="853"/>
      <c r="J598" s="853"/>
      <c r="K598" s="853"/>
      <c r="L598" s="853"/>
      <c r="M598" s="853"/>
      <c r="N598" s="853"/>
      <c r="O598" s="853"/>
      <c r="P598" s="854"/>
      <c r="Q598" s="854"/>
      <c r="R598" s="854"/>
      <c r="S598" s="854"/>
      <c r="T598" s="854"/>
      <c r="U598" s="854"/>
      <c r="V598" s="854"/>
      <c r="W598" s="854"/>
      <c r="X598" s="854"/>
      <c r="Y598" s="854"/>
      <c r="Z598" s="854"/>
      <c r="AA598" s="854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</row>
    <row r="599" spans="1:54" outlineLevel="1">
      <c r="B599" s="148"/>
      <c r="C599" s="14"/>
      <c r="D599" s="14"/>
      <c r="E599" s="14"/>
      <c r="F599" s="14"/>
      <c r="G599" s="14"/>
      <c r="H599" s="14"/>
      <c r="I599" s="14"/>
      <c r="J599" s="14"/>
      <c r="AC599" s="150"/>
      <c r="AD599" s="150"/>
      <c r="AE599" s="150"/>
      <c r="AF599" s="150"/>
      <c r="AG599" s="150"/>
      <c r="AH599" s="150"/>
      <c r="AI599" s="150"/>
      <c r="AJ599" s="150"/>
      <c r="AK599" s="150"/>
      <c r="AL599" s="150"/>
      <c r="AM599" s="150"/>
      <c r="AN599" s="150"/>
      <c r="AO599" s="150"/>
      <c r="AP599" s="150"/>
      <c r="AQ599" s="3"/>
      <c r="AR599" s="3"/>
      <c r="AS599" s="3"/>
    </row>
    <row r="600" spans="1:54" outlineLevel="1">
      <c r="B600" s="348" t="s">
        <v>574</v>
      </c>
      <c r="C600" s="578"/>
      <c r="D600" s="578"/>
      <c r="E600" s="578"/>
      <c r="F600" s="578"/>
      <c r="G600" s="578"/>
      <c r="H600" s="578"/>
      <c r="I600" s="348"/>
      <c r="J600" s="348"/>
      <c r="AC600" s="150"/>
      <c r="AD600" s="150"/>
      <c r="AE600" s="150"/>
      <c r="AF600" s="150"/>
      <c r="AG600" s="150"/>
      <c r="AH600" s="150"/>
      <c r="AI600" s="150"/>
      <c r="AJ600" s="150"/>
      <c r="AK600" s="150"/>
      <c r="AL600" s="150"/>
      <c r="AM600" s="150"/>
      <c r="AN600" s="150"/>
      <c r="AO600" s="150"/>
      <c r="AP600" s="150"/>
      <c r="AQ600" s="150"/>
      <c r="AR600" s="150"/>
      <c r="AS600" s="150"/>
      <c r="AT600" s="14"/>
      <c r="AU600" s="14"/>
      <c r="AV600" s="14"/>
      <c r="AW600" s="14"/>
      <c r="AX600" s="14"/>
      <c r="AY600" s="14"/>
      <c r="AZ600" s="14"/>
      <c r="BA600" s="14"/>
      <c r="BB600" s="14"/>
    </row>
    <row r="601" spans="1:54" outlineLevel="1">
      <c r="B601" s="1515" t="str">
        <f>$B$72</f>
        <v>Base</v>
      </c>
      <c r="C601" s="346"/>
      <c r="D601" s="346"/>
      <c r="E601" s="346"/>
      <c r="F601" s="346"/>
      <c r="G601" s="346"/>
      <c r="H601" s="346"/>
      <c r="I601" s="346"/>
      <c r="J601" s="346"/>
      <c r="K601" s="8"/>
      <c r="L601" s="8"/>
      <c r="M601" s="8"/>
      <c r="N601" s="8"/>
      <c r="O601" s="8"/>
      <c r="P601" s="472"/>
      <c r="Q601" s="8"/>
      <c r="R601" s="156">
        <v>29.3</v>
      </c>
      <c r="S601" s="156">
        <v>30</v>
      </c>
      <c r="T601" s="156">
        <v>30</v>
      </c>
      <c r="U601" s="156">
        <v>30</v>
      </c>
      <c r="V601" s="156">
        <v>30</v>
      </c>
      <c r="W601" s="156">
        <v>30</v>
      </c>
      <c r="X601" s="156">
        <v>30</v>
      </c>
      <c r="Y601" s="156">
        <v>30</v>
      </c>
      <c r="Z601" s="156">
        <v>30</v>
      </c>
      <c r="AA601" s="156">
        <v>30</v>
      </c>
      <c r="AC601" s="151" t="s">
        <v>643</v>
      </c>
      <c r="AD601" s="150"/>
      <c r="AE601" s="150"/>
      <c r="AF601" s="150"/>
      <c r="AG601" s="150"/>
      <c r="AH601" s="150"/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4"/>
      <c r="AU601" s="14"/>
      <c r="AV601" s="14"/>
      <c r="AW601" s="14"/>
      <c r="AX601" s="14"/>
      <c r="AY601" s="14"/>
      <c r="AZ601" s="14"/>
      <c r="BA601" s="14"/>
      <c r="BB601" s="14"/>
    </row>
    <row r="602" spans="1:54" outlineLevel="1">
      <c r="B602" s="1516" t="str">
        <f>$B$73</f>
        <v>Upside</v>
      </c>
      <c r="C602" s="295"/>
      <c r="D602" s="295"/>
      <c r="E602" s="295"/>
      <c r="F602" s="295"/>
      <c r="G602" s="295"/>
      <c r="H602" s="295"/>
      <c r="I602" s="295"/>
      <c r="J602" s="295"/>
      <c r="R602" s="152">
        <v>29.3</v>
      </c>
      <c r="S602" s="152">
        <v>27</v>
      </c>
      <c r="T602" s="152">
        <v>25</v>
      </c>
      <c r="U602" s="152">
        <v>23</v>
      </c>
      <c r="V602" s="152">
        <v>23</v>
      </c>
      <c r="W602" s="152">
        <v>23</v>
      </c>
      <c r="X602" s="152">
        <v>23</v>
      </c>
      <c r="Y602" s="152">
        <v>23</v>
      </c>
      <c r="Z602" s="152">
        <v>23</v>
      </c>
      <c r="AA602" s="152">
        <v>23</v>
      </c>
      <c r="AC602" s="151" t="s">
        <v>866</v>
      </c>
      <c r="AD602" s="150"/>
      <c r="AE602" s="150"/>
      <c r="AF602" s="150"/>
      <c r="AG602" s="150"/>
      <c r="AH602" s="150"/>
      <c r="AI602" s="150"/>
      <c r="AJ602" s="150"/>
      <c r="AL602" s="150"/>
      <c r="AM602" s="604" t="s">
        <v>556</v>
      </c>
      <c r="AN602" s="150"/>
      <c r="AO602" s="150"/>
      <c r="AP602" s="150"/>
      <c r="AQ602" s="150"/>
      <c r="AR602" s="150"/>
      <c r="AS602" s="150"/>
      <c r="AT602" s="14"/>
      <c r="AU602" s="14"/>
      <c r="AV602" s="14"/>
      <c r="AW602" s="14"/>
      <c r="AX602" s="14"/>
      <c r="AY602" s="14"/>
      <c r="AZ602" s="14"/>
      <c r="BA602" s="14"/>
      <c r="BB602" s="14"/>
    </row>
    <row r="603" spans="1:54" outlineLevel="1">
      <c r="B603" s="1516" t="str">
        <f>$B$74</f>
        <v>Downside</v>
      </c>
      <c r="C603" s="295"/>
      <c r="D603" s="295"/>
      <c r="E603" s="295"/>
      <c r="F603" s="295"/>
      <c r="G603" s="295"/>
      <c r="H603" s="295"/>
      <c r="I603" s="295"/>
      <c r="J603" s="295"/>
      <c r="R603" s="152">
        <v>29.3</v>
      </c>
      <c r="S603" s="152">
        <v>34</v>
      </c>
      <c r="T603" s="152">
        <v>36</v>
      </c>
      <c r="U603" s="152">
        <v>40</v>
      </c>
      <c r="V603" s="152">
        <v>40</v>
      </c>
      <c r="W603" s="152">
        <v>40</v>
      </c>
      <c r="X603" s="152">
        <v>40</v>
      </c>
      <c r="Y603" s="152">
        <v>40</v>
      </c>
      <c r="Z603" s="152">
        <v>40</v>
      </c>
      <c r="AA603" s="152">
        <v>40</v>
      </c>
      <c r="AC603" s="151" t="s">
        <v>867</v>
      </c>
      <c r="AD603" s="150"/>
      <c r="AE603" s="150"/>
      <c r="AF603" s="150"/>
      <c r="AG603" s="150"/>
      <c r="AH603" s="150"/>
      <c r="AI603" s="150"/>
      <c r="AJ603" s="150"/>
      <c r="AK603" s="150"/>
      <c r="AL603" s="150"/>
      <c r="AM603" s="604" t="s">
        <v>556</v>
      </c>
      <c r="AN603" s="150"/>
      <c r="AO603" s="150"/>
      <c r="AP603" s="150"/>
      <c r="AQ603" s="150"/>
      <c r="AR603" s="150"/>
      <c r="AS603" s="150"/>
      <c r="AT603" s="14"/>
      <c r="AU603" s="14"/>
      <c r="AV603" s="14"/>
      <c r="AW603" s="14"/>
      <c r="AX603" s="14"/>
      <c r="AY603" s="14"/>
      <c r="AZ603" s="14"/>
      <c r="BA603" s="14"/>
      <c r="BB603" s="14"/>
    </row>
    <row r="604" spans="1:54" outlineLevel="1">
      <c r="B604" s="348"/>
      <c r="C604" s="295"/>
      <c r="D604" s="295"/>
      <c r="E604" s="295"/>
      <c r="F604" s="295"/>
      <c r="G604" s="295"/>
      <c r="H604" s="295"/>
      <c r="I604" s="295"/>
      <c r="J604" s="295"/>
      <c r="R604" s="2"/>
      <c r="S604" s="2"/>
      <c r="T604" s="2"/>
      <c r="U604" s="2"/>
      <c r="V604" s="2"/>
      <c r="W604" s="2"/>
      <c r="X604" s="2"/>
      <c r="Y604" s="2"/>
      <c r="Z604" s="2"/>
      <c r="AA604" s="2"/>
      <c r="AC604" s="151"/>
      <c r="AD604" s="150"/>
      <c r="AE604" s="150"/>
      <c r="AF604" s="150"/>
      <c r="AG604" s="150"/>
      <c r="AH604" s="150"/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4"/>
      <c r="AU604" s="14"/>
      <c r="AV604" s="14"/>
      <c r="AW604" s="14"/>
      <c r="AX604" s="14"/>
      <c r="AY604" s="14"/>
      <c r="AZ604" s="14"/>
      <c r="BA604" s="14"/>
      <c r="BB604" s="14"/>
    </row>
    <row r="605" spans="1:54" outlineLevel="1">
      <c r="B605" s="348" t="s">
        <v>575</v>
      </c>
      <c r="C605" s="578"/>
      <c r="D605" s="578"/>
      <c r="E605" s="578"/>
      <c r="F605" s="578"/>
      <c r="G605" s="578"/>
      <c r="H605" s="578"/>
      <c r="I605" s="578"/>
      <c r="J605" s="578"/>
      <c r="R605" s="2"/>
      <c r="S605" s="2"/>
      <c r="T605" s="2"/>
      <c r="U605" s="2"/>
      <c r="V605" s="2"/>
      <c r="W605" s="2"/>
      <c r="X605" s="2"/>
      <c r="Y605" s="2"/>
      <c r="Z605" s="2"/>
      <c r="AA605" s="2"/>
      <c r="AC605" s="151"/>
      <c r="AD605" s="150"/>
      <c r="AE605" s="150"/>
      <c r="AF605" s="150"/>
      <c r="AG605" s="150"/>
      <c r="AH605" s="150"/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4"/>
      <c r="AU605" s="14"/>
      <c r="AV605" s="14"/>
      <c r="AW605" s="14"/>
      <c r="AX605" s="14"/>
      <c r="AY605" s="14"/>
      <c r="AZ605" s="14"/>
      <c r="BA605" s="14"/>
      <c r="BB605" s="14"/>
    </row>
    <row r="606" spans="1:54" outlineLevel="1">
      <c r="B606" s="1515" t="str">
        <f>$B$72</f>
        <v>Base</v>
      </c>
      <c r="C606" s="346"/>
      <c r="D606" s="346"/>
      <c r="E606" s="346"/>
      <c r="F606" s="346"/>
      <c r="G606" s="346"/>
      <c r="H606" s="346"/>
      <c r="I606" s="346"/>
      <c r="J606" s="346"/>
      <c r="K606" s="8"/>
      <c r="L606" s="8"/>
      <c r="M606" s="8"/>
      <c r="N606" s="8"/>
      <c r="O606" s="8"/>
      <c r="P606" s="472"/>
      <c r="Q606" s="8"/>
      <c r="R606" s="156">
        <v>45.9</v>
      </c>
      <c r="S606" s="156">
        <v>45.5</v>
      </c>
      <c r="T606" s="156">
        <v>45</v>
      </c>
      <c r="U606" s="156">
        <v>44</v>
      </c>
      <c r="V606" s="156">
        <v>44</v>
      </c>
      <c r="W606" s="156">
        <v>44</v>
      </c>
      <c r="X606" s="156">
        <v>44</v>
      </c>
      <c r="Y606" s="156">
        <v>44</v>
      </c>
      <c r="Z606" s="156">
        <v>44</v>
      </c>
      <c r="AA606" s="156">
        <v>44</v>
      </c>
      <c r="AC606" s="151" t="s">
        <v>642</v>
      </c>
      <c r="AD606" s="150"/>
      <c r="AE606" s="150"/>
      <c r="AF606" s="150"/>
      <c r="AG606" s="150"/>
      <c r="AH606" s="150"/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4"/>
      <c r="AU606" s="14"/>
      <c r="AV606" s="14"/>
      <c r="AW606" s="14"/>
      <c r="AX606" s="14"/>
      <c r="AY606" s="14"/>
      <c r="AZ606" s="14"/>
      <c r="BA606" s="14"/>
      <c r="BB606" s="14"/>
    </row>
    <row r="607" spans="1:54" outlineLevel="1">
      <c r="B607" s="1516" t="str">
        <f>$B$73</f>
        <v>Upside</v>
      </c>
      <c r="C607" s="295"/>
      <c r="D607" s="295"/>
      <c r="E607" s="295"/>
      <c r="F607" s="295"/>
      <c r="G607" s="295"/>
      <c r="H607" s="295"/>
      <c r="I607" s="295"/>
      <c r="J607" s="295"/>
      <c r="R607" s="152">
        <v>45.9</v>
      </c>
      <c r="S607" s="152">
        <v>44</v>
      </c>
      <c r="T607" s="152">
        <v>42</v>
      </c>
      <c r="U607" s="152">
        <v>40</v>
      </c>
      <c r="V607" s="152">
        <v>38</v>
      </c>
      <c r="W607" s="152">
        <v>36</v>
      </c>
      <c r="X607" s="152">
        <v>36</v>
      </c>
      <c r="Y607" s="152">
        <v>36</v>
      </c>
      <c r="Z607" s="152">
        <v>36</v>
      </c>
      <c r="AA607" s="152">
        <v>36</v>
      </c>
      <c r="AC607" s="151" t="s">
        <v>868</v>
      </c>
      <c r="AD607" s="150"/>
      <c r="AE607" s="150"/>
      <c r="AF607" s="150"/>
      <c r="AG607" s="150"/>
      <c r="AH607" s="150"/>
      <c r="AI607" s="150"/>
      <c r="AJ607" s="150"/>
      <c r="AL607" s="150"/>
      <c r="AM607" s="604" t="s">
        <v>556</v>
      </c>
      <c r="AN607" s="150"/>
      <c r="AO607" s="150"/>
      <c r="AP607" s="150"/>
      <c r="AQ607" s="150"/>
      <c r="AR607" s="150"/>
      <c r="AS607" s="150"/>
      <c r="AT607" s="14"/>
      <c r="AU607" s="14"/>
      <c r="AV607" s="14"/>
      <c r="AW607" s="14"/>
      <c r="AX607" s="14"/>
      <c r="AY607" s="14"/>
      <c r="AZ607" s="14"/>
      <c r="BA607" s="14"/>
      <c r="BB607" s="14"/>
    </row>
    <row r="608" spans="1:54" outlineLevel="1">
      <c r="B608" s="1516" t="str">
        <f>$B$74</f>
        <v>Downside</v>
      </c>
      <c r="C608" s="295"/>
      <c r="D608" s="295"/>
      <c r="E608" s="295"/>
      <c r="F608" s="295"/>
      <c r="G608" s="295"/>
      <c r="H608" s="295"/>
      <c r="I608" s="295"/>
      <c r="J608" s="295"/>
      <c r="R608" s="152">
        <v>45.9</v>
      </c>
      <c r="S608" s="152">
        <v>48</v>
      </c>
      <c r="T608" s="152">
        <v>52</v>
      </c>
      <c r="U608" s="152">
        <v>56</v>
      </c>
      <c r="V608" s="152">
        <v>56</v>
      </c>
      <c r="W608" s="152">
        <v>56</v>
      </c>
      <c r="X608" s="152">
        <v>56</v>
      </c>
      <c r="Y608" s="152">
        <v>56</v>
      </c>
      <c r="Z608" s="152">
        <v>56</v>
      </c>
      <c r="AA608" s="152">
        <v>56</v>
      </c>
      <c r="AC608" s="151" t="s">
        <v>767</v>
      </c>
      <c r="AD608" s="150"/>
      <c r="AE608" s="150"/>
      <c r="AF608" s="150"/>
      <c r="AG608" s="150"/>
      <c r="AH608" s="150"/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4"/>
      <c r="AU608" s="14"/>
      <c r="AV608" s="14"/>
      <c r="AW608" s="14"/>
      <c r="AX608" s="14"/>
      <c r="AY608" s="14"/>
      <c r="AZ608" s="14"/>
      <c r="BA608" s="14"/>
      <c r="BB608" s="14"/>
    </row>
    <row r="609" spans="1:54" outlineLevel="1">
      <c r="B609" s="348"/>
      <c r="C609" s="295"/>
      <c r="D609" s="295"/>
      <c r="E609" s="295"/>
      <c r="F609" s="295"/>
      <c r="G609" s="295"/>
      <c r="H609" s="295"/>
      <c r="I609" s="295"/>
      <c r="J609" s="295"/>
      <c r="R609" s="2"/>
      <c r="S609" s="2"/>
      <c r="T609" s="2"/>
      <c r="U609" s="2"/>
      <c r="V609" s="2"/>
      <c r="W609" s="2"/>
      <c r="X609" s="2"/>
      <c r="Y609" s="2"/>
      <c r="Z609" s="2"/>
      <c r="AA609" s="2"/>
      <c r="AC609" s="151"/>
      <c r="AD609" s="150"/>
      <c r="AE609" s="150"/>
      <c r="AF609" s="150"/>
      <c r="AG609" s="150"/>
      <c r="AH609" s="150"/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4"/>
      <c r="AU609" s="14"/>
      <c r="AV609" s="14"/>
      <c r="AW609" s="14"/>
      <c r="AX609" s="14"/>
      <c r="AY609" s="14"/>
      <c r="AZ609" s="14"/>
      <c r="BA609" s="14"/>
      <c r="BB609" s="14"/>
    </row>
    <row r="610" spans="1:54" outlineLevel="1">
      <c r="B610" s="348" t="s">
        <v>576</v>
      </c>
      <c r="C610" s="578"/>
      <c r="D610" s="578"/>
      <c r="E610" s="578"/>
      <c r="F610" s="578"/>
      <c r="G610" s="578"/>
      <c r="H610" s="578"/>
      <c r="I610" s="578"/>
      <c r="J610" s="578"/>
      <c r="R610" s="2"/>
      <c r="S610" s="2"/>
      <c r="T610" s="2"/>
      <c r="U610" s="2"/>
      <c r="V610" s="2"/>
      <c r="W610" s="2"/>
      <c r="X610" s="2"/>
      <c r="Y610" s="2"/>
      <c r="Z610" s="2"/>
      <c r="AA610" s="2"/>
      <c r="AC610" s="151" t="s">
        <v>313</v>
      </c>
      <c r="AD610" s="150"/>
      <c r="AE610" s="150"/>
      <c r="AF610" s="150"/>
      <c r="AG610" s="150"/>
      <c r="AH610" s="150"/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4"/>
      <c r="AU610" s="14"/>
      <c r="AV610" s="14"/>
      <c r="AW610" s="14"/>
      <c r="AX610" s="14"/>
      <c r="AY610" s="14"/>
      <c r="AZ610" s="14"/>
      <c r="BA610" s="14"/>
      <c r="BB610" s="14"/>
    </row>
    <row r="611" spans="1:54" outlineLevel="1">
      <c r="B611" s="1515" t="str">
        <f>$B$72</f>
        <v>Base</v>
      </c>
      <c r="C611" s="346"/>
      <c r="D611" s="346"/>
      <c r="E611" s="346"/>
      <c r="F611" s="346"/>
      <c r="G611" s="346"/>
      <c r="H611" s="346"/>
      <c r="I611" s="346"/>
      <c r="J611" s="346"/>
      <c r="K611" s="8"/>
      <c r="L611" s="8"/>
      <c r="M611" s="8"/>
      <c r="N611" s="8"/>
      <c r="O611" s="8"/>
      <c r="P611" s="472"/>
      <c r="Q611" s="8"/>
      <c r="R611" s="156">
        <v>15.7</v>
      </c>
      <c r="S611" s="156">
        <v>16</v>
      </c>
      <c r="T611" s="156">
        <v>17</v>
      </c>
      <c r="U611" s="156">
        <v>17</v>
      </c>
      <c r="V611" s="156">
        <v>17</v>
      </c>
      <c r="W611" s="156">
        <v>17</v>
      </c>
      <c r="X611" s="156">
        <v>17</v>
      </c>
      <c r="Y611" s="156">
        <v>17</v>
      </c>
      <c r="Z611" s="156">
        <v>17</v>
      </c>
      <c r="AA611" s="156">
        <v>17</v>
      </c>
      <c r="AC611" s="151" t="s">
        <v>641</v>
      </c>
      <c r="AD611" s="150"/>
      <c r="AE611" s="150"/>
      <c r="AF611" s="150"/>
      <c r="AG611" s="150"/>
      <c r="AH611" s="150"/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4"/>
      <c r="AU611" s="14"/>
      <c r="AV611" s="14"/>
      <c r="AW611" s="14"/>
      <c r="AX611" s="14"/>
      <c r="AY611" s="14"/>
      <c r="AZ611" s="14"/>
      <c r="BA611" s="14"/>
      <c r="BB611" s="14"/>
    </row>
    <row r="612" spans="1:54" outlineLevel="1">
      <c r="B612" s="902" t="str">
        <f>$B$73</f>
        <v>Upside</v>
      </c>
      <c r="C612" s="14"/>
      <c r="D612" s="14"/>
      <c r="E612" s="14"/>
      <c r="F612" s="14"/>
      <c r="G612" s="14"/>
      <c r="H612" s="14"/>
      <c r="I612" s="14"/>
      <c r="J612" s="14"/>
      <c r="R612" s="152">
        <v>15.7</v>
      </c>
      <c r="S612" s="152">
        <v>14</v>
      </c>
      <c r="T612" s="152">
        <v>12</v>
      </c>
      <c r="U612" s="152">
        <v>12</v>
      </c>
      <c r="V612" s="152">
        <v>12</v>
      </c>
      <c r="W612" s="152">
        <v>12</v>
      </c>
      <c r="X612" s="152">
        <v>12</v>
      </c>
      <c r="Y612" s="152">
        <v>12</v>
      </c>
      <c r="Z612" s="152">
        <v>12</v>
      </c>
      <c r="AA612" s="152">
        <v>12</v>
      </c>
      <c r="AC612" s="151" t="s">
        <v>869</v>
      </c>
      <c r="AD612" s="150"/>
      <c r="AE612" s="150"/>
      <c r="AF612" s="150"/>
      <c r="AG612" s="150"/>
      <c r="AH612" s="150"/>
      <c r="AI612" s="150"/>
      <c r="AJ612" s="150"/>
      <c r="AL612" s="150"/>
      <c r="AM612" s="604" t="s">
        <v>556</v>
      </c>
      <c r="AN612" s="150"/>
      <c r="AO612" s="150"/>
      <c r="AP612" s="150"/>
      <c r="AQ612" s="150"/>
      <c r="AR612" s="150"/>
      <c r="AS612" s="150"/>
      <c r="AT612" s="14"/>
      <c r="AU612" s="14"/>
      <c r="AV612" s="14"/>
      <c r="AW612" s="14"/>
      <c r="AX612" s="14"/>
      <c r="AY612" s="14"/>
      <c r="AZ612" s="14"/>
      <c r="BA612" s="14"/>
      <c r="BB612" s="14"/>
    </row>
    <row r="613" spans="1:54" outlineLevel="1">
      <c r="B613" s="902" t="str">
        <f>$B$74</f>
        <v>Downside</v>
      </c>
      <c r="C613" s="14"/>
      <c r="D613" s="14"/>
      <c r="E613" s="14"/>
      <c r="F613" s="14"/>
      <c r="G613" s="14"/>
      <c r="H613" s="14"/>
      <c r="I613" s="14"/>
      <c r="J613" s="14"/>
      <c r="R613" s="152">
        <v>15.7</v>
      </c>
      <c r="S613" s="152">
        <v>30</v>
      </c>
      <c r="T613" s="152">
        <v>30</v>
      </c>
      <c r="U613" s="152">
        <v>30</v>
      </c>
      <c r="V613" s="152">
        <v>30</v>
      </c>
      <c r="W613" s="152">
        <v>30</v>
      </c>
      <c r="X613" s="152">
        <v>30</v>
      </c>
      <c r="Y613" s="152">
        <v>30</v>
      </c>
      <c r="Z613" s="152">
        <v>30</v>
      </c>
      <c r="AA613" s="152">
        <v>30</v>
      </c>
      <c r="AC613" s="151" t="s">
        <v>870</v>
      </c>
      <c r="AD613" s="150"/>
      <c r="AE613" s="150"/>
      <c r="AF613" s="150"/>
      <c r="AG613" s="150"/>
      <c r="AH613" s="150"/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4"/>
      <c r="AU613" s="14"/>
      <c r="AV613" s="14"/>
      <c r="AW613" s="14"/>
      <c r="AX613" s="14"/>
      <c r="AY613" s="14"/>
      <c r="AZ613" s="14"/>
      <c r="BA613" s="14"/>
      <c r="BB613" s="14"/>
    </row>
    <row r="614" spans="1:54" outlineLevel="1">
      <c r="B614" s="148"/>
      <c r="C614" s="14"/>
      <c r="D614" s="14"/>
      <c r="E614" s="14"/>
      <c r="F614" s="14"/>
      <c r="G614" s="14"/>
      <c r="H614" s="14"/>
      <c r="I614" s="14"/>
      <c r="J614" s="14"/>
      <c r="R614" s="2"/>
      <c r="S614" s="2"/>
      <c r="T614" s="2"/>
      <c r="U614" s="2"/>
      <c r="V614" s="2"/>
      <c r="W614" s="2"/>
      <c r="X614" s="2"/>
      <c r="Y614" s="2"/>
      <c r="Z614" s="2"/>
      <c r="AA614" s="2"/>
      <c r="AC614" s="151"/>
      <c r="AD614" s="150"/>
      <c r="AE614" s="150"/>
      <c r="AF614" s="150"/>
      <c r="AG614" s="150"/>
      <c r="AH614" s="150"/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4"/>
      <c r="AU614" s="14"/>
      <c r="AV614" s="14"/>
      <c r="AW614" s="14"/>
      <c r="AX614" s="14"/>
      <c r="AY614" s="14"/>
      <c r="AZ614" s="14"/>
      <c r="BA614" s="14"/>
      <c r="BB614" s="14"/>
    </row>
    <row r="615" spans="1:54" outlineLevel="1">
      <c r="B615" s="207" t="s">
        <v>842</v>
      </c>
      <c r="C615" s="174"/>
      <c r="D615" s="174"/>
      <c r="E615" s="174"/>
      <c r="F615" s="174"/>
      <c r="G615" s="174"/>
      <c r="H615" s="174"/>
      <c r="I615" s="174"/>
      <c r="J615" s="174"/>
      <c r="AC615" s="151"/>
      <c r="AD615" s="150"/>
      <c r="AE615" s="150"/>
      <c r="AF615" s="150"/>
      <c r="AG615" s="150"/>
      <c r="AH615" s="150"/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4"/>
      <c r="AU615" s="14"/>
      <c r="AV615" s="14"/>
      <c r="AW615" s="14"/>
      <c r="AX615" s="14"/>
      <c r="AY615" s="14"/>
      <c r="AZ615" s="14"/>
      <c r="BA615" s="14"/>
      <c r="BB615" s="14"/>
    </row>
    <row r="616" spans="1:54" outlineLevel="1">
      <c r="B616" s="1517" t="str">
        <f>$B$72</f>
        <v>Base</v>
      </c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472"/>
      <c r="Q616" s="8"/>
      <c r="R616" s="373">
        <f>SUM(R$601,R$606,-R$611)</f>
        <v>59.5</v>
      </c>
      <c r="S616" s="373">
        <f t="shared" ref="S616:AA616" si="272">SUM(S$601,S$606,-S$611)</f>
        <v>59.5</v>
      </c>
      <c r="T616" s="373">
        <f t="shared" si="272"/>
        <v>58</v>
      </c>
      <c r="U616" s="373">
        <f t="shared" si="272"/>
        <v>57</v>
      </c>
      <c r="V616" s="373">
        <f t="shared" si="272"/>
        <v>57</v>
      </c>
      <c r="W616" s="373">
        <f t="shared" si="272"/>
        <v>57</v>
      </c>
      <c r="X616" s="373">
        <f t="shared" si="272"/>
        <v>57</v>
      </c>
      <c r="Y616" s="373">
        <f t="shared" si="272"/>
        <v>57</v>
      </c>
      <c r="Z616" s="373">
        <f t="shared" si="272"/>
        <v>57</v>
      </c>
      <c r="AA616" s="373">
        <f t="shared" si="272"/>
        <v>57</v>
      </c>
      <c r="AB616"/>
      <c r="AC616" s="150"/>
      <c r="AD616" s="150"/>
      <c r="AE616" s="150"/>
      <c r="AF616" s="150"/>
      <c r="AG616" s="150"/>
      <c r="AH616" s="150"/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4"/>
      <c r="AU616" s="14"/>
      <c r="AV616" s="14"/>
      <c r="AW616" s="14"/>
      <c r="AX616" s="14"/>
      <c r="AY616" s="14"/>
      <c r="AZ616" s="14"/>
      <c r="BA616" s="14"/>
      <c r="BB616" s="14"/>
    </row>
    <row r="617" spans="1:54" outlineLevel="1">
      <c r="B617" s="902" t="str">
        <f>$B$73</f>
        <v>Upside</v>
      </c>
      <c r="C617" s="14"/>
      <c r="D617" s="14"/>
      <c r="E617" s="14"/>
      <c r="F617" s="14"/>
      <c r="G617" s="14"/>
      <c r="H617" s="14"/>
      <c r="I617" s="14"/>
      <c r="J617" s="14"/>
      <c r="R617" s="374">
        <f>SUM(R$602,R$607,-R$612)</f>
        <v>59.5</v>
      </c>
      <c r="S617" s="374">
        <f t="shared" ref="S617:AA617" si="273">SUM(S$602,S$607,-S$612)</f>
        <v>57</v>
      </c>
      <c r="T617" s="374">
        <f t="shared" si="273"/>
        <v>55</v>
      </c>
      <c r="U617" s="374">
        <f t="shared" si="273"/>
        <v>51</v>
      </c>
      <c r="V617" s="374">
        <f t="shared" si="273"/>
        <v>49</v>
      </c>
      <c r="W617" s="374">
        <f t="shared" si="273"/>
        <v>47</v>
      </c>
      <c r="X617" s="374">
        <f t="shared" si="273"/>
        <v>47</v>
      </c>
      <c r="Y617" s="374">
        <f t="shared" si="273"/>
        <v>47</v>
      </c>
      <c r="Z617" s="374">
        <f t="shared" si="273"/>
        <v>47</v>
      </c>
      <c r="AA617" s="374">
        <f t="shared" si="273"/>
        <v>47</v>
      </c>
      <c r="AB617"/>
      <c r="AC617" s="150"/>
      <c r="AD617" s="150"/>
      <c r="AE617" s="150"/>
      <c r="AF617" s="150"/>
      <c r="AG617" s="150"/>
      <c r="AH617" s="150"/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4"/>
      <c r="AU617" s="14"/>
      <c r="AV617" s="14"/>
      <c r="AW617" s="14"/>
      <c r="AX617" s="14"/>
      <c r="AY617" s="14"/>
      <c r="AZ617" s="14"/>
      <c r="BA617" s="14"/>
      <c r="BB617" s="14"/>
    </row>
    <row r="618" spans="1:54" outlineLevel="1">
      <c r="B618" s="902" t="str">
        <f>$B$74</f>
        <v>Downside</v>
      </c>
      <c r="C618" s="14"/>
      <c r="D618" s="14"/>
      <c r="E618" s="14"/>
      <c r="F618" s="14"/>
      <c r="G618" s="14"/>
      <c r="H618" s="14"/>
      <c r="I618" s="14"/>
      <c r="J618" s="14"/>
      <c r="R618" s="374">
        <f>SUM(R$603,R$608,-R$613)</f>
        <v>59.5</v>
      </c>
      <c r="S618" s="374">
        <f t="shared" ref="S618:AA618" si="274">SUM(S$603,S$608,-S$613)</f>
        <v>52</v>
      </c>
      <c r="T618" s="374">
        <f t="shared" si="274"/>
        <v>58</v>
      </c>
      <c r="U618" s="374">
        <f t="shared" si="274"/>
        <v>66</v>
      </c>
      <c r="V618" s="374">
        <f t="shared" si="274"/>
        <v>66</v>
      </c>
      <c r="W618" s="374">
        <f t="shared" si="274"/>
        <v>66</v>
      </c>
      <c r="X618" s="374">
        <f t="shared" si="274"/>
        <v>66</v>
      </c>
      <c r="Y618" s="374">
        <f t="shared" si="274"/>
        <v>66</v>
      </c>
      <c r="Z618" s="374">
        <f t="shared" si="274"/>
        <v>66</v>
      </c>
      <c r="AA618" s="374">
        <f t="shared" si="274"/>
        <v>66</v>
      </c>
      <c r="AB618"/>
      <c r="AC618" s="150"/>
      <c r="AD618" s="150"/>
      <c r="AE618" s="150"/>
      <c r="AF618" s="150"/>
      <c r="AG618" s="150"/>
      <c r="AH618" s="15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4"/>
      <c r="AU618" s="14"/>
      <c r="AV618" s="14"/>
      <c r="AW618" s="14"/>
      <c r="AX618" s="14"/>
      <c r="AY618" s="14"/>
      <c r="AZ618" s="14"/>
      <c r="BA618" s="14"/>
      <c r="BB618" s="14"/>
    </row>
    <row r="619" spans="1:54" outlineLevel="1">
      <c r="B619" s="148"/>
      <c r="C619" s="14"/>
      <c r="D619" s="14"/>
      <c r="E619" s="14"/>
      <c r="F619" s="14"/>
      <c r="G619" s="14"/>
      <c r="H619" s="14"/>
      <c r="I619" s="14"/>
      <c r="J619" s="14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4"/>
      <c r="AU619" s="14"/>
      <c r="AV619" s="14"/>
      <c r="AW619" s="14"/>
      <c r="AX619" s="14"/>
      <c r="AY619" s="14"/>
      <c r="AZ619" s="14"/>
      <c r="BA619" s="14"/>
      <c r="BB619" s="14"/>
    </row>
    <row r="620" spans="1:54" ht="4.5" customHeight="1">
      <c r="B620" s="148"/>
      <c r="C620" s="14"/>
      <c r="D620" s="14"/>
      <c r="E620" s="14"/>
      <c r="F620" s="14"/>
      <c r="G620" s="14"/>
      <c r="H620" s="14"/>
      <c r="I620" s="14"/>
      <c r="J620" s="14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4"/>
      <c r="AU620" s="14"/>
      <c r="AV620" s="14"/>
      <c r="AW620" s="14"/>
      <c r="AX620" s="14"/>
      <c r="AY620" s="14"/>
      <c r="AZ620" s="14"/>
      <c r="BA620" s="14"/>
      <c r="BB620" s="14"/>
    </row>
    <row r="621" spans="1:54">
      <c r="A621" s="380" t="s">
        <v>63</v>
      </c>
      <c r="B621" s="518" t="s">
        <v>644</v>
      </c>
      <c r="C621" s="518"/>
      <c r="D621" s="518"/>
      <c r="E621" s="518"/>
      <c r="F621" s="518"/>
      <c r="G621" s="518"/>
      <c r="H621" s="518"/>
      <c r="I621" s="518"/>
      <c r="J621" s="518"/>
      <c r="K621" s="518"/>
      <c r="L621" s="518"/>
      <c r="M621" s="518"/>
      <c r="N621" s="518"/>
      <c r="O621" s="518"/>
      <c r="P621" s="518"/>
      <c r="Q621" s="518"/>
      <c r="R621" s="518"/>
      <c r="S621" s="518"/>
      <c r="T621" s="518"/>
      <c r="U621" s="518"/>
      <c r="V621" s="518"/>
      <c r="W621" s="518"/>
      <c r="X621" s="518"/>
      <c r="Y621" s="518"/>
      <c r="Z621" s="518"/>
      <c r="AA621" s="518"/>
      <c r="AB621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4"/>
      <c r="AU621" s="14"/>
      <c r="AV621" s="14"/>
      <c r="AW621" s="14"/>
      <c r="AX621" s="14"/>
      <c r="AY621" s="14"/>
      <c r="AZ621" s="14"/>
      <c r="BA621" s="14"/>
      <c r="BB621" s="14"/>
    </row>
    <row r="622" spans="1:54" ht="8.25" customHeight="1" outlineLevel="1">
      <c r="B622" s="148"/>
      <c r="C622" s="14"/>
      <c r="D622" s="14"/>
      <c r="E622" s="14"/>
      <c r="F622" s="14"/>
      <c r="G622" s="14"/>
      <c r="H622" s="14"/>
      <c r="I622" s="14"/>
      <c r="J622" s="14"/>
      <c r="R622" s="2"/>
      <c r="S622" s="2"/>
      <c r="T622" s="2"/>
      <c r="U622" s="2"/>
      <c r="V622" s="2"/>
      <c r="W622" s="2"/>
      <c r="X622" s="2"/>
      <c r="Y622" s="2"/>
      <c r="Z622" s="2"/>
      <c r="AA622" s="2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4"/>
      <c r="AU622" s="14"/>
      <c r="AV622" s="14"/>
      <c r="AW622" s="14"/>
      <c r="AX622" s="14"/>
      <c r="AY622" s="14"/>
      <c r="AZ622" s="14"/>
      <c r="BA622" s="14"/>
      <c r="BB622" s="14"/>
    </row>
    <row r="623" spans="1:54" outlineLevel="1">
      <c r="B623" s="241" t="str">
        <f>units</f>
        <v>($ '000)</v>
      </c>
      <c r="C623" s="14"/>
      <c r="D623" s="14"/>
      <c r="E623" s="14"/>
      <c r="F623" s="14"/>
      <c r="G623" s="14"/>
      <c r="H623" s="14"/>
      <c r="I623" s="14"/>
      <c r="J623" s="14"/>
      <c r="R623" s="2"/>
      <c r="S623" s="2"/>
      <c r="T623" s="2"/>
      <c r="U623" s="2"/>
      <c r="V623" s="2"/>
      <c r="W623" s="2"/>
      <c r="X623" s="2"/>
      <c r="Y623" s="2"/>
      <c r="Z623" s="2"/>
      <c r="AA623" s="2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4"/>
      <c r="AU623" s="14"/>
      <c r="AV623" s="14"/>
      <c r="AW623" s="14"/>
      <c r="AX623" s="14"/>
      <c r="AY623" s="14"/>
      <c r="AZ623" s="14"/>
      <c r="BA623" s="14"/>
      <c r="BB623" s="14"/>
    </row>
    <row r="624" spans="1:54" ht="5.25" customHeight="1" outlineLevel="1">
      <c r="B624" s="241"/>
      <c r="C624" s="14"/>
      <c r="D624" s="14"/>
      <c r="E624" s="14"/>
      <c r="F624" s="14"/>
      <c r="G624" s="14"/>
      <c r="H624" s="14"/>
      <c r="I624" s="14"/>
      <c r="J624" s="14"/>
      <c r="R624" s="2"/>
      <c r="S624" s="2"/>
      <c r="T624" s="2"/>
      <c r="U624" s="2"/>
      <c r="V624" s="2"/>
      <c r="W624" s="2"/>
      <c r="X624" s="2"/>
      <c r="Y624" s="2"/>
      <c r="Z624" s="2"/>
      <c r="AA624" s="2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4"/>
      <c r="AU624" s="14"/>
      <c r="AV624" s="14"/>
      <c r="AW624" s="14"/>
      <c r="AX624" s="14"/>
      <c r="AY624" s="14"/>
      <c r="AZ624" s="14"/>
      <c r="BA624" s="14"/>
      <c r="BB624" s="14"/>
    </row>
    <row r="625" spans="1:54" s="1" customFormat="1" outlineLevel="1">
      <c r="A625" s="6"/>
      <c r="B625" s="149" t="str">
        <f>B31</f>
        <v>Revenue</v>
      </c>
      <c r="C625" s="379"/>
      <c r="D625" s="379"/>
      <c r="E625" s="379"/>
      <c r="F625" s="379"/>
      <c r="G625" s="379"/>
      <c r="H625" s="379"/>
      <c r="I625" s="379"/>
      <c r="J625" s="379"/>
      <c r="K625" s="903">
        <f>K$31</f>
        <v>2740.502</v>
      </c>
      <c r="L625" s="903">
        <f t="shared" ref="L625:P625" si="275">L$31</f>
        <v>2976.4639999999999</v>
      </c>
      <c r="M625" s="903">
        <f t="shared" si="275"/>
        <v>2678.5070000000001</v>
      </c>
      <c r="N625" s="903">
        <f t="shared" si="275"/>
        <v>2786.8519999999999</v>
      </c>
      <c r="O625" s="903">
        <f t="shared" si="275"/>
        <v>2758.1750000000002</v>
      </c>
      <c r="P625" s="903">
        <f t="shared" si="275"/>
        <v>2769.9409999999998</v>
      </c>
      <c r="Q625" s="903"/>
      <c r="R625" s="903">
        <f t="shared" ref="R625:AA625" ca="1" si="276">R$31</f>
        <v>2835.7270987499996</v>
      </c>
      <c r="S625" s="903">
        <f t="shared" ca="1" si="276"/>
        <v>2903.0756173453128</v>
      </c>
      <c r="T625" s="903">
        <f t="shared" ca="1" si="276"/>
        <v>2972.0236632572637</v>
      </c>
      <c r="U625" s="903">
        <f t="shared" ca="1" si="276"/>
        <v>3042.6092252596236</v>
      </c>
      <c r="V625" s="903">
        <f t="shared" ca="1" si="276"/>
        <v>3114.8711943595395</v>
      </c>
      <c r="W625" s="903">
        <f t="shared" ca="1" si="276"/>
        <v>3188.8493852255783</v>
      </c>
      <c r="X625" s="903">
        <f t="shared" ca="1" si="276"/>
        <v>3264.5845581246854</v>
      </c>
      <c r="Y625" s="903">
        <f t="shared" ca="1" si="276"/>
        <v>3342.1184413801466</v>
      </c>
      <c r="Z625" s="903">
        <f t="shared" ca="1" si="276"/>
        <v>3421.4937543629248</v>
      </c>
      <c r="AA625" s="903">
        <f t="shared" ca="1" si="276"/>
        <v>3502.7542310290441</v>
      </c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379"/>
      <c r="AU625" s="379"/>
      <c r="AV625" s="379"/>
      <c r="AW625" s="379"/>
      <c r="AX625" s="379"/>
      <c r="AY625" s="379"/>
      <c r="AZ625" s="379"/>
      <c r="BA625" s="379"/>
      <c r="BB625" s="379"/>
    </row>
    <row r="626" spans="1:54" s="3" customFormat="1" outlineLevel="1">
      <c r="A626" s="168"/>
      <c r="B626" s="148"/>
      <c r="C626" s="150"/>
      <c r="D626" s="150"/>
      <c r="E626" s="150"/>
      <c r="F626" s="150"/>
      <c r="G626" s="150"/>
      <c r="H626" s="150"/>
      <c r="I626" s="150"/>
      <c r="J626" s="150"/>
      <c r="P626" s="478"/>
      <c r="R626" s="2"/>
      <c r="S626" s="2"/>
      <c r="T626" s="2"/>
      <c r="U626" s="2"/>
      <c r="V626" s="2"/>
      <c r="W626" s="2"/>
      <c r="X626" s="2"/>
      <c r="Y626" s="2"/>
      <c r="Z626" s="2"/>
      <c r="AA626" s="2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</row>
    <row r="627" spans="1:54" s="3" customFormat="1" outlineLevel="1">
      <c r="A627" s="168"/>
      <c r="B627" s="149" t="s">
        <v>688</v>
      </c>
      <c r="C627" s="150"/>
      <c r="D627" s="150"/>
      <c r="E627" s="150"/>
      <c r="F627" s="150"/>
      <c r="G627" s="150"/>
      <c r="H627" s="150"/>
      <c r="I627" s="150"/>
      <c r="J627" s="150"/>
      <c r="K627" s="298">
        <f t="shared" ref="K627:P627" si="277">PRODUCT(K$625,K$628)</f>
        <v>869.38600000000008</v>
      </c>
      <c r="L627" s="298">
        <f t="shared" si="277"/>
        <v>48.361000000000004</v>
      </c>
      <c r="M627" s="298">
        <f t="shared" si="277"/>
        <v>79.615000000000009</v>
      </c>
      <c r="N627" s="298">
        <f t="shared" si="277"/>
        <v>15.308999999999997</v>
      </c>
      <c r="O627" s="298">
        <f t="shared" si="277"/>
        <v>4.4074599999999631</v>
      </c>
      <c r="P627" s="298">
        <f t="shared" si="277"/>
        <v>8.3098229999999997</v>
      </c>
      <c r="R627" s="301">
        <f ca="1">PRODUCT(R$625,R$628)</f>
        <v>70.893177468749997</v>
      </c>
      <c r="S627" s="301">
        <f t="shared" ref="S627:AA627" ca="1" si="278">PRODUCT(S$625,S$628)</f>
        <v>72.576890433632826</v>
      </c>
      <c r="T627" s="301">
        <f t="shared" ca="1" si="278"/>
        <v>74.30059158143159</v>
      </c>
      <c r="U627" s="301">
        <f t="shared" ca="1" si="278"/>
        <v>76.065230631490593</v>
      </c>
      <c r="V627" s="301">
        <f t="shared" ca="1" si="278"/>
        <v>77.871779858988489</v>
      </c>
      <c r="W627" s="301">
        <f t="shared" ca="1" si="278"/>
        <v>79.721234630639458</v>
      </c>
      <c r="X627" s="301">
        <f t="shared" ca="1" si="278"/>
        <v>81.614613953117143</v>
      </c>
      <c r="Y627" s="301">
        <f t="shared" ca="1" si="278"/>
        <v>83.552961034503667</v>
      </c>
      <c r="Z627" s="301">
        <f t="shared" ca="1" si="278"/>
        <v>85.537343859073133</v>
      </c>
      <c r="AA627" s="301">
        <f t="shared" ca="1" si="278"/>
        <v>87.568855775726107</v>
      </c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  <c r="BA627" s="150"/>
      <c r="BB627" s="150"/>
    </row>
    <row r="628" spans="1:54" s="363" customFormat="1" outlineLevel="1">
      <c r="A628" s="278"/>
      <c r="B628" s="902" t="s">
        <v>385</v>
      </c>
      <c r="C628" s="207"/>
      <c r="D628" s="376"/>
      <c r="E628" s="376"/>
      <c r="F628" s="376"/>
      <c r="G628" s="376"/>
      <c r="H628" s="376"/>
      <c r="I628" s="376"/>
      <c r="J628" s="376"/>
      <c r="K628" s="905">
        <v>0.31723603923660704</v>
      </c>
      <c r="L628" s="905">
        <v>1.6247802761934969E-2</v>
      </c>
      <c r="M628" s="905">
        <v>2.9723648286153443E-2</v>
      </c>
      <c r="N628" s="905">
        <v>5.493294943542032E-3</v>
      </c>
      <c r="O628" s="905">
        <v>1.5979624208035976E-3</v>
      </c>
      <c r="P628" s="1017">
        <v>3.0000000000000001E-3</v>
      </c>
      <c r="R628" s="1205">
        <f t="shared" ref="R628:AA628" ca="1" si="279">OFFSET(R$633,MATCH($C$5,$B$634:$B$636,0),0)</f>
        <v>2.5000000000000001E-2</v>
      </c>
      <c r="S628" s="1205">
        <f t="shared" ca="1" si="279"/>
        <v>2.5000000000000001E-2</v>
      </c>
      <c r="T628" s="1205">
        <f t="shared" ca="1" si="279"/>
        <v>2.5000000000000001E-2</v>
      </c>
      <c r="U628" s="1205">
        <f t="shared" ca="1" si="279"/>
        <v>2.5000000000000001E-2</v>
      </c>
      <c r="V628" s="1205">
        <f t="shared" ca="1" si="279"/>
        <v>2.5000000000000001E-2</v>
      </c>
      <c r="W628" s="1205">
        <f t="shared" ca="1" si="279"/>
        <v>2.5000000000000001E-2</v>
      </c>
      <c r="X628" s="1205">
        <f t="shared" ca="1" si="279"/>
        <v>2.5000000000000001E-2</v>
      </c>
      <c r="Y628" s="1205">
        <f t="shared" ca="1" si="279"/>
        <v>2.5000000000000001E-2</v>
      </c>
      <c r="Z628" s="1205">
        <f t="shared" ca="1" si="279"/>
        <v>2.5000000000000001E-2</v>
      </c>
      <c r="AA628" s="1205">
        <f t="shared" ca="1" si="279"/>
        <v>2.5000000000000001E-2</v>
      </c>
      <c r="AC628" s="376"/>
      <c r="AD628" s="376"/>
      <c r="AE628" s="150"/>
      <c r="AF628" s="150"/>
      <c r="AG628" s="150"/>
      <c r="AH628" s="150"/>
      <c r="AI628" s="150"/>
      <c r="AJ628" s="150"/>
      <c r="AK628" s="150"/>
      <c r="AL628" s="150"/>
      <c r="AM628" s="376"/>
      <c r="AN628" s="376"/>
      <c r="AO628" s="376"/>
      <c r="AP628" s="376"/>
      <c r="AQ628" s="376"/>
      <c r="AR628" s="376"/>
      <c r="AS628" s="376"/>
      <c r="AT628" s="376"/>
      <c r="AU628" s="376"/>
      <c r="AV628" s="376"/>
      <c r="AW628" s="376"/>
      <c r="AX628" s="376"/>
      <c r="AY628" s="376"/>
      <c r="AZ628" s="376"/>
      <c r="BA628" s="376"/>
      <c r="BB628" s="376"/>
    </row>
    <row r="629" spans="1:54" s="3" customFormat="1" outlineLevel="1">
      <c r="A629" s="168"/>
      <c r="B629" s="148"/>
      <c r="C629" s="150"/>
      <c r="D629" s="150"/>
      <c r="E629" s="150"/>
      <c r="F629" s="150"/>
      <c r="G629" s="150"/>
      <c r="H629" s="150"/>
      <c r="I629" s="150"/>
      <c r="J629" s="150"/>
      <c r="K629" s="363"/>
      <c r="L629" s="363"/>
      <c r="M629" s="363"/>
      <c r="N629" s="363"/>
      <c r="O629" s="363"/>
      <c r="P629" s="898"/>
      <c r="AC629" s="150"/>
      <c r="AD629" s="150"/>
      <c r="AE629" s="376"/>
      <c r="AF629" s="376"/>
      <c r="AG629" s="376"/>
      <c r="AH629" s="376"/>
      <c r="AI629" s="376"/>
      <c r="AJ629" s="376"/>
      <c r="AK629" s="376"/>
      <c r="AL629" s="376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  <c r="BA629" s="150"/>
      <c r="BB629" s="150"/>
    </row>
    <row r="630" spans="1:54" s="3" customFormat="1" outlineLevel="1">
      <c r="A630" s="168"/>
      <c r="B630" s="149" t="s">
        <v>38</v>
      </c>
      <c r="C630" s="150"/>
      <c r="D630" s="150"/>
      <c r="E630" s="150"/>
      <c r="F630" s="150"/>
      <c r="G630" s="150"/>
      <c r="H630" s="150"/>
      <c r="I630" s="150"/>
      <c r="J630" s="150"/>
      <c r="K630" s="1130">
        <v>293.58499999999998</v>
      </c>
      <c r="L630" s="1130">
        <v>151.517</v>
      </c>
      <c r="M630" s="1130">
        <v>143.601</v>
      </c>
      <c r="N630" s="1130">
        <v>141.43299999999999</v>
      </c>
      <c r="O630" s="1130">
        <v>98.668000000000006</v>
      </c>
      <c r="P630" s="1130">
        <v>86.6</v>
      </c>
      <c r="Q630" s="1130"/>
      <c r="R630" s="1208"/>
      <c r="S630" s="1209"/>
      <c r="T630" s="1209"/>
      <c r="U630" s="1209"/>
      <c r="V630" s="1209"/>
      <c r="W630" s="1209"/>
      <c r="X630" s="1209"/>
      <c r="Y630" s="1209"/>
      <c r="Z630" s="1209"/>
      <c r="AA630" s="1209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50"/>
      <c r="BB630" s="150"/>
    </row>
    <row r="631" spans="1:54" s="3" customFormat="1" outlineLevel="1">
      <c r="A631" s="168"/>
      <c r="B631" s="902" t="s">
        <v>385</v>
      </c>
      <c r="C631" s="150"/>
      <c r="D631" s="150"/>
      <c r="E631" s="150"/>
      <c r="F631" s="150"/>
      <c r="G631" s="150"/>
      <c r="H631" s="150"/>
      <c r="I631" s="150"/>
      <c r="J631" s="150"/>
      <c r="K631" s="1205">
        <f t="shared" ref="K631:P631" si="280">K630/K$625</f>
        <v>0.10712818308470491</v>
      </c>
      <c r="L631" s="1205">
        <f t="shared" si="280"/>
        <v>5.0905033623789842E-2</v>
      </c>
      <c r="M631" s="1205">
        <f t="shared" si="280"/>
        <v>5.3612329555233568E-2</v>
      </c>
      <c r="N631" s="1205">
        <f t="shared" si="280"/>
        <v>5.0750093654058415E-2</v>
      </c>
      <c r="O631" s="1205">
        <f t="shared" si="280"/>
        <v>3.5772929563932673E-2</v>
      </c>
      <c r="P631" s="1205">
        <f t="shared" si="280"/>
        <v>3.1264203822391888E-2</v>
      </c>
      <c r="Q631" s="1130"/>
      <c r="R631" s="1209"/>
      <c r="S631" s="1209"/>
      <c r="T631" s="1209"/>
      <c r="U631" s="1209"/>
      <c r="V631" s="1209"/>
      <c r="W631" s="1209"/>
      <c r="X631" s="1209"/>
      <c r="Y631" s="1209"/>
      <c r="Z631" s="1209"/>
      <c r="AA631" s="1209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  <c r="BA631" s="150"/>
      <c r="BB631" s="150"/>
    </row>
    <row r="632" spans="1:54" s="3" customFormat="1" outlineLevel="1">
      <c r="A632" s="168"/>
      <c r="B632" s="148"/>
      <c r="C632" s="150"/>
      <c r="D632" s="150"/>
      <c r="E632" s="150"/>
      <c r="F632" s="150"/>
      <c r="G632" s="150"/>
      <c r="H632" s="150"/>
      <c r="I632" s="150"/>
      <c r="J632" s="150"/>
      <c r="K632" s="1130"/>
      <c r="L632" s="1130"/>
      <c r="M632" s="1130"/>
      <c r="N632" s="1130"/>
      <c r="O632" s="1130"/>
      <c r="P632" s="1130"/>
      <c r="Q632" s="1130"/>
      <c r="R632" s="1130"/>
      <c r="S632" s="1130"/>
      <c r="T632" s="1130"/>
      <c r="U632" s="1130"/>
      <c r="V632" s="1130"/>
      <c r="W632" s="1130"/>
      <c r="X632" s="1130"/>
      <c r="Y632" s="1130"/>
      <c r="Z632" s="1130"/>
      <c r="AA632" s="113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</row>
    <row r="633" spans="1:54" s="3" customFormat="1" outlineLevel="1">
      <c r="A633" s="168"/>
      <c r="B633" s="578" t="s">
        <v>644</v>
      </c>
      <c r="C633" s="348"/>
      <c r="D633" s="348"/>
      <c r="E633" s="348"/>
      <c r="F633" s="348"/>
      <c r="G633" s="348"/>
      <c r="H633" s="348"/>
      <c r="I633" s="348"/>
      <c r="J633" s="348"/>
      <c r="P633" s="478"/>
      <c r="AB633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  <c r="BA633" s="150"/>
      <c r="BB633" s="150"/>
    </row>
    <row r="634" spans="1:54" s="3" customFormat="1" outlineLevel="1">
      <c r="A634" s="168"/>
      <c r="B634" s="345" t="str">
        <f>$B$72</f>
        <v>Base</v>
      </c>
      <c r="C634" s="938"/>
      <c r="D634" s="938"/>
      <c r="E634" s="938"/>
      <c r="F634" s="938"/>
      <c r="G634" s="938"/>
      <c r="H634" s="938"/>
      <c r="I634" s="938"/>
      <c r="J634" s="938"/>
      <c r="K634" s="187"/>
      <c r="L634" s="187"/>
      <c r="M634" s="187"/>
      <c r="N634" s="187"/>
      <c r="O634" s="187"/>
      <c r="P634" s="1204"/>
      <c r="Q634" s="187"/>
      <c r="R634" s="900">
        <v>2.5000000000000001E-2</v>
      </c>
      <c r="S634" s="900">
        <v>2.5000000000000001E-2</v>
      </c>
      <c r="T634" s="900">
        <v>2.5000000000000001E-2</v>
      </c>
      <c r="U634" s="900">
        <v>2.5000000000000001E-2</v>
      </c>
      <c r="V634" s="900">
        <v>2.5000000000000001E-2</v>
      </c>
      <c r="W634" s="900">
        <v>2.5000000000000001E-2</v>
      </c>
      <c r="X634" s="900">
        <v>2.5000000000000001E-2</v>
      </c>
      <c r="Y634" s="900">
        <v>2.5000000000000001E-2</v>
      </c>
      <c r="Z634" s="900">
        <v>2.5000000000000001E-2</v>
      </c>
      <c r="AA634" s="900">
        <v>2.5000000000000001E-2</v>
      </c>
      <c r="AB634"/>
      <c r="AC634" s="150"/>
      <c r="AD634" s="151" t="s">
        <v>702</v>
      </c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604" t="s">
        <v>556</v>
      </c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  <c r="BA634" s="150"/>
      <c r="BB634" s="150"/>
    </row>
    <row r="635" spans="1:54" s="3" customFormat="1" outlineLevel="1">
      <c r="A635" s="168"/>
      <c r="B635" s="347" t="str">
        <f>$B$73</f>
        <v>Upside</v>
      </c>
      <c r="C635" s="151"/>
      <c r="D635" s="151"/>
      <c r="E635" s="151"/>
      <c r="F635" s="151"/>
      <c r="G635" s="151"/>
      <c r="H635" s="151"/>
      <c r="I635" s="151"/>
      <c r="J635" s="151"/>
      <c r="P635" s="478"/>
      <c r="R635" s="1299">
        <v>0.03</v>
      </c>
      <c r="S635" s="1299">
        <v>0.03</v>
      </c>
      <c r="T635" s="1299">
        <v>0.03</v>
      </c>
      <c r="U635" s="1299">
        <v>0.03</v>
      </c>
      <c r="V635" s="1299">
        <v>0.03</v>
      </c>
      <c r="W635" s="1299">
        <v>0.03</v>
      </c>
      <c r="X635" s="1299">
        <v>3.5000000000000003E-2</v>
      </c>
      <c r="Y635" s="1299">
        <v>3.5000000000000003E-2</v>
      </c>
      <c r="Z635" s="1299">
        <v>3.5000000000000003E-2</v>
      </c>
      <c r="AA635" s="1299">
        <v>3.5000000000000003E-2</v>
      </c>
      <c r="AC635" s="150"/>
      <c r="AD635" s="151" t="s">
        <v>690</v>
      </c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604" t="s">
        <v>556</v>
      </c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  <c r="BA635" s="150"/>
      <c r="BB635" s="150"/>
    </row>
    <row r="636" spans="1:54" s="3" customFormat="1" outlineLevel="1">
      <c r="A636" s="168"/>
      <c r="B636" s="347" t="str">
        <f>$B$74</f>
        <v>Downside</v>
      </c>
      <c r="C636" s="151"/>
      <c r="D636" s="151"/>
      <c r="E636" s="151"/>
      <c r="F636" s="151"/>
      <c r="G636" s="151"/>
      <c r="H636" s="151"/>
      <c r="I636" s="151"/>
      <c r="J636" s="151"/>
      <c r="P636" s="478"/>
      <c r="R636" s="1008">
        <v>5.0000000000000001E-3</v>
      </c>
      <c r="S636" s="1008">
        <v>5.0000000000000001E-3</v>
      </c>
      <c r="T636" s="1008">
        <v>5.0000000000000001E-3</v>
      </c>
      <c r="U636" s="1008">
        <v>5.0000000000000001E-3</v>
      </c>
      <c r="V636" s="1008">
        <v>2.5000000000000001E-3</v>
      </c>
      <c r="W636" s="1008">
        <v>2.5000000000000001E-3</v>
      </c>
      <c r="X636" s="1008">
        <v>5.0000000000000001E-3</v>
      </c>
      <c r="Y636" s="1008">
        <v>5.0000000000000001E-3</v>
      </c>
      <c r="Z636" s="1008">
        <v>5.0000000000000001E-3</v>
      </c>
      <c r="AA636" s="1008">
        <v>5.0000000000000001E-3</v>
      </c>
      <c r="AC636" s="150"/>
      <c r="AD636" s="151" t="s">
        <v>689</v>
      </c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604" t="s">
        <v>556</v>
      </c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  <c r="BA636" s="150"/>
      <c r="BB636" s="150"/>
    </row>
    <row r="637" spans="1:54" s="3" customFormat="1" outlineLevel="1">
      <c r="A637" s="168"/>
      <c r="C637" s="150"/>
      <c r="D637" s="150"/>
      <c r="E637" s="150"/>
      <c r="F637" s="150"/>
      <c r="G637" s="150"/>
      <c r="H637" s="150"/>
      <c r="I637" s="150"/>
      <c r="J637" s="150"/>
      <c r="P637" s="478"/>
      <c r="R637" s="1008"/>
      <c r="S637" s="1008"/>
      <c r="T637" s="1008"/>
      <c r="U637" s="1008"/>
      <c r="V637" s="1008"/>
      <c r="W637" s="1008"/>
      <c r="X637" s="1008"/>
      <c r="Y637" s="1008"/>
      <c r="Z637" s="1008"/>
      <c r="AA637" s="1008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  <c r="BA637" s="150"/>
      <c r="BB637" s="150"/>
    </row>
    <row r="638" spans="1:54" s="3" customFormat="1" outlineLevel="1">
      <c r="A638" s="168"/>
      <c r="C638" s="150"/>
      <c r="D638" s="150"/>
      <c r="E638" s="150"/>
      <c r="F638" s="150"/>
      <c r="G638" s="150"/>
      <c r="H638" s="150"/>
      <c r="I638" s="150"/>
      <c r="J638" s="150"/>
      <c r="P638" s="478"/>
      <c r="AC638" s="150"/>
      <c r="AD638" s="151" t="s">
        <v>694</v>
      </c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  <c r="BA638" s="150"/>
      <c r="BB638" s="150"/>
    </row>
    <row r="639" spans="1:54" s="3" customFormat="1" outlineLevel="1">
      <c r="A639" s="168"/>
      <c r="C639" s="150"/>
      <c r="D639" s="150"/>
      <c r="E639" s="150"/>
      <c r="F639" s="150"/>
      <c r="G639" s="150"/>
      <c r="H639" s="150"/>
      <c r="I639" s="150"/>
      <c r="J639" s="150"/>
      <c r="P639" s="478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  <c r="BA639" s="150"/>
      <c r="BB639" s="150"/>
    </row>
    <row r="640" spans="1:54" s="3" customFormat="1" outlineLevel="1">
      <c r="A640" s="168"/>
      <c r="C640" s="150"/>
      <c r="D640" s="150"/>
      <c r="E640" s="150"/>
      <c r="F640" s="150"/>
      <c r="G640" s="150"/>
      <c r="H640" s="150"/>
      <c r="I640" s="150"/>
      <c r="J640" s="150"/>
      <c r="P640" s="478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</row>
    <row r="641" spans="1:42" s="3" customFormat="1">
      <c r="A641" s="168"/>
      <c r="C641" s="150"/>
      <c r="D641" s="150"/>
      <c r="E641" s="150"/>
      <c r="F641" s="150"/>
      <c r="G641" s="150"/>
      <c r="H641" s="150"/>
      <c r="I641" s="150"/>
      <c r="J641" s="150"/>
      <c r="P641" s="478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</row>
    <row r="642" spans="1:42" s="3" customFormat="1">
      <c r="A642" s="168"/>
      <c r="C642" s="150"/>
      <c r="D642" s="150"/>
      <c r="E642" s="150"/>
      <c r="F642" s="150"/>
      <c r="G642" s="150"/>
      <c r="H642" s="150"/>
      <c r="I642" s="150"/>
      <c r="J642" s="150"/>
      <c r="P642" s="478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</row>
    <row r="643" spans="1:42">
      <c r="C643" s="14"/>
      <c r="D643" s="14"/>
      <c r="E643" s="14"/>
      <c r="F643" s="14"/>
      <c r="G643" s="14"/>
      <c r="H643" s="14"/>
      <c r="I643" s="14"/>
      <c r="J643" s="14"/>
    </row>
    <row r="644" spans="1:42">
      <c r="C644" s="14"/>
      <c r="D644" s="14"/>
      <c r="E644" s="14"/>
      <c r="F644" s="14"/>
      <c r="G644" s="14"/>
      <c r="H644" s="14"/>
      <c r="I644" s="14"/>
      <c r="J644" s="14"/>
    </row>
    <row r="645" spans="1:42">
      <c r="B645" s="14"/>
      <c r="C645" s="14"/>
      <c r="D645" s="14"/>
      <c r="E645" s="14"/>
      <c r="F645" s="14"/>
      <c r="G645" s="14"/>
      <c r="H645" s="14"/>
      <c r="I645" s="14"/>
      <c r="J645" s="14"/>
    </row>
    <row r="646" spans="1:42">
      <c r="B646" s="14"/>
      <c r="C646" s="14"/>
      <c r="D646" s="14"/>
      <c r="E646" s="14"/>
      <c r="F646" s="14"/>
      <c r="G646" s="14"/>
      <c r="H646" s="14"/>
      <c r="I646" s="14"/>
      <c r="J646" s="14"/>
    </row>
    <row r="647" spans="1:42">
      <c r="B647" s="14"/>
      <c r="C647" s="14"/>
      <c r="D647" s="14"/>
      <c r="E647" s="14"/>
      <c r="F647" s="14"/>
      <c r="G647" s="14"/>
      <c r="H647" s="14"/>
      <c r="I647" s="14"/>
      <c r="J647" s="14"/>
    </row>
    <row r="648" spans="1:42">
      <c r="B648"/>
      <c r="C648"/>
      <c r="E648"/>
      <c r="F648"/>
      <c r="G648"/>
      <c r="H648"/>
      <c r="I648"/>
      <c r="J648"/>
      <c r="K648"/>
      <c r="L648"/>
    </row>
    <row r="649" spans="1:42">
      <c r="B649"/>
      <c r="C649"/>
      <c r="E649"/>
      <c r="F649"/>
      <c r="G649"/>
      <c r="H649"/>
      <c r="I649"/>
      <c r="J649"/>
      <c r="K649"/>
      <c r="L649"/>
    </row>
    <row r="650" spans="1:42">
      <c r="B650"/>
      <c r="C650"/>
      <c r="E650"/>
      <c r="F650"/>
      <c r="G650"/>
      <c r="H650"/>
      <c r="I650"/>
      <c r="J650"/>
      <c r="K650"/>
      <c r="L650"/>
    </row>
    <row r="651" spans="1:42">
      <c r="B651"/>
      <c r="C651"/>
      <c r="E651"/>
      <c r="F651"/>
      <c r="G651"/>
      <c r="H651"/>
      <c r="I651"/>
      <c r="J651"/>
      <c r="K651"/>
      <c r="L651"/>
    </row>
    <row r="652" spans="1:42">
      <c r="B652"/>
      <c r="C652"/>
      <c r="E652"/>
      <c r="F652"/>
      <c r="G652"/>
      <c r="H652"/>
      <c r="I652"/>
      <c r="J652"/>
      <c r="K652"/>
      <c r="L652"/>
    </row>
    <row r="653" spans="1:42">
      <c r="B653"/>
      <c r="C653"/>
      <c r="E653"/>
      <c r="F653"/>
      <c r="G653"/>
      <c r="H653"/>
      <c r="I653"/>
      <c r="J653"/>
      <c r="K653"/>
      <c r="L653"/>
    </row>
    <row r="654" spans="1:42">
      <c r="B654"/>
      <c r="C654"/>
      <c r="E654"/>
      <c r="F654"/>
      <c r="G654"/>
      <c r="H654"/>
      <c r="I654"/>
      <c r="J654"/>
      <c r="K654"/>
      <c r="L654"/>
    </row>
    <row r="655" spans="1:42">
      <c r="B655"/>
      <c r="C655"/>
      <c r="E655"/>
      <c r="F655"/>
      <c r="G655"/>
      <c r="H655"/>
      <c r="I655"/>
      <c r="J655"/>
      <c r="K655"/>
      <c r="L655"/>
    </row>
    <row r="656" spans="1:42">
      <c r="B656"/>
      <c r="C656"/>
      <c r="E656"/>
      <c r="F656"/>
      <c r="G656"/>
      <c r="H656"/>
      <c r="I656"/>
      <c r="J656"/>
      <c r="K656"/>
      <c r="L656"/>
    </row>
    <row r="657" spans="2:12">
      <c r="B657"/>
      <c r="C657"/>
      <c r="E657"/>
      <c r="F657"/>
      <c r="G657"/>
      <c r="H657"/>
      <c r="I657"/>
      <c r="J657"/>
      <c r="K657"/>
      <c r="L657"/>
    </row>
    <row r="658" spans="2:12">
      <c r="B658"/>
      <c r="C658"/>
      <c r="E658"/>
      <c r="F658"/>
      <c r="G658"/>
      <c r="H658"/>
      <c r="I658"/>
      <c r="J658"/>
      <c r="K658"/>
      <c r="L658"/>
    </row>
    <row r="659" spans="2:12">
      <c r="B659"/>
      <c r="C659"/>
      <c r="E659"/>
      <c r="F659"/>
      <c r="G659"/>
      <c r="H659"/>
      <c r="I659"/>
      <c r="J659"/>
      <c r="K659"/>
      <c r="L659"/>
    </row>
  </sheetData>
  <sheetProtection algorithmName="SHA-512" hashValue="YCdofgayZ00JB1WdiZGiVmW+2qUPxGtpqCLKHMXiVmLLgaMaBfSHBTlzpf1CbQOV7Indru8bC5RqbErfeTz5Vw==" saltValue="IRp2Hi65JRunDIWHLIp2kg==" spinCount="100000" sheet="1" objects="1" scenarios="1"/>
  <conditionalFormatting sqref="R12">
    <cfRule type="cellIs" dxfId="7" priority="3" operator="equal">
      <formula>1</formula>
    </cfRule>
  </conditionalFormatting>
  <conditionalFormatting sqref="P476:P478 R476:Z478">
    <cfRule type="cellIs" dxfId="6" priority="2" operator="notEqual">
      <formula>TRUE</formula>
    </cfRule>
  </conditionalFormatting>
  <conditionalFormatting sqref="P475 R475:Z475">
    <cfRule type="cellIs" dxfId="5" priority="1" operator="notEqual">
      <formula>TRUE</formula>
    </cfRule>
  </conditionalFormatting>
  <hyperlinks>
    <hyperlink ref="AS461" r:id="rId1" xr:uid="{AD7D8740-646A-4EF2-9875-8BAD3E1415A7}"/>
    <hyperlink ref="AS482" r:id="rId2" xr:uid="{EA1E3A9A-4619-4333-93D4-4234E3831EB9}"/>
  </hyperlinks>
  <pageMargins left="0.25" right="0.25" top="0.25" bottom="0.25" header="0" footer="0"/>
  <pageSetup scale="53" orientation="landscape" horizontalDpi="300" verticalDpi="300"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E7A8A-0C3A-43AA-800A-77125BEC952D}">
  <sheetPr codeName="Sheet4">
    <outlinePr summaryBelow="0"/>
    <pageSetUpPr autoPageBreaks="0"/>
  </sheetPr>
  <dimension ref="B1:T178"/>
  <sheetViews>
    <sheetView showGridLines="0" zoomScale="80" zoomScaleNormal="80" workbookViewId="0">
      <pane ySplit="20" topLeftCell="A21" activePane="bottomLeft" state="frozen"/>
      <selection activeCell="N25" sqref="N25:O26"/>
      <selection pane="bottomLeft" activeCell="T48" sqref="T48"/>
    </sheetView>
  </sheetViews>
  <sheetFormatPr defaultColWidth="12.453125" defaultRowHeight="14.5" outlineLevelRow="1"/>
  <cols>
    <col min="1" max="1" width="1.7265625" style="3" customWidth="1"/>
    <col min="2" max="2" width="12.54296875" style="3" customWidth="1"/>
    <col min="3" max="3" width="12.54296875" style="168" customWidth="1"/>
    <col min="4" max="6" width="12.54296875" style="3" customWidth="1"/>
    <col min="7" max="7" width="13.81640625" style="3" customWidth="1"/>
    <col min="8" max="8" width="13.453125" style="3" customWidth="1"/>
    <col min="9" max="9" width="13.54296875" style="3" customWidth="1"/>
    <col min="10" max="20" width="12.54296875" style="3" customWidth="1"/>
    <col min="21" max="24" width="10.81640625" style="3" customWidth="1"/>
    <col min="25" max="16384" width="12.453125" style="3"/>
  </cols>
  <sheetData>
    <row r="1" spans="2:20" ht="7.5" customHeight="1">
      <c r="D1" s="1"/>
      <c r="F1" s="11"/>
    </row>
    <row r="2" spans="2:20" ht="17">
      <c r="B2" s="270" t="s">
        <v>143</v>
      </c>
      <c r="C2" s="6"/>
      <c r="D2" s="1"/>
      <c r="F2" s="11"/>
    </row>
    <row r="3" spans="2:20" ht="6.65" customHeight="1" thickBot="1">
      <c r="B3" s="270"/>
      <c r="C3" s="6"/>
      <c r="D3" s="1"/>
      <c r="F3" s="11"/>
    </row>
    <row r="4" spans="2:20" ht="6.5" customHeight="1">
      <c r="B4" s="249"/>
      <c r="C4" s="271"/>
      <c r="D4" s="272"/>
      <c r="E4" s="249"/>
      <c r="F4" s="273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</row>
    <row r="5" spans="2:20" ht="13.5" customHeight="1">
      <c r="B5" s="1291" t="s">
        <v>139</v>
      </c>
      <c r="C5" s="220"/>
      <c r="D5" s="379"/>
      <c r="E5" s="150"/>
      <c r="F5" s="11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</row>
    <row r="6" spans="2:20" outlineLevel="1">
      <c r="B6" s="191" t="s">
        <v>157</v>
      </c>
      <c r="D6" s="603">
        <f>closing_date</f>
        <v>44775</v>
      </c>
      <c r="E6" s="150"/>
      <c r="F6" s="11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</row>
    <row r="7" spans="2:20" outlineLevel="1"/>
    <row r="8" spans="2:20" outlineLevel="1">
      <c r="B8" s="62" t="s">
        <v>329</v>
      </c>
      <c r="D8" s="1289">
        <f ca="1">INDEX(HoldCo!$E$100:$E$105,MATCH($B8,HoldCo!$C$100:$C$105,0),(MATCH("Model",HoldCo!$E$67,0)))</f>
        <v>10</v>
      </c>
      <c r="E8" s="334"/>
      <c r="F8" s="3" t="s">
        <v>144</v>
      </c>
      <c r="H8" s="209">
        <f>HoldCo!$L$12*1000</f>
        <v>1000000</v>
      </c>
      <c r="J8" s="1" t="s">
        <v>145</v>
      </c>
      <c r="N8" s="1" t="s">
        <v>148</v>
      </c>
    </row>
    <row r="9" spans="2:20" outlineLevel="1">
      <c r="B9" s="3" t="s">
        <v>80</v>
      </c>
      <c r="D9" s="1290">
        <f ca="1">INDEX(HoldCo!$E$100:$E$105,MATCH($B9,HoldCo!$C$100:$C$105,0),(MATCH("Model",HoldCo!$E$67,0)))</f>
        <v>0.5</v>
      </c>
      <c r="E9" s="334"/>
      <c r="F9" s="192" t="s">
        <v>70</v>
      </c>
      <c r="H9" s="47">
        <f ca="1">INDEX(HoldCo!$E$100:$E$105,MATCH($F9,HoldCo!$C$100:$C$105,0),(MATCH("Model",HoldCo!$E$67,0)))</f>
        <v>0.85</v>
      </c>
      <c r="J9" s="193" t="s">
        <v>146</v>
      </c>
      <c r="K9" s="187"/>
      <c r="L9" s="194">
        <f ca="1">($D$13*$H$10)/$D$11</f>
        <v>4327.916666666667</v>
      </c>
      <c r="N9" s="193" t="s">
        <v>76</v>
      </c>
      <c r="O9" s="187"/>
      <c r="P9" s="28">
        <f ca="1">PRODUCT($D$11,$L$9)</f>
        <v>51935</v>
      </c>
    </row>
    <row r="10" spans="2:20" outlineLevel="1">
      <c r="B10" s="3" t="s">
        <v>77</v>
      </c>
      <c r="D10" s="1289">
        <f ca="1">INDEX(HoldCo!$E$100:$E$105,MATCH($B10,HoldCo!$C$100:$C$105,0),(MATCH("MOdel",HoldCo!$E$67,0)))</f>
        <v>20</v>
      </c>
      <c r="E10" s="334"/>
      <c r="F10" s="7" t="s">
        <v>147</v>
      </c>
      <c r="G10" s="7"/>
      <c r="H10" s="274">
        <f ca="1">PRODUCT(H8:H9)</f>
        <v>850000</v>
      </c>
      <c r="J10" s="192" t="s">
        <v>78</v>
      </c>
      <c r="L10" s="10">
        <f ca="1">-PMT(($D$13/$D$11),($D$10*$D$11),$H$10)</f>
        <v>6143.7275590613826</v>
      </c>
      <c r="N10" s="206" t="s">
        <v>78</v>
      </c>
      <c r="O10" s="207"/>
      <c r="P10" s="208">
        <f ca="1">PRODUCT($D$11,$L$10)</f>
        <v>73724.730708736592</v>
      </c>
    </row>
    <row r="11" spans="2:20" outlineLevel="1">
      <c r="B11" s="3" t="s">
        <v>79</v>
      </c>
      <c r="D11" s="209">
        <f ca="1">INDEX(HoldCo!$E$100:$E$105,MATCH($B11,HoldCo!$C$100:$C$105,0),(MATCH("MOdel",HoldCo!$E$67,0)))</f>
        <v>12</v>
      </c>
      <c r="E11" s="334"/>
    </row>
    <row r="12" spans="2:20" outlineLevel="1">
      <c r="C12" s="3"/>
      <c r="F12" s="3" t="s">
        <v>71</v>
      </c>
      <c r="H12" s="29">
        <f ca="1">MAX(SUM($H$8,-$H$10),0)</f>
        <v>150000</v>
      </c>
      <c r="J12" s="1" t="s">
        <v>245</v>
      </c>
    </row>
    <row r="13" spans="2:20" outlineLevel="1">
      <c r="B13" s="3" t="s">
        <v>75</v>
      </c>
      <c r="D13" s="49">
        <f>_xlfn.XLOOKUP($B$5,HoldCo!$C$56:$C$62,HoldCo!$N$56:$N$62,0)</f>
        <v>6.1100000000000002E-2</v>
      </c>
      <c r="F13" s="3" t="s">
        <v>72</v>
      </c>
      <c r="H13" s="29">
        <f ca="1">(SUM(D15:D16)*H10)</f>
        <v>0</v>
      </c>
      <c r="J13" s="187"/>
      <c r="K13" s="204">
        <v>1</v>
      </c>
      <c r="L13" s="205">
        <f t="shared" ref="L13:P14" si="0">SUM(K13,1)</f>
        <v>2</v>
      </c>
      <c r="M13" s="205">
        <f t="shared" si="0"/>
        <v>3</v>
      </c>
      <c r="N13" s="205">
        <f t="shared" si="0"/>
        <v>4</v>
      </c>
      <c r="O13" s="205">
        <f t="shared" si="0"/>
        <v>5</v>
      </c>
      <c r="P13" s="205">
        <f t="shared" si="0"/>
        <v>6</v>
      </c>
      <c r="Q13" s="205">
        <f t="shared" ref="Q13:T14" si="1">SUM(P13,1)</f>
        <v>7</v>
      </c>
      <c r="R13" s="205">
        <f t="shared" si="1"/>
        <v>8</v>
      </c>
      <c r="S13" s="205">
        <f t="shared" si="1"/>
        <v>9</v>
      </c>
      <c r="T13" s="205">
        <f t="shared" si="1"/>
        <v>10</v>
      </c>
    </row>
    <row r="14" spans="2:20" outlineLevel="1">
      <c r="C14" s="3"/>
      <c r="F14" s="187" t="s">
        <v>149</v>
      </c>
      <c r="G14" s="187"/>
      <c r="H14" s="34">
        <f ca="1">SUM(H12:H13)</f>
        <v>150000</v>
      </c>
      <c r="K14" s="457">
        <f>YEAR($D$6)</f>
        <v>2022</v>
      </c>
      <c r="L14" s="457">
        <f t="shared" si="0"/>
        <v>2023</v>
      </c>
      <c r="M14" s="457">
        <f t="shared" si="0"/>
        <v>2024</v>
      </c>
      <c r="N14" s="457">
        <f t="shared" si="0"/>
        <v>2025</v>
      </c>
      <c r="O14" s="457">
        <f t="shared" si="0"/>
        <v>2026</v>
      </c>
      <c r="P14" s="457">
        <f t="shared" si="0"/>
        <v>2027</v>
      </c>
      <c r="Q14" s="457">
        <f t="shared" si="1"/>
        <v>2028</v>
      </c>
      <c r="R14" s="457">
        <f t="shared" si="1"/>
        <v>2029</v>
      </c>
      <c r="S14" s="457">
        <f t="shared" si="1"/>
        <v>2030</v>
      </c>
      <c r="T14" s="457">
        <f t="shared" si="1"/>
        <v>2031</v>
      </c>
    </row>
    <row r="15" spans="2:20" outlineLevel="1">
      <c r="B15" s="3" t="s">
        <v>178</v>
      </c>
      <c r="D15" s="49">
        <f>_xlfn.XLOOKUP($B$5,HoldCo!$C$56:$C$62,HoldCo!$G$56:$G$62,0)</f>
        <v>0</v>
      </c>
      <c r="J15" s="26" t="s">
        <v>84</v>
      </c>
      <c r="K15" s="1293">
        <f t="shared" ref="K15:T15" ca="1" si="2">SUMIF($C$22:$C$141,K$14,$G$22:$G$141)</f>
        <v>21639.583333333336</v>
      </c>
      <c r="L15" s="1293">
        <f t="shared" ca="1" si="2"/>
        <v>51418.650247942467</v>
      </c>
      <c r="M15" s="1293">
        <f t="shared" ca="1" si="2"/>
        <v>50026.703266647724</v>
      </c>
      <c r="N15" s="1293">
        <f t="shared" ca="1" si="2"/>
        <v>48537.509022495637</v>
      </c>
      <c r="O15" s="1293">
        <f t="shared" ca="1" si="2"/>
        <v>46954.733171088046</v>
      </c>
      <c r="P15" s="1293">
        <f t="shared" ca="1" si="2"/>
        <v>45272.495003947246</v>
      </c>
      <c r="Q15" s="1293">
        <f t="shared" ca="1" si="2"/>
        <v>43484.54426634375</v>
      </c>
      <c r="R15" s="1293">
        <f t="shared" ca="1" si="2"/>
        <v>41584.237934850687</v>
      </c>
      <c r="S15" s="1293">
        <f t="shared" ca="1" si="2"/>
        <v>39564.515535589933</v>
      </c>
      <c r="T15" s="1293">
        <f t="shared" ca="1" si="2"/>
        <v>37417.87291146598</v>
      </c>
    </row>
    <row r="16" spans="2:20" outlineLevel="1">
      <c r="B16" s="3" t="s">
        <v>197</v>
      </c>
      <c r="D16" s="9">
        <v>0</v>
      </c>
      <c r="F16" s="3" t="s">
        <v>74</v>
      </c>
      <c r="H16" s="30">
        <v>0</v>
      </c>
      <c r="J16" s="26" t="s">
        <v>85</v>
      </c>
      <c r="K16" s="1293">
        <f t="shared" ref="K16:T16" ca="1" si="3">SUMIF($C$22:$C$141,K$14,$H$22:$H$141)</f>
        <v>0</v>
      </c>
      <c r="L16" s="1293">
        <f t="shared" ca="1" si="3"/>
        <v>20490.269568399406</v>
      </c>
      <c r="M16" s="1293">
        <f t="shared" ca="1" si="3"/>
        <v>23698.027442088867</v>
      </c>
      <c r="N16" s="1293">
        <f t="shared" ca="1" si="3"/>
        <v>25187.221686240959</v>
      </c>
      <c r="O16" s="1293">
        <f t="shared" ca="1" si="3"/>
        <v>26769.997537648553</v>
      </c>
      <c r="P16" s="1293">
        <f t="shared" ca="1" si="3"/>
        <v>28452.235704789342</v>
      </c>
      <c r="Q16" s="1293">
        <f t="shared" ca="1" si="3"/>
        <v>30240.186442392842</v>
      </c>
      <c r="R16" s="1293">
        <f t="shared" ca="1" si="3"/>
        <v>32140.492773885897</v>
      </c>
      <c r="S16" s="1293">
        <f t="shared" ca="1" si="3"/>
        <v>34160.215173146658</v>
      </c>
      <c r="T16" s="1293">
        <f t="shared" ca="1" si="3"/>
        <v>36306.857797270612</v>
      </c>
    </row>
    <row r="17" spans="2:20" outlineLevel="1">
      <c r="B17" s="187" t="s">
        <v>81</v>
      </c>
      <c r="C17" s="196"/>
      <c r="D17" s="31">
        <f ca="1">IRR($K$21:$K$141)*$D$11</f>
        <v>6.1099999999997934E-2</v>
      </c>
      <c r="F17" s="3" t="s">
        <v>150</v>
      </c>
      <c r="H17" s="195" cm="1">
        <f t="array" aca="1" ref="H17" ca="1">INDEX($I$22:$I$141,($D$8*$D$11))</f>
        <v>570330.86553094711</v>
      </c>
      <c r="J17" s="1518" t="s">
        <v>246</v>
      </c>
      <c r="K17" s="1519">
        <f t="shared" ref="K17:T17" ca="1" si="4">K16/$H$10</f>
        <v>0</v>
      </c>
      <c r="L17" s="1519">
        <f t="shared" ca="1" si="4"/>
        <v>2.4106199492234595E-2</v>
      </c>
      <c r="M17" s="1519">
        <f t="shared" ca="1" si="4"/>
        <v>2.7880032284810431E-2</v>
      </c>
      <c r="N17" s="1519">
        <f t="shared" ca="1" si="4"/>
        <v>2.9632025513224657E-2</v>
      </c>
      <c r="O17" s="1519">
        <f t="shared" ca="1" si="4"/>
        <v>3.1494114750174766E-2</v>
      </c>
      <c r="P17" s="1519">
        <f t="shared" ca="1" si="4"/>
        <v>3.3473218476222755E-2</v>
      </c>
      <c r="Q17" s="1519">
        <f t="shared" ca="1" si="4"/>
        <v>3.5576689932226874E-2</v>
      </c>
      <c r="R17" s="1519">
        <f t="shared" ca="1" si="4"/>
        <v>3.781234443986576E-2</v>
      </c>
      <c r="S17" s="1519">
        <f t="shared" ca="1" si="4"/>
        <v>4.018848843899607E-2</v>
      </c>
      <c r="T17" s="1519">
        <f t="shared" ca="1" si="4"/>
        <v>4.2713950349730134E-2</v>
      </c>
    </row>
    <row r="18" spans="2:20" outlineLevel="1"/>
    <row r="19" spans="2:20" outlineLevel="1">
      <c r="F19" s="9"/>
    </row>
    <row r="20" spans="2:20" s="13" customFormat="1">
      <c r="B20" s="26" t="s">
        <v>151</v>
      </c>
      <c r="C20" s="6" t="s">
        <v>152</v>
      </c>
      <c r="D20" s="6" t="s">
        <v>82</v>
      </c>
      <c r="E20" s="13" t="s">
        <v>153</v>
      </c>
      <c r="F20" s="13" t="s">
        <v>83</v>
      </c>
      <c r="G20" s="13" t="s">
        <v>84</v>
      </c>
      <c r="H20" s="13" t="s">
        <v>85</v>
      </c>
      <c r="I20" s="13" t="s">
        <v>86</v>
      </c>
      <c r="J20" s="13" t="s">
        <v>87</v>
      </c>
      <c r="K20" s="13" t="s">
        <v>88</v>
      </c>
      <c r="L20" s="13" t="s">
        <v>154</v>
      </c>
      <c r="M20" s="32"/>
      <c r="N20" s="32"/>
      <c r="O20" s="32"/>
      <c r="P20" s="32"/>
      <c r="Q20" s="32"/>
      <c r="R20" s="32"/>
      <c r="S20" s="32"/>
    </row>
    <row r="21" spans="2:20">
      <c r="B21" s="197"/>
      <c r="C21" s="198"/>
      <c r="D21" s="33">
        <v>0</v>
      </c>
      <c r="E21" s="197"/>
      <c r="F21" s="197"/>
      <c r="G21" s="197"/>
      <c r="H21" s="197"/>
      <c r="I21" s="197"/>
      <c r="J21" s="197"/>
      <c r="K21" s="199">
        <f ca="1">(($D$15+$D$16)*$H$10)-$H$10</f>
        <v>-850000</v>
      </c>
      <c r="L21" s="199">
        <f ca="1">$H$10</f>
        <v>850000</v>
      </c>
      <c r="M21" s="57"/>
      <c r="N21" s="57"/>
      <c r="O21" s="57"/>
      <c r="P21" s="57"/>
      <c r="Q21" s="57"/>
      <c r="R21" s="57"/>
      <c r="S21" s="57"/>
    </row>
    <row r="22" spans="2:20">
      <c r="B22" s="200">
        <f>$D$6</f>
        <v>44775</v>
      </c>
      <c r="C22" s="196">
        <f>YEAR(B22)</f>
        <v>2022</v>
      </c>
      <c r="D22" s="196">
        <f t="shared" ref="D22:D53" ca="1" si="5">IF(OR($D21="",D21=$D$8*$D$11,$L21=0),"",$D21+1)</f>
        <v>1</v>
      </c>
      <c r="E22" s="201">
        <f ca="1">IF(D22="","",L21)</f>
        <v>850000</v>
      </c>
      <c r="F22" s="201">
        <f t="shared" ref="F22:F53" ca="1" si="6">IF(D22="","",MIN(E22+G22,(D22&lt;=($D$9*$D$11))*$L$9+(D22&gt;($D$9*$D$11))*$L$10))</f>
        <v>4327.916666666667</v>
      </c>
      <c r="G22" s="201">
        <f t="shared" ref="G22:G53" ca="1" si="7">IF(D22="","",((E22*$D$13)/$D$11))</f>
        <v>4327.916666666667</v>
      </c>
      <c r="H22" s="34">
        <f ca="1">IF(D22="","",F22-G22)</f>
        <v>0</v>
      </c>
      <c r="I22" s="34">
        <f t="shared" ref="I22:I53" ca="1" si="8">IF($D22="","",($D22=$D$8*$D$11)*($E22-$H22-$J22))</f>
        <v>0</v>
      </c>
      <c r="J22" s="34">
        <f t="shared" ref="J22:J53" ca="1" si="9">IF($D22="","",MIN($H$16,$E22-$H22))</f>
        <v>0</v>
      </c>
      <c r="K22" s="201">
        <f ca="1">IF($D22="","",SUM($G22:$J22))</f>
        <v>4327.916666666667</v>
      </c>
      <c r="L22" s="201">
        <f ca="1">IF($D22="","",$E22-$H22-$I22-$J22)</f>
        <v>850000</v>
      </c>
      <c r="M22" s="57"/>
      <c r="N22" s="57"/>
      <c r="O22" s="57"/>
      <c r="P22" s="57"/>
      <c r="Q22" s="57"/>
      <c r="R22" s="57"/>
      <c r="S22" s="57"/>
    </row>
    <row r="23" spans="2:20">
      <c r="B23" s="202">
        <f>EDATE(B22,1)</f>
        <v>44806</v>
      </c>
      <c r="C23" s="168">
        <f>YEAR(B23)</f>
        <v>2022</v>
      </c>
      <c r="D23" s="168">
        <f t="shared" ca="1" si="5"/>
        <v>2</v>
      </c>
      <c r="E23" s="203">
        <f t="shared" ref="E23:E86" ca="1" si="10">IF(D23="","",L22)</f>
        <v>850000</v>
      </c>
      <c r="F23" s="203">
        <f t="shared" ca="1" si="6"/>
        <v>4327.916666666667</v>
      </c>
      <c r="G23" s="203">
        <f t="shared" ca="1" si="7"/>
        <v>4327.916666666667</v>
      </c>
      <c r="H23" s="29">
        <f t="shared" ref="H23:H86" ca="1" si="11">IF(D23="","",F23-G23)</f>
        <v>0</v>
      </c>
      <c r="I23" s="29">
        <f t="shared" ca="1" si="8"/>
        <v>0</v>
      </c>
      <c r="J23" s="29">
        <f t="shared" ca="1" si="9"/>
        <v>0</v>
      </c>
      <c r="K23" s="203">
        <f t="shared" ref="K23:K86" ca="1" si="12">IF($D23="","",SUM($G23:$J23))</f>
        <v>4327.916666666667</v>
      </c>
      <c r="L23" s="203">
        <f t="shared" ref="L23:L86" ca="1" si="13">IF($D23="","",$E23-$H23-$I23-$J23)</f>
        <v>850000</v>
      </c>
    </row>
    <row r="24" spans="2:20">
      <c r="B24" s="202">
        <f t="shared" ref="B24:B87" si="14">EDATE(B23,1)</f>
        <v>44836</v>
      </c>
      <c r="C24" s="168">
        <f t="shared" ref="C24:C87" si="15">YEAR(B24)</f>
        <v>2022</v>
      </c>
      <c r="D24" s="168">
        <f t="shared" ca="1" si="5"/>
        <v>3</v>
      </c>
      <c r="E24" s="203">
        <f t="shared" ca="1" si="10"/>
        <v>850000</v>
      </c>
      <c r="F24" s="203">
        <f t="shared" ca="1" si="6"/>
        <v>4327.916666666667</v>
      </c>
      <c r="G24" s="203">
        <f t="shared" ca="1" si="7"/>
        <v>4327.916666666667</v>
      </c>
      <c r="H24" s="29">
        <f t="shared" ca="1" si="11"/>
        <v>0</v>
      </c>
      <c r="I24" s="29">
        <f t="shared" ca="1" si="8"/>
        <v>0</v>
      </c>
      <c r="J24" s="29">
        <f t="shared" ca="1" si="9"/>
        <v>0</v>
      </c>
      <c r="K24" s="203">
        <f t="shared" ca="1" si="12"/>
        <v>4327.916666666667</v>
      </c>
      <c r="L24" s="203">
        <f t="shared" ca="1" si="13"/>
        <v>850000</v>
      </c>
    </row>
    <row r="25" spans="2:20">
      <c r="B25" s="202">
        <f t="shared" si="14"/>
        <v>44867</v>
      </c>
      <c r="C25" s="168">
        <f t="shared" si="15"/>
        <v>2022</v>
      </c>
      <c r="D25" s="168">
        <f t="shared" ca="1" si="5"/>
        <v>4</v>
      </c>
      <c r="E25" s="203">
        <f t="shared" ca="1" si="10"/>
        <v>850000</v>
      </c>
      <c r="F25" s="203">
        <f t="shared" ca="1" si="6"/>
        <v>4327.916666666667</v>
      </c>
      <c r="G25" s="203">
        <f t="shared" ca="1" si="7"/>
        <v>4327.916666666667</v>
      </c>
      <c r="H25" s="29">
        <f t="shared" ca="1" si="11"/>
        <v>0</v>
      </c>
      <c r="I25" s="29">
        <f t="shared" ca="1" si="8"/>
        <v>0</v>
      </c>
      <c r="J25" s="29">
        <f t="shared" ca="1" si="9"/>
        <v>0</v>
      </c>
      <c r="K25" s="203">
        <f t="shared" ca="1" si="12"/>
        <v>4327.916666666667</v>
      </c>
      <c r="L25" s="203">
        <f t="shared" ca="1" si="13"/>
        <v>850000</v>
      </c>
    </row>
    <row r="26" spans="2:20">
      <c r="B26" s="202">
        <f t="shared" si="14"/>
        <v>44897</v>
      </c>
      <c r="C26" s="168">
        <f t="shared" si="15"/>
        <v>2022</v>
      </c>
      <c r="D26" s="168">
        <f t="shared" ca="1" si="5"/>
        <v>5</v>
      </c>
      <c r="E26" s="203">
        <f t="shared" ca="1" si="10"/>
        <v>850000</v>
      </c>
      <c r="F26" s="203">
        <f t="shared" ca="1" si="6"/>
        <v>4327.916666666667</v>
      </c>
      <c r="G26" s="203">
        <f t="shared" ca="1" si="7"/>
        <v>4327.916666666667</v>
      </c>
      <c r="H26" s="29">
        <f ca="1">IF(D26="","",F26-G26)</f>
        <v>0</v>
      </c>
      <c r="I26" s="29">
        <f t="shared" ca="1" si="8"/>
        <v>0</v>
      </c>
      <c r="J26" s="29">
        <f t="shared" ca="1" si="9"/>
        <v>0</v>
      </c>
      <c r="K26" s="203">
        <f t="shared" ca="1" si="12"/>
        <v>4327.916666666667</v>
      </c>
      <c r="L26" s="203">
        <f t="shared" ca="1" si="13"/>
        <v>850000</v>
      </c>
    </row>
    <row r="27" spans="2:20">
      <c r="B27" s="202">
        <f t="shared" si="14"/>
        <v>44928</v>
      </c>
      <c r="C27" s="168">
        <f t="shared" si="15"/>
        <v>2023</v>
      </c>
      <c r="D27" s="168">
        <f t="shared" ca="1" si="5"/>
        <v>6</v>
      </c>
      <c r="E27" s="203">
        <f t="shared" ca="1" si="10"/>
        <v>850000</v>
      </c>
      <c r="F27" s="203">
        <f t="shared" ca="1" si="6"/>
        <v>4327.916666666667</v>
      </c>
      <c r="G27" s="203">
        <f t="shared" ca="1" si="7"/>
        <v>4327.916666666667</v>
      </c>
      <c r="H27" s="29">
        <f t="shared" ca="1" si="11"/>
        <v>0</v>
      </c>
      <c r="I27" s="29">
        <f ca="1">IF($D27="","",($D27=$D$8*$D$11)*($E27-$H27-$J27))</f>
        <v>0</v>
      </c>
      <c r="J27" s="29">
        <f t="shared" ca="1" si="9"/>
        <v>0</v>
      </c>
      <c r="K27" s="203">
        <f t="shared" ca="1" si="12"/>
        <v>4327.916666666667</v>
      </c>
      <c r="L27" s="203">
        <f t="shared" ca="1" si="13"/>
        <v>850000</v>
      </c>
    </row>
    <row r="28" spans="2:20">
      <c r="B28" s="202">
        <f t="shared" si="14"/>
        <v>44959</v>
      </c>
      <c r="C28" s="168">
        <f t="shared" si="15"/>
        <v>2023</v>
      </c>
      <c r="D28" s="168">
        <f t="shared" ca="1" si="5"/>
        <v>7</v>
      </c>
      <c r="E28" s="203">
        <f t="shared" ca="1" si="10"/>
        <v>850000</v>
      </c>
      <c r="F28" s="203">
        <f t="shared" ca="1" si="6"/>
        <v>6143.7275590613826</v>
      </c>
      <c r="G28" s="203">
        <f t="shared" ca="1" si="7"/>
        <v>4327.916666666667</v>
      </c>
      <c r="H28" s="29">
        <f t="shared" ca="1" si="11"/>
        <v>1815.8108923947157</v>
      </c>
      <c r="I28" s="29">
        <f t="shared" ca="1" si="8"/>
        <v>0</v>
      </c>
      <c r="J28" s="29">
        <f t="shared" ca="1" si="9"/>
        <v>0</v>
      </c>
      <c r="K28" s="203">
        <f t="shared" ca="1" si="12"/>
        <v>6143.7275590613826</v>
      </c>
      <c r="L28" s="203">
        <f t="shared" ca="1" si="13"/>
        <v>848184.18910760526</v>
      </c>
    </row>
    <row r="29" spans="2:20">
      <c r="B29" s="202">
        <f t="shared" si="14"/>
        <v>44987</v>
      </c>
      <c r="C29" s="168">
        <f t="shared" si="15"/>
        <v>2023</v>
      </c>
      <c r="D29" s="168">
        <f t="shared" ca="1" si="5"/>
        <v>8</v>
      </c>
      <c r="E29" s="203">
        <f t="shared" ca="1" si="10"/>
        <v>848184.18910760526</v>
      </c>
      <c r="F29" s="203">
        <f t="shared" ca="1" si="6"/>
        <v>6143.7275590613826</v>
      </c>
      <c r="G29" s="203">
        <f t="shared" ca="1" si="7"/>
        <v>4318.6711628728899</v>
      </c>
      <c r="H29" s="29">
        <f t="shared" ca="1" si="11"/>
        <v>1825.0563961884927</v>
      </c>
      <c r="I29" s="29">
        <f t="shared" ca="1" si="8"/>
        <v>0</v>
      </c>
      <c r="J29" s="29">
        <f t="shared" ca="1" si="9"/>
        <v>0</v>
      </c>
      <c r="K29" s="203">
        <f t="shared" ca="1" si="12"/>
        <v>6143.7275590613826</v>
      </c>
      <c r="L29" s="203">
        <f t="shared" ca="1" si="13"/>
        <v>846359.13271141681</v>
      </c>
    </row>
    <row r="30" spans="2:20">
      <c r="B30" s="202">
        <f t="shared" si="14"/>
        <v>45018</v>
      </c>
      <c r="C30" s="168">
        <f t="shared" si="15"/>
        <v>2023</v>
      </c>
      <c r="D30" s="168">
        <f t="shared" ca="1" si="5"/>
        <v>9</v>
      </c>
      <c r="E30" s="203">
        <f t="shared" ca="1" si="10"/>
        <v>846359.13271141681</v>
      </c>
      <c r="F30" s="203">
        <f t="shared" ca="1" si="6"/>
        <v>6143.7275590613826</v>
      </c>
      <c r="G30" s="203">
        <f t="shared" ca="1" si="7"/>
        <v>4309.3785840556311</v>
      </c>
      <c r="H30" s="29">
        <f t="shared" ca="1" si="11"/>
        <v>1834.3489750057515</v>
      </c>
      <c r="I30" s="29">
        <f t="shared" ca="1" si="8"/>
        <v>0</v>
      </c>
      <c r="J30" s="29">
        <f t="shared" ca="1" si="9"/>
        <v>0</v>
      </c>
      <c r="K30" s="203">
        <f t="shared" ca="1" si="12"/>
        <v>6143.7275590613826</v>
      </c>
      <c r="L30" s="203">
        <f t="shared" ca="1" si="13"/>
        <v>844524.78373641102</v>
      </c>
    </row>
    <row r="31" spans="2:20">
      <c r="B31" s="202">
        <f t="shared" si="14"/>
        <v>45048</v>
      </c>
      <c r="C31" s="168">
        <f t="shared" si="15"/>
        <v>2023</v>
      </c>
      <c r="D31" s="168">
        <f t="shared" ca="1" si="5"/>
        <v>10</v>
      </c>
      <c r="E31" s="203">
        <f t="shared" ca="1" si="10"/>
        <v>844524.78373641102</v>
      </c>
      <c r="F31" s="203">
        <f t="shared" ca="1" si="6"/>
        <v>6143.7275590613826</v>
      </c>
      <c r="G31" s="203">
        <f t="shared" ca="1" si="7"/>
        <v>4300.0386905245596</v>
      </c>
      <c r="H31" s="29">
        <f t="shared" ca="1" si="11"/>
        <v>1843.6888685368231</v>
      </c>
      <c r="I31" s="29">
        <f t="shared" ca="1" si="8"/>
        <v>0</v>
      </c>
      <c r="J31" s="29">
        <f t="shared" ca="1" si="9"/>
        <v>0</v>
      </c>
      <c r="K31" s="203">
        <f t="shared" ca="1" si="12"/>
        <v>6143.7275590613826</v>
      </c>
      <c r="L31" s="203">
        <f t="shared" ca="1" si="13"/>
        <v>842681.09486787417</v>
      </c>
    </row>
    <row r="32" spans="2:20">
      <c r="B32" s="202">
        <f t="shared" si="14"/>
        <v>45079</v>
      </c>
      <c r="C32" s="168">
        <f t="shared" si="15"/>
        <v>2023</v>
      </c>
      <c r="D32" s="168">
        <f t="shared" ca="1" si="5"/>
        <v>11</v>
      </c>
      <c r="E32" s="203">
        <f t="shared" ca="1" si="10"/>
        <v>842681.09486787417</v>
      </c>
      <c r="F32" s="203">
        <f t="shared" ca="1" si="6"/>
        <v>6143.7275590613826</v>
      </c>
      <c r="G32" s="203">
        <f t="shared" ca="1" si="7"/>
        <v>4290.6512413689261</v>
      </c>
      <c r="H32" s="29">
        <f t="shared" ca="1" si="11"/>
        <v>1853.0763176924565</v>
      </c>
      <c r="I32" s="29">
        <f t="shared" ca="1" si="8"/>
        <v>0</v>
      </c>
      <c r="J32" s="29">
        <f t="shared" ca="1" si="9"/>
        <v>0</v>
      </c>
      <c r="K32" s="203">
        <f t="shared" ca="1" si="12"/>
        <v>6143.7275590613826</v>
      </c>
      <c r="L32" s="203">
        <f t="shared" ca="1" si="13"/>
        <v>840828.01855018176</v>
      </c>
    </row>
    <row r="33" spans="2:12">
      <c r="B33" s="202">
        <f t="shared" si="14"/>
        <v>45109</v>
      </c>
      <c r="C33" s="168">
        <f t="shared" si="15"/>
        <v>2023</v>
      </c>
      <c r="D33" s="168">
        <f t="shared" ca="1" si="5"/>
        <v>12</v>
      </c>
      <c r="E33" s="203">
        <f t="shared" ca="1" si="10"/>
        <v>840828.01855018176</v>
      </c>
      <c r="F33" s="203">
        <f t="shared" ca="1" si="6"/>
        <v>6143.7275590613826</v>
      </c>
      <c r="G33" s="203">
        <f t="shared" ca="1" si="7"/>
        <v>4281.2159944513423</v>
      </c>
      <c r="H33" s="29">
        <f t="shared" ca="1" si="11"/>
        <v>1862.5115646100403</v>
      </c>
      <c r="I33" s="29">
        <f t="shared" ca="1" si="8"/>
        <v>0</v>
      </c>
      <c r="J33" s="29">
        <f t="shared" ca="1" si="9"/>
        <v>0</v>
      </c>
      <c r="K33" s="203">
        <f t="shared" ca="1" si="12"/>
        <v>6143.7275590613826</v>
      </c>
      <c r="L33" s="203">
        <f t="shared" ca="1" si="13"/>
        <v>838965.5069855717</v>
      </c>
    </row>
    <row r="34" spans="2:12">
      <c r="B34" s="202">
        <f t="shared" si="14"/>
        <v>45140</v>
      </c>
      <c r="C34" s="168">
        <f t="shared" si="15"/>
        <v>2023</v>
      </c>
      <c r="D34" s="168">
        <f t="shared" ca="1" si="5"/>
        <v>13</v>
      </c>
      <c r="E34" s="203">
        <f t="shared" ca="1" si="10"/>
        <v>838965.5069855717</v>
      </c>
      <c r="F34" s="203">
        <f t="shared" ca="1" si="6"/>
        <v>6143.7275590613826</v>
      </c>
      <c r="G34" s="203">
        <f t="shared" ca="1" si="7"/>
        <v>4271.7327064015362</v>
      </c>
      <c r="H34" s="203">
        <f t="shared" ca="1" si="11"/>
        <v>1871.9948526598464</v>
      </c>
      <c r="I34" s="29">
        <f t="shared" ca="1" si="8"/>
        <v>0</v>
      </c>
      <c r="J34" s="29">
        <f t="shared" ca="1" si="9"/>
        <v>0</v>
      </c>
      <c r="K34" s="203">
        <f t="shared" ca="1" si="12"/>
        <v>6143.7275590613826</v>
      </c>
      <c r="L34" s="203">
        <f t="shared" ca="1" si="13"/>
        <v>837093.51213291183</v>
      </c>
    </row>
    <row r="35" spans="2:12">
      <c r="B35" s="202">
        <f t="shared" si="14"/>
        <v>45171</v>
      </c>
      <c r="C35" s="168">
        <f t="shared" si="15"/>
        <v>2023</v>
      </c>
      <c r="D35" s="168">
        <f t="shared" ca="1" si="5"/>
        <v>14</v>
      </c>
      <c r="E35" s="203">
        <f t="shared" ca="1" si="10"/>
        <v>837093.51213291183</v>
      </c>
      <c r="F35" s="203">
        <f t="shared" ca="1" si="6"/>
        <v>6143.7275590613826</v>
      </c>
      <c r="G35" s="203">
        <f t="shared" ca="1" si="7"/>
        <v>4262.2011326100765</v>
      </c>
      <c r="H35" s="203">
        <f t="shared" ca="1" si="11"/>
        <v>1881.5264264513062</v>
      </c>
      <c r="I35" s="29">
        <f t="shared" ca="1" si="8"/>
        <v>0</v>
      </c>
      <c r="J35" s="29">
        <f t="shared" ca="1" si="9"/>
        <v>0</v>
      </c>
      <c r="K35" s="203">
        <f t="shared" ca="1" si="12"/>
        <v>6143.7275590613826</v>
      </c>
      <c r="L35" s="203">
        <f t="shared" ca="1" si="13"/>
        <v>835211.98570646055</v>
      </c>
    </row>
    <row r="36" spans="2:12">
      <c r="B36" s="202">
        <f t="shared" si="14"/>
        <v>45201</v>
      </c>
      <c r="C36" s="168">
        <f t="shared" si="15"/>
        <v>2023</v>
      </c>
      <c r="D36" s="168">
        <f t="shared" ca="1" si="5"/>
        <v>15</v>
      </c>
      <c r="E36" s="203">
        <f t="shared" ca="1" si="10"/>
        <v>835211.98570646055</v>
      </c>
      <c r="F36" s="203">
        <f t="shared" ca="1" si="6"/>
        <v>6143.7275590613826</v>
      </c>
      <c r="G36" s="203">
        <f t="shared" ca="1" si="7"/>
        <v>4252.6210272220615</v>
      </c>
      <c r="H36" s="203">
        <f t="shared" ca="1" si="11"/>
        <v>1891.1065318393212</v>
      </c>
      <c r="I36" s="29">
        <f t="shared" ca="1" si="8"/>
        <v>0</v>
      </c>
      <c r="J36" s="29">
        <f t="shared" ca="1" si="9"/>
        <v>0</v>
      </c>
      <c r="K36" s="203">
        <f t="shared" ca="1" si="12"/>
        <v>6143.7275590613826</v>
      </c>
      <c r="L36" s="203">
        <f t="shared" ca="1" si="13"/>
        <v>833320.87917462119</v>
      </c>
    </row>
    <row r="37" spans="2:12">
      <c r="B37" s="202">
        <f t="shared" si="14"/>
        <v>45232</v>
      </c>
      <c r="C37" s="168">
        <f t="shared" si="15"/>
        <v>2023</v>
      </c>
      <c r="D37" s="168">
        <f t="shared" ca="1" si="5"/>
        <v>16</v>
      </c>
      <c r="E37" s="203">
        <f t="shared" ca="1" si="10"/>
        <v>833320.87917462119</v>
      </c>
      <c r="F37" s="203">
        <f t="shared" ca="1" si="6"/>
        <v>6143.7275590613826</v>
      </c>
      <c r="G37" s="203">
        <f t="shared" ca="1" si="7"/>
        <v>4242.9921431307803</v>
      </c>
      <c r="H37" s="203">
        <f t="shared" ca="1" si="11"/>
        <v>1900.7354159306024</v>
      </c>
      <c r="I37" s="29">
        <f t="shared" ca="1" si="8"/>
        <v>0</v>
      </c>
      <c r="J37" s="29">
        <f t="shared" ca="1" si="9"/>
        <v>0</v>
      </c>
      <c r="K37" s="203">
        <f t="shared" ca="1" si="12"/>
        <v>6143.7275590613826</v>
      </c>
      <c r="L37" s="203">
        <f t="shared" ca="1" si="13"/>
        <v>831420.14375869057</v>
      </c>
    </row>
    <row r="38" spans="2:12">
      <c r="B38" s="202">
        <f t="shared" si="14"/>
        <v>45262</v>
      </c>
      <c r="C38" s="168">
        <f t="shared" si="15"/>
        <v>2023</v>
      </c>
      <c r="D38" s="168">
        <f t="shared" ca="1" si="5"/>
        <v>17</v>
      </c>
      <c r="E38" s="203">
        <f t="shared" ca="1" si="10"/>
        <v>831420.14375869057</v>
      </c>
      <c r="F38" s="203">
        <f t="shared" ca="1" si="6"/>
        <v>6143.7275590613826</v>
      </c>
      <c r="G38" s="203">
        <f t="shared" ca="1" si="7"/>
        <v>4233.3142319713324</v>
      </c>
      <c r="H38" s="203">
        <f t="shared" ca="1" si="11"/>
        <v>1910.4133270900502</v>
      </c>
      <c r="I38" s="29">
        <f t="shared" ca="1" si="8"/>
        <v>0</v>
      </c>
      <c r="J38" s="29">
        <f t="shared" ca="1" si="9"/>
        <v>0</v>
      </c>
      <c r="K38" s="203">
        <f t="shared" ca="1" si="12"/>
        <v>6143.7275590613826</v>
      </c>
      <c r="L38" s="203">
        <f t="shared" ca="1" si="13"/>
        <v>829509.73043160047</v>
      </c>
    </row>
    <row r="39" spans="2:12">
      <c r="B39" s="202">
        <f t="shared" si="14"/>
        <v>45293</v>
      </c>
      <c r="C39" s="168">
        <f t="shared" si="15"/>
        <v>2024</v>
      </c>
      <c r="D39" s="168">
        <f t="shared" ca="1" si="5"/>
        <v>18</v>
      </c>
      <c r="E39" s="203">
        <f t="shared" ca="1" si="10"/>
        <v>829509.73043160047</v>
      </c>
      <c r="F39" s="203">
        <f t="shared" ca="1" si="6"/>
        <v>6143.7275590613826</v>
      </c>
      <c r="G39" s="203">
        <f t="shared" ca="1" si="7"/>
        <v>4223.5870441142324</v>
      </c>
      <c r="H39" s="203">
        <f t="shared" ca="1" si="11"/>
        <v>1920.1405149471502</v>
      </c>
      <c r="I39" s="29">
        <f t="shared" ca="1" si="8"/>
        <v>0</v>
      </c>
      <c r="J39" s="29">
        <f t="shared" ca="1" si="9"/>
        <v>0</v>
      </c>
      <c r="K39" s="203">
        <f t="shared" ca="1" si="12"/>
        <v>6143.7275590613826</v>
      </c>
      <c r="L39" s="203">
        <f t="shared" ca="1" si="13"/>
        <v>827589.58991665335</v>
      </c>
    </row>
    <row r="40" spans="2:12">
      <c r="B40" s="202">
        <f t="shared" si="14"/>
        <v>45324</v>
      </c>
      <c r="C40" s="168">
        <f t="shared" si="15"/>
        <v>2024</v>
      </c>
      <c r="D40" s="168">
        <f t="shared" ca="1" si="5"/>
        <v>19</v>
      </c>
      <c r="E40" s="203">
        <f t="shared" ca="1" si="10"/>
        <v>827589.58991665335</v>
      </c>
      <c r="F40" s="203">
        <f t="shared" ca="1" si="6"/>
        <v>6143.7275590613826</v>
      </c>
      <c r="G40" s="203">
        <f t="shared" ca="1" si="7"/>
        <v>4213.8103286589603</v>
      </c>
      <c r="H40" s="203">
        <f t="shared" ca="1" si="11"/>
        <v>1929.9172304024223</v>
      </c>
      <c r="I40" s="29">
        <f t="shared" ca="1" si="8"/>
        <v>0</v>
      </c>
      <c r="J40" s="29">
        <f t="shared" ca="1" si="9"/>
        <v>0</v>
      </c>
      <c r="K40" s="203">
        <f t="shared" ca="1" si="12"/>
        <v>6143.7275590613826</v>
      </c>
      <c r="L40" s="203">
        <f t="shared" ca="1" si="13"/>
        <v>825659.67268625088</v>
      </c>
    </row>
    <row r="41" spans="2:12">
      <c r="B41" s="202">
        <f t="shared" si="14"/>
        <v>45353</v>
      </c>
      <c r="C41" s="168">
        <f t="shared" si="15"/>
        <v>2024</v>
      </c>
      <c r="D41" s="168">
        <f t="shared" ca="1" si="5"/>
        <v>20</v>
      </c>
      <c r="E41" s="203">
        <f t="shared" ca="1" si="10"/>
        <v>825659.67268625088</v>
      </c>
      <c r="F41" s="203">
        <f t="shared" ca="1" si="6"/>
        <v>6143.7275590613826</v>
      </c>
      <c r="G41" s="203">
        <f t="shared" ca="1" si="7"/>
        <v>4203.9838334274946</v>
      </c>
      <c r="H41" s="203">
        <f t="shared" ca="1" si="11"/>
        <v>1939.7437256338881</v>
      </c>
      <c r="I41" s="29">
        <f t="shared" ca="1" si="8"/>
        <v>0</v>
      </c>
      <c r="J41" s="29">
        <f t="shared" ca="1" si="9"/>
        <v>0</v>
      </c>
      <c r="K41" s="203">
        <f t="shared" ca="1" si="12"/>
        <v>6143.7275590613826</v>
      </c>
      <c r="L41" s="203">
        <f t="shared" ca="1" si="13"/>
        <v>823719.92896061705</v>
      </c>
    </row>
    <row r="42" spans="2:12">
      <c r="B42" s="202">
        <f t="shared" si="14"/>
        <v>45384</v>
      </c>
      <c r="C42" s="168">
        <f t="shared" si="15"/>
        <v>2024</v>
      </c>
      <c r="D42" s="168">
        <f t="shared" ca="1" si="5"/>
        <v>21</v>
      </c>
      <c r="E42" s="203">
        <f t="shared" ca="1" si="10"/>
        <v>823719.92896061705</v>
      </c>
      <c r="F42" s="203">
        <f t="shared" ca="1" si="6"/>
        <v>6143.7275590613826</v>
      </c>
      <c r="G42" s="203">
        <f t="shared" ca="1" si="7"/>
        <v>4194.107304957809</v>
      </c>
      <c r="H42" s="203">
        <f t="shared" ca="1" si="11"/>
        <v>1949.6202541035736</v>
      </c>
      <c r="I42" s="29">
        <f t="shared" ca="1" si="8"/>
        <v>0</v>
      </c>
      <c r="J42" s="29">
        <f t="shared" ca="1" si="9"/>
        <v>0</v>
      </c>
      <c r="K42" s="203">
        <f t="shared" ca="1" si="12"/>
        <v>6143.7275590613826</v>
      </c>
      <c r="L42" s="203">
        <f t="shared" ca="1" si="13"/>
        <v>821770.30870651349</v>
      </c>
    </row>
    <row r="43" spans="2:12">
      <c r="B43" s="202">
        <f t="shared" si="14"/>
        <v>45414</v>
      </c>
      <c r="C43" s="168">
        <f t="shared" si="15"/>
        <v>2024</v>
      </c>
      <c r="D43" s="168">
        <f t="shared" ca="1" si="5"/>
        <v>22</v>
      </c>
      <c r="E43" s="203">
        <f t="shared" ca="1" si="10"/>
        <v>821770.30870651349</v>
      </c>
      <c r="F43" s="203">
        <f t="shared" ca="1" si="6"/>
        <v>6143.7275590613826</v>
      </c>
      <c r="G43" s="203">
        <f t="shared" ca="1" si="7"/>
        <v>4184.1804884973308</v>
      </c>
      <c r="H43" s="203">
        <f t="shared" ca="1" si="11"/>
        <v>1959.5470705640519</v>
      </c>
      <c r="I43" s="29">
        <f t="shared" ca="1" si="8"/>
        <v>0</v>
      </c>
      <c r="J43" s="29">
        <f t="shared" ca="1" si="9"/>
        <v>0</v>
      </c>
      <c r="K43" s="203">
        <f t="shared" ca="1" si="12"/>
        <v>6143.7275590613826</v>
      </c>
      <c r="L43" s="203">
        <f t="shared" ca="1" si="13"/>
        <v>819810.76163594949</v>
      </c>
    </row>
    <row r="44" spans="2:12">
      <c r="B44" s="202">
        <f t="shared" si="14"/>
        <v>45445</v>
      </c>
      <c r="C44" s="168">
        <f t="shared" si="15"/>
        <v>2024</v>
      </c>
      <c r="D44" s="168">
        <f t="shared" ca="1" si="5"/>
        <v>23</v>
      </c>
      <c r="E44" s="203">
        <f t="shared" ca="1" si="10"/>
        <v>819810.76163594949</v>
      </c>
      <c r="F44" s="203">
        <f t="shared" ca="1" si="6"/>
        <v>6143.7275590613826</v>
      </c>
      <c r="G44" s="203">
        <f t="shared" ca="1" si="7"/>
        <v>4174.2031279963767</v>
      </c>
      <c r="H44" s="203">
        <f t="shared" ca="1" si="11"/>
        <v>1969.524431065006</v>
      </c>
      <c r="I44" s="29">
        <f t="shared" ca="1" si="8"/>
        <v>0</v>
      </c>
      <c r="J44" s="29">
        <f t="shared" ca="1" si="9"/>
        <v>0</v>
      </c>
      <c r="K44" s="203">
        <f t="shared" ca="1" si="12"/>
        <v>6143.7275590613826</v>
      </c>
      <c r="L44" s="203">
        <f t="shared" ca="1" si="13"/>
        <v>817841.23720488453</v>
      </c>
    </row>
    <row r="45" spans="2:12">
      <c r="B45" s="202">
        <f t="shared" si="14"/>
        <v>45475</v>
      </c>
      <c r="C45" s="168">
        <f t="shared" si="15"/>
        <v>2024</v>
      </c>
      <c r="D45" s="168">
        <f t="shared" ca="1" si="5"/>
        <v>24</v>
      </c>
      <c r="E45" s="203">
        <f t="shared" ca="1" si="10"/>
        <v>817841.23720488453</v>
      </c>
      <c r="F45" s="203">
        <f t="shared" ca="1" si="6"/>
        <v>6143.7275590613826</v>
      </c>
      <c r="G45" s="203">
        <f t="shared" ca="1" si="7"/>
        <v>4164.1749661015374</v>
      </c>
      <c r="H45" s="203">
        <f t="shared" ca="1" si="11"/>
        <v>1979.5525929598452</v>
      </c>
      <c r="I45" s="29">
        <f t="shared" ca="1" si="8"/>
        <v>0</v>
      </c>
      <c r="J45" s="29">
        <f t="shared" ca="1" si="9"/>
        <v>0</v>
      </c>
      <c r="K45" s="203">
        <f t="shared" ca="1" si="12"/>
        <v>6143.7275590613826</v>
      </c>
      <c r="L45" s="203">
        <f t="shared" ca="1" si="13"/>
        <v>815861.68461192469</v>
      </c>
    </row>
    <row r="46" spans="2:12">
      <c r="B46" s="202">
        <f t="shared" si="14"/>
        <v>45506</v>
      </c>
      <c r="C46" s="168">
        <f t="shared" si="15"/>
        <v>2024</v>
      </c>
      <c r="D46" s="168">
        <f t="shared" ca="1" si="5"/>
        <v>25</v>
      </c>
      <c r="E46" s="203">
        <f t="shared" ca="1" si="10"/>
        <v>815861.68461192469</v>
      </c>
      <c r="F46" s="203">
        <f t="shared" ca="1" si="6"/>
        <v>6143.7275590613826</v>
      </c>
      <c r="G46" s="203">
        <f t="shared" ca="1" si="7"/>
        <v>4154.09574414905</v>
      </c>
      <c r="H46" s="203">
        <f t="shared" ca="1" si="11"/>
        <v>1989.6318149123326</v>
      </c>
      <c r="I46" s="29">
        <f t="shared" ca="1" si="8"/>
        <v>0</v>
      </c>
      <c r="J46" s="29">
        <f t="shared" ca="1" si="9"/>
        <v>0</v>
      </c>
      <c r="K46" s="203">
        <f t="shared" ca="1" si="12"/>
        <v>6143.7275590613826</v>
      </c>
      <c r="L46" s="203">
        <f t="shared" ca="1" si="13"/>
        <v>813872.05279701238</v>
      </c>
    </row>
    <row r="47" spans="2:12">
      <c r="B47" s="202">
        <f t="shared" si="14"/>
        <v>45537</v>
      </c>
      <c r="C47" s="168">
        <f t="shared" si="15"/>
        <v>2024</v>
      </c>
      <c r="D47" s="168">
        <f t="shared" ca="1" si="5"/>
        <v>26</v>
      </c>
      <c r="E47" s="203">
        <f t="shared" ca="1" si="10"/>
        <v>813872.05279701238</v>
      </c>
      <c r="F47" s="203">
        <f t="shared" ca="1" si="6"/>
        <v>6143.7275590613826</v>
      </c>
      <c r="G47" s="203">
        <f t="shared" ca="1" si="7"/>
        <v>4143.9652021581214</v>
      </c>
      <c r="H47" s="203">
        <f t="shared" ca="1" si="11"/>
        <v>1999.7623569032612</v>
      </c>
      <c r="I47" s="29">
        <f t="shared" ca="1" si="8"/>
        <v>0</v>
      </c>
      <c r="J47" s="29">
        <f t="shared" ca="1" si="9"/>
        <v>0</v>
      </c>
      <c r="K47" s="203">
        <f t="shared" ca="1" si="12"/>
        <v>6143.7275590613826</v>
      </c>
      <c r="L47" s="203">
        <f t="shared" ca="1" si="13"/>
        <v>811872.29044010909</v>
      </c>
    </row>
    <row r="48" spans="2:12">
      <c r="B48" s="202">
        <f t="shared" si="14"/>
        <v>45567</v>
      </c>
      <c r="C48" s="168">
        <f t="shared" si="15"/>
        <v>2024</v>
      </c>
      <c r="D48" s="168">
        <f t="shared" ca="1" si="5"/>
        <v>27</v>
      </c>
      <c r="E48" s="203">
        <f t="shared" ca="1" si="10"/>
        <v>811872.29044010909</v>
      </c>
      <c r="F48" s="203">
        <f t="shared" ca="1" si="6"/>
        <v>6143.7275590613826</v>
      </c>
      <c r="G48" s="203">
        <f t="shared" ca="1" si="7"/>
        <v>4133.7830788242218</v>
      </c>
      <c r="H48" s="203">
        <f t="shared" ca="1" si="11"/>
        <v>2009.9444802371609</v>
      </c>
      <c r="I48" s="29">
        <f t="shared" ca="1" si="8"/>
        <v>0</v>
      </c>
      <c r="J48" s="29">
        <f t="shared" ca="1" si="9"/>
        <v>0</v>
      </c>
      <c r="K48" s="203">
        <f t="shared" ca="1" si="12"/>
        <v>6143.7275590613826</v>
      </c>
      <c r="L48" s="203">
        <f t="shared" ca="1" si="13"/>
        <v>809862.34595987189</v>
      </c>
    </row>
    <row r="49" spans="2:12">
      <c r="B49" s="202">
        <f t="shared" si="14"/>
        <v>45598</v>
      </c>
      <c r="C49" s="168">
        <f t="shared" si="15"/>
        <v>2024</v>
      </c>
      <c r="D49" s="168">
        <f t="shared" ca="1" si="5"/>
        <v>28</v>
      </c>
      <c r="E49" s="203">
        <f t="shared" ca="1" si="10"/>
        <v>809862.34595987189</v>
      </c>
      <c r="F49" s="203">
        <f t="shared" ca="1" si="6"/>
        <v>6143.7275590613826</v>
      </c>
      <c r="G49" s="203">
        <f t="shared" ca="1" si="7"/>
        <v>4123.5491115123477</v>
      </c>
      <c r="H49" s="203">
        <f t="shared" ca="1" si="11"/>
        <v>2020.1784475490349</v>
      </c>
      <c r="I49" s="29">
        <f t="shared" ca="1" si="8"/>
        <v>0</v>
      </c>
      <c r="J49" s="29">
        <f t="shared" ca="1" si="9"/>
        <v>0</v>
      </c>
      <c r="K49" s="203">
        <f t="shared" ca="1" si="12"/>
        <v>6143.7275590613826</v>
      </c>
      <c r="L49" s="203">
        <f t="shared" ca="1" si="13"/>
        <v>807842.16751232289</v>
      </c>
    </row>
    <row r="50" spans="2:12">
      <c r="B50" s="202">
        <f t="shared" si="14"/>
        <v>45628</v>
      </c>
      <c r="C50" s="168">
        <f t="shared" si="15"/>
        <v>2024</v>
      </c>
      <c r="D50" s="168">
        <f t="shared" ca="1" si="5"/>
        <v>29</v>
      </c>
      <c r="E50" s="203">
        <f t="shared" ca="1" si="10"/>
        <v>807842.16751232289</v>
      </c>
      <c r="F50" s="203">
        <f t="shared" ca="1" si="6"/>
        <v>6143.7275590613826</v>
      </c>
      <c r="G50" s="203">
        <f t="shared" ca="1" si="7"/>
        <v>4113.2630362502441</v>
      </c>
      <c r="H50" s="203">
        <f t="shared" ca="1" si="11"/>
        <v>2030.4645228111385</v>
      </c>
      <c r="I50" s="29">
        <f t="shared" ca="1" si="8"/>
        <v>0</v>
      </c>
      <c r="J50" s="29">
        <f t="shared" ca="1" si="9"/>
        <v>0</v>
      </c>
      <c r="K50" s="203">
        <f t="shared" ca="1" si="12"/>
        <v>6143.7275590613826</v>
      </c>
      <c r="L50" s="203">
        <f t="shared" ca="1" si="13"/>
        <v>805811.70298951177</v>
      </c>
    </row>
    <row r="51" spans="2:12">
      <c r="B51" s="202">
        <f t="shared" si="14"/>
        <v>45659</v>
      </c>
      <c r="C51" s="168">
        <f t="shared" si="15"/>
        <v>2025</v>
      </c>
      <c r="D51" s="168">
        <f t="shared" ca="1" si="5"/>
        <v>30</v>
      </c>
      <c r="E51" s="203">
        <f t="shared" ca="1" si="10"/>
        <v>805811.70298951177</v>
      </c>
      <c r="F51" s="203">
        <f t="shared" ca="1" si="6"/>
        <v>6143.7275590613826</v>
      </c>
      <c r="G51" s="203">
        <f t="shared" ca="1" si="7"/>
        <v>4102.9245877215972</v>
      </c>
      <c r="H51" s="203">
        <f t="shared" ca="1" si="11"/>
        <v>2040.8029713397855</v>
      </c>
      <c r="I51" s="29">
        <f t="shared" ca="1" si="8"/>
        <v>0</v>
      </c>
      <c r="J51" s="29">
        <f t="shared" ca="1" si="9"/>
        <v>0</v>
      </c>
      <c r="K51" s="203">
        <f t="shared" ca="1" si="12"/>
        <v>6143.7275590613826</v>
      </c>
      <c r="L51" s="203">
        <f t="shared" ca="1" si="13"/>
        <v>803770.90001817199</v>
      </c>
    </row>
    <row r="52" spans="2:12">
      <c r="B52" s="202">
        <f t="shared" si="14"/>
        <v>45690</v>
      </c>
      <c r="C52" s="168">
        <f t="shared" si="15"/>
        <v>2025</v>
      </c>
      <c r="D52" s="168">
        <f t="shared" ca="1" si="5"/>
        <v>31</v>
      </c>
      <c r="E52" s="203">
        <f t="shared" ca="1" si="10"/>
        <v>803770.90001817199</v>
      </c>
      <c r="F52" s="203">
        <f t="shared" ca="1" si="6"/>
        <v>6143.7275590613826</v>
      </c>
      <c r="G52" s="203">
        <f t="shared" ca="1" si="7"/>
        <v>4092.5334992591925</v>
      </c>
      <c r="H52" s="203">
        <f t="shared" ca="1" si="11"/>
        <v>2051.1940598021902</v>
      </c>
      <c r="I52" s="29">
        <f t="shared" ca="1" si="8"/>
        <v>0</v>
      </c>
      <c r="J52" s="29">
        <f t="shared" ca="1" si="9"/>
        <v>0</v>
      </c>
      <c r="K52" s="203">
        <f t="shared" ca="1" si="12"/>
        <v>6143.7275590613826</v>
      </c>
      <c r="L52" s="203">
        <f t="shared" ca="1" si="13"/>
        <v>801719.70595836977</v>
      </c>
    </row>
    <row r="53" spans="2:12">
      <c r="B53" s="202">
        <f t="shared" si="14"/>
        <v>45718</v>
      </c>
      <c r="C53" s="168">
        <f t="shared" si="15"/>
        <v>2025</v>
      </c>
      <c r="D53" s="168">
        <f t="shared" ca="1" si="5"/>
        <v>32</v>
      </c>
      <c r="E53" s="203">
        <f t="shared" ca="1" si="10"/>
        <v>801719.70595836977</v>
      </c>
      <c r="F53" s="203">
        <f t="shared" ca="1" si="6"/>
        <v>6143.7275590613826</v>
      </c>
      <c r="G53" s="203">
        <f t="shared" ca="1" si="7"/>
        <v>4082.0895028380328</v>
      </c>
      <c r="H53" s="203">
        <f t="shared" ca="1" si="11"/>
        <v>2061.6380562233498</v>
      </c>
      <c r="I53" s="29">
        <f t="shared" ca="1" si="8"/>
        <v>0</v>
      </c>
      <c r="J53" s="29">
        <f t="shared" ca="1" si="9"/>
        <v>0</v>
      </c>
      <c r="K53" s="203">
        <f t="shared" ca="1" si="12"/>
        <v>6143.7275590613826</v>
      </c>
      <c r="L53" s="203">
        <f t="shared" ca="1" si="13"/>
        <v>799658.06790214637</v>
      </c>
    </row>
    <row r="54" spans="2:12">
      <c r="B54" s="202">
        <f t="shared" si="14"/>
        <v>45749</v>
      </c>
      <c r="C54" s="168">
        <f t="shared" si="15"/>
        <v>2025</v>
      </c>
      <c r="D54" s="168">
        <f t="shared" ref="D54:D85" ca="1" si="16">IF(OR($D53="",D53=$D$8*$D$11,$L53=0),"",$D53+1)</f>
        <v>33</v>
      </c>
      <c r="E54" s="203">
        <f t="shared" ca="1" si="10"/>
        <v>799658.06790214637</v>
      </c>
      <c r="F54" s="203">
        <f t="shared" ref="F54:F85" ca="1" si="17">IF(D54="","",MIN(E54+G54,(D54&lt;=($D$9*$D$11))*$L$9+(D54&gt;($D$9*$D$11))*$L$10))</f>
        <v>6143.7275590613826</v>
      </c>
      <c r="G54" s="203">
        <f t="shared" ref="G54:G85" ca="1" si="18">IF(D54="","",((E54*$D$13)/$D$11))</f>
        <v>4071.5923290684291</v>
      </c>
      <c r="H54" s="203">
        <f t="shared" ca="1" si="11"/>
        <v>2072.1352299929536</v>
      </c>
      <c r="I54" s="29">
        <f t="shared" ref="I54:I85" ca="1" si="19">IF($D54="","",($D54=$D$8*$D$11)*($E54-$H54-$J54))</f>
        <v>0</v>
      </c>
      <c r="J54" s="29">
        <f t="shared" ref="J54:J85" ca="1" si="20">IF($D54="","",MIN($H$16,$E54-$H54))</f>
        <v>0</v>
      </c>
      <c r="K54" s="203">
        <f t="shared" ca="1" si="12"/>
        <v>6143.7275590613826</v>
      </c>
      <c r="L54" s="203">
        <f t="shared" ca="1" si="13"/>
        <v>797585.93267215346</v>
      </c>
    </row>
    <row r="55" spans="2:12">
      <c r="B55" s="202">
        <f t="shared" si="14"/>
        <v>45779</v>
      </c>
      <c r="C55" s="168">
        <f t="shared" si="15"/>
        <v>2025</v>
      </c>
      <c r="D55" s="168">
        <f t="shared" ca="1" si="16"/>
        <v>34</v>
      </c>
      <c r="E55" s="203">
        <f t="shared" ca="1" si="10"/>
        <v>797585.93267215346</v>
      </c>
      <c r="F55" s="203">
        <f t="shared" ca="1" si="17"/>
        <v>6143.7275590613826</v>
      </c>
      <c r="G55" s="203">
        <f t="shared" ca="1" si="18"/>
        <v>4061.0417071890479</v>
      </c>
      <c r="H55" s="203">
        <f t="shared" ca="1" si="11"/>
        <v>2082.6858518723348</v>
      </c>
      <c r="I55" s="29">
        <f t="shared" ca="1" si="19"/>
        <v>0</v>
      </c>
      <c r="J55" s="29">
        <f t="shared" ca="1" si="20"/>
        <v>0</v>
      </c>
      <c r="K55" s="203">
        <f t="shared" ca="1" si="12"/>
        <v>6143.7275590613826</v>
      </c>
      <c r="L55" s="203">
        <f t="shared" ca="1" si="13"/>
        <v>795503.24682028114</v>
      </c>
    </row>
    <row r="56" spans="2:12">
      <c r="B56" s="202">
        <f t="shared" si="14"/>
        <v>45810</v>
      </c>
      <c r="C56" s="168">
        <f t="shared" si="15"/>
        <v>2025</v>
      </c>
      <c r="D56" s="168">
        <f t="shared" ca="1" si="16"/>
        <v>35</v>
      </c>
      <c r="E56" s="203">
        <f t="shared" ca="1" si="10"/>
        <v>795503.24682028114</v>
      </c>
      <c r="F56" s="203">
        <f t="shared" ca="1" si="17"/>
        <v>6143.7275590613826</v>
      </c>
      <c r="G56" s="203">
        <f t="shared" ca="1" si="18"/>
        <v>4050.4373650599318</v>
      </c>
      <c r="H56" s="203">
        <f t="shared" ca="1" si="11"/>
        <v>2093.2901940014508</v>
      </c>
      <c r="I56" s="29">
        <f t="shared" ca="1" si="19"/>
        <v>0</v>
      </c>
      <c r="J56" s="29">
        <f t="shared" ca="1" si="20"/>
        <v>0</v>
      </c>
      <c r="K56" s="203">
        <f t="shared" ca="1" si="12"/>
        <v>6143.7275590613826</v>
      </c>
      <c r="L56" s="203">
        <f t="shared" ca="1" si="13"/>
        <v>793409.95662627975</v>
      </c>
    </row>
    <row r="57" spans="2:12">
      <c r="B57" s="202">
        <f t="shared" si="14"/>
        <v>45840</v>
      </c>
      <c r="C57" s="168">
        <f t="shared" si="15"/>
        <v>2025</v>
      </c>
      <c r="D57" s="168">
        <f t="shared" ca="1" si="16"/>
        <v>36</v>
      </c>
      <c r="E57" s="203">
        <f t="shared" ca="1" si="10"/>
        <v>793409.95662627975</v>
      </c>
      <c r="F57" s="203">
        <f t="shared" ca="1" si="17"/>
        <v>6143.7275590613826</v>
      </c>
      <c r="G57" s="203">
        <f t="shared" ca="1" si="18"/>
        <v>4039.7790291554743</v>
      </c>
      <c r="H57" s="203">
        <f t="shared" ca="1" si="11"/>
        <v>2103.9485299059083</v>
      </c>
      <c r="I57" s="29">
        <f t="shared" ca="1" si="19"/>
        <v>0</v>
      </c>
      <c r="J57" s="29">
        <f t="shared" ca="1" si="20"/>
        <v>0</v>
      </c>
      <c r="K57" s="203">
        <f t="shared" ca="1" si="12"/>
        <v>6143.7275590613826</v>
      </c>
      <c r="L57" s="203">
        <f t="shared" ca="1" si="13"/>
        <v>791306.00809637387</v>
      </c>
    </row>
    <row r="58" spans="2:12">
      <c r="B58" s="202">
        <f t="shared" si="14"/>
        <v>45871</v>
      </c>
      <c r="C58" s="168">
        <f t="shared" si="15"/>
        <v>2025</v>
      </c>
      <c r="D58" s="168">
        <f t="shared" ca="1" si="16"/>
        <v>37</v>
      </c>
      <c r="E58" s="203">
        <f t="shared" ca="1" si="10"/>
        <v>791306.00809637387</v>
      </c>
      <c r="F58" s="203">
        <f t="shared" ca="1" si="17"/>
        <v>6143.7275590613826</v>
      </c>
      <c r="G58" s="203">
        <f t="shared" ca="1" si="18"/>
        <v>4029.0664245573703</v>
      </c>
      <c r="H58" s="203">
        <f t="shared" ca="1" si="11"/>
        <v>2114.6611345040124</v>
      </c>
      <c r="I58" s="29">
        <f t="shared" ca="1" si="19"/>
        <v>0</v>
      </c>
      <c r="J58" s="29">
        <f t="shared" ca="1" si="20"/>
        <v>0</v>
      </c>
      <c r="K58" s="203">
        <f t="shared" ca="1" si="12"/>
        <v>6143.7275590613826</v>
      </c>
      <c r="L58" s="203">
        <f t="shared" ca="1" si="13"/>
        <v>789191.34696186986</v>
      </c>
    </row>
    <row r="59" spans="2:12">
      <c r="B59" s="202">
        <f t="shared" si="14"/>
        <v>45902</v>
      </c>
      <c r="C59" s="168">
        <f t="shared" si="15"/>
        <v>2025</v>
      </c>
      <c r="D59" s="168">
        <f t="shared" ca="1" si="16"/>
        <v>38</v>
      </c>
      <c r="E59" s="203">
        <f t="shared" ca="1" si="10"/>
        <v>789191.34696186986</v>
      </c>
      <c r="F59" s="203">
        <f t="shared" ca="1" si="17"/>
        <v>6143.7275590613826</v>
      </c>
      <c r="G59" s="203">
        <f t="shared" ca="1" si="18"/>
        <v>4018.2992749475211</v>
      </c>
      <c r="H59" s="203">
        <f t="shared" ca="1" si="11"/>
        <v>2125.4282841138615</v>
      </c>
      <c r="I59" s="29">
        <f t="shared" ca="1" si="19"/>
        <v>0</v>
      </c>
      <c r="J59" s="29">
        <f t="shared" ca="1" si="20"/>
        <v>0</v>
      </c>
      <c r="K59" s="203">
        <f t="shared" ca="1" si="12"/>
        <v>6143.7275590613826</v>
      </c>
      <c r="L59" s="203">
        <f t="shared" ca="1" si="13"/>
        <v>787065.91867775598</v>
      </c>
    </row>
    <row r="60" spans="2:12">
      <c r="B60" s="202">
        <f t="shared" si="14"/>
        <v>45932</v>
      </c>
      <c r="C60" s="168">
        <f t="shared" si="15"/>
        <v>2025</v>
      </c>
      <c r="D60" s="168">
        <f t="shared" ca="1" si="16"/>
        <v>39</v>
      </c>
      <c r="E60" s="203">
        <f t="shared" ca="1" si="10"/>
        <v>787065.91867775598</v>
      </c>
      <c r="F60" s="203">
        <f t="shared" ca="1" si="17"/>
        <v>6143.7275590613826</v>
      </c>
      <c r="G60" s="203">
        <f t="shared" ca="1" si="18"/>
        <v>4007.4773026009079</v>
      </c>
      <c r="H60" s="203">
        <f t="shared" ca="1" si="11"/>
        <v>2136.2502564604747</v>
      </c>
      <c r="I60" s="29">
        <f t="shared" ca="1" si="19"/>
        <v>0</v>
      </c>
      <c r="J60" s="29">
        <f t="shared" ca="1" si="20"/>
        <v>0</v>
      </c>
      <c r="K60" s="203">
        <f t="shared" ca="1" si="12"/>
        <v>6143.7275590613826</v>
      </c>
      <c r="L60" s="203">
        <f t="shared" ca="1" si="13"/>
        <v>784929.66842129547</v>
      </c>
    </row>
    <row r="61" spans="2:12">
      <c r="B61" s="202">
        <f t="shared" si="14"/>
        <v>45963</v>
      </c>
      <c r="C61" s="168">
        <f t="shared" si="15"/>
        <v>2025</v>
      </c>
      <c r="D61" s="168">
        <f t="shared" ca="1" si="16"/>
        <v>40</v>
      </c>
      <c r="E61" s="203">
        <f t="shared" ca="1" si="10"/>
        <v>784929.66842129547</v>
      </c>
      <c r="F61" s="203">
        <f t="shared" ca="1" si="17"/>
        <v>6143.7275590613826</v>
      </c>
      <c r="G61" s="203">
        <f t="shared" ca="1" si="18"/>
        <v>3996.6002283784296</v>
      </c>
      <c r="H61" s="203">
        <f t="shared" ca="1" si="11"/>
        <v>2147.127330682953</v>
      </c>
      <c r="I61" s="29">
        <f t="shared" ca="1" si="19"/>
        <v>0</v>
      </c>
      <c r="J61" s="29">
        <f t="shared" ca="1" si="20"/>
        <v>0</v>
      </c>
      <c r="K61" s="203">
        <f t="shared" ca="1" si="12"/>
        <v>6143.7275590613826</v>
      </c>
      <c r="L61" s="203">
        <f t="shared" ca="1" si="13"/>
        <v>782782.54109061253</v>
      </c>
    </row>
    <row r="62" spans="2:12">
      <c r="B62" s="202">
        <f t="shared" si="14"/>
        <v>45993</v>
      </c>
      <c r="C62" s="168">
        <f t="shared" si="15"/>
        <v>2025</v>
      </c>
      <c r="D62" s="168">
        <f t="shared" ca="1" si="16"/>
        <v>41</v>
      </c>
      <c r="E62" s="203">
        <f t="shared" ca="1" si="10"/>
        <v>782782.54109061253</v>
      </c>
      <c r="F62" s="203">
        <f t="shared" ca="1" si="17"/>
        <v>6143.7275590613826</v>
      </c>
      <c r="G62" s="203">
        <f t="shared" ca="1" si="18"/>
        <v>3985.6677717197022</v>
      </c>
      <c r="H62" s="203">
        <f t="shared" ca="1" si="11"/>
        <v>2158.0597873416805</v>
      </c>
      <c r="I62" s="29">
        <f t="shared" ca="1" si="19"/>
        <v>0</v>
      </c>
      <c r="J62" s="29">
        <f t="shared" ca="1" si="20"/>
        <v>0</v>
      </c>
      <c r="K62" s="203">
        <f t="shared" ca="1" si="12"/>
        <v>6143.7275590613826</v>
      </c>
      <c r="L62" s="203">
        <f t="shared" ca="1" si="13"/>
        <v>780624.48130327091</v>
      </c>
    </row>
    <row r="63" spans="2:12">
      <c r="B63" s="202">
        <f t="shared" si="14"/>
        <v>46024</v>
      </c>
      <c r="C63" s="168">
        <f t="shared" si="15"/>
        <v>2026</v>
      </c>
      <c r="D63" s="168">
        <f t="shared" ca="1" si="16"/>
        <v>42</v>
      </c>
      <c r="E63" s="203">
        <f t="shared" ca="1" si="10"/>
        <v>780624.48130327091</v>
      </c>
      <c r="F63" s="203">
        <f t="shared" ca="1" si="17"/>
        <v>6143.7275590613826</v>
      </c>
      <c r="G63" s="203">
        <f t="shared" ca="1" si="18"/>
        <v>3974.679650635821</v>
      </c>
      <c r="H63" s="203">
        <f t="shared" ca="1" si="11"/>
        <v>2169.0479084255617</v>
      </c>
      <c r="I63" s="29">
        <f t="shared" ca="1" si="19"/>
        <v>0</v>
      </c>
      <c r="J63" s="29">
        <f t="shared" ca="1" si="20"/>
        <v>0</v>
      </c>
      <c r="K63" s="203">
        <f t="shared" ca="1" si="12"/>
        <v>6143.7275590613826</v>
      </c>
      <c r="L63" s="203">
        <f t="shared" ca="1" si="13"/>
        <v>778455.43339484534</v>
      </c>
    </row>
    <row r="64" spans="2:12">
      <c r="B64" s="202">
        <f t="shared" si="14"/>
        <v>46055</v>
      </c>
      <c r="C64" s="168">
        <f t="shared" si="15"/>
        <v>2026</v>
      </c>
      <c r="D64" s="168">
        <f t="shared" ca="1" si="16"/>
        <v>43</v>
      </c>
      <c r="E64" s="203">
        <f t="shared" ca="1" si="10"/>
        <v>778455.43339484534</v>
      </c>
      <c r="F64" s="203">
        <f t="shared" ca="1" si="17"/>
        <v>6143.7275590613826</v>
      </c>
      <c r="G64" s="203">
        <f t="shared" ca="1" si="18"/>
        <v>3963.6355817020881</v>
      </c>
      <c r="H64" s="203">
        <f t="shared" ca="1" si="11"/>
        <v>2180.0919773592946</v>
      </c>
      <c r="I64" s="29">
        <f t="shared" ca="1" si="19"/>
        <v>0</v>
      </c>
      <c r="J64" s="29">
        <f t="shared" ca="1" si="20"/>
        <v>0</v>
      </c>
      <c r="K64" s="203">
        <f t="shared" ca="1" si="12"/>
        <v>6143.7275590613826</v>
      </c>
      <c r="L64" s="203">
        <f t="shared" ca="1" si="13"/>
        <v>776275.34141748608</v>
      </c>
    </row>
    <row r="65" spans="2:12">
      <c r="B65" s="202">
        <f t="shared" si="14"/>
        <v>46083</v>
      </c>
      <c r="C65" s="168">
        <f t="shared" si="15"/>
        <v>2026</v>
      </c>
      <c r="D65" s="168">
        <f t="shared" ca="1" si="16"/>
        <v>44</v>
      </c>
      <c r="E65" s="203">
        <f t="shared" ca="1" si="10"/>
        <v>776275.34141748608</v>
      </c>
      <c r="F65" s="203">
        <f t="shared" ca="1" si="17"/>
        <v>6143.7275590613826</v>
      </c>
      <c r="G65" s="203">
        <f t="shared" ca="1" si="18"/>
        <v>3952.5352800507003</v>
      </c>
      <c r="H65" s="203">
        <f t="shared" ca="1" si="11"/>
        <v>2191.1922790106823</v>
      </c>
      <c r="I65" s="29">
        <f t="shared" ca="1" si="19"/>
        <v>0</v>
      </c>
      <c r="J65" s="29">
        <f t="shared" ca="1" si="20"/>
        <v>0</v>
      </c>
      <c r="K65" s="203">
        <f t="shared" ca="1" si="12"/>
        <v>6143.7275590613826</v>
      </c>
      <c r="L65" s="203">
        <f t="shared" ca="1" si="13"/>
        <v>774084.14913847542</v>
      </c>
    </row>
    <row r="66" spans="2:12">
      <c r="B66" s="202">
        <f t="shared" si="14"/>
        <v>46114</v>
      </c>
      <c r="C66" s="168">
        <f t="shared" si="15"/>
        <v>2026</v>
      </c>
      <c r="D66" s="168">
        <f t="shared" ca="1" si="16"/>
        <v>45</v>
      </c>
      <c r="E66" s="203">
        <f t="shared" ca="1" si="10"/>
        <v>774084.14913847542</v>
      </c>
      <c r="F66" s="203">
        <f t="shared" ca="1" si="17"/>
        <v>6143.7275590613826</v>
      </c>
      <c r="G66" s="203">
        <f t="shared" ca="1" si="18"/>
        <v>3941.3784593634041</v>
      </c>
      <c r="H66" s="203">
        <f t="shared" ca="1" si="11"/>
        <v>2202.3490996979785</v>
      </c>
      <c r="I66" s="29">
        <f t="shared" ca="1" si="19"/>
        <v>0</v>
      </c>
      <c r="J66" s="29">
        <f t="shared" ca="1" si="20"/>
        <v>0</v>
      </c>
      <c r="K66" s="203">
        <f t="shared" ca="1" si="12"/>
        <v>6143.7275590613826</v>
      </c>
      <c r="L66" s="203">
        <f t="shared" ca="1" si="13"/>
        <v>771881.80003877741</v>
      </c>
    </row>
    <row r="67" spans="2:12">
      <c r="B67" s="202">
        <f t="shared" si="14"/>
        <v>46144</v>
      </c>
      <c r="C67" s="168">
        <f t="shared" si="15"/>
        <v>2026</v>
      </c>
      <c r="D67" s="168">
        <f t="shared" ca="1" si="16"/>
        <v>46</v>
      </c>
      <c r="E67" s="203">
        <f t="shared" ca="1" si="10"/>
        <v>771881.80003877741</v>
      </c>
      <c r="F67" s="203">
        <f t="shared" ca="1" si="17"/>
        <v>6143.7275590613826</v>
      </c>
      <c r="G67" s="203">
        <f t="shared" ca="1" si="18"/>
        <v>3930.1648318641087</v>
      </c>
      <c r="H67" s="203">
        <f t="shared" ca="1" si="11"/>
        <v>2213.5627271972739</v>
      </c>
      <c r="I67" s="29">
        <f t="shared" ca="1" si="19"/>
        <v>0</v>
      </c>
      <c r="J67" s="29">
        <f t="shared" ca="1" si="20"/>
        <v>0</v>
      </c>
      <c r="K67" s="203">
        <f t="shared" ca="1" si="12"/>
        <v>6143.7275590613826</v>
      </c>
      <c r="L67" s="203">
        <f t="shared" ca="1" si="13"/>
        <v>769668.2373115801</v>
      </c>
    </row>
    <row r="68" spans="2:12">
      <c r="B68" s="202">
        <f t="shared" si="14"/>
        <v>46175</v>
      </c>
      <c r="C68" s="168">
        <f t="shared" si="15"/>
        <v>2026</v>
      </c>
      <c r="D68" s="168">
        <f t="shared" ca="1" si="16"/>
        <v>47</v>
      </c>
      <c r="E68" s="203">
        <f t="shared" ca="1" si="10"/>
        <v>769668.2373115801</v>
      </c>
      <c r="F68" s="203">
        <f t="shared" ca="1" si="17"/>
        <v>6143.7275590613826</v>
      </c>
      <c r="G68" s="203">
        <f t="shared" ca="1" si="18"/>
        <v>3918.8941083114623</v>
      </c>
      <c r="H68" s="203">
        <f t="shared" ca="1" si="11"/>
        <v>2224.8334507499203</v>
      </c>
      <c r="I68" s="29">
        <f t="shared" ca="1" si="19"/>
        <v>0</v>
      </c>
      <c r="J68" s="29">
        <f t="shared" ca="1" si="20"/>
        <v>0</v>
      </c>
      <c r="K68" s="203">
        <f t="shared" ca="1" si="12"/>
        <v>6143.7275590613826</v>
      </c>
      <c r="L68" s="203">
        <f t="shared" ca="1" si="13"/>
        <v>767443.40386083024</v>
      </c>
    </row>
    <row r="69" spans="2:12">
      <c r="B69" s="202">
        <f t="shared" si="14"/>
        <v>46205</v>
      </c>
      <c r="C69" s="168">
        <f t="shared" si="15"/>
        <v>2026</v>
      </c>
      <c r="D69" s="168">
        <f t="shared" ca="1" si="16"/>
        <v>48</v>
      </c>
      <c r="E69" s="203">
        <f t="shared" ca="1" si="10"/>
        <v>767443.40386083024</v>
      </c>
      <c r="F69" s="203">
        <f t="shared" ca="1" si="17"/>
        <v>6143.7275590613826</v>
      </c>
      <c r="G69" s="203">
        <f t="shared" ca="1" si="18"/>
        <v>3907.5659979913939</v>
      </c>
      <c r="H69" s="203">
        <f t="shared" ca="1" si="11"/>
        <v>2236.1615610699887</v>
      </c>
      <c r="I69" s="29">
        <f t="shared" ca="1" si="19"/>
        <v>0</v>
      </c>
      <c r="J69" s="29">
        <f t="shared" ca="1" si="20"/>
        <v>0</v>
      </c>
      <c r="K69" s="203">
        <f t="shared" ca="1" si="12"/>
        <v>6143.7275590613826</v>
      </c>
      <c r="L69" s="203">
        <f t="shared" ca="1" si="13"/>
        <v>765207.24229976023</v>
      </c>
    </row>
    <row r="70" spans="2:12">
      <c r="B70" s="202">
        <f t="shared" si="14"/>
        <v>46236</v>
      </c>
      <c r="C70" s="168">
        <f t="shared" si="15"/>
        <v>2026</v>
      </c>
      <c r="D70" s="168">
        <f t="shared" ca="1" si="16"/>
        <v>49</v>
      </c>
      <c r="E70" s="203">
        <f t="shared" ca="1" si="10"/>
        <v>765207.24229976023</v>
      </c>
      <c r="F70" s="203">
        <f t="shared" ca="1" si="17"/>
        <v>6143.7275590613826</v>
      </c>
      <c r="G70" s="203">
        <f t="shared" ca="1" si="18"/>
        <v>3896.1802087096125</v>
      </c>
      <c r="H70" s="203">
        <f t="shared" ca="1" si="11"/>
        <v>2247.5473503517701</v>
      </c>
      <c r="I70" s="29">
        <f t="shared" ca="1" si="19"/>
        <v>0</v>
      </c>
      <c r="J70" s="29">
        <f t="shared" ca="1" si="20"/>
        <v>0</v>
      </c>
      <c r="K70" s="203">
        <f t="shared" ca="1" si="12"/>
        <v>6143.7275590613826</v>
      </c>
      <c r="L70" s="203">
        <f t="shared" ca="1" si="13"/>
        <v>762959.69494940841</v>
      </c>
    </row>
    <row r="71" spans="2:12">
      <c r="B71" s="202">
        <f t="shared" si="14"/>
        <v>46267</v>
      </c>
      <c r="C71" s="168">
        <f t="shared" si="15"/>
        <v>2026</v>
      </c>
      <c r="D71" s="168">
        <f t="shared" ca="1" si="16"/>
        <v>50</v>
      </c>
      <c r="E71" s="203">
        <f t="shared" ca="1" si="10"/>
        <v>762959.69494940841</v>
      </c>
      <c r="F71" s="203">
        <f t="shared" ca="1" si="17"/>
        <v>6143.7275590613826</v>
      </c>
      <c r="G71" s="203">
        <f t="shared" ca="1" si="18"/>
        <v>3884.7364467840712</v>
      </c>
      <c r="H71" s="203">
        <f t="shared" ca="1" si="11"/>
        <v>2258.9911122773115</v>
      </c>
      <c r="I71" s="29">
        <f t="shared" ca="1" si="19"/>
        <v>0</v>
      </c>
      <c r="J71" s="29">
        <f t="shared" ca="1" si="20"/>
        <v>0</v>
      </c>
      <c r="K71" s="203">
        <f t="shared" ca="1" si="12"/>
        <v>6143.7275590613826</v>
      </c>
      <c r="L71" s="203">
        <f t="shared" ca="1" si="13"/>
        <v>760700.70383713115</v>
      </c>
    </row>
    <row r="72" spans="2:12">
      <c r="B72" s="202">
        <f t="shared" si="14"/>
        <v>46297</v>
      </c>
      <c r="C72" s="168">
        <f t="shared" si="15"/>
        <v>2026</v>
      </c>
      <c r="D72" s="168">
        <f t="shared" ca="1" si="16"/>
        <v>51</v>
      </c>
      <c r="E72" s="203">
        <f t="shared" ca="1" si="10"/>
        <v>760700.70383713115</v>
      </c>
      <c r="F72" s="203">
        <f t="shared" ca="1" si="17"/>
        <v>6143.7275590613826</v>
      </c>
      <c r="G72" s="203">
        <f t="shared" ca="1" si="18"/>
        <v>3873.2344170373926</v>
      </c>
      <c r="H72" s="203">
        <f t="shared" ca="1" si="11"/>
        <v>2270.49314202399</v>
      </c>
      <c r="I72" s="29">
        <f t="shared" ca="1" si="19"/>
        <v>0</v>
      </c>
      <c r="J72" s="29">
        <f t="shared" ca="1" si="20"/>
        <v>0</v>
      </c>
      <c r="K72" s="203">
        <f t="shared" ca="1" si="12"/>
        <v>6143.7275590613826</v>
      </c>
      <c r="L72" s="203">
        <f t="shared" ca="1" si="13"/>
        <v>758430.21069510712</v>
      </c>
    </row>
    <row r="73" spans="2:12">
      <c r="B73" s="202">
        <f t="shared" si="14"/>
        <v>46328</v>
      </c>
      <c r="C73" s="168">
        <f t="shared" si="15"/>
        <v>2026</v>
      </c>
      <c r="D73" s="168">
        <f t="shared" ca="1" si="16"/>
        <v>52</v>
      </c>
      <c r="E73" s="203">
        <f t="shared" ca="1" si="10"/>
        <v>758430.21069510712</v>
      </c>
      <c r="F73" s="203">
        <f t="shared" ca="1" si="17"/>
        <v>6143.7275590613826</v>
      </c>
      <c r="G73" s="203">
        <f t="shared" ca="1" si="18"/>
        <v>3861.6738227892542</v>
      </c>
      <c r="H73" s="203">
        <f t="shared" ca="1" si="11"/>
        <v>2282.0537362721284</v>
      </c>
      <c r="I73" s="29">
        <f t="shared" ca="1" si="19"/>
        <v>0</v>
      </c>
      <c r="J73" s="29">
        <f t="shared" ca="1" si="20"/>
        <v>0</v>
      </c>
      <c r="K73" s="203">
        <f t="shared" ca="1" si="12"/>
        <v>6143.7275590613826</v>
      </c>
      <c r="L73" s="203">
        <f t="shared" ca="1" si="13"/>
        <v>756148.15695883497</v>
      </c>
    </row>
    <row r="74" spans="2:12">
      <c r="B74" s="202">
        <f t="shared" si="14"/>
        <v>46358</v>
      </c>
      <c r="C74" s="168">
        <f t="shared" si="15"/>
        <v>2026</v>
      </c>
      <c r="D74" s="168">
        <f t="shared" ca="1" si="16"/>
        <v>53</v>
      </c>
      <c r="E74" s="203">
        <f t="shared" ca="1" si="10"/>
        <v>756148.15695883497</v>
      </c>
      <c r="F74" s="203">
        <f t="shared" ca="1" si="17"/>
        <v>6143.7275590613826</v>
      </c>
      <c r="G74" s="203">
        <f t="shared" ca="1" si="18"/>
        <v>3850.054365848735</v>
      </c>
      <c r="H74" s="203">
        <f t="shared" ca="1" si="11"/>
        <v>2293.6731932126477</v>
      </c>
      <c r="I74" s="29">
        <f t="shared" ca="1" si="19"/>
        <v>0</v>
      </c>
      <c r="J74" s="29">
        <f t="shared" ca="1" si="20"/>
        <v>0</v>
      </c>
      <c r="K74" s="203">
        <f t="shared" ca="1" si="12"/>
        <v>6143.7275590613826</v>
      </c>
      <c r="L74" s="203">
        <f t="shared" ca="1" si="13"/>
        <v>753854.48376562237</v>
      </c>
    </row>
    <row r="75" spans="2:12">
      <c r="B75" s="202">
        <f t="shared" si="14"/>
        <v>46389</v>
      </c>
      <c r="C75" s="168">
        <f t="shared" si="15"/>
        <v>2027</v>
      </c>
      <c r="D75" s="168">
        <f t="shared" ca="1" si="16"/>
        <v>54</v>
      </c>
      <c r="E75" s="203">
        <f t="shared" ca="1" si="10"/>
        <v>753854.48376562237</v>
      </c>
      <c r="F75" s="203">
        <f t="shared" ca="1" si="17"/>
        <v>6143.7275590613826</v>
      </c>
      <c r="G75" s="203">
        <f t="shared" ca="1" si="18"/>
        <v>3838.3757465066269</v>
      </c>
      <c r="H75" s="203">
        <f t="shared" ca="1" si="11"/>
        <v>2305.3518125547557</v>
      </c>
      <c r="I75" s="29">
        <f t="shared" ca="1" si="19"/>
        <v>0</v>
      </c>
      <c r="J75" s="29">
        <f t="shared" ca="1" si="20"/>
        <v>0</v>
      </c>
      <c r="K75" s="203">
        <f t="shared" ca="1" si="12"/>
        <v>6143.7275590613826</v>
      </c>
      <c r="L75" s="203">
        <f t="shared" ca="1" si="13"/>
        <v>751549.13195306761</v>
      </c>
    </row>
    <row r="76" spans="2:12">
      <c r="B76" s="202">
        <f t="shared" si="14"/>
        <v>46420</v>
      </c>
      <c r="C76" s="168">
        <f t="shared" si="15"/>
        <v>2027</v>
      </c>
      <c r="D76" s="168">
        <f t="shared" ca="1" si="16"/>
        <v>55</v>
      </c>
      <c r="E76" s="203">
        <f t="shared" ca="1" si="10"/>
        <v>751549.13195306761</v>
      </c>
      <c r="F76" s="203">
        <f t="shared" ca="1" si="17"/>
        <v>6143.7275590613826</v>
      </c>
      <c r="G76" s="203">
        <f t="shared" ca="1" si="18"/>
        <v>3826.6376635277029</v>
      </c>
      <c r="H76" s="203">
        <f t="shared" ca="1" si="11"/>
        <v>2317.0898955336797</v>
      </c>
      <c r="I76" s="29">
        <f t="shared" ca="1" si="19"/>
        <v>0</v>
      </c>
      <c r="J76" s="29">
        <f t="shared" ca="1" si="20"/>
        <v>0</v>
      </c>
      <c r="K76" s="203">
        <f t="shared" ca="1" si="12"/>
        <v>6143.7275590613826</v>
      </c>
      <c r="L76" s="203">
        <f t="shared" ca="1" si="13"/>
        <v>749232.04205753398</v>
      </c>
    </row>
    <row r="77" spans="2:12">
      <c r="B77" s="202">
        <f t="shared" si="14"/>
        <v>46448</v>
      </c>
      <c r="C77" s="168">
        <f t="shared" si="15"/>
        <v>2027</v>
      </c>
      <c r="D77" s="168">
        <f t="shared" ca="1" si="16"/>
        <v>56</v>
      </c>
      <c r="E77" s="203">
        <f t="shared" ca="1" si="10"/>
        <v>749232.04205753398</v>
      </c>
      <c r="F77" s="203">
        <f t="shared" ca="1" si="17"/>
        <v>6143.7275590613826</v>
      </c>
      <c r="G77" s="203">
        <f t="shared" ca="1" si="18"/>
        <v>3814.8398141429439</v>
      </c>
      <c r="H77" s="203">
        <f t="shared" ca="1" si="11"/>
        <v>2328.8877449184388</v>
      </c>
      <c r="I77" s="29">
        <f t="shared" ca="1" si="19"/>
        <v>0</v>
      </c>
      <c r="J77" s="29">
        <f t="shared" ca="1" si="20"/>
        <v>0</v>
      </c>
      <c r="K77" s="203">
        <f t="shared" ca="1" si="12"/>
        <v>6143.7275590613826</v>
      </c>
      <c r="L77" s="203">
        <f t="shared" ca="1" si="13"/>
        <v>746903.15431261552</v>
      </c>
    </row>
    <row r="78" spans="2:12">
      <c r="B78" s="202">
        <f t="shared" si="14"/>
        <v>46479</v>
      </c>
      <c r="C78" s="168">
        <f t="shared" si="15"/>
        <v>2027</v>
      </c>
      <c r="D78" s="168">
        <f t="shared" ca="1" si="16"/>
        <v>57</v>
      </c>
      <c r="E78" s="203">
        <f t="shared" ca="1" si="10"/>
        <v>746903.15431261552</v>
      </c>
      <c r="F78" s="203">
        <f t="shared" ca="1" si="17"/>
        <v>6143.7275590613826</v>
      </c>
      <c r="G78" s="203">
        <f t="shared" ca="1" si="18"/>
        <v>3802.981894041734</v>
      </c>
      <c r="H78" s="203">
        <f t="shared" ca="1" si="11"/>
        <v>2340.7456650196486</v>
      </c>
      <c r="I78" s="29">
        <f t="shared" ca="1" si="19"/>
        <v>0</v>
      </c>
      <c r="J78" s="29">
        <f t="shared" ca="1" si="20"/>
        <v>0</v>
      </c>
      <c r="K78" s="203">
        <f t="shared" ca="1" si="12"/>
        <v>6143.7275590613826</v>
      </c>
      <c r="L78" s="203">
        <f t="shared" ca="1" si="13"/>
        <v>744562.4086475959</v>
      </c>
    </row>
    <row r="79" spans="2:12">
      <c r="B79" s="202">
        <f t="shared" si="14"/>
        <v>46509</v>
      </c>
      <c r="C79" s="168">
        <f t="shared" si="15"/>
        <v>2027</v>
      </c>
      <c r="D79" s="168">
        <f t="shared" ca="1" si="16"/>
        <v>58</v>
      </c>
      <c r="E79" s="203">
        <f t="shared" ca="1" si="10"/>
        <v>744562.4086475959</v>
      </c>
      <c r="F79" s="203">
        <f t="shared" ca="1" si="17"/>
        <v>6143.7275590613826</v>
      </c>
      <c r="G79" s="203">
        <f t="shared" ca="1" si="18"/>
        <v>3791.0635973640092</v>
      </c>
      <c r="H79" s="203">
        <f t="shared" ca="1" si="11"/>
        <v>2352.6639616973735</v>
      </c>
      <c r="I79" s="29">
        <f t="shared" ca="1" si="19"/>
        <v>0</v>
      </c>
      <c r="J79" s="29">
        <f t="shared" ca="1" si="20"/>
        <v>0</v>
      </c>
      <c r="K79" s="203">
        <f t="shared" ca="1" si="12"/>
        <v>6143.7275590613826</v>
      </c>
      <c r="L79" s="203">
        <f t="shared" ca="1" si="13"/>
        <v>742209.74468589853</v>
      </c>
    </row>
    <row r="80" spans="2:12">
      <c r="B80" s="202">
        <f t="shared" si="14"/>
        <v>46540</v>
      </c>
      <c r="C80" s="168">
        <f t="shared" si="15"/>
        <v>2027</v>
      </c>
      <c r="D80" s="168">
        <f t="shared" ca="1" si="16"/>
        <v>59</v>
      </c>
      <c r="E80" s="203">
        <f t="shared" ca="1" si="10"/>
        <v>742209.74468589853</v>
      </c>
      <c r="F80" s="203">
        <f t="shared" ca="1" si="17"/>
        <v>6143.7275590613826</v>
      </c>
      <c r="G80" s="203">
        <f t="shared" ca="1" si="18"/>
        <v>3779.084616692367</v>
      </c>
      <c r="H80" s="203">
        <f t="shared" ca="1" si="11"/>
        <v>2364.6429423690156</v>
      </c>
      <c r="I80" s="29">
        <f t="shared" ca="1" si="19"/>
        <v>0</v>
      </c>
      <c r="J80" s="29">
        <f t="shared" ca="1" si="20"/>
        <v>0</v>
      </c>
      <c r="K80" s="203">
        <f t="shared" ca="1" si="12"/>
        <v>6143.7275590613826</v>
      </c>
      <c r="L80" s="203">
        <f t="shared" ca="1" si="13"/>
        <v>739845.10174352955</v>
      </c>
    </row>
    <row r="81" spans="2:12">
      <c r="B81" s="202">
        <f t="shared" si="14"/>
        <v>46570</v>
      </c>
      <c r="C81" s="168">
        <f t="shared" si="15"/>
        <v>2027</v>
      </c>
      <c r="D81" s="168">
        <f t="shared" ca="1" si="16"/>
        <v>60</v>
      </c>
      <c r="E81" s="203">
        <f t="shared" ca="1" si="10"/>
        <v>739845.10174352955</v>
      </c>
      <c r="F81" s="203">
        <f t="shared" ca="1" si="17"/>
        <v>6143.7275590613826</v>
      </c>
      <c r="G81" s="203">
        <f t="shared" ca="1" si="18"/>
        <v>3767.0446430441384</v>
      </c>
      <c r="H81" s="203">
        <f t="shared" ca="1" si="11"/>
        <v>2376.6829160172442</v>
      </c>
      <c r="I81" s="29">
        <f t="shared" ca="1" si="19"/>
        <v>0</v>
      </c>
      <c r="J81" s="29">
        <f t="shared" ca="1" si="20"/>
        <v>0</v>
      </c>
      <c r="K81" s="203">
        <f t="shared" ca="1" si="12"/>
        <v>6143.7275590613826</v>
      </c>
      <c r="L81" s="203">
        <f t="shared" ca="1" si="13"/>
        <v>737468.4188275123</v>
      </c>
    </row>
    <row r="82" spans="2:12">
      <c r="B82" s="202">
        <f t="shared" si="14"/>
        <v>46601</v>
      </c>
      <c r="C82" s="168">
        <f t="shared" si="15"/>
        <v>2027</v>
      </c>
      <c r="D82" s="168">
        <f t="shared" ca="1" si="16"/>
        <v>61</v>
      </c>
      <c r="E82" s="203">
        <f t="shared" ca="1" si="10"/>
        <v>737468.4188275123</v>
      </c>
      <c r="F82" s="203">
        <f t="shared" ca="1" si="17"/>
        <v>6143.7275590613826</v>
      </c>
      <c r="G82" s="203">
        <f t="shared" ca="1" si="18"/>
        <v>3754.9433658634171</v>
      </c>
      <c r="H82" s="203">
        <f t="shared" ca="1" si="11"/>
        <v>2388.7841931979656</v>
      </c>
      <c r="I82" s="29">
        <f t="shared" ca="1" si="19"/>
        <v>0</v>
      </c>
      <c r="J82" s="29">
        <f t="shared" ca="1" si="20"/>
        <v>0</v>
      </c>
      <c r="K82" s="203">
        <f t="shared" ca="1" si="12"/>
        <v>6143.7275590613826</v>
      </c>
      <c r="L82" s="203">
        <f t="shared" ca="1" si="13"/>
        <v>735079.63463431434</v>
      </c>
    </row>
    <row r="83" spans="2:12">
      <c r="B83" s="202">
        <f t="shared" si="14"/>
        <v>46632</v>
      </c>
      <c r="C83" s="168">
        <f t="shared" si="15"/>
        <v>2027</v>
      </c>
      <c r="D83" s="168">
        <f t="shared" ca="1" si="16"/>
        <v>62</v>
      </c>
      <c r="E83" s="203">
        <f t="shared" ca="1" si="10"/>
        <v>735079.63463431434</v>
      </c>
      <c r="F83" s="203">
        <f t="shared" ca="1" si="17"/>
        <v>6143.7275590613826</v>
      </c>
      <c r="G83" s="203">
        <f t="shared" ca="1" si="18"/>
        <v>3742.7804730130506</v>
      </c>
      <c r="H83" s="203">
        <f t="shared" ca="1" si="11"/>
        <v>2400.947086048332</v>
      </c>
      <c r="I83" s="29">
        <f t="shared" ca="1" si="19"/>
        <v>0</v>
      </c>
      <c r="J83" s="29">
        <f t="shared" ca="1" si="20"/>
        <v>0</v>
      </c>
      <c r="K83" s="203">
        <f t="shared" ca="1" si="12"/>
        <v>6143.7275590613826</v>
      </c>
      <c r="L83" s="203">
        <f t="shared" ca="1" si="13"/>
        <v>732678.68754826603</v>
      </c>
    </row>
    <row r="84" spans="2:12">
      <c r="B84" s="202">
        <f t="shared" si="14"/>
        <v>46662</v>
      </c>
      <c r="C84" s="168">
        <f t="shared" si="15"/>
        <v>2027</v>
      </c>
      <c r="D84" s="168">
        <f t="shared" ca="1" si="16"/>
        <v>63</v>
      </c>
      <c r="E84" s="203">
        <f t="shared" ca="1" si="10"/>
        <v>732678.68754826603</v>
      </c>
      <c r="F84" s="203">
        <f t="shared" ca="1" si="17"/>
        <v>6143.7275590613826</v>
      </c>
      <c r="G84" s="203">
        <f t="shared" ca="1" si="18"/>
        <v>3730.5556507665879</v>
      </c>
      <c r="H84" s="203">
        <f t="shared" ca="1" si="11"/>
        <v>2413.1719082947948</v>
      </c>
      <c r="I84" s="29">
        <f t="shared" ca="1" si="19"/>
        <v>0</v>
      </c>
      <c r="J84" s="29">
        <f t="shared" ca="1" si="20"/>
        <v>0</v>
      </c>
      <c r="K84" s="203">
        <f t="shared" ca="1" si="12"/>
        <v>6143.7275590613826</v>
      </c>
      <c r="L84" s="203">
        <f t="shared" ca="1" si="13"/>
        <v>730265.51563997124</v>
      </c>
    </row>
    <row r="85" spans="2:12">
      <c r="B85" s="202">
        <f t="shared" si="14"/>
        <v>46693</v>
      </c>
      <c r="C85" s="168">
        <f t="shared" si="15"/>
        <v>2027</v>
      </c>
      <c r="D85" s="168">
        <f t="shared" ca="1" si="16"/>
        <v>64</v>
      </c>
      <c r="E85" s="203">
        <f t="shared" ca="1" si="10"/>
        <v>730265.51563997124</v>
      </c>
      <c r="F85" s="203">
        <f t="shared" ca="1" si="17"/>
        <v>6143.7275590613826</v>
      </c>
      <c r="G85" s="203">
        <f t="shared" ca="1" si="18"/>
        <v>3718.2685838001871</v>
      </c>
      <c r="H85" s="203">
        <f t="shared" ca="1" si="11"/>
        <v>2425.4589752611955</v>
      </c>
      <c r="I85" s="29">
        <f t="shared" ca="1" si="19"/>
        <v>0</v>
      </c>
      <c r="J85" s="29">
        <f t="shared" ca="1" si="20"/>
        <v>0</v>
      </c>
      <c r="K85" s="203">
        <f t="shared" ca="1" si="12"/>
        <v>6143.7275590613826</v>
      </c>
      <c r="L85" s="203">
        <f t="shared" ca="1" si="13"/>
        <v>727840.05666471005</v>
      </c>
    </row>
    <row r="86" spans="2:12">
      <c r="B86" s="202">
        <f t="shared" si="14"/>
        <v>46723</v>
      </c>
      <c r="C86" s="168">
        <f t="shared" si="15"/>
        <v>2027</v>
      </c>
      <c r="D86" s="168">
        <f t="shared" ref="D86:D117" ca="1" si="21">IF(OR($D85="",D85=$D$8*$D$11,$L85=0),"",$D85+1)</f>
        <v>65</v>
      </c>
      <c r="E86" s="203">
        <f t="shared" ca="1" si="10"/>
        <v>727840.05666471005</v>
      </c>
      <c r="F86" s="203">
        <f t="shared" ref="F86:F117" ca="1" si="22">IF(D86="","",MIN(E86+G86,(D86&lt;=($D$9*$D$11))*$L$9+(D86&gt;($D$9*$D$11))*$L$10))</f>
        <v>6143.7275590613826</v>
      </c>
      <c r="G86" s="203">
        <f t="shared" ref="G86:G117" ca="1" si="23">IF(D86="","",((E86*$D$13)/$D$11))</f>
        <v>3705.9189551844825</v>
      </c>
      <c r="H86" s="203">
        <f t="shared" ca="1" si="11"/>
        <v>2437.8086038769002</v>
      </c>
      <c r="I86" s="29">
        <f t="shared" ref="I86:I117" ca="1" si="24">IF($D86="","",($D86=$D$8*$D$11)*($E86-$H86-$J86))</f>
        <v>0</v>
      </c>
      <c r="J86" s="29">
        <f t="shared" ref="J86:J117" ca="1" si="25">IF($D86="","",MIN($H$16,$E86-$H86))</f>
        <v>0</v>
      </c>
      <c r="K86" s="203">
        <f t="shared" ca="1" si="12"/>
        <v>6143.7275590613826</v>
      </c>
      <c r="L86" s="203">
        <f t="shared" ca="1" si="13"/>
        <v>725402.2480608332</v>
      </c>
    </row>
    <row r="87" spans="2:12">
      <c r="B87" s="202">
        <f t="shared" si="14"/>
        <v>46754</v>
      </c>
      <c r="C87" s="168">
        <f t="shared" si="15"/>
        <v>2028</v>
      </c>
      <c r="D87" s="168">
        <f t="shared" ca="1" si="21"/>
        <v>66</v>
      </c>
      <c r="E87" s="203">
        <f t="shared" ref="E87:E150" ca="1" si="26">IF(D87="","",L86)</f>
        <v>725402.2480608332</v>
      </c>
      <c r="F87" s="203">
        <f t="shared" ca="1" si="22"/>
        <v>6143.7275590613826</v>
      </c>
      <c r="G87" s="203">
        <f t="shared" ca="1" si="23"/>
        <v>3693.5064463764088</v>
      </c>
      <c r="H87" s="203">
        <f t="shared" ref="H87:H150" ca="1" si="27">IF(D87="","",F87-G87)</f>
        <v>2450.2211126849738</v>
      </c>
      <c r="I87" s="29">
        <f t="shared" ca="1" si="24"/>
        <v>0</v>
      </c>
      <c r="J87" s="29">
        <f t="shared" ca="1" si="25"/>
        <v>0</v>
      </c>
      <c r="K87" s="203">
        <f t="shared" ref="K87:K150" ca="1" si="28">IF($D87="","",SUM($G87:$J87))</f>
        <v>6143.7275590613826</v>
      </c>
      <c r="L87" s="203">
        <f t="shared" ref="L87:L150" ca="1" si="29">IF($D87="","",$E87-$H87-$I87-$J87)</f>
        <v>722952.02694814827</v>
      </c>
    </row>
    <row r="88" spans="2:12">
      <c r="B88" s="202">
        <f t="shared" ref="B88:B141" si="30">EDATE(B87,1)</f>
        <v>46785</v>
      </c>
      <c r="C88" s="168">
        <f t="shared" ref="C88:C141" si="31">YEAR(B88)</f>
        <v>2028</v>
      </c>
      <c r="D88" s="168">
        <f t="shared" ca="1" si="21"/>
        <v>67</v>
      </c>
      <c r="E88" s="203">
        <f t="shared" ca="1" si="26"/>
        <v>722952.02694814827</v>
      </c>
      <c r="F88" s="203">
        <f t="shared" ca="1" si="22"/>
        <v>6143.7275590613826</v>
      </c>
      <c r="G88" s="203">
        <f t="shared" ca="1" si="23"/>
        <v>3681.0307372109887</v>
      </c>
      <c r="H88" s="203">
        <f t="shared" ca="1" si="27"/>
        <v>2462.6968218503939</v>
      </c>
      <c r="I88" s="29">
        <f t="shared" ca="1" si="24"/>
        <v>0</v>
      </c>
      <c r="J88" s="29">
        <f t="shared" ca="1" si="25"/>
        <v>0</v>
      </c>
      <c r="K88" s="203">
        <f t="shared" ca="1" si="28"/>
        <v>6143.7275590613826</v>
      </c>
      <c r="L88" s="203">
        <f t="shared" ca="1" si="29"/>
        <v>720489.33012629789</v>
      </c>
    </row>
    <row r="89" spans="2:12">
      <c r="B89" s="202">
        <f t="shared" si="30"/>
        <v>46814</v>
      </c>
      <c r="C89" s="168">
        <f t="shared" si="31"/>
        <v>2028</v>
      </c>
      <c r="D89" s="168">
        <f t="shared" ca="1" si="21"/>
        <v>68</v>
      </c>
      <c r="E89" s="203">
        <f t="shared" ca="1" si="26"/>
        <v>720489.33012629789</v>
      </c>
      <c r="F89" s="203">
        <f t="shared" ca="1" si="22"/>
        <v>6143.7275590613826</v>
      </c>
      <c r="G89" s="203">
        <f t="shared" ca="1" si="23"/>
        <v>3668.4915058930669</v>
      </c>
      <c r="H89" s="203">
        <f t="shared" ca="1" si="27"/>
        <v>2475.2360531683157</v>
      </c>
      <c r="I89" s="29">
        <f t="shared" ca="1" si="24"/>
        <v>0</v>
      </c>
      <c r="J89" s="29">
        <f t="shared" ca="1" si="25"/>
        <v>0</v>
      </c>
      <c r="K89" s="203">
        <f t="shared" ca="1" si="28"/>
        <v>6143.7275590613826</v>
      </c>
      <c r="L89" s="203">
        <f t="shared" ca="1" si="29"/>
        <v>718014.09407312959</v>
      </c>
    </row>
    <row r="90" spans="2:12">
      <c r="B90" s="202">
        <f t="shared" si="30"/>
        <v>46845</v>
      </c>
      <c r="C90" s="168">
        <f t="shared" si="31"/>
        <v>2028</v>
      </c>
      <c r="D90" s="168">
        <f t="shared" ca="1" si="21"/>
        <v>69</v>
      </c>
      <c r="E90" s="203">
        <f t="shared" ca="1" si="26"/>
        <v>718014.09407312959</v>
      </c>
      <c r="F90" s="203">
        <f t="shared" ca="1" si="22"/>
        <v>6143.7275590613826</v>
      </c>
      <c r="G90" s="203">
        <f t="shared" ca="1" si="23"/>
        <v>3655.8884289890179</v>
      </c>
      <c r="H90" s="203">
        <f t="shared" ca="1" si="27"/>
        <v>2487.8391300723647</v>
      </c>
      <c r="I90" s="29">
        <f t="shared" ca="1" si="24"/>
        <v>0</v>
      </c>
      <c r="J90" s="29">
        <f t="shared" ca="1" si="25"/>
        <v>0</v>
      </c>
      <c r="K90" s="203">
        <f t="shared" ca="1" si="28"/>
        <v>6143.7275590613826</v>
      </c>
      <c r="L90" s="203">
        <f t="shared" ca="1" si="29"/>
        <v>715526.2549430572</v>
      </c>
    </row>
    <row r="91" spans="2:12">
      <c r="B91" s="202">
        <f t="shared" si="30"/>
        <v>46875</v>
      </c>
      <c r="C91" s="168">
        <f t="shared" si="31"/>
        <v>2028</v>
      </c>
      <c r="D91" s="168">
        <f t="shared" ca="1" si="21"/>
        <v>70</v>
      </c>
      <c r="E91" s="203">
        <f t="shared" ca="1" si="26"/>
        <v>715526.2549430572</v>
      </c>
      <c r="F91" s="203">
        <f t="shared" ca="1" si="22"/>
        <v>6143.7275590613826</v>
      </c>
      <c r="G91" s="203">
        <f t="shared" ca="1" si="23"/>
        <v>3643.2211814183997</v>
      </c>
      <c r="H91" s="203">
        <f t="shared" ca="1" si="27"/>
        <v>2500.5063776429829</v>
      </c>
      <c r="I91" s="29">
        <f t="shared" ca="1" si="24"/>
        <v>0</v>
      </c>
      <c r="J91" s="29">
        <f t="shared" ca="1" si="25"/>
        <v>0</v>
      </c>
      <c r="K91" s="203">
        <f t="shared" ca="1" si="28"/>
        <v>6143.7275590613826</v>
      </c>
      <c r="L91" s="203">
        <f t="shared" ca="1" si="29"/>
        <v>713025.74856541422</v>
      </c>
    </row>
    <row r="92" spans="2:12">
      <c r="B92" s="202">
        <f t="shared" si="30"/>
        <v>46906</v>
      </c>
      <c r="C92" s="168">
        <f t="shared" si="31"/>
        <v>2028</v>
      </c>
      <c r="D92" s="168">
        <f t="shared" ca="1" si="21"/>
        <v>71</v>
      </c>
      <c r="E92" s="203">
        <f t="shared" ca="1" si="26"/>
        <v>713025.74856541422</v>
      </c>
      <c r="F92" s="203">
        <f t="shared" ca="1" si="22"/>
        <v>6143.7275590613826</v>
      </c>
      <c r="G92" s="203">
        <f t="shared" ca="1" si="23"/>
        <v>3630.4894364455672</v>
      </c>
      <c r="H92" s="203">
        <f t="shared" ca="1" si="27"/>
        <v>2513.2381226158154</v>
      </c>
      <c r="I92" s="29">
        <f t="shared" ca="1" si="24"/>
        <v>0</v>
      </c>
      <c r="J92" s="29">
        <f t="shared" ca="1" si="25"/>
        <v>0</v>
      </c>
      <c r="K92" s="203">
        <f t="shared" ca="1" si="28"/>
        <v>6143.7275590613826</v>
      </c>
      <c r="L92" s="203">
        <f t="shared" ca="1" si="29"/>
        <v>710512.51044279838</v>
      </c>
    </row>
    <row r="93" spans="2:12">
      <c r="B93" s="202">
        <f t="shared" si="30"/>
        <v>46936</v>
      </c>
      <c r="C93" s="168">
        <f t="shared" si="31"/>
        <v>2028</v>
      </c>
      <c r="D93" s="168">
        <f t="shared" ca="1" si="21"/>
        <v>72</v>
      </c>
      <c r="E93" s="203">
        <f t="shared" ca="1" si="26"/>
        <v>710512.51044279838</v>
      </c>
      <c r="F93" s="203">
        <f t="shared" ca="1" si="22"/>
        <v>6143.7275590613826</v>
      </c>
      <c r="G93" s="203">
        <f t="shared" ca="1" si="23"/>
        <v>3617.6928656712485</v>
      </c>
      <c r="H93" s="203">
        <f t="shared" ca="1" si="27"/>
        <v>2526.0346933901342</v>
      </c>
      <c r="I93" s="29">
        <f t="shared" ca="1" si="24"/>
        <v>0</v>
      </c>
      <c r="J93" s="29">
        <f t="shared" ca="1" si="25"/>
        <v>0</v>
      </c>
      <c r="K93" s="203">
        <f t="shared" ca="1" si="28"/>
        <v>6143.7275590613826</v>
      </c>
      <c r="L93" s="203">
        <f t="shared" ca="1" si="29"/>
        <v>707986.47574940824</v>
      </c>
    </row>
    <row r="94" spans="2:12">
      <c r="B94" s="202">
        <f t="shared" si="30"/>
        <v>46967</v>
      </c>
      <c r="C94" s="168">
        <f t="shared" si="31"/>
        <v>2028</v>
      </c>
      <c r="D94" s="168">
        <f t="shared" ca="1" si="21"/>
        <v>73</v>
      </c>
      <c r="E94" s="203">
        <f t="shared" ca="1" si="26"/>
        <v>707986.47574940824</v>
      </c>
      <c r="F94" s="203">
        <f t="shared" ca="1" si="22"/>
        <v>6143.7275590613826</v>
      </c>
      <c r="G94" s="203">
        <f t="shared" ca="1" si="23"/>
        <v>3604.8311390240706</v>
      </c>
      <c r="H94" s="203">
        <f t="shared" ca="1" si="27"/>
        <v>2538.8964200373121</v>
      </c>
      <c r="I94" s="29">
        <f t="shared" ca="1" si="24"/>
        <v>0</v>
      </c>
      <c r="J94" s="29">
        <f t="shared" ca="1" si="25"/>
        <v>0</v>
      </c>
      <c r="K94" s="203">
        <f t="shared" ca="1" si="28"/>
        <v>6143.7275590613826</v>
      </c>
      <c r="L94" s="203">
        <f t="shared" ca="1" si="29"/>
        <v>705447.57932937099</v>
      </c>
    </row>
    <row r="95" spans="2:12">
      <c r="B95" s="202">
        <f t="shared" si="30"/>
        <v>46998</v>
      </c>
      <c r="C95" s="168">
        <f t="shared" si="31"/>
        <v>2028</v>
      </c>
      <c r="D95" s="168">
        <f t="shared" ca="1" si="21"/>
        <v>74</v>
      </c>
      <c r="E95" s="203">
        <f t="shared" ca="1" si="26"/>
        <v>705447.57932937099</v>
      </c>
      <c r="F95" s="203">
        <f t="shared" ca="1" si="22"/>
        <v>6143.7275590613826</v>
      </c>
      <c r="G95" s="203">
        <f t="shared" ca="1" si="23"/>
        <v>3591.9039247520473</v>
      </c>
      <c r="H95" s="203">
        <f t="shared" ca="1" si="27"/>
        <v>2551.8236343093354</v>
      </c>
      <c r="I95" s="29">
        <f t="shared" ca="1" si="24"/>
        <v>0</v>
      </c>
      <c r="J95" s="29">
        <f t="shared" ca="1" si="25"/>
        <v>0</v>
      </c>
      <c r="K95" s="203">
        <f t="shared" ca="1" si="28"/>
        <v>6143.7275590613826</v>
      </c>
      <c r="L95" s="203">
        <f t="shared" ca="1" si="29"/>
        <v>702895.75569506164</v>
      </c>
    </row>
    <row r="96" spans="2:12">
      <c r="B96" s="202">
        <f t="shared" si="30"/>
        <v>47028</v>
      </c>
      <c r="C96" s="168">
        <f t="shared" si="31"/>
        <v>2028</v>
      </c>
      <c r="D96" s="168">
        <f t="shared" ca="1" si="21"/>
        <v>75</v>
      </c>
      <c r="E96" s="203">
        <f t="shared" ca="1" si="26"/>
        <v>702895.75569506164</v>
      </c>
      <c r="F96" s="203">
        <f t="shared" ca="1" si="22"/>
        <v>6143.7275590613826</v>
      </c>
      <c r="G96" s="203">
        <f t="shared" ca="1" si="23"/>
        <v>3578.9108894140222</v>
      </c>
      <c r="H96" s="203">
        <f t="shared" ca="1" si="27"/>
        <v>2564.8166696473604</v>
      </c>
      <c r="I96" s="29">
        <f t="shared" ca="1" si="24"/>
        <v>0</v>
      </c>
      <c r="J96" s="29">
        <f t="shared" ca="1" si="25"/>
        <v>0</v>
      </c>
      <c r="K96" s="203">
        <f t="shared" ca="1" si="28"/>
        <v>6143.7275590613826</v>
      </c>
      <c r="L96" s="203">
        <f t="shared" ca="1" si="29"/>
        <v>700330.93902541429</v>
      </c>
    </row>
    <row r="97" spans="2:12">
      <c r="B97" s="202">
        <f t="shared" si="30"/>
        <v>47059</v>
      </c>
      <c r="C97" s="168">
        <f t="shared" si="31"/>
        <v>2028</v>
      </c>
      <c r="D97" s="168">
        <f t="shared" ca="1" si="21"/>
        <v>76</v>
      </c>
      <c r="E97" s="203">
        <f t="shared" ca="1" si="26"/>
        <v>700330.93902541429</v>
      </c>
      <c r="F97" s="203">
        <f t="shared" ca="1" si="22"/>
        <v>6143.7275590613826</v>
      </c>
      <c r="G97" s="203">
        <f t="shared" ca="1" si="23"/>
        <v>3565.8516978710682</v>
      </c>
      <c r="H97" s="203">
        <f t="shared" ca="1" si="27"/>
        <v>2577.8758611903145</v>
      </c>
      <c r="I97" s="29">
        <f t="shared" ca="1" si="24"/>
        <v>0</v>
      </c>
      <c r="J97" s="29">
        <f t="shared" ca="1" si="25"/>
        <v>0</v>
      </c>
      <c r="K97" s="203">
        <f t="shared" ca="1" si="28"/>
        <v>6143.7275590613826</v>
      </c>
      <c r="L97" s="203">
        <f t="shared" ca="1" si="29"/>
        <v>697753.06316422403</v>
      </c>
    </row>
    <row r="98" spans="2:12">
      <c r="B98" s="202">
        <f t="shared" si="30"/>
        <v>47089</v>
      </c>
      <c r="C98" s="168">
        <f t="shared" si="31"/>
        <v>2028</v>
      </c>
      <c r="D98" s="168">
        <f t="shared" ca="1" si="21"/>
        <v>77</v>
      </c>
      <c r="E98" s="203">
        <f t="shared" ca="1" si="26"/>
        <v>697753.06316422403</v>
      </c>
      <c r="F98" s="203">
        <f t="shared" ca="1" si="22"/>
        <v>6143.7275590613826</v>
      </c>
      <c r="G98" s="203">
        <f t="shared" ca="1" si="23"/>
        <v>3552.726013277841</v>
      </c>
      <c r="H98" s="203">
        <f t="shared" ca="1" si="27"/>
        <v>2591.0015457835416</v>
      </c>
      <c r="I98" s="29">
        <f t="shared" ca="1" si="24"/>
        <v>0</v>
      </c>
      <c r="J98" s="29">
        <f t="shared" ca="1" si="25"/>
        <v>0</v>
      </c>
      <c r="K98" s="203">
        <f t="shared" ca="1" si="28"/>
        <v>6143.7275590613826</v>
      </c>
      <c r="L98" s="203">
        <f t="shared" ca="1" si="29"/>
        <v>695162.06161844044</v>
      </c>
    </row>
    <row r="99" spans="2:12">
      <c r="B99" s="202">
        <f t="shared" si="30"/>
        <v>47120</v>
      </c>
      <c r="C99" s="168">
        <f t="shared" si="31"/>
        <v>2029</v>
      </c>
      <c r="D99" s="168">
        <f t="shared" ca="1" si="21"/>
        <v>78</v>
      </c>
      <c r="E99" s="203">
        <f t="shared" ca="1" si="26"/>
        <v>695162.06161844044</v>
      </c>
      <c r="F99" s="203">
        <f t="shared" ca="1" si="22"/>
        <v>6143.7275590613826</v>
      </c>
      <c r="G99" s="203">
        <f t="shared" ca="1" si="23"/>
        <v>3539.5334970738927</v>
      </c>
      <c r="H99" s="203">
        <f t="shared" ca="1" si="27"/>
        <v>2604.1940619874899</v>
      </c>
      <c r="I99" s="29">
        <f t="shared" ca="1" si="24"/>
        <v>0</v>
      </c>
      <c r="J99" s="29">
        <f t="shared" ca="1" si="25"/>
        <v>0</v>
      </c>
      <c r="K99" s="203">
        <f t="shared" ca="1" si="28"/>
        <v>6143.7275590613826</v>
      </c>
      <c r="L99" s="203">
        <f t="shared" ca="1" si="29"/>
        <v>692557.86755645298</v>
      </c>
    </row>
    <row r="100" spans="2:12">
      <c r="B100" s="202">
        <f t="shared" si="30"/>
        <v>47151</v>
      </c>
      <c r="C100" s="168">
        <f t="shared" si="31"/>
        <v>2029</v>
      </c>
      <c r="D100" s="168">
        <f t="shared" ca="1" si="21"/>
        <v>79</v>
      </c>
      <c r="E100" s="203">
        <f t="shared" ca="1" si="26"/>
        <v>692557.86755645298</v>
      </c>
      <c r="F100" s="203">
        <f t="shared" ca="1" si="22"/>
        <v>6143.7275590613826</v>
      </c>
      <c r="G100" s="203">
        <f t="shared" ca="1" si="23"/>
        <v>3526.27380897494</v>
      </c>
      <c r="H100" s="203">
        <f t="shared" ca="1" si="27"/>
        <v>2617.4537500864426</v>
      </c>
      <c r="I100" s="29">
        <f t="shared" ca="1" si="24"/>
        <v>0</v>
      </c>
      <c r="J100" s="29">
        <f t="shared" ca="1" si="25"/>
        <v>0</v>
      </c>
      <c r="K100" s="203">
        <f t="shared" ca="1" si="28"/>
        <v>6143.7275590613826</v>
      </c>
      <c r="L100" s="203">
        <f t="shared" ca="1" si="29"/>
        <v>689940.4138063665</v>
      </c>
    </row>
    <row r="101" spans="2:12">
      <c r="B101" s="202">
        <f t="shared" si="30"/>
        <v>47179</v>
      </c>
      <c r="C101" s="168">
        <f t="shared" si="31"/>
        <v>2029</v>
      </c>
      <c r="D101" s="168">
        <f t="shared" ca="1" si="21"/>
        <v>80</v>
      </c>
      <c r="E101" s="203">
        <f t="shared" ca="1" si="26"/>
        <v>689940.4138063665</v>
      </c>
      <c r="F101" s="203">
        <f t="shared" ca="1" si="22"/>
        <v>6143.7275590613826</v>
      </c>
      <c r="G101" s="203">
        <f t="shared" ca="1" si="23"/>
        <v>3512.9466069640825</v>
      </c>
      <c r="H101" s="203">
        <f t="shared" ca="1" si="27"/>
        <v>2630.7809520973001</v>
      </c>
      <c r="I101" s="29">
        <f t="shared" ca="1" si="24"/>
        <v>0</v>
      </c>
      <c r="J101" s="29">
        <f t="shared" ca="1" si="25"/>
        <v>0</v>
      </c>
      <c r="K101" s="203">
        <f t="shared" ca="1" si="28"/>
        <v>6143.7275590613826</v>
      </c>
      <c r="L101" s="203">
        <f t="shared" ca="1" si="29"/>
        <v>687309.63285426924</v>
      </c>
    </row>
    <row r="102" spans="2:12">
      <c r="B102" s="202">
        <f t="shared" si="30"/>
        <v>47210</v>
      </c>
      <c r="C102" s="168">
        <f t="shared" si="31"/>
        <v>2029</v>
      </c>
      <c r="D102" s="168">
        <f t="shared" ca="1" si="21"/>
        <v>81</v>
      </c>
      <c r="E102" s="203">
        <f t="shared" ca="1" si="26"/>
        <v>687309.63285426924</v>
      </c>
      <c r="F102" s="203">
        <f t="shared" ca="1" si="22"/>
        <v>6143.7275590613826</v>
      </c>
      <c r="G102" s="203">
        <f t="shared" ca="1" si="23"/>
        <v>3499.5515472829879</v>
      </c>
      <c r="H102" s="203">
        <f t="shared" ca="1" si="27"/>
        <v>2644.1760117783947</v>
      </c>
      <c r="I102" s="29">
        <f t="shared" ca="1" si="24"/>
        <v>0</v>
      </c>
      <c r="J102" s="29">
        <f t="shared" ca="1" si="25"/>
        <v>0</v>
      </c>
      <c r="K102" s="203">
        <f t="shared" ca="1" si="28"/>
        <v>6143.7275590613826</v>
      </c>
      <c r="L102" s="203">
        <f t="shared" ca="1" si="29"/>
        <v>684665.45684249082</v>
      </c>
    </row>
    <row r="103" spans="2:12">
      <c r="B103" s="202">
        <f t="shared" si="30"/>
        <v>47240</v>
      </c>
      <c r="C103" s="168">
        <f t="shared" si="31"/>
        <v>2029</v>
      </c>
      <c r="D103" s="168">
        <f t="shared" ca="1" si="21"/>
        <v>82</v>
      </c>
      <c r="E103" s="203">
        <f t="shared" ca="1" si="26"/>
        <v>684665.45684249082</v>
      </c>
      <c r="F103" s="203">
        <f t="shared" ca="1" si="22"/>
        <v>6143.7275590613826</v>
      </c>
      <c r="G103" s="203">
        <f t="shared" ca="1" si="23"/>
        <v>3486.0882844230159</v>
      </c>
      <c r="H103" s="203">
        <f t="shared" ca="1" si="27"/>
        <v>2657.6392746383667</v>
      </c>
      <c r="I103" s="29">
        <f t="shared" ca="1" si="24"/>
        <v>0</v>
      </c>
      <c r="J103" s="29">
        <f t="shared" ca="1" si="25"/>
        <v>0</v>
      </c>
      <c r="K103" s="203">
        <f t="shared" ca="1" si="28"/>
        <v>6143.7275590613826</v>
      </c>
      <c r="L103" s="203">
        <f t="shared" ca="1" si="29"/>
        <v>682007.81756785244</v>
      </c>
    </row>
    <row r="104" spans="2:12">
      <c r="B104" s="202">
        <f t="shared" si="30"/>
        <v>47271</v>
      </c>
      <c r="C104" s="168">
        <f t="shared" si="31"/>
        <v>2029</v>
      </c>
      <c r="D104" s="168">
        <f t="shared" ca="1" si="21"/>
        <v>83</v>
      </c>
      <c r="E104" s="203">
        <f t="shared" ca="1" si="26"/>
        <v>682007.81756785244</v>
      </c>
      <c r="F104" s="203">
        <f t="shared" ca="1" si="22"/>
        <v>6143.7275590613826</v>
      </c>
      <c r="G104" s="203">
        <f t="shared" ca="1" si="23"/>
        <v>3472.5564711163152</v>
      </c>
      <c r="H104" s="203">
        <f t="shared" ca="1" si="27"/>
        <v>2671.1710879450675</v>
      </c>
      <c r="I104" s="29">
        <f t="shared" ca="1" si="24"/>
        <v>0</v>
      </c>
      <c r="J104" s="29">
        <f t="shared" ca="1" si="25"/>
        <v>0</v>
      </c>
      <c r="K104" s="203">
        <f t="shared" ca="1" si="28"/>
        <v>6143.7275590613826</v>
      </c>
      <c r="L104" s="203">
        <f t="shared" ca="1" si="29"/>
        <v>679336.64647990733</v>
      </c>
    </row>
    <row r="105" spans="2:12">
      <c r="B105" s="202">
        <f t="shared" si="30"/>
        <v>47301</v>
      </c>
      <c r="C105" s="168">
        <f t="shared" si="31"/>
        <v>2029</v>
      </c>
      <c r="D105" s="168">
        <f t="shared" ca="1" si="21"/>
        <v>84</v>
      </c>
      <c r="E105" s="203">
        <f t="shared" ca="1" si="26"/>
        <v>679336.64647990733</v>
      </c>
      <c r="F105" s="203">
        <f t="shared" ca="1" si="22"/>
        <v>6143.7275590613826</v>
      </c>
      <c r="G105" s="203">
        <f t="shared" ca="1" si="23"/>
        <v>3458.9557583268615</v>
      </c>
      <c r="H105" s="203">
        <f t="shared" ca="1" si="27"/>
        <v>2684.7718007345211</v>
      </c>
      <c r="I105" s="29">
        <f t="shared" ca="1" si="24"/>
        <v>0</v>
      </c>
      <c r="J105" s="29">
        <f t="shared" ca="1" si="25"/>
        <v>0</v>
      </c>
      <c r="K105" s="203">
        <f t="shared" ca="1" si="28"/>
        <v>6143.7275590613826</v>
      </c>
      <c r="L105" s="203">
        <f t="shared" ca="1" si="29"/>
        <v>676651.87467917276</v>
      </c>
    </row>
    <row r="106" spans="2:12">
      <c r="B106" s="202">
        <f t="shared" si="30"/>
        <v>47332</v>
      </c>
      <c r="C106" s="168">
        <f t="shared" si="31"/>
        <v>2029</v>
      </c>
      <c r="D106" s="168">
        <f t="shared" ca="1" si="21"/>
        <v>85</v>
      </c>
      <c r="E106" s="203">
        <f t="shared" ca="1" si="26"/>
        <v>676651.87467917276</v>
      </c>
      <c r="F106" s="203">
        <f t="shared" ca="1" si="22"/>
        <v>6143.7275590613826</v>
      </c>
      <c r="G106" s="203">
        <f t="shared" ca="1" si="23"/>
        <v>3445.2857952414547</v>
      </c>
      <c r="H106" s="203">
        <f t="shared" ca="1" si="27"/>
        <v>2698.4417638199279</v>
      </c>
      <c r="I106" s="29">
        <f t="shared" ca="1" si="24"/>
        <v>0</v>
      </c>
      <c r="J106" s="29">
        <f t="shared" ca="1" si="25"/>
        <v>0</v>
      </c>
      <c r="K106" s="203">
        <f t="shared" ca="1" si="28"/>
        <v>6143.7275590613826</v>
      </c>
      <c r="L106" s="203">
        <f t="shared" ca="1" si="29"/>
        <v>673953.43291535287</v>
      </c>
    </row>
    <row r="107" spans="2:12">
      <c r="B107" s="202">
        <f t="shared" si="30"/>
        <v>47363</v>
      </c>
      <c r="C107" s="168">
        <f t="shared" si="31"/>
        <v>2029</v>
      </c>
      <c r="D107" s="168">
        <f t="shared" ca="1" si="21"/>
        <v>86</v>
      </c>
      <c r="E107" s="203">
        <f t="shared" ca="1" si="26"/>
        <v>673953.43291535287</v>
      </c>
      <c r="F107" s="203">
        <f t="shared" ca="1" si="22"/>
        <v>6143.7275590613826</v>
      </c>
      <c r="G107" s="203">
        <f t="shared" ca="1" si="23"/>
        <v>3431.5462292606717</v>
      </c>
      <c r="H107" s="203">
        <f t="shared" ca="1" si="27"/>
        <v>2712.181329800711</v>
      </c>
      <c r="I107" s="29">
        <f t="shared" ca="1" si="24"/>
        <v>0</v>
      </c>
      <c r="J107" s="29">
        <f t="shared" ca="1" si="25"/>
        <v>0</v>
      </c>
      <c r="K107" s="203">
        <f t="shared" ca="1" si="28"/>
        <v>6143.7275590613826</v>
      </c>
      <c r="L107" s="203">
        <f t="shared" ca="1" si="29"/>
        <v>671241.25158555212</v>
      </c>
    </row>
    <row r="108" spans="2:12">
      <c r="B108" s="202">
        <f t="shared" si="30"/>
        <v>47393</v>
      </c>
      <c r="C108" s="168">
        <f t="shared" si="31"/>
        <v>2029</v>
      </c>
      <c r="D108" s="168">
        <f t="shared" ca="1" si="21"/>
        <v>87</v>
      </c>
      <c r="E108" s="203">
        <f t="shared" ca="1" si="26"/>
        <v>671241.25158555212</v>
      </c>
      <c r="F108" s="203">
        <f t="shared" ca="1" si="22"/>
        <v>6143.7275590613826</v>
      </c>
      <c r="G108" s="203">
        <f t="shared" ca="1" si="23"/>
        <v>3417.7367059897697</v>
      </c>
      <c r="H108" s="203">
        <f t="shared" ca="1" si="27"/>
        <v>2725.9908530716129</v>
      </c>
      <c r="I108" s="29">
        <f t="shared" ca="1" si="24"/>
        <v>0</v>
      </c>
      <c r="J108" s="29">
        <f t="shared" ca="1" si="25"/>
        <v>0</v>
      </c>
      <c r="K108" s="203">
        <f t="shared" ca="1" si="28"/>
        <v>6143.7275590613826</v>
      </c>
      <c r="L108" s="203">
        <f t="shared" ca="1" si="29"/>
        <v>668515.26073248056</v>
      </c>
    </row>
    <row r="109" spans="2:12">
      <c r="B109" s="202">
        <f t="shared" si="30"/>
        <v>47424</v>
      </c>
      <c r="C109" s="168">
        <f t="shared" si="31"/>
        <v>2029</v>
      </c>
      <c r="D109" s="168">
        <f t="shared" ca="1" si="21"/>
        <v>88</v>
      </c>
      <c r="E109" s="203">
        <f t="shared" ca="1" si="26"/>
        <v>668515.26073248056</v>
      </c>
      <c r="F109" s="203">
        <f t="shared" ca="1" si="22"/>
        <v>6143.7275590613826</v>
      </c>
      <c r="G109" s="203">
        <f t="shared" ca="1" si="23"/>
        <v>3403.8568692295466</v>
      </c>
      <c r="H109" s="203">
        <f t="shared" ca="1" si="27"/>
        <v>2739.870689831836</v>
      </c>
      <c r="I109" s="29">
        <f t="shared" ca="1" si="24"/>
        <v>0</v>
      </c>
      <c r="J109" s="29">
        <f t="shared" ca="1" si="25"/>
        <v>0</v>
      </c>
      <c r="K109" s="203">
        <f t="shared" ca="1" si="28"/>
        <v>6143.7275590613826</v>
      </c>
      <c r="L109" s="203">
        <f t="shared" ca="1" si="29"/>
        <v>665775.39004264877</v>
      </c>
    </row>
    <row r="110" spans="2:12">
      <c r="B110" s="202">
        <f t="shared" si="30"/>
        <v>47454</v>
      </c>
      <c r="C110" s="168">
        <f t="shared" si="31"/>
        <v>2029</v>
      </c>
      <c r="D110" s="168">
        <f t="shared" ca="1" si="21"/>
        <v>89</v>
      </c>
      <c r="E110" s="203">
        <f t="shared" ca="1" si="26"/>
        <v>665775.39004264877</v>
      </c>
      <c r="F110" s="203">
        <f t="shared" ca="1" si="22"/>
        <v>6143.7275590613826</v>
      </c>
      <c r="G110" s="203">
        <f t="shared" ca="1" si="23"/>
        <v>3389.9063609671534</v>
      </c>
      <c r="H110" s="203">
        <f t="shared" ca="1" si="27"/>
        <v>2753.8211980942292</v>
      </c>
      <c r="I110" s="29">
        <f t="shared" ca="1" si="24"/>
        <v>0</v>
      </c>
      <c r="J110" s="29">
        <f t="shared" ca="1" si="25"/>
        <v>0</v>
      </c>
      <c r="K110" s="203">
        <f t="shared" ca="1" si="28"/>
        <v>6143.7275590613826</v>
      </c>
      <c r="L110" s="203">
        <f t="shared" ca="1" si="29"/>
        <v>663021.56884455448</v>
      </c>
    </row>
    <row r="111" spans="2:12">
      <c r="B111" s="202">
        <f t="shared" si="30"/>
        <v>47485</v>
      </c>
      <c r="C111" s="168">
        <f t="shared" si="31"/>
        <v>2030</v>
      </c>
      <c r="D111" s="168">
        <f t="shared" ca="1" si="21"/>
        <v>90</v>
      </c>
      <c r="E111" s="203">
        <f t="shared" ca="1" si="26"/>
        <v>663021.56884455448</v>
      </c>
      <c r="F111" s="203">
        <f t="shared" ca="1" si="22"/>
        <v>6143.7275590613826</v>
      </c>
      <c r="G111" s="203">
        <f t="shared" ca="1" si="23"/>
        <v>3375.8848213668566</v>
      </c>
      <c r="H111" s="203">
        <f t="shared" ca="1" si="27"/>
        <v>2767.842737694526</v>
      </c>
      <c r="I111" s="29">
        <f t="shared" ca="1" si="24"/>
        <v>0</v>
      </c>
      <c r="J111" s="29">
        <f t="shared" ca="1" si="25"/>
        <v>0</v>
      </c>
      <c r="K111" s="203">
        <f t="shared" ca="1" si="28"/>
        <v>6143.7275590613826</v>
      </c>
      <c r="L111" s="203">
        <f t="shared" ca="1" si="29"/>
        <v>660253.72610685998</v>
      </c>
    </row>
    <row r="112" spans="2:12">
      <c r="B112" s="202">
        <f t="shared" si="30"/>
        <v>47516</v>
      </c>
      <c r="C112" s="168">
        <f t="shared" si="31"/>
        <v>2030</v>
      </c>
      <c r="D112" s="168">
        <f t="shared" ca="1" si="21"/>
        <v>91</v>
      </c>
      <c r="E112" s="203">
        <f t="shared" ca="1" si="26"/>
        <v>660253.72610685998</v>
      </c>
      <c r="F112" s="203">
        <f t="shared" ca="1" si="22"/>
        <v>6143.7275590613826</v>
      </c>
      <c r="G112" s="203">
        <f t="shared" ca="1" si="23"/>
        <v>3361.7918887607625</v>
      </c>
      <c r="H112" s="203">
        <f t="shared" ca="1" si="27"/>
        <v>2781.9356703006201</v>
      </c>
      <c r="I112" s="29">
        <f t="shared" ca="1" si="24"/>
        <v>0</v>
      </c>
      <c r="J112" s="29">
        <f t="shared" ca="1" si="25"/>
        <v>0</v>
      </c>
      <c r="K112" s="203">
        <f t="shared" ca="1" si="28"/>
        <v>6143.7275590613826</v>
      </c>
      <c r="L112" s="203">
        <f t="shared" ca="1" si="29"/>
        <v>657471.79043655936</v>
      </c>
    </row>
    <row r="113" spans="2:12">
      <c r="B113" s="202">
        <f t="shared" si="30"/>
        <v>47544</v>
      </c>
      <c r="C113" s="168">
        <f t="shared" si="31"/>
        <v>2030</v>
      </c>
      <c r="D113" s="168">
        <f t="shared" ca="1" si="21"/>
        <v>92</v>
      </c>
      <c r="E113" s="203">
        <f t="shared" ca="1" si="26"/>
        <v>657471.79043655936</v>
      </c>
      <c r="F113" s="203">
        <f t="shared" ca="1" si="22"/>
        <v>6143.7275590613826</v>
      </c>
      <c r="G113" s="203">
        <f t="shared" ca="1" si="23"/>
        <v>3347.6271996394812</v>
      </c>
      <c r="H113" s="203">
        <f t="shared" ca="1" si="27"/>
        <v>2796.1003594219014</v>
      </c>
      <c r="I113" s="29">
        <f t="shared" ca="1" si="24"/>
        <v>0</v>
      </c>
      <c r="J113" s="29">
        <f t="shared" ca="1" si="25"/>
        <v>0</v>
      </c>
      <c r="K113" s="203">
        <f t="shared" ca="1" si="28"/>
        <v>6143.7275590613826</v>
      </c>
      <c r="L113" s="203">
        <f t="shared" ca="1" si="29"/>
        <v>654675.69007713743</v>
      </c>
    </row>
    <row r="114" spans="2:12">
      <c r="B114" s="202">
        <f t="shared" si="30"/>
        <v>47575</v>
      </c>
      <c r="C114" s="168">
        <f t="shared" si="31"/>
        <v>2030</v>
      </c>
      <c r="D114" s="168">
        <f t="shared" ca="1" si="21"/>
        <v>93</v>
      </c>
      <c r="E114" s="203">
        <f t="shared" ca="1" si="26"/>
        <v>654675.69007713743</v>
      </c>
      <c r="F114" s="203">
        <f t="shared" ca="1" si="22"/>
        <v>6143.7275590613826</v>
      </c>
      <c r="G114" s="203">
        <f t="shared" ca="1" si="23"/>
        <v>3333.3903886427579</v>
      </c>
      <c r="H114" s="203">
        <f t="shared" ca="1" si="27"/>
        <v>2810.3371704186247</v>
      </c>
      <c r="I114" s="29">
        <f t="shared" ca="1" si="24"/>
        <v>0</v>
      </c>
      <c r="J114" s="29">
        <f t="shared" ca="1" si="25"/>
        <v>0</v>
      </c>
      <c r="K114" s="203">
        <f t="shared" ca="1" si="28"/>
        <v>6143.7275590613826</v>
      </c>
      <c r="L114" s="203">
        <f t="shared" ca="1" si="29"/>
        <v>651865.35290671885</v>
      </c>
    </row>
    <row r="115" spans="2:12">
      <c r="B115" s="202">
        <f t="shared" si="30"/>
        <v>47605</v>
      </c>
      <c r="C115" s="168">
        <f t="shared" si="31"/>
        <v>2030</v>
      </c>
      <c r="D115" s="168">
        <f t="shared" ca="1" si="21"/>
        <v>94</v>
      </c>
      <c r="E115" s="203">
        <f t="shared" ca="1" si="26"/>
        <v>651865.35290671885</v>
      </c>
      <c r="F115" s="203">
        <f t="shared" ca="1" si="22"/>
        <v>6143.7275590613826</v>
      </c>
      <c r="G115" s="203">
        <f t="shared" ca="1" si="23"/>
        <v>3319.0810885500437</v>
      </c>
      <c r="H115" s="203">
        <f t="shared" ca="1" si="27"/>
        <v>2824.646470511339</v>
      </c>
      <c r="I115" s="29">
        <f t="shared" ca="1" si="24"/>
        <v>0</v>
      </c>
      <c r="J115" s="29">
        <f t="shared" ca="1" si="25"/>
        <v>0</v>
      </c>
      <c r="K115" s="203">
        <f t="shared" ca="1" si="28"/>
        <v>6143.7275590613826</v>
      </c>
      <c r="L115" s="203">
        <f t="shared" ca="1" si="29"/>
        <v>649040.70643620752</v>
      </c>
    </row>
    <row r="116" spans="2:12">
      <c r="B116" s="202">
        <f t="shared" si="30"/>
        <v>47636</v>
      </c>
      <c r="C116" s="168">
        <f t="shared" si="31"/>
        <v>2030</v>
      </c>
      <c r="D116" s="168">
        <f t="shared" ca="1" si="21"/>
        <v>95</v>
      </c>
      <c r="E116" s="203">
        <f t="shared" ca="1" si="26"/>
        <v>649040.70643620752</v>
      </c>
      <c r="F116" s="203">
        <f t="shared" ca="1" si="22"/>
        <v>6143.7275590613826</v>
      </c>
      <c r="G116" s="203">
        <f t="shared" ca="1" si="23"/>
        <v>3304.6989302710231</v>
      </c>
      <c r="H116" s="203">
        <f t="shared" ca="1" si="27"/>
        <v>2839.0286287903596</v>
      </c>
      <c r="I116" s="29">
        <f t="shared" ca="1" si="24"/>
        <v>0</v>
      </c>
      <c r="J116" s="29">
        <f t="shared" ca="1" si="25"/>
        <v>0</v>
      </c>
      <c r="K116" s="203">
        <f t="shared" ca="1" si="28"/>
        <v>6143.7275590613826</v>
      </c>
      <c r="L116" s="203">
        <f t="shared" ca="1" si="29"/>
        <v>646201.67780741712</v>
      </c>
    </row>
    <row r="117" spans="2:12">
      <c r="B117" s="202">
        <f t="shared" si="30"/>
        <v>47666</v>
      </c>
      <c r="C117" s="168">
        <f t="shared" si="31"/>
        <v>2030</v>
      </c>
      <c r="D117" s="168">
        <f t="shared" ca="1" si="21"/>
        <v>96</v>
      </c>
      <c r="E117" s="203">
        <f t="shared" ca="1" si="26"/>
        <v>646201.67780741712</v>
      </c>
      <c r="F117" s="203">
        <f t="shared" ca="1" si="22"/>
        <v>6143.7275590613826</v>
      </c>
      <c r="G117" s="203">
        <f t="shared" ca="1" si="23"/>
        <v>3290.2435428360986</v>
      </c>
      <c r="H117" s="203">
        <f t="shared" ca="1" si="27"/>
        <v>2853.484016225284</v>
      </c>
      <c r="I117" s="29">
        <f t="shared" ca="1" si="24"/>
        <v>0</v>
      </c>
      <c r="J117" s="29">
        <f t="shared" ca="1" si="25"/>
        <v>0</v>
      </c>
      <c r="K117" s="203">
        <f t="shared" ca="1" si="28"/>
        <v>6143.7275590613826</v>
      </c>
      <c r="L117" s="203">
        <f t="shared" ca="1" si="29"/>
        <v>643348.19379119179</v>
      </c>
    </row>
    <row r="118" spans="2:12">
      <c r="B118" s="202">
        <f t="shared" si="30"/>
        <v>47697</v>
      </c>
      <c r="C118" s="168">
        <f t="shared" si="31"/>
        <v>2030</v>
      </c>
      <c r="D118" s="168">
        <f t="shared" ref="D118:D149" ca="1" si="32">IF(OR($D117="",D117=$D$8*$D$11,$L117=0),"",$D117+1)</f>
        <v>97</v>
      </c>
      <c r="E118" s="203">
        <f t="shared" ca="1" si="26"/>
        <v>643348.19379119179</v>
      </c>
      <c r="F118" s="203">
        <f t="shared" ref="F118:F149" ca="1" si="33">IF(D118="","",MIN(E118+G118,(D118&lt;=($D$9*$D$11))*$L$9+(D118&gt;($D$9*$D$11))*$L$10))</f>
        <v>6143.7275590613826</v>
      </c>
      <c r="G118" s="203">
        <f t="shared" ref="G118:G149" ca="1" si="34">IF(D118="","",((E118*$D$13)/$D$11))</f>
        <v>3275.7145533868184</v>
      </c>
      <c r="H118" s="203">
        <f t="shared" ca="1" si="27"/>
        <v>2868.0130056745643</v>
      </c>
      <c r="I118" s="29">
        <f t="shared" ref="I118:I149" ca="1" si="35">IF($D118="","",($D118=$D$8*$D$11)*($E118-$H118-$J118))</f>
        <v>0</v>
      </c>
      <c r="J118" s="29">
        <f t="shared" ref="J118:J149" ca="1" si="36">IF($D118="","",MIN($H$16,$E118-$H118))</f>
        <v>0</v>
      </c>
      <c r="K118" s="203">
        <f t="shared" ca="1" si="28"/>
        <v>6143.7275590613826</v>
      </c>
      <c r="L118" s="203">
        <f t="shared" ca="1" si="29"/>
        <v>640480.18078551721</v>
      </c>
    </row>
    <row r="119" spans="2:12">
      <c r="B119" s="202">
        <f t="shared" si="30"/>
        <v>47728</v>
      </c>
      <c r="C119" s="168">
        <f t="shared" si="31"/>
        <v>2030</v>
      </c>
      <c r="D119" s="168">
        <f t="shared" ca="1" si="32"/>
        <v>98</v>
      </c>
      <c r="E119" s="203">
        <f t="shared" ca="1" si="26"/>
        <v>640480.18078551721</v>
      </c>
      <c r="F119" s="203">
        <f t="shared" ca="1" si="33"/>
        <v>6143.7275590613826</v>
      </c>
      <c r="G119" s="203">
        <f t="shared" ca="1" si="34"/>
        <v>3261.1115871662587</v>
      </c>
      <c r="H119" s="203">
        <f t="shared" ca="1" si="27"/>
        <v>2882.6159718951239</v>
      </c>
      <c r="I119" s="29">
        <f t="shared" ca="1" si="35"/>
        <v>0</v>
      </c>
      <c r="J119" s="29">
        <f t="shared" ca="1" si="36"/>
        <v>0</v>
      </c>
      <c r="K119" s="203">
        <f t="shared" ca="1" si="28"/>
        <v>6143.7275590613826</v>
      </c>
      <c r="L119" s="203">
        <f t="shared" ca="1" si="29"/>
        <v>637597.56481362204</v>
      </c>
    </row>
    <row r="120" spans="2:12">
      <c r="B120" s="202">
        <f t="shared" si="30"/>
        <v>47758</v>
      </c>
      <c r="C120" s="168">
        <f t="shared" si="31"/>
        <v>2030</v>
      </c>
      <c r="D120" s="168">
        <f t="shared" ca="1" si="32"/>
        <v>99</v>
      </c>
      <c r="E120" s="203">
        <f t="shared" ca="1" si="26"/>
        <v>637597.56481362204</v>
      </c>
      <c r="F120" s="203">
        <f t="shared" ca="1" si="33"/>
        <v>6143.7275590613826</v>
      </c>
      <c r="G120" s="203">
        <f t="shared" ca="1" si="34"/>
        <v>3246.434267509359</v>
      </c>
      <c r="H120" s="203">
        <f t="shared" ca="1" si="27"/>
        <v>2897.2932915520237</v>
      </c>
      <c r="I120" s="29">
        <f t="shared" ca="1" si="35"/>
        <v>0</v>
      </c>
      <c r="J120" s="29">
        <f t="shared" ca="1" si="36"/>
        <v>0</v>
      </c>
      <c r="K120" s="203">
        <f t="shared" ca="1" si="28"/>
        <v>6143.7275590613826</v>
      </c>
      <c r="L120" s="203">
        <f t="shared" ca="1" si="29"/>
        <v>634700.27152207005</v>
      </c>
    </row>
    <row r="121" spans="2:12">
      <c r="B121" s="202">
        <f t="shared" si="30"/>
        <v>47789</v>
      </c>
      <c r="C121" s="168">
        <f t="shared" si="31"/>
        <v>2030</v>
      </c>
      <c r="D121" s="168">
        <f t="shared" ca="1" si="32"/>
        <v>100</v>
      </c>
      <c r="E121" s="203">
        <f t="shared" ca="1" si="26"/>
        <v>634700.27152207005</v>
      </c>
      <c r="F121" s="203">
        <f t="shared" ca="1" si="33"/>
        <v>6143.7275590613826</v>
      </c>
      <c r="G121" s="203">
        <f t="shared" ca="1" si="34"/>
        <v>3231.682215833207</v>
      </c>
      <c r="H121" s="203">
        <f t="shared" ca="1" si="27"/>
        <v>2912.0453432281756</v>
      </c>
      <c r="I121" s="29">
        <f t="shared" ca="1" si="35"/>
        <v>0</v>
      </c>
      <c r="J121" s="29">
        <f t="shared" ca="1" si="36"/>
        <v>0</v>
      </c>
      <c r="K121" s="203">
        <f t="shared" ca="1" si="28"/>
        <v>6143.7275590613826</v>
      </c>
      <c r="L121" s="203">
        <f t="shared" ca="1" si="29"/>
        <v>631788.2261788419</v>
      </c>
    </row>
    <row r="122" spans="2:12">
      <c r="B122" s="202">
        <f t="shared" si="30"/>
        <v>47819</v>
      </c>
      <c r="C122" s="168">
        <f t="shared" si="31"/>
        <v>2030</v>
      </c>
      <c r="D122" s="168">
        <f t="shared" ca="1" si="32"/>
        <v>101</v>
      </c>
      <c r="E122" s="203">
        <f t="shared" ca="1" si="26"/>
        <v>631788.2261788419</v>
      </c>
      <c r="F122" s="203">
        <f t="shared" ca="1" si="33"/>
        <v>6143.7275590613826</v>
      </c>
      <c r="G122" s="203">
        <f t="shared" ca="1" si="34"/>
        <v>3216.8550516272699</v>
      </c>
      <c r="H122" s="203">
        <f t="shared" ca="1" si="27"/>
        <v>2926.8725074341128</v>
      </c>
      <c r="I122" s="29">
        <f t="shared" ca="1" si="35"/>
        <v>0</v>
      </c>
      <c r="J122" s="29">
        <f t="shared" ca="1" si="36"/>
        <v>0</v>
      </c>
      <c r="K122" s="203">
        <f t="shared" ca="1" si="28"/>
        <v>6143.7275590613826</v>
      </c>
      <c r="L122" s="203">
        <f t="shared" ca="1" si="29"/>
        <v>628861.35367140779</v>
      </c>
    </row>
    <row r="123" spans="2:12">
      <c r="B123" s="202">
        <f t="shared" si="30"/>
        <v>47850</v>
      </c>
      <c r="C123" s="168">
        <f t="shared" si="31"/>
        <v>2031</v>
      </c>
      <c r="D123" s="168">
        <f t="shared" ca="1" si="32"/>
        <v>102</v>
      </c>
      <c r="E123" s="203">
        <f t="shared" ca="1" si="26"/>
        <v>628861.35367140779</v>
      </c>
      <c r="F123" s="203">
        <f t="shared" ca="1" si="33"/>
        <v>6143.7275590613826</v>
      </c>
      <c r="G123" s="203">
        <f t="shared" ca="1" si="34"/>
        <v>3201.9523924435848</v>
      </c>
      <c r="H123" s="203">
        <f t="shared" ca="1" si="27"/>
        <v>2941.7751666177978</v>
      </c>
      <c r="I123" s="29">
        <f t="shared" ca="1" si="35"/>
        <v>0</v>
      </c>
      <c r="J123" s="29">
        <f t="shared" ca="1" si="36"/>
        <v>0</v>
      </c>
      <c r="K123" s="203">
        <f t="shared" ca="1" si="28"/>
        <v>6143.7275590613826</v>
      </c>
      <c r="L123" s="203">
        <f t="shared" ca="1" si="29"/>
        <v>625919.57850478997</v>
      </c>
    </row>
    <row r="124" spans="2:12">
      <c r="B124" s="202">
        <f t="shared" si="30"/>
        <v>47881</v>
      </c>
      <c r="C124" s="168">
        <f t="shared" si="31"/>
        <v>2031</v>
      </c>
      <c r="D124" s="168">
        <f t="shared" ca="1" si="32"/>
        <v>103</v>
      </c>
      <c r="E124" s="203">
        <f t="shared" ca="1" si="26"/>
        <v>625919.57850478997</v>
      </c>
      <c r="F124" s="203">
        <f t="shared" ca="1" si="33"/>
        <v>6143.7275590613826</v>
      </c>
      <c r="G124" s="203">
        <f t="shared" ca="1" si="34"/>
        <v>3186.9738538868892</v>
      </c>
      <c r="H124" s="203">
        <f t="shared" ca="1" si="27"/>
        <v>2956.7537051744935</v>
      </c>
      <c r="I124" s="29">
        <f t="shared" ca="1" si="35"/>
        <v>0</v>
      </c>
      <c r="J124" s="29">
        <f t="shared" ca="1" si="36"/>
        <v>0</v>
      </c>
      <c r="K124" s="203">
        <f t="shared" ca="1" si="28"/>
        <v>6143.7275590613826</v>
      </c>
      <c r="L124" s="203">
        <f t="shared" ca="1" si="29"/>
        <v>622962.82479961542</v>
      </c>
    </row>
    <row r="125" spans="2:12">
      <c r="B125" s="202">
        <f t="shared" si="30"/>
        <v>47909</v>
      </c>
      <c r="C125" s="168">
        <f t="shared" si="31"/>
        <v>2031</v>
      </c>
      <c r="D125" s="168">
        <f t="shared" ca="1" si="32"/>
        <v>104</v>
      </c>
      <c r="E125" s="203">
        <f t="shared" ca="1" si="26"/>
        <v>622962.82479961542</v>
      </c>
      <c r="F125" s="203">
        <f t="shared" ca="1" si="33"/>
        <v>6143.7275590613826</v>
      </c>
      <c r="G125" s="203">
        <f t="shared" ca="1" si="34"/>
        <v>3171.9190496047086</v>
      </c>
      <c r="H125" s="203">
        <f t="shared" ca="1" si="27"/>
        <v>2971.8085094566741</v>
      </c>
      <c r="I125" s="29">
        <f t="shared" ca="1" si="35"/>
        <v>0</v>
      </c>
      <c r="J125" s="29">
        <f t="shared" ca="1" si="36"/>
        <v>0</v>
      </c>
      <c r="K125" s="203">
        <f t="shared" ca="1" si="28"/>
        <v>6143.7275590613826</v>
      </c>
      <c r="L125" s="203">
        <f t="shared" ca="1" si="29"/>
        <v>619991.01629015873</v>
      </c>
    </row>
    <row r="126" spans="2:12">
      <c r="B126" s="202">
        <f t="shared" si="30"/>
        <v>47940</v>
      </c>
      <c r="C126" s="168">
        <f t="shared" si="31"/>
        <v>2031</v>
      </c>
      <c r="D126" s="168">
        <f t="shared" ca="1" si="32"/>
        <v>105</v>
      </c>
      <c r="E126" s="203">
        <f t="shared" ca="1" si="26"/>
        <v>619991.01629015873</v>
      </c>
      <c r="F126" s="203">
        <f t="shared" ca="1" si="33"/>
        <v>6143.7275590613826</v>
      </c>
      <c r="G126" s="203">
        <f t="shared" ca="1" si="34"/>
        <v>3156.787591277392</v>
      </c>
      <c r="H126" s="203">
        <f t="shared" ca="1" si="27"/>
        <v>2986.9399677839906</v>
      </c>
      <c r="I126" s="29">
        <f t="shared" ca="1" si="35"/>
        <v>0</v>
      </c>
      <c r="J126" s="29">
        <f t="shared" ca="1" si="36"/>
        <v>0</v>
      </c>
      <c r="K126" s="203">
        <f t="shared" ca="1" si="28"/>
        <v>6143.7275590613826</v>
      </c>
      <c r="L126" s="203">
        <f t="shared" ca="1" si="29"/>
        <v>617004.07632237475</v>
      </c>
    </row>
    <row r="127" spans="2:12">
      <c r="B127" s="202">
        <f t="shared" si="30"/>
        <v>47970</v>
      </c>
      <c r="C127" s="168">
        <f t="shared" si="31"/>
        <v>2031</v>
      </c>
      <c r="D127" s="168">
        <f t="shared" ca="1" si="32"/>
        <v>106</v>
      </c>
      <c r="E127" s="203">
        <f t="shared" ca="1" si="26"/>
        <v>617004.07632237475</v>
      </c>
      <c r="F127" s="203">
        <f t="shared" ca="1" si="33"/>
        <v>6143.7275590613826</v>
      </c>
      <c r="G127" s="203">
        <f t="shared" ca="1" si="34"/>
        <v>3141.5790886080918</v>
      </c>
      <c r="H127" s="203">
        <f t="shared" ca="1" si="27"/>
        <v>3002.1484704532909</v>
      </c>
      <c r="I127" s="29">
        <f t="shared" ca="1" si="35"/>
        <v>0</v>
      </c>
      <c r="J127" s="29">
        <f t="shared" ca="1" si="36"/>
        <v>0</v>
      </c>
      <c r="K127" s="203">
        <f t="shared" ca="1" si="28"/>
        <v>6143.7275590613826</v>
      </c>
      <c r="L127" s="203">
        <f t="shared" ca="1" si="29"/>
        <v>614001.92785192141</v>
      </c>
    </row>
    <row r="128" spans="2:12">
      <c r="B128" s="202">
        <f t="shared" si="30"/>
        <v>48001</v>
      </c>
      <c r="C128" s="168">
        <f t="shared" si="31"/>
        <v>2031</v>
      </c>
      <c r="D128" s="168">
        <f t="shared" ca="1" si="32"/>
        <v>107</v>
      </c>
      <c r="E128" s="203">
        <f t="shared" ca="1" si="26"/>
        <v>614001.92785192141</v>
      </c>
      <c r="F128" s="203">
        <f t="shared" ca="1" si="33"/>
        <v>6143.7275590613826</v>
      </c>
      <c r="G128" s="203">
        <f t="shared" ca="1" si="34"/>
        <v>3126.2931493126998</v>
      </c>
      <c r="H128" s="203">
        <f t="shared" ca="1" si="27"/>
        <v>3017.4344097486828</v>
      </c>
      <c r="I128" s="29">
        <f t="shared" ca="1" si="35"/>
        <v>0</v>
      </c>
      <c r="J128" s="29">
        <f t="shared" ca="1" si="36"/>
        <v>0</v>
      </c>
      <c r="K128" s="203">
        <f t="shared" ca="1" si="28"/>
        <v>6143.7275590613826</v>
      </c>
      <c r="L128" s="203">
        <f t="shared" ca="1" si="29"/>
        <v>610984.49344217277</v>
      </c>
    </row>
    <row r="129" spans="2:12">
      <c r="B129" s="202">
        <f t="shared" si="30"/>
        <v>48031</v>
      </c>
      <c r="C129" s="168">
        <f t="shared" si="31"/>
        <v>2031</v>
      </c>
      <c r="D129" s="168">
        <f t="shared" ca="1" si="32"/>
        <v>108</v>
      </c>
      <c r="E129" s="203">
        <f t="shared" ca="1" si="26"/>
        <v>610984.49344217277</v>
      </c>
      <c r="F129" s="203">
        <f t="shared" ca="1" si="33"/>
        <v>6143.7275590613826</v>
      </c>
      <c r="G129" s="203">
        <f t="shared" ca="1" si="34"/>
        <v>3110.9293791097298</v>
      </c>
      <c r="H129" s="203">
        <f t="shared" ca="1" si="27"/>
        <v>3032.7981799516529</v>
      </c>
      <c r="I129" s="29">
        <f t="shared" ca="1" si="35"/>
        <v>0</v>
      </c>
      <c r="J129" s="29">
        <f t="shared" ca="1" si="36"/>
        <v>0</v>
      </c>
      <c r="K129" s="203">
        <f t="shared" ca="1" si="28"/>
        <v>6143.7275590613826</v>
      </c>
      <c r="L129" s="203">
        <f t="shared" ca="1" si="29"/>
        <v>607951.69526222115</v>
      </c>
    </row>
    <row r="130" spans="2:12">
      <c r="B130" s="202">
        <f t="shared" si="30"/>
        <v>48062</v>
      </c>
      <c r="C130" s="168">
        <f t="shared" si="31"/>
        <v>2031</v>
      </c>
      <c r="D130" s="168">
        <f t="shared" ca="1" si="32"/>
        <v>109</v>
      </c>
      <c r="E130" s="203">
        <f t="shared" ca="1" si="26"/>
        <v>607951.69526222115</v>
      </c>
      <c r="F130" s="203">
        <f t="shared" ca="1" si="33"/>
        <v>6143.7275590613826</v>
      </c>
      <c r="G130" s="203">
        <f t="shared" ca="1" si="34"/>
        <v>3095.4873817101429</v>
      </c>
      <c r="H130" s="203">
        <f t="shared" ca="1" si="27"/>
        <v>3048.2401773512397</v>
      </c>
      <c r="I130" s="29">
        <f t="shared" ca="1" si="35"/>
        <v>0</v>
      </c>
      <c r="J130" s="29">
        <f t="shared" ca="1" si="36"/>
        <v>0</v>
      </c>
      <c r="K130" s="203">
        <f t="shared" ca="1" si="28"/>
        <v>6143.7275590613826</v>
      </c>
      <c r="L130" s="203">
        <f t="shared" ca="1" si="29"/>
        <v>604903.45508486987</v>
      </c>
    </row>
    <row r="131" spans="2:12">
      <c r="B131" s="202">
        <f t="shared" si="30"/>
        <v>48093</v>
      </c>
      <c r="C131" s="168">
        <f t="shared" si="31"/>
        <v>2031</v>
      </c>
      <c r="D131" s="168">
        <f t="shared" ca="1" si="32"/>
        <v>110</v>
      </c>
      <c r="E131" s="203">
        <f t="shared" ca="1" si="26"/>
        <v>604903.45508486987</v>
      </c>
      <c r="F131" s="203">
        <f t="shared" ca="1" si="33"/>
        <v>6143.7275590613826</v>
      </c>
      <c r="G131" s="203">
        <f t="shared" ca="1" si="34"/>
        <v>3079.9667588071293</v>
      </c>
      <c r="H131" s="203">
        <f t="shared" ca="1" si="27"/>
        <v>3063.7608002542534</v>
      </c>
      <c r="I131" s="29">
        <f t="shared" ca="1" si="35"/>
        <v>0</v>
      </c>
      <c r="J131" s="29">
        <f t="shared" ca="1" si="36"/>
        <v>0</v>
      </c>
      <c r="K131" s="203">
        <f t="shared" ca="1" si="28"/>
        <v>6143.7275590613826</v>
      </c>
      <c r="L131" s="203">
        <f t="shared" ca="1" si="29"/>
        <v>601839.69428461557</v>
      </c>
    </row>
    <row r="132" spans="2:12">
      <c r="B132" s="202">
        <f t="shared" si="30"/>
        <v>48123</v>
      </c>
      <c r="C132" s="168">
        <f t="shared" si="31"/>
        <v>2031</v>
      </c>
      <c r="D132" s="168">
        <f t="shared" ca="1" si="32"/>
        <v>111</v>
      </c>
      <c r="E132" s="203">
        <f t="shared" ca="1" si="26"/>
        <v>601839.69428461557</v>
      </c>
      <c r="F132" s="203">
        <f t="shared" ca="1" si="33"/>
        <v>6143.7275590613826</v>
      </c>
      <c r="G132" s="203">
        <f t="shared" ca="1" si="34"/>
        <v>3064.3671100658344</v>
      </c>
      <c r="H132" s="203">
        <f t="shared" ca="1" si="27"/>
        <v>3079.3604489955483</v>
      </c>
      <c r="I132" s="29">
        <f t="shared" ca="1" si="35"/>
        <v>0</v>
      </c>
      <c r="J132" s="29">
        <f t="shared" ca="1" si="36"/>
        <v>0</v>
      </c>
      <c r="K132" s="203">
        <f t="shared" ca="1" si="28"/>
        <v>6143.7275590613826</v>
      </c>
      <c r="L132" s="203">
        <f t="shared" ca="1" si="29"/>
        <v>598760.33383561997</v>
      </c>
    </row>
    <row r="133" spans="2:12">
      <c r="B133" s="202">
        <f t="shared" si="30"/>
        <v>48154</v>
      </c>
      <c r="C133" s="168">
        <f t="shared" si="31"/>
        <v>2031</v>
      </c>
      <c r="D133" s="168">
        <f t="shared" ca="1" si="32"/>
        <v>112</v>
      </c>
      <c r="E133" s="203">
        <f t="shared" ca="1" si="26"/>
        <v>598760.33383561997</v>
      </c>
      <c r="F133" s="203">
        <f t="shared" ca="1" si="33"/>
        <v>6143.7275590613826</v>
      </c>
      <c r="G133" s="203">
        <f t="shared" ca="1" si="34"/>
        <v>3048.6880331130319</v>
      </c>
      <c r="H133" s="203">
        <f t="shared" ca="1" si="27"/>
        <v>3095.0395259483507</v>
      </c>
      <c r="I133" s="29">
        <f t="shared" ca="1" si="35"/>
        <v>0</v>
      </c>
      <c r="J133" s="29">
        <f t="shared" ca="1" si="36"/>
        <v>0</v>
      </c>
      <c r="K133" s="203">
        <f t="shared" ca="1" si="28"/>
        <v>6143.7275590613826</v>
      </c>
      <c r="L133" s="203">
        <f t="shared" ca="1" si="29"/>
        <v>595665.29430967162</v>
      </c>
    </row>
    <row r="134" spans="2:12">
      <c r="B134" s="202">
        <f t="shared" si="30"/>
        <v>48184</v>
      </c>
      <c r="C134" s="168">
        <f t="shared" si="31"/>
        <v>2031</v>
      </c>
      <c r="D134" s="168">
        <f t="shared" ca="1" si="32"/>
        <v>113</v>
      </c>
      <c r="E134" s="203">
        <f t="shared" ca="1" si="26"/>
        <v>595665.29430967162</v>
      </c>
      <c r="F134" s="203">
        <f t="shared" ca="1" si="33"/>
        <v>6143.7275590613826</v>
      </c>
      <c r="G134" s="203">
        <f t="shared" ca="1" si="34"/>
        <v>3032.9291235267447</v>
      </c>
      <c r="H134" s="203">
        <f t="shared" ca="1" si="27"/>
        <v>3110.798435534638</v>
      </c>
      <c r="I134" s="29">
        <f t="shared" ca="1" si="35"/>
        <v>0</v>
      </c>
      <c r="J134" s="29">
        <f t="shared" ca="1" si="36"/>
        <v>0</v>
      </c>
      <c r="K134" s="203">
        <f t="shared" ca="1" si="28"/>
        <v>6143.7275590613826</v>
      </c>
      <c r="L134" s="203">
        <f t="shared" ca="1" si="29"/>
        <v>592554.49587413704</v>
      </c>
    </row>
    <row r="135" spans="2:12">
      <c r="B135" s="202">
        <f t="shared" si="30"/>
        <v>48215</v>
      </c>
      <c r="C135" s="168">
        <f t="shared" si="31"/>
        <v>2032</v>
      </c>
      <c r="D135" s="168">
        <f t="shared" ca="1" si="32"/>
        <v>114</v>
      </c>
      <c r="E135" s="203">
        <f t="shared" ca="1" si="26"/>
        <v>592554.49587413704</v>
      </c>
      <c r="F135" s="203">
        <f t="shared" ca="1" si="33"/>
        <v>6143.7275590613826</v>
      </c>
      <c r="G135" s="203">
        <f t="shared" ca="1" si="34"/>
        <v>3017.0899748258144</v>
      </c>
      <c r="H135" s="203">
        <f t="shared" ca="1" si="27"/>
        <v>3126.6375842355683</v>
      </c>
      <c r="I135" s="29">
        <f t="shared" ca="1" si="35"/>
        <v>0</v>
      </c>
      <c r="J135" s="29">
        <f t="shared" ca="1" si="36"/>
        <v>0</v>
      </c>
      <c r="K135" s="203">
        <f t="shared" ca="1" si="28"/>
        <v>6143.7275590613826</v>
      </c>
      <c r="L135" s="203">
        <f t="shared" ca="1" si="29"/>
        <v>589427.85828990152</v>
      </c>
    </row>
    <row r="136" spans="2:12">
      <c r="B136" s="202">
        <f t="shared" si="30"/>
        <v>48246</v>
      </c>
      <c r="C136" s="168">
        <f t="shared" si="31"/>
        <v>2032</v>
      </c>
      <c r="D136" s="168">
        <f t="shared" ca="1" si="32"/>
        <v>115</v>
      </c>
      <c r="E136" s="203">
        <f t="shared" ca="1" si="26"/>
        <v>589427.85828990152</v>
      </c>
      <c r="F136" s="203">
        <f t="shared" ca="1" si="33"/>
        <v>6143.7275590613826</v>
      </c>
      <c r="G136" s="203">
        <f t="shared" ca="1" si="34"/>
        <v>3001.1701784594152</v>
      </c>
      <c r="H136" s="203">
        <f t="shared" ca="1" si="27"/>
        <v>3142.5573806019675</v>
      </c>
      <c r="I136" s="29">
        <f t="shared" ca="1" si="35"/>
        <v>0</v>
      </c>
      <c r="J136" s="29">
        <f t="shared" ca="1" si="36"/>
        <v>0</v>
      </c>
      <c r="K136" s="203">
        <f t="shared" ca="1" si="28"/>
        <v>6143.7275590613826</v>
      </c>
      <c r="L136" s="203">
        <f t="shared" ca="1" si="29"/>
        <v>586285.30090929952</v>
      </c>
    </row>
    <row r="137" spans="2:12">
      <c r="B137" s="202">
        <f t="shared" si="30"/>
        <v>48275</v>
      </c>
      <c r="C137" s="168">
        <f t="shared" si="31"/>
        <v>2032</v>
      </c>
      <c r="D137" s="168">
        <f t="shared" ca="1" si="32"/>
        <v>116</v>
      </c>
      <c r="E137" s="203">
        <f t="shared" ca="1" si="26"/>
        <v>586285.30090929952</v>
      </c>
      <c r="F137" s="203">
        <f t="shared" ca="1" si="33"/>
        <v>6143.7275590613826</v>
      </c>
      <c r="G137" s="203">
        <f t="shared" ca="1" si="34"/>
        <v>2985.1693237965169</v>
      </c>
      <c r="H137" s="203">
        <f t="shared" ca="1" si="27"/>
        <v>3158.5582352648657</v>
      </c>
      <c r="I137" s="29">
        <f t="shared" ca="1" si="35"/>
        <v>0</v>
      </c>
      <c r="J137" s="29">
        <f t="shared" ca="1" si="36"/>
        <v>0</v>
      </c>
      <c r="K137" s="203">
        <f t="shared" ca="1" si="28"/>
        <v>6143.7275590613826</v>
      </c>
      <c r="L137" s="203">
        <f t="shared" ca="1" si="29"/>
        <v>583126.74267403467</v>
      </c>
    </row>
    <row r="138" spans="2:12">
      <c r="B138" s="202">
        <f t="shared" si="30"/>
        <v>48306</v>
      </c>
      <c r="C138" s="168">
        <f t="shared" si="31"/>
        <v>2032</v>
      </c>
      <c r="D138" s="168">
        <f t="shared" ca="1" si="32"/>
        <v>117</v>
      </c>
      <c r="E138" s="203">
        <f t="shared" ca="1" si="26"/>
        <v>583126.74267403467</v>
      </c>
      <c r="F138" s="203">
        <f t="shared" ca="1" si="33"/>
        <v>6143.7275590613826</v>
      </c>
      <c r="G138" s="203">
        <f t="shared" ca="1" si="34"/>
        <v>2969.0869981152932</v>
      </c>
      <c r="H138" s="203">
        <f t="shared" ca="1" si="27"/>
        <v>3174.6405609460894</v>
      </c>
      <c r="I138" s="29">
        <f t="shared" ca="1" si="35"/>
        <v>0</v>
      </c>
      <c r="J138" s="29">
        <f t="shared" ca="1" si="36"/>
        <v>0</v>
      </c>
      <c r="K138" s="203">
        <f t="shared" ca="1" si="28"/>
        <v>6143.7275590613826</v>
      </c>
      <c r="L138" s="203">
        <f t="shared" ca="1" si="29"/>
        <v>579952.10211308859</v>
      </c>
    </row>
    <row r="139" spans="2:12">
      <c r="B139" s="202">
        <f t="shared" si="30"/>
        <v>48336</v>
      </c>
      <c r="C139" s="168">
        <f t="shared" si="31"/>
        <v>2032</v>
      </c>
      <c r="D139" s="168">
        <f t="shared" ca="1" si="32"/>
        <v>118</v>
      </c>
      <c r="E139" s="203">
        <f t="shared" ca="1" si="26"/>
        <v>579952.10211308859</v>
      </c>
      <c r="F139" s="203">
        <f t="shared" ca="1" si="33"/>
        <v>6143.7275590613826</v>
      </c>
      <c r="G139" s="203">
        <f t="shared" ca="1" si="34"/>
        <v>2952.9227865924763</v>
      </c>
      <c r="H139" s="203">
        <f t="shared" ca="1" si="27"/>
        <v>3190.8047724689063</v>
      </c>
      <c r="I139" s="29">
        <f t="shared" ca="1" si="35"/>
        <v>0</v>
      </c>
      <c r="J139" s="29">
        <f t="shared" ca="1" si="36"/>
        <v>0</v>
      </c>
      <c r="K139" s="203">
        <f t="shared" ca="1" si="28"/>
        <v>6143.7275590613826</v>
      </c>
      <c r="L139" s="203">
        <f t="shared" ca="1" si="29"/>
        <v>576761.29734061973</v>
      </c>
    </row>
    <row r="140" spans="2:12">
      <c r="B140" s="202">
        <f t="shared" si="30"/>
        <v>48367</v>
      </c>
      <c r="C140" s="168">
        <f t="shared" si="31"/>
        <v>2032</v>
      </c>
      <c r="D140" s="168">
        <f t="shared" ca="1" si="32"/>
        <v>119</v>
      </c>
      <c r="E140" s="203">
        <f t="shared" ca="1" si="26"/>
        <v>576761.29734061973</v>
      </c>
      <c r="F140" s="203">
        <f t="shared" ca="1" si="33"/>
        <v>6143.7275590613826</v>
      </c>
      <c r="G140" s="203">
        <f t="shared" ca="1" si="34"/>
        <v>2936.6762722926555</v>
      </c>
      <c r="H140" s="203">
        <f t="shared" ca="1" si="27"/>
        <v>3207.0512867687271</v>
      </c>
      <c r="I140" s="29">
        <f t="shared" ca="1" si="35"/>
        <v>0</v>
      </c>
      <c r="J140" s="29">
        <f t="shared" ca="1" si="36"/>
        <v>0</v>
      </c>
      <c r="K140" s="203">
        <f t="shared" ca="1" si="28"/>
        <v>6143.7275590613826</v>
      </c>
      <c r="L140" s="203">
        <f t="shared" ca="1" si="29"/>
        <v>573554.24605385098</v>
      </c>
    </row>
    <row r="141" spans="2:12">
      <c r="B141" s="202">
        <f t="shared" si="30"/>
        <v>48397</v>
      </c>
      <c r="C141" s="168">
        <f t="shared" si="31"/>
        <v>2032</v>
      </c>
      <c r="D141" s="168">
        <f ca="1">IF(OR($D140="",D140=$D$8*$D$11,$L140=0),"",$D140+1)</f>
        <v>120</v>
      </c>
      <c r="E141" s="203">
        <f t="shared" ca="1" si="26"/>
        <v>573554.24605385098</v>
      </c>
      <c r="F141" s="203">
        <f t="shared" ca="1" si="33"/>
        <v>6143.7275590613826</v>
      </c>
      <c r="G141" s="203">
        <f t="shared" ca="1" si="34"/>
        <v>2920.3470361575251</v>
      </c>
      <c r="H141" s="203">
        <f t="shared" ca="1" si="27"/>
        <v>3223.3805229038576</v>
      </c>
      <c r="I141" s="203">
        <f ca="1">IF($D141="","",($D141=$D$8*$D$11)*($E141-$H141-$J141))</f>
        <v>570330.86553094711</v>
      </c>
      <c r="J141" s="29">
        <f t="shared" ca="1" si="36"/>
        <v>0</v>
      </c>
      <c r="K141" s="203">
        <f t="shared" ca="1" si="28"/>
        <v>576474.59309000848</v>
      </c>
      <c r="L141" s="29">
        <f ca="1">IF($D141="","",$E141-$H141-$I141-$J141)</f>
        <v>0</v>
      </c>
    </row>
    <row r="142" spans="2:12">
      <c r="D142" s="168" t="str">
        <f ca="1">IF(OR($D141="",D141=$D$8*$D$11,$L141=0),"",$D141+1)</f>
        <v/>
      </c>
      <c r="E142" s="203" t="str">
        <f t="shared" ca="1" si="26"/>
        <v/>
      </c>
      <c r="F142" s="203" t="str">
        <f t="shared" ca="1" si="33"/>
        <v/>
      </c>
      <c r="G142" s="203" t="str">
        <f t="shared" ca="1" si="34"/>
        <v/>
      </c>
      <c r="H142" s="203" t="str">
        <f t="shared" ca="1" si="27"/>
        <v/>
      </c>
      <c r="I142" s="203" t="str">
        <f t="shared" ca="1" si="35"/>
        <v/>
      </c>
      <c r="J142" s="203" t="str">
        <f t="shared" ca="1" si="36"/>
        <v/>
      </c>
      <c r="K142" s="203" t="str">
        <f t="shared" ca="1" si="28"/>
        <v/>
      </c>
      <c r="L142" s="203" t="str">
        <f t="shared" ca="1" si="29"/>
        <v/>
      </c>
    </row>
    <row r="143" spans="2:12">
      <c r="D143" s="168" t="str">
        <f t="shared" ca="1" si="32"/>
        <v/>
      </c>
      <c r="E143" s="203" t="str">
        <f t="shared" ca="1" si="26"/>
        <v/>
      </c>
      <c r="F143" s="203" t="str">
        <f t="shared" ca="1" si="33"/>
        <v/>
      </c>
      <c r="G143" s="203" t="str">
        <f t="shared" ca="1" si="34"/>
        <v/>
      </c>
      <c r="H143" s="203" t="str">
        <f t="shared" ca="1" si="27"/>
        <v/>
      </c>
      <c r="I143" s="203" t="str">
        <f t="shared" ca="1" si="35"/>
        <v/>
      </c>
      <c r="J143" s="203" t="str">
        <f t="shared" ca="1" si="36"/>
        <v/>
      </c>
      <c r="K143" s="203" t="str">
        <f t="shared" ca="1" si="28"/>
        <v/>
      </c>
      <c r="L143" s="203" t="str">
        <f t="shared" ca="1" si="29"/>
        <v/>
      </c>
    </row>
    <row r="144" spans="2:12">
      <c r="D144" s="168" t="str">
        <f t="shared" ca="1" si="32"/>
        <v/>
      </c>
      <c r="E144" s="203" t="str">
        <f t="shared" ca="1" si="26"/>
        <v/>
      </c>
      <c r="F144" s="203" t="str">
        <f t="shared" ca="1" si="33"/>
        <v/>
      </c>
      <c r="G144" s="203" t="str">
        <f t="shared" ca="1" si="34"/>
        <v/>
      </c>
      <c r="H144" s="203" t="str">
        <f t="shared" ca="1" si="27"/>
        <v/>
      </c>
      <c r="I144" s="203" t="str">
        <f t="shared" ca="1" si="35"/>
        <v/>
      </c>
      <c r="J144" s="203" t="str">
        <f t="shared" ca="1" si="36"/>
        <v/>
      </c>
      <c r="K144" s="203" t="str">
        <f t="shared" ca="1" si="28"/>
        <v/>
      </c>
      <c r="L144" s="203" t="str">
        <f t="shared" ca="1" si="29"/>
        <v/>
      </c>
    </row>
    <row r="145" spans="4:12">
      <c r="D145" s="168" t="str">
        <f t="shared" ca="1" si="32"/>
        <v/>
      </c>
      <c r="E145" s="203" t="str">
        <f t="shared" ca="1" si="26"/>
        <v/>
      </c>
      <c r="F145" s="203" t="str">
        <f t="shared" ca="1" si="33"/>
        <v/>
      </c>
      <c r="G145" s="203" t="str">
        <f t="shared" ca="1" si="34"/>
        <v/>
      </c>
      <c r="H145" s="203" t="str">
        <f t="shared" ca="1" si="27"/>
        <v/>
      </c>
      <c r="I145" s="203" t="str">
        <f t="shared" ca="1" si="35"/>
        <v/>
      </c>
      <c r="J145" s="203" t="str">
        <f t="shared" ca="1" si="36"/>
        <v/>
      </c>
      <c r="K145" s="203" t="str">
        <f t="shared" ca="1" si="28"/>
        <v/>
      </c>
      <c r="L145" s="203" t="str">
        <f t="shared" ca="1" si="29"/>
        <v/>
      </c>
    </row>
    <row r="146" spans="4:12">
      <c r="D146" s="168" t="str">
        <f t="shared" ca="1" si="32"/>
        <v/>
      </c>
      <c r="E146" s="203" t="str">
        <f t="shared" ca="1" si="26"/>
        <v/>
      </c>
      <c r="F146" s="203" t="str">
        <f t="shared" ca="1" si="33"/>
        <v/>
      </c>
      <c r="G146" s="203" t="str">
        <f t="shared" ca="1" si="34"/>
        <v/>
      </c>
      <c r="H146" s="203" t="str">
        <f t="shared" ca="1" si="27"/>
        <v/>
      </c>
      <c r="I146" s="203" t="str">
        <f t="shared" ca="1" si="35"/>
        <v/>
      </c>
      <c r="J146" s="203" t="str">
        <f t="shared" ca="1" si="36"/>
        <v/>
      </c>
      <c r="K146" s="203" t="str">
        <f t="shared" ca="1" si="28"/>
        <v/>
      </c>
      <c r="L146" s="203" t="str">
        <f t="shared" ca="1" si="29"/>
        <v/>
      </c>
    </row>
    <row r="147" spans="4:12">
      <c r="D147" s="168" t="str">
        <f t="shared" ca="1" si="32"/>
        <v/>
      </c>
      <c r="E147" s="203" t="str">
        <f t="shared" ca="1" si="26"/>
        <v/>
      </c>
      <c r="F147" s="203" t="str">
        <f t="shared" ca="1" si="33"/>
        <v/>
      </c>
      <c r="G147" s="203" t="str">
        <f t="shared" ca="1" si="34"/>
        <v/>
      </c>
      <c r="H147" s="203" t="str">
        <f t="shared" ca="1" si="27"/>
        <v/>
      </c>
      <c r="I147" s="203" t="str">
        <f t="shared" ca="1" si="35"/>
        <v/>
      </c>
      <c r="J147" s="203" t="str">
        <f t="shared" ca="1" si="36"/>
        <v/>
      </c>
      <c r="K147" s="203" t="str">
        <f t="shared" ca="1" si="28"/>
        <v/>
      </c>
      <c r="L147" s="203" t="str">
        <f t="shared" ca="1" si="29"/>
        <v/>
      </c>
    </row>
    <row r="148" spans="4:12">
      <c r="D148" s="168" t="str">
        <f t="shared" ca="1" si="32"/>
        <v/>
      </c>
      <c r="E148" s="203" t="str">
        <f t="shared" ca="1" si="26"/>
        <v/>
      </c>
      <c r="F148" s="203" t="str">
        <f t="shared" ca="1" si="33"/>
        <v/>
      </c>
      <c r="G148" s="203" t="str">
        <f t="shared" ca="1" si="34"/>
        <v/>
      </c>
      <c r="H148" s="203" t="str">
        <f t="shared" ca="1" si="27"/>
        <v/>
      </c>
      <c r="I148" s="203" t="str">
        <f t="shared" ca="1" si="35"/>
        <v/>
      </c>
      <c r="J148" s="203" t="str">
        <f t="shared" ca="1" si="36"/>
        <v/>
      </c>
      <c r="K148" s="203" t="str">
        <f t="shared" ca="1" si="28"/>
        <v/>
      </c>
      <c r="L148" s="203" t="str">
        <f t="shared" ca="1" si="29"/>
        <v/>
      </c>
    </row>
    <row r="149" spans="4:12">
      <c r="D149" s="168" t="str">
        <f t="shared" ca="1" si="32"/>
        <v/>
      </c>
      <c r="E149" s="203" t="str">
        <f t="shared" ca="1" si="26"/>
        <v/>
      </c>
      <c r="F149" s="203" t="str">
        <f t="shared" ca="1" si="33"/>
        <v/>
      </c>
      <c r="G149" s="203" t="str">
        <f t="shared" ca="1" si="34"/>
        <v/>
      </c>
      <c r="H149" s="203" t="str">
        <f t="shared" ca="1" si="27"/>
        <v/>
      </c>
      <c r="I149" s="203" t="str">
        <f t="shared" ca="1" si="35"/>
        <v/>
      </c>
      <c r="J149" s="203" t="str">
        <f t="shared" ca="1" si="36"/>
        <v/>
      </c>
      <c r="K149" s="203" t="str">
        <f t="shared" ca="1" si="28"/>
        <v/>
      </c>
      <c r="L149" s="203" t="str">
        <f t="shared" ca="1" si="29"/>
        <v/>
      </c>
    </row>
    <row r="150" spans="4:12">
      <c r="D150" s="168" t="str">
        <f t="shared" ref="D150:D178" ca="1" si="37">IF(OR($D149="",D149=$D$8*$D$11,$L149=0),"",$D149+1)</f>
        <v/>
      </c>
      <c r="E150" s="203" t="str">
        <f t="shared" ca="1" si="26"/>
        <v/>
      </c>
      <c r="F150" s="203" t="str">
        <f t="shared" ref="F150:F178" ca="1" si="38">IF(D150="","",MIN(E150+G150,(D150&lt;=($D$9*$D$11))*$L$9+(D150&gt;($D$9*$D$11))*$L$10))</f>
        <v/>
      </c>
      <c r="G150" s="203" t="str">
        <f t="shared" ref="G150:G178" ca="1" si="39">IF(D150="","",((E150*$D$13)/$D$11))</f>
        <v/>
      </c>
      <c r="H150" s="203" t="str">
        <f t="shared" ca="1" si="27"/>
        <v/>
      </c>
      <c r="I150" s="203" t="str">
        <f t="shared" ref="I150:I178" ca="1" si="40">IF($D150="","",($D150=$D$8*$D$11)*($E150-$H150-$J150))</f>
        <v/>
      </c>
      <c r="J150" s="203" t="str">
        <f t="shared" ref="J150:J178" ca="1" si="41">IF($D150="","",MIN($H$16,$E150-$H150))</f>
        <v/>
      </c>
      <c r="K150" s="203" t="str">
        <f t="shared" ca="1" si="28"/>
        <v/>
      </c>
      <c r="L150" s="203" t="str">
        <f t="shared" ca="1" si="29"/>
        <v/>
      </c>
    </row>
    <row r="151" spans="4:12">
      <c r="D151" s="168" t="str">
        <f t="shared" ca="1" si="37"/>
        <v/>
      </c>
      <c r="E151" s="203" t="str">
        <f t="shared" ref="E151:E178" ca="1" si="42">IF(D151="","",L150)</f>
        <v/>
      </c>
      <c r="F151" s="203" t="str">
        <f t="shared" ca="1" si="38"/>
        <v/>
      </c>
      <c r="G151" s="203" t="str">
        <f t="shared" ca="1" si="39"/>
        <v/>
      </c>
      <c r="H151" s="203" t="str">
        <f t="shared" ref="H151:H178" ca="1" si="43">IF(D151="","",F151-G151)</f>
        <v/>
      </c>
      <c r="I151" s="203" t="str">
        <f t="shared" ca="1" si="40"/>
        <v/>
      </c>
      <c r="J151" s="203" t="str">
        <f t="shared" ca="1" si="41"/>
        <v/>
      </c>
      <c r="K151" s="203" t="str">
        <f t="shared" ref="K151:K178" ca="1" si="44">IF($D151="","",SUM($G151:$J151))</f>
        <v/>
      </c>
      <c r="L151" s="203" t="str">
        <f t="shared" ref="L151:L178" ca="1" si="45">IF($D151="","",$E151-$H151-$I151-$J151)</f>
        <v/>
      </c>
    </row>
    <row r="152" spans="4:12">
      <c r="D152" s="168" t="str">
        <f t="shared" ca="1" si="37"/>
        <v/>
      </c>
      <c r="E152" s="203" t="str">
        <f t="shared" ca="1" si="42"/>
        <v/>
      </c>
      <c r="F152" s="203" t="str">
        <f t="shared" ca="1" si="38"/>
        <v/>
      </c>
      <c r="G152" s="203" t="str">
        <f t="shared" ca="1" si="39"/>
        <v/>
      </c>
      <c r="H152" s="203" t="str">
        <f t="shared" ca="1" si="43"/>
        <v/>
      </c>
      <c r="I152" s="203" t="str">
        <f t="shared" ca="1" si="40"/>
        <v/>
      </c>
      <c r="J152" s="203" t="str">
        <f t="shared" ca="1" si="41"/>
        <v/>
      </c>
      <c r="K152" s="203" t="str">
        <f t="shared" ca="1" si="44"/>
        <v/>
      </c>
      <c r="L152" s="203" t="str">
        <f t="shared" ca="1" si="45"/>
        <v/>
      </c>
    </row>
    <row r="153" spans="4:12">
      <c r="D153" s="168" t="str">
        <f t="shared" ca="1" si="37"/>
        <v/>
      </c>
      <c r="E153" s="203" t="str">
        <f t="shared" ca="1" si="42"/>
        <v/>
      </c>
      <c r="F153" s="203" t="str">
        <f t="shared" ca="1" si="38"/>
        <v/>
      </c>
      <c r="G153" s="203" t="str">
        <f t="shared" ca="1" si="39"/>
        <v/>
      </c>
      <c r="H153" s="203" t="str">
        <f t="shared" ca="1" si="43"/>
        <v/>
      </c>
      <c r="I153" s="203" t="str">
        <f t="shared" ca="1" si="40"/>
        <v/>
      </c>
      <c r="J153" s="203" t="str">
        <f t="shared" ca="1" si="41"/>
        <v/>
      </c>
      <c r="K153" s="203" t="str">
        <f t="shared" ca="1" si="44"/>
        <v/>
      </c>
      <c r="L153" s="203" t="str">
        <f t="shared" ca="1" si="45"/>
        <v/>
      </c>
    </row>
    <row r="154" spans="4:12">
      <c r="D154" s="168" t="str">
        <f t="shared" ca="1" si="37"/>
        <v/>
      </c>
      <c r="E154" s="203" t="str">
        <f t="shared" ca="1" si="42"/>
        <v/>
      </c>
      <c r="F154" s="203" t="str">
        <f t="shared" ca="1" si="38"/>
        <v/>
      </c>
      <c r="G154" s="203" t="str">
        <f t="shared" ca="1" si="39"/>
        <v/>
      </c>
      <c r="H154" s="203" t="str">
        <f t="shared" ca="1" si="43"/>
        <v/>
      </c>
      <c r="I154" s="203" t="str">
        <f t="shared" ca="1" si="40"/>
        <v/>
      </c>
      <c r="J154" s="203" t="str">
        <f t="shared" ca="1" si="41"/>
        <v/>
      </c>
      <c r="K154" s="203" t="str">
        <f t="shared" ca="1" si="44"/>
        <v/>
      </c>
      <c r="L154" s="203" t="str">
        <f t="shared" ca="1" si="45"/>
        <v/>
      </c>
    </row>
    <row r="155" spans="4:12">
      <c r="D155" s="168" t="str">
        <f t="shared" ca="1" si="37"/>
        <v/>
      </c>
      <c r="E155" s="203" t="str">
        <f t="shared" ca="1" si="42"/>
        <v/>
      </c>
      <c r="F155" s="203" t="str">
        <f t="shared" ca="1" si="38"/>
        <v/>
      </c>
      <c r="G155" s="203" t="str">
        <f t="shared" ca="1" si="39"/>
        <v/>
      </c>
      <c r="H155" s="203" t="str">
        <f t="shared" ca="1" si="43"/>
        <v/>
      </c>
      <c r="I155" s="203" t="str">
        <f t="shared" ca="1" si="40"/>
        <v/>
      </c>
      <c r="J155" s="203" t="str">
        <f t="shared" ca="1" si="41"/>
        <v/>
      </c>
      <c r="K155" s="203" t="str">
        <f t="shared" ca="1" si="44"/>
        <v/>
      </c>
      <c r="L155" s="203" t="str">
        <f t="shared" ca="1" si="45"/>
        <v/>
      </c>
    </row>
    <row r="156" spans="4:12">
      <c r="D156" s="168" t="str">
        <f t="shared" ca="1" si="37"/>
        <v/>
      </c>
      <c r="E156" s="203" t="str">
        <f t="shared" ca="1" si="42"/>
        <v/>
      </c>
      <c r="F156" s="203" t="str">
        <f t="shared" ca="1" si="38"/>
        <v/>
      </c>
      <c r="G156" s="203" t="str">
        <f t="shared" ca="1" si="39"/>
        <v/>
      </c>
      <c r="H156" s="203" t="str">
        <f t="shared" ca="1" si="43"/>
        <v/>
      </c>
      <c r="I156" s="203" t="str">
        <f t="shared" ca="1" si="40"/>
        <v/>
      </c>
      <c r="J156" s="203" t="str">
        <f t="shared" ca="1" si="41"/>
        <v/>
      </c>
      <c r="K156" s="203" t="str">
        <f t="shared" ca="1" si="44"/>
        <v/>
      </c>
      <c r="L156" s="203" t="str">
        <f t="shared" ca="1" si="45"/>
        <v/>
      </c>
    </row>
    <row r="157" spans="4:12">
      <c r="D157" s="168" t="str">
        <f t="shared" ca="1" si="37"/>
        <v/>
      </c>
      <c r="E157" s="203" t="str">
        <f t="shared" ca="1" si="42"/>
        <v/>
      </c>
      <c r="F157" s="203" t="str">
        <f t="shared" ca="1" si="38"/>
        <v/>
      </c>
      <c r="G157" s="203" t="str">
        <f t="shared" ca="1" si="39"/>
        <v/>
      </c>
      <c r="H157" s="203" t="str">
        <f t="shared" ca="1" si="43"/>
        <v/>
      </c>
      <c r="I157" s="203" t="str">
        <f t="shared" ca="1" si="40"/>
        <v/>
      </c>
      <c r="J157" s="203" t="str">
        <f t="shared" ca="1" si="41"/>
        <v/>
      </c>
      <c r="K157" s="203" t="str">
        <f t="shared" ca="1" si="44"/>
        <v/>
      </c>
      <c r="L157" s="203" t="str">
        <f t="shared" ca="1" si="45"/>
        <v/>
      </c>
    </row>
    <row r="158" spans="4:12">
      <c r="D158" s="168" t="str">
        <f t="shared" ca="1" si="37"/>
        <v/>
      </c>
      <c r="E158" s="203" t="str">
        <f t="shared" ca="1" si="42"/>
        <v/>
      </c>
      <c r="F158" s="203" t="str">
        <f t="shared" ca="1" si="38"/>
        <v/>
      </c>
      <c r="G158" s="203" t="str">
        <f t="shared" ca="1" si="39"/>
        <v/>
      </c>
      <c r="H158" s="203" t="str">
        <f t="shared" ca="1" si="43"/>
        <v/>
      </c>
      <c r="I158" s="203" t="str">
        <f t="shared" ca="1" si="40"/>
        <v/>
      </c>
      <c r="J158" s="203" t="str">
        <f t="shared" ca="1" si="41"/>
        <v/>
      </c>
      <c r="K158" s="203" t="str">
        <f t="shared" ca="1" si="44"/>
        <v/>
      </c>
      <c r="L158" s="203" t="str">
        <f t="shared" ca="1" si="45"/>
        <v/>
      </c>
    </row>
    <row r="159" spans="4:12">
      <c r="D159" s="168" t="str">
        <f t="shared" ca="1" si="37"/>
        <v/>
      </c>
      <c r="E159" s="203" t="str">
        <f t="shared" ca="1" si="42"/>
        <v/>
      </c>
      <c r="F159" s="203" t="str">
        <f t="shared" ca="1" si="38"/>
        <v/>
      </c>
      <c r="G159" s="203" t="str">
        <f t="shared" ca="1" si="39"/>
        <v/>
      </c>
      <c r="H159" s="203" t="str">
        <f t="shared" ca="1" si="43"/>
        <v/>
      </c>
      <c r="I159" s="203" t="str">
        <f t="shared" ca="1" si="40"/>
        <v/>
      </c>
      <c r="J159" s="203" t="str">
        <f t="shared" ca="1" si="41"/>
        <v/>
      </c>
      <c r="K159" s="203" t="str">
        <f t="shared" ca="1" si="44"/>
        <v/>
      </c>
      <c r="L159" s="203" t="str">
        <f t="shared" ca="1" si="45"/>
        <v/>
      </c>
    </row>
    <row r="160" spans="4:12">
      <c r="D160" s="168" t="str">
        <f t="shared" ca="1" si="37"/>
        <v/>
      </c>
      <c r="E160" s="203" t="str">
        <f t="shared" ca="1" si="42"/>
        <v/>
      </c>
      <c r="F160" s="203" t="str">
        <f t="shared" ca="1" si="38"/>
        <v/>
      </c>
      <c r="G160" s="203" t="str">
        <f t="shared" ca="1" si="39"/>
        <v/>
      </c>
      <c r="H160" s="203" t="str">
        <f t="shared" ca="1" si="43"/>
        <v/>
      </c>
      <c r="I160" s="203" t="str">
        <f t="shared" ca="1" si="40"/>
        <v/>
      </c>
      <c r="J160" s="203" t="str">
        <f t="shared" ca="1" si="41"/>
        <v/>
      </c>
      <c r="K160" s="203" t="str">
        <f t="shared" ca="1" si="44"/>
        <v/>
      </c>
      <c r="L160" s="203" t="str">
        <f t="shared" ca="1" si="45"/>
        <v/>
      </c>
    </row>
    <row r="161" spans="4:12">
      <c r="D161" s="168" t="str">
        <f t="shared" ca="1" si="37"/>
        <v/>
      </c>
      <c r="E161" s="203" t="str">
        <f t="shared" ca="1" si="42"/>
        <v/>
      </c>
      <c r="F161" s="203" t="str">
        <f t="shared" ca="1" si="38"/>
        <v/>
      </c>
      <c r="G161" s="203" t="str">
        <f t="shared" ca="1" si="39"/>
        <v/>
      </c>
      <c r="H161" s="203" t="str">
        <f t="shared" ca="1" si="43"/>
        <v/>
      </c>
      <c r="I161" s="203" t="str">
        <f t="shared" ca="1" si="40"/>
        <v/>
      </c>
      <c r="J161" s="203" t="str">
        <f t="shared" ca="1" si="41"/>
        <v/>
      </c>
      <c r="K161" s="203" t="str">
        <f t="shared" ca="1" si="44"/>
        <v/>
      </c>
      <c r="L161" s="203" t="str">
        <f t="shared" ca="1" si="45"/>
        <v/>
      </c>
    </row>
    <row r="162" spans="4:12">
      <c r="D162" s="168" t="str">
        <f t="shared" ca="1" si="37"/>
        <v/>
      </c>
      <c r="E162" s="203" t="str">
        <f t="shared" ca="1" si="42"/>
        <v/>
      </c>
      <c r="F162" s="203" t="str">
        <f t="shared" ca="1" si="38"/>
        <v/>
      </c>
      <c r="G162" s="203" t="str">
        <f t="shared" ca="1" si="39"/>
        <v/>
      </c>
      <c r="H162" s="203" t="str">
        <f t="shared" ca="1" si="43"/>
        <v/>
      </c>
      <c r="I162" s="203" t="str">
        <f t="shared" ca="1" si="40"/>
        <v/>
      </c>
      <c r="J162" s="203" t="str">
        <f t="shared" ca="1" si="41"/>
        <v/>
      </c>
      <c r="K162" s="203" t="str">
        <f t="shared" ca="1" si="44"/>
        <v/>
      </c>
      <c r="L162" s="203" t="str">
        <f t="shared" ca="1" si="45"/>
        <v/>
      </c>
    </row>
    <row r="163" spans="4:12">
      <c r="D163" s="168" t="str">
        <f t="shared" ca="1" si="37"/>
        <v/>
      </c>
      <c r="E163" s="203" t="str">
        <f t="shared" ca="1" si="42"/>
        <v/>
      </c>
      <c r="F163" s="203" t="str">
        <f t="shared" ca="1" si="38"/>
        <v/>
      </c>
      <c r="G163" s="203" t="str">
        <f t="shared" ca="1" si="39"/>
        <v/>
      </c>
      <c r="H163" s="203" t="str">
        <f t="shared" ca="1" si="43"/>
        <v/>
      </c>
      <c r="I163" s="203" t="str">
        <f t="shared" ca="1" si="40"/>
        <v/>
      </c>
      <c r="J163" s="203" t="str">
        <f t="shared" ca="1" si="41"/>
        <v/>
      </c>
      <c r="K163" s="203" t="str">
        <f t="shared" ca="1" si="44"/>
        <v/>
      </c>
      <c r="L163" s="203" t="str">
        <f t="shared" ca="1" si="45"/>
        <v/>
      </c>
    </row>
    <row r="164" spans="4:12">
      <c r="D164" s="168" t="str">
        <f t="shared" ca="1" si="37"/>
        <v/>
      </c>
      <c r="E164" s="203" t="str">
        <f t="shared" ca="1" si="42"/>
        <v/>
      </c>
      <c r="F164" s="203" t="str">
        <f t="shared" ca="1" si="38"/>
        <v/>
      </c>
      <c r="G164" s="203" t="str">
        <f t="shared" ca="1" si="39"/>
        <v/>
      </c>
      <c r="H164" s="203" t="str">
        <f t="shared" ca="1" si="43"/>
        <v/>
      </c>
      <c r="I164" s="203" t="str">
        <f t="shared" ca="1" si="40"/>
        <v/>
      </c>
      <c r="J164" s="203" t="str">
        <f t="shared" ca="1" si="41"/>
        <v/>
      </c>
      <c r="K164" s="203" t="str">
        <f t="shared" ca="1" si="44"/>
        <v/>
      </c>
      <c r="L164" s="203" t="str">
        <f t="shared" ca="1" si="45"/>
        <v/>
      </c>
    </row>
    <row r="165" spans="4:12">
      <c r="D165" s="168" t="str">
        <f t="shared" ca="1" si="37"/>
        <v/>
      </c>
      <c r="E165" s="203" t="str">
        <f t="shared" ca="1" si="42"/>
        <v/>
      </c>
      <c r="F165" s="203" t="str">
        <f t="shared" ca="1" si="38"/>
        <v/>
      </c>
      <c r="G165" s="203" t="str">
        <f t="shared" ca="1" si="39"/>
        <v/>
      </c>
      <c r="H165" s="203" t="str">
        <f t="shared" ca="1" si="43"/>
        <v/>
      </c>
      <c r="I165" s="203" t="str">
        <f t="shared" ca="1" si="40"/>
        <v/>
      </c>
      <c r="J165" s="203" t="str">
        <f t="shared" ca="1" si="41"/>
        <v/>
      </c>
      <c r="K165" s="203" t="str">
        <f t="shared" ca="1" si="44"/>
        <v/>
      </c>
      <c r="L165" s="203" t="str">
        <f t="shared" ca="1" si="45"/>
        <v/>
      </c>
    </row>
    <row r="166" spans="4:12">
      <c r="D166" s="168" t="str">
        <f t="shared" ca="1" si="37"/>
        <v/>
      </c>
      <c r="E166" s="203" t="str">
        <f t="shared" ca="1" si="42"/>
        <v/>
      </c>
      <c r="F166" s="203" t="str">
        <f t="shared" ca="1" si="38"/>
        <v/>
      </c>
      <c r="G166" s="203" t="str">
        <f t="shared" ca="1" si="39"/>
        <v/>
      </c>
      <c r="H166" s="203" t="str">
        <f t="shared" ca="1" si="43"/>
        <v/>
      </c>
      <c r="I166" s="203" t="str">
        <f t="shared" ca="1" si="40"/>
        <v/>
      </c>
      <c r="J166" s="203" t="str">
        <f t="shared" ca="1" si="41"/>
        <v/>
      </c>
      <c r="K166" s="203" t="str">
        <f t="shared" ca="1" si="44"/>
        <v/>
      </c>
      <c r="L166" s="203" t="str">
        <f t="shared" ca="1" si="45"/>
        <v/>
      </c>
    </row>
    <row r="167" spans="4:12">
      <c r="D167" s="168" t="str">
        <f t="shared" ca="1" si="37"/>
        <v/>
      </c>
      <c r="E167" s="203" t="str">
        <f t="shared" ca="1" si="42"/>
        <v/>
      </c>
      <c r="F167" s="203" t="str">
        <f t="shared" ca="1" si="38"/>
        <v/>
      </c>
      <c r="G167" s="203" t="str">
        <f t="shared" ca="1" si="39"/>
        <v/>
      </c>
      <c r="H167" s="203" t="str">
        <f t="shared" ca="1" si="43"/>
        <v/>
      </c>
      <c r="I167" s="203" t="str">
        <f t="shared" ca="1" si="40"/>
        <v/>
      </c>
      <c r="J167" s="203" t="str">
        <f t="shared" ca="1" si="41"/>
        <v/>
      </c>
      <c r="K167" s="203" t="str">
        <f t="shared" ca="1" si="44"/>
        <v/>
      </c>
      <c r="L167" s="203" t="str">
        <f t="shared" ca="1" si="45"/>
        <v/>
      </c>
    </row>
    <row r="168" spans="4:12">
      <c r="D168" s="168" t="str">
        <f t="shared" ca="1" si="37"/>
        <v/>
      </c>
      <c r="E168" s="203" t="str">
        <f t="shared" ca="1" si="42"/>
        <v/>
      </c>
      <c r="F168" s="203" t="str">
        <f t="shared" ca="1" si="38"/>
        <v/>
      </c>
      <c r="G168" s="203" t="str">
        <f t="shared" ca="1" si="39"/>
        <v/>
      </c>
      <c r="H168" s="203" t="str">
        <f t="shared" ca="1" si="43"/>
        <v/>
      </c>
      <c r="I168" s="203" t="str">
        <f t="shared" ca="1" si="40"/>
        <v/>
      </c>
      <c r="J168" s="203" t="str">
        <f t="shared" ca="1" si="41"/>
        <v/>
      </c>
      <c r="K168" s="203" t="str">
        <f t="shared" ca="1" si="44"/>
        <v/>
      </c>
      <c r="L168" s="203" t="str">
        <f t="shared" ca="1" si="45"/>
        <v/>
      </c>
    </row>
    <row r="169" spans="4:12">
      <c r="D169" s="168" t="str">
        <f t="shared" ca="1" si="37"/>
        <v/>
      </c>
      <c r="E169" s="203" t="str">
        <f t="shared" ca="1" si="42"/>
        <v/>
      </c>
      <c r="F169" s="203" t="str">
        <f t="shared" ca="1" si="38"/>
        <v/>
      </c>
      <c r="G169" s="203" t="str">
        <f t="shared" ca="1" si="39"/>
        <v/>
      </c>
      <c r="H169" s="203" t="str">
        <f t="shared" ca="1" si="43"/>
        <v/>
      </c>
      <c r="I169" s="203" t="str">
        <f t="shared" ca="1" si="40"/>
        <v/>
      </c>
      <c r="J169" s="203" t="str">
        <f t="shared" ca="1" si="41"/>
        <v/>
      </c>
      <c r="K169" s="203" t="str">
        <f t="shared" ca="1" si="44"/>
        <v/>
      </c>
      <c r="L169" s="203" t="str">
        <f t="shared" ca="1" si="45"/>
        <v/>
      </c>
    </row>
    <row r="170" spans="4:12">
      <c r="D170" s="168" t="str">
        <f t="shared" ca="1" si="37"/>
        <v/>
      </c>
      <c r="E170" s="203" t="str">
        <f t="shared" ca="1" si="42"/>
        <v/>
      </c>
      <c r="F170" s="203" t="str">
        <f t="shared" ca="1" si="38"/>
        <v/>
      </c>
      <c r="G170" s="203" t="str">
        <f t="shared" ca="1" si="39"/>
        <v/>
      </c>
      <c r="H170" s="203" t="str">
        <f t="shared" ca="1" si="43"/>
        <v/>
      </c>
      <c r="I170" s="203" t="str">
        <f t="shared" ca="1" si="40"/>
        <v/>
      </c>
      <c r="J170" s="203" t="str">
        <f t="shared" ca="1" si="41"/>
        <v/>
      </c>
      <c r="K170" s="203" t="str">
        <f t="shared" ca="1" si="44"/>
        <v/>
      </c>
      <c r="L170" s="203" t="str">
        <f t="shared" ca="1" si="45"/>
        <v/>
      </c>
    </row>
    <row r="171" spans="4:12">
      <c r="D171" s="168" t="str">
        <f t="shared" ca="1" si="37"/>
        <v/>
      </c>
      <c r="E171" s="203" t="str">
        <f t="shared" ca="1" si="42"/>
        <v/>
      </c>
      <c r="F171" s="203" t="str">
        <f t="shared" ca="1" si="38"/>
        <v/>
      </c>
      <c r="G171" s="203" t="str">
        <f t="shared" ca="1" si="39"/>
        <v/>
      </c>
      <c r="H171" s="203" t="str">
        <f t="shared" ca="1" si="43"/>
        <v/>
      </c>
      <c r="I171" s="203" t="str">
        <f t="shared" ca="1" si="40"/>
        <v/>
      </c>
      <c r="J171" s="203" t="str">
        <f t="shared" ca="1" si="41"/>
        <v/>
      </c>
      <c r="K171" s="203" t="str">
        <f t="shared" ca="1" si="44"/>
        <v/>
      </c>
      <c r="L171" s="203" t="str">
        <f t="shared" ca="1" si="45"/>
        <v/>
      </c>
    </row>
    <row r="172" spans="4:12">
      <c r="D172" s="168" t="str">
        <f t="shared" ca="1" si="37"/>
        <v/>
      </c>
      <c r="E172" s="203" t="str">
        <f t="shared" ca="1" si="42"/>
        <v/>
      </c>
      <c r="F172" s="203" t="str">
        <f t="shared" ca="1" si="38"/>
        <v/>
      </c>
      <c r="G172" s="203" t="str">
        <f t="shared" ca="1" si="39"/>
        <v/>
      </c>
      <c r="H172" s="203" t="str">
        <f t="shared" ca="1" si="43"/>
        <v/>
      </c>
      <c r="I172" s="203" t="str">
        <f t="shared" ca="1" si="40"/>
        <v/>
      </c>
      <c r="J172" s="203" t="str">
        <f t="shared" ca="1" si="41"/>
        <v/>
      </c>
      <c r="K172" s="203" t="str">
        <f t="shared" ca="1" si="44"/>
        <v/>
      </c>
      <c r="L172" s="203" t="str">
        <f t="shared" ca="1" si="45"/>
        <v/>
      </c>
    </row>
    <row r="173" spans="4:12">
      <c r="D173" s="168" t="str">
        <f t="shared" ca="1" si="37"/>
        <v/>
      </c>
      <c r="E173" s="203" t="str">
        <f t="shared" ca="1" si="42"/>
        <v/>
      </c>
      <c r="F173" s="203" t="str">
        <f t="shared" ca="1" si="38"/>
        <v/>
      </c>
      <c r="G173" s="203" t="str">
        <f t="shared" ca="1" si="39"/>
        <v/>
      </c>
      <c r="H173" s="203" t="str">
        <f t="shared" ca="1" si="43"/>
        <v/>
      </c>
      <c r="I173" s="203" t="str">
        <f t="shared" ca="1" si="40"/>
        <v/>
      </c>
      <c r="J173" s="203" t="str">
        <f t="shared" ca="1" si="41"/>
        <v/>
      </c>
      <c r="K173" s="203" t="str">
        <f t="shared" ca="1" si="44"/>
        <v/>
      </c>
      <c r="L173" s="203" t="str">
        <f t="shared" ca="1" si="45"/>
        <v/>
      </c>
    </row>
    <row r="174" spans="4:12">
      <c r="D174" s="168" t="str">
        <f t="shared" ca="1" si="37"/>
        <v/>
      </c>
      <c r="E174" s="203" t="str">
        <f t="shared" ca="1" si="42"/>
        <v/>
      </c>
      <c r="F174" s="203" t="str">
        <f t="shared" ca="1" si="38"/>
        <v/>
      </c>
      <c r="G174" s="203" t="str">
        <f t="shared" ca="1" si="39"/>
        <v/>
      </c>
      <c r="H174" s="203" t="str">
        <f t="shared" ca="1" si="43"/>
        <v/>
      </c>
      <c r="I174" s="203" t="str">
        <f t="shared" ca="1" si="40"/>
        <v/>
      </c>
      <c r="J174" s="203" t="str">
        <f t="shared" ca="1" si="41"/>
        <v/>
      </c>
      <c r="K174" s="203" t="str">
        <f t="shared" ca="1" si="44"/>
        <v/>
      </c>
      <c r="L174" s="203" t="str">
        <f t="shared" ca="1" si="45"/>
        <v/>
      </c>
    </row>
    <row r="175" spans="4:12">
      <c r="D175" s="168" t="str">
        <f t="shared" ca="1" si="37"/>
        <v/>
      </c>
      <c r="E175" s="203" t="str">
        <f t="shared" ca="1" si="42"/>
        <v/>
      </c>
      <c r="F175" s="203" t="str">
        <f t="shared" ca="1" si="38"/>
        <v/>
      </c>
      <c r="G175" s="203" t="str">
        <f t="shared" ca="1" si="39"/>
        <v/>
      </c>
      <c r="H175" s="203" t="str">
        <f t="shared" ca="1" si="43"/>
        <v/>
      </c>
      <c r="I175" s="203" t="str">
        <f t="shared" ca="1" si="40"/>
        <v/>
      </c>
      <c r="J175" s="203" t="str">
        <f t="shared" ca="1" si="41"/>
        <v/>
      </c>
      <c r="K175" s="203" t="str">
        <f t="shared" ca="1" si="44"/>
        <v/>
      </c>
      <c r="L175" s="203" t="str">
        <f t="shared" ca="1" si="45"/>
        <v/>
      </c>
    </row>
    <row r="176" spans="4:12">
      <c r="D176" s="168" t="str">
        <f t="shared" ca="1" si="37"/>
        <v/>
      </c>
      <c r="E176" s="203" t="str">
        <f t="shared" ca="1" si="42"/>
        <v/>
      </c>
      <c r="F176" s="203" t="str">
        <f t="shared" ca="1" si="38"/>
        <v/>
      </c>
      <c r="G176" s="203" t="str">
        <f t="shared" ca="1" si="39"/>
        <v/>
      </c>
      <c r="H176" s="203" t="str">
        <f t="shared" ca="1" si="43"/>
        <v/>
      </c>
      <c r="I176" s="203" t="str">
        <f t="shared" ca="1" si="40"/>
        <v/>
      </c>
      <c r="J176" s="203" t="str">
        <f t="shared" ca="1" si="41"/>
        <v/>
      </c>
      <c r="K176" s="203" t="str">
        <f t="shared" ca="1" si="44"/>
        <v/>
      </c>
      <c r="L176" s="203" t="str">
        <f t="shared" ca="1" si="45"/>
        <v/>
      </c>
    </row>
    <row r="177" spans="4:12">
      <c r="D177" s="168" t="str">
        <f t="shared" ca="1" si="37"/>
        <v/>
      </c>
      <c r="E177" s="203" t="str">
        <f t="shared" ca="1" si="42"/>
        <v/>
      </c>
      <c r="F177" s="203" t="str">
        <f t="shared" ca="1" si="38"/>
        <v/>
      </c>
      <c r="G177" s="203" t="str">
        <f t="shared" ca="1" si="39"/>
        <v/>
      </c>
      <c r="H177" s="203" t="str">
        <f t="shared" ca="1" si="43"/>
        <v/>
      </c>
      <c r="I177" s="203" t="str">
        <f t="shared" ca="1" si="40"/>
        <v/>
      </c>
      <c r="J177" s="203" t="str">
        <f t="shared" ca="1" si="41"/>
        <v/>
      </c>
      <c r="K177" s="203" t="str">
        <f t="shared" ca="1" si="44"/>
        <v/>
      </c>
      <c r="L177" s="203" t="str">
        <f t="shared" ca="1" si="45"/>
        <v/>
      </c>
    </row>
    <row r="178" spans="4:12">
      <c r="D178" s="168" t="str">
        <f t="shared" ca="1" si="37"/>
        <v/>
      </c>
      <c r="E178" s="203" t="str">
        <f t="shared" ca="1" si="42"/>
        <v/>
      </c>
      <c r="F178" s="203" t="str">
        <f t="shared" ca="1" si="38"/>
        <v/>
      </c>
      <c r="G178" s="203" t="str">
        <f t="shared" ca="1" si="39"/>
        <v/>
      </c>
      <c r="H178" s="203" t="str">
        <f t="shared" ca="1" si="43"/>
        <v/>
      </c>
      <c r="I178" s="203" t="str">
        <f t="shared" ca="1" si="40"/>
        <v/>
      </c>
      <c r="J178" s="203" t="str">
        <f t="shared" ca="1" si="41"/>
        <v/>
      </c>
      <c r="K178" s="203" t="str">
        <f t="shared" ca="1" si="44"/>
        <v/>
      </c>
      <c r="L178" s="203" t="str">
        <f t="shared" ca="1" si="45"/>
        <v/>
      </c>
    </row>
  </sheetData>
  <sheetProtection algorithmName="SHA-512" hashValue="JP1MusfQ2UFMnJoMOkkIG3Se18mrqE5pLJ3FX2jGac2/1tAKrYCZAvoJ6G8FBulqUm929oE5vDXkK+XnzcRMEw==" saltValue="XVmyD74vC/tbj/j0EJhZnw==" spinCount="100000" sheet="1" objects="1" scenarios="1"/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A1DAC-7A23-49F6-B27F-D52D0A5B03F8}">
  <sheetPr codeName="Sheet5">
    <outlinePr summaryBelow="0"/>
    <pageSetUpPr autoPageBreaks="0"/>
  </sheetPr>
  <dimension ref="B1:AB178"/>
  <sheetViews>
    <sheetView showGridLines="0" zoomScale="80" zoomScaleNormal="80" workbookViewId="0">
      <pane ySplit="20" topLeftCell="A21" activePane="bottomLeft" state="frozen"/>
      <selection activeCell="S40" sqref="S40"/>
      <selection pane="bottomLeft" activeCell="Q35" sqref="Q35"/>
    </sheetView>
  </sheetViews>
  <sheetFormatPr defaultColWidth="12.453125" defaultRowHeight="14.5" outlineLevelRow="1"/>
  <cols>
    <col min="1" max="1" width="2" style="3" customWidth="1"/>
    <col min="2" max="2" width="12.1796875" style="3" customWidth="1"/>
    <col min="3" max="3" width="12.1796875" style="168" customWidth="1"/>
    <col min="4" max="6" width="12.1796875" style="3" customWidth="1"/>
    <col min="7" max="7" width="14.54296875" style="3" customWidth="1"/>
    <col min="8" max="9" width="13.453125" style="3" customWidth="1"/>
    <col min="10" max="10" width="13.1796875" style="3" customWidth="1"/>
    <col min="11" max="11" width="12.54296875" style="3" customWidth="1"/>
    <col min="12" max="12" width="12.81640625" style="3" customWidth="1"/>
    <col min="13" max="21" width="11.7265625" style="3" customWidth="1"/>
    <col min="22" max="24" width="10.81640625" style="3" customWidth="1"/>
    <col min="25" max="16384" width="12.453125" style="3"/>
  </cols>
  <sheetData>
    <row r="1" spans="2:22" ht="7" customHeight="1">
      <c r="D1" s="1"/>
      <c r="F1" s="11"/>
    </row>
    <row r="2" spans="2:22" ht="17">
      <c r="B2" s="270" t="s">
        <v>90</v>
      </c>
      <c r="C2" s="6"/>
      <c r="D2" s="1"/>
      <c r="F2" s="11"/>
    </row>
    <row r="3" spans="2:22" ht="3.5" customHeight="1" thickBot="1">
      <c r="D3" s="1"/>
      <c r="F3" s="11"/>
    </row>
    <row r="4" spans="2:22" ht="7" customHeight="1">
      <c r="B4" s="249"/>
      <c r="C4" s="271"/>
      <c r="D4" s="272"/>
      <c r="E4" s="249"/>
      <c r="F4" s="273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</row>
    <row r="5" spans="2:22">
      <c r="B5" s="1291" t="s">
        <v>90</v>
      </c>
      <c r="C5" s="220"/>
      <c r="D5" s="379"/>
      <c r="E5" s="150"/>
      <c r="F5" s="11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</row>
    <row r="6" spans="2:22" outlineLevel="1">
      <c r="B6" s="191" t="s">
        <v>157</v>
      </c>
      <c r="D6" s="603">
        <f>closing_date</f>
        <v>44775</v>
      </c>
    </row>
    <row r="7" spans="2:22" outlineLevel="1"/>
    <row r="8" spans="2:22" outlineLevel="1">
      <c r="B8" s="62" t="s">
        <v>329</v>
      </c>
      <c r="D8" s="1289">
        <f ca="1">INDEX(HoldCo!$E$110:$E$114,MATCH($B8,HoldCo!$C$110:$C$114,0),(MATCH("MOdel",HoldCo!$E$67,0)))</f>
        <v>5</v>
      </c>
      <c r="F8" s="1" t="s">
        <v>93</v>
      </c>
      <c r="G8" s="1"/>
      <c r="H8" s="48">
        <f ca="1">_xlfn.XLOOKUP($B$5,HoldCo!$C$23:$C$30,HoldCo!$E$23:$E$30,0)*1000</f>
        <v>162614.99719859438</v>
      </c>
      <c r="J8" s="1" t="s">
        <v>145</v>
      </c>
      <c r="K8" s="1"/>
      <c r="L8" s="1"/>
      <c r="M8" s="1"/>
      <c r="N8" s="1" t="s">
        <v>148</v>
      </c>
    </row>
    <row r="9" spans="2:22" outlineLevel="1">
      <c r="B9" s="3" t="s">
        <v>80</v>
      </c>
      <c r="D9" s="1290">
        <f ca="1">INDEX(HoldCo!$E$110:$E$114,MATCH($B9,HoldCo!$C$110:$C$114,0),(MATCH("MOdel",HoldCo!$E$67,0)))</f>
        <v>1</v>
      </c>
      <c r="J9" s="193" t="s">
        <v>146</v>
      </c>
      <c r="K9" s="187"/>
      <c r="L9" s="194">
        <f ca="1">($D$13*$H$8)/$D$11</f>
        <v>813.07498599297196</v>
      </c>
      <c r="N9" s="193" t="s">
        <v>76</v>
      </c>
      <c r="O9" s="187"/>
      <c r="P9" s="28">
        <f ca="1">PRODUCT($D$11,$L$9)</f>
        <v>9756.8998319156635</v>
      </c>
    </row>
    <row r="10" spans="2:22" outlineLevel="1">
      <c r="B10" s="3" t="s">
        <v>77</v>
      </c>
      <c r="D10" s="1289">
        <f ca="1">INDEX(HoldCo!$E$110:$E$114,MATCH($B10,HoldCo!$C$110:$C$114,0),(MATCH("MOdel",HoldCo!$E$67,0)))</f>
        <v>7</v>
      </c>
      <c r="J10" s="192" t="s">
        <v>78</v>
      </c>
      <c r="L10" s="10">
        <f ca="1">-PMT(($D$13/$D$11),($D$10*$D$11),$H$8)</f>
        <v>2375.5700464555262</v>
      </c>
      <c r="N10" s="206" t="s">
        <v>78</v>
      </c>
      <c r="O10" s="207"/>
      <c r="P10" s="208">
        <f ca="1">PRODUCT($D$11,$L$10)</f>
        <v>28506.840557466312</v>
      </c>
    </row>
    <row r="11" spans="2:22" outlineLevel="1">
      <c r="B11" s="3" t="s">
        <v>79</v>
      </c>
      <c r="D11" s="209">
        <f ca="1">INDEX(HoldCo!$E$110:$E$114,MATCH($B11,HoldCo!$C$110:$C$114,0),(MATCH("Model",HoldCo!$E$67,0)))</f>
        <v>12</v>
      </c>
      <c r="F11" s="3" t="s">
        <v>74</v>
      </c>
      <c r="H11" s="30">
        <v>0</v>
      </c>
    </row>
    <row r="12" spans="2:22" outlineLevel="1">
      <c r="C12" s="3"/>
      <c r="D12" s="1292"/>
      <c r="F12" s="3" t="s">
        <v>150</v>
      </c>
      <c r="H12" s="210" cm="1">
        <f t="array" aca="1" ref="H12" ca="1">INDEX($I$22:$I$141,($D$8*$D$11))</f>
        <v>78087.401574553383</v>
      </c>
      <c r="J12" s="1" t="s">
        <v>245</v>
      </c>
    </row>
    <row r="13" spans="2:22" outlineLevel="1">
      <c r="B13" s="3" t="s">
        <v>75</v>
      </c>
      <c r="D13" s="49">
        <f>_xlfn.XLOOKUP($B$5,HoldCo!$C$56:$C$62,HoldCo!$N$56:$N$62,0)</f>
        <v>0.06</v>
      </c>
      <c r="F13"/>
      <c r="G13"/>
      <c r="H13"/>
      <c r="J13" s="187"/>
      <c r="K13" s="204">
        <v>1</v>
      </c>
      <c r="L13" s="205">
        <f t="shared" ref="L13:T14" si="0">SUM(K13,1)</f>
        <v>2</v>
      </c>
      <c r="M13" s="205">
        <f t="shared" si="0"/>
        <v>3</v>
      </c>
      <c r="N13" s="205">
        <f t="shared" si="0"/>
        <v>4</v>
      </c>
      <c r="O13" s="205">
        <f t="shared" si="0"/>
        <v>5</v>
      </c>
      <c r="P13" s="205">
        <f t="shared" si="0"/>
        <v>6</v>
      </c>
      <c r="Q13" s="205">
        <f t="shared" si="0"/>
        <v>7</v>
      </c>
      <c r="R13" s="205">
        <f t="shared" si="0"/>
        <v>8</v>
      </c>
      <c r="S13" s="205">
        <f t="shared" si="0"/>
        <v>9</v>
      </c>
      <c r="T13" s="205">
        <f t="shared" si="0"/>
        <v>10</v>
      </c>
    </row>
    <row r="14" spans="2:22" outlineLevel="1">
      <c r="K14" s="1">
        <f>YEAR($D$6)</f>
        <v>2022</v>
      </c>
      <c r="L14" s="1">
        <f t="shared" si="0"/>
        <v>2023</v>
      </c>
      <c r="M14" s="1">
        <f t="shared" si="0"/>
        <v>2024</v>
      </c>
      <c r="N14" s="1">
        <f t="shared" si="0"/>
        <v>2025</v>
      </c>
      <c r="O14" s="1">
        <f t="shared" si="0"/>
        <v>2026</v>
      </c>
      <c r="P14" s="1">
        <f t="shared" si="0"/>
        <v>2027</v>
      </c>
      <c r="Q14" s="1">
        <f t="shared" si="0"/>
        <v>2028</v>
      </c>
      <c r="R14" s="1">
        <f t="shared" si="0"/>
        <v>2029</v>
      </c>
      <c r="S14" s="1">
        <f t="shared" si="0"/>
        <v>2030</v>
      </c>
      <c r="T14" s="1">
        <f t="shared" si="0"/>
        <v>2031</v>
      </c>
    </row>
    <row r="15" spans="2:22" outlineLevel="1">
      <c r="B15" s="3" t="s">
        <v>178</v>
      </c>
      <c r="D15" s="49">
        <f>_xlfn.XLOOKUP($B$5,HoldCo!$C$56:$C$62,HoldCo!$G$56:$G$62,0)</f>
        <v>0</v>
      </c>
      <c r="J15" s="26" t="s">
        <v>84</v>
      </c>
      <c r="K15" s="1294">
        <f t="shared" ref="K15:T15" ca="1" si="1">SUMIF($C$22:$C$141,K$14,$G$22:$G$141)</f>
        <v>4065.3749299648598</v>
      </c>
      <c r="L15" s="1294">
        <f t="shared" ca="1" si="1"/>
        <v>9678.3834775914474</v>
      </c>
      <c r="M15" s="1294">
        <f t="shared" ca="1" si="1"/>
        <v>8745.886182960061</v>
      </c>
      <c r="N15" s="1294">
        <f t="shared" ca="1" si="1"/>
        <v>7527.0737567863052</v>
      </c>
      <c r="O15" s="1294">
        <f t="shared" ca="1" si="1"/>
        <v>6233.0876470928906</v>
      </c>
      <c r="P15" s="1294">
        <f t="shared" ca="1" si="1"/>
        <v>3006.8604433443356</v>
      </c>
      <c r="Q15" s="1294">
        <f t="shared" ca="1" si="1"/>
        <v>0</v>
      </c>
      <c r="R15" s="1294">
        <f t="shared" ca="1" si="1"/>
        <v>0</v>
      </c>
      <c r="S15" s="1294">
        <f t="shared" ca="1" si="1"/>
        <v>0</v>
      </c>
      <c r="T15" s="1294">
        <f t="shared" ca="1" si="1"/>
        <v>0</v>
      </c>
      <c r="U15" s="64"/>
      <c r="V15" s="478"/>
    </row>
    <row r="16" spans="2:22" outlineLevel="1">
      <c r="B16" s="3" t="s">
        <v>197</v>
      </c>
      <c r="D16" s="9">
        <v>0</v>
      </c>
      <c r="J16" s="26" t="s">
        <v>85</v>
      </c>
      <c r="K16" s="1293">
        <f t="shared" ref="K16:T16" ca="1" si="2">SUMIF($C$22:$C$141,K$14,$H$22:$H$141)</f>
        <v>0</v>
      </c>
      <c r="L16" s="1293">
        <f t="shared" ca="1" si="2"/>
        <v>7890.9916566369875</v>
      </c>
      <c r="M16" s="1293">
        <f t="shared" ca="1" si="2"/>
        <v>19760.954374506251</v>
      </c>
      <c r="N16" s="1293">
        <f t="shared" ca="1" si="2"/>
        <v>20979.766800680001</v>
      </c>
      <c r="O16" s="1293">
        <f t="shared" ca="1" si="2"/>
        <v>22273.75291037342</v>
      </c>
      <c r="P16" s="1293">
        <f t="shared" ca="1" si="2"/>
        <v>13622.129881844348</v>
      </c>
      <c r="Q16" s="1293">
        <f t="shared" ca="1" si="2"/>
        <v>0</v>
      </c>
      <c r="R16" s="1293">
        <f t="shared" ca="1" si="2"/>
        <v>0</v>
      </c>
      <c r="S16" s="1293">
        <f t="shared" ca="1" si="2"/>
        <v>0</v>
      </c>
      <c r="T16" s="1293">
        <f t="shared" ca="1" si="2"/>
        <v>0</v>
      </c>
      <c r="U16" s="478"/>
      <c r="V16" s="478"/>
    </row>
    <row r="17" spans="2:28" outlineLevel="1">
      <c r="B17" s="187" t="s">
        <v>81</v>
      </c>
      <c r="C17" s="196"/>
      <c r="D17" s="31">
        <f ca="1">IRR($K$21:$K$141)*$D$11</f>
        <v>5.9999999999996056E-2</v>
      </c>
      <c r="J17" s="1518" t="s">
        <v>246</v>
      </c>
      <c r="K17" s="1520">
        <f t="shared" ref="K17:T17" ca="1" si="3">K16/$H$8</f>
        <v>0</v>
      </c>
      <c r="L17" s="1520">
        <f t="shared" ca="1" si="3"/>
        <v>4.8525608293065826E-2</v>
      </c>
      <c r="M17" s="1520">
        <f t="shared" ca="1" si="3"/>
        <v>0.12151987648699514</v>
      </c>
      <c r="N17" s="1520">
        <f t="shared" ca="1" si="3"/>
        <v>0.12901495656675721</v>
      </c>
      <c r="O17" s="1520">
        <f t="shared" ca="1" si="3"/>
        <v>0.13697231678558827</v>
      </c>
      <c r="P17" s="1520">
        <f t="shared" ca="1" si="3"/>
        <v>8.3769210199033814E-2</v>
      </c>
      <c r="Q17" s="1520">
        <f t="shared" ca="1" si="3"/>
        <v>0</v>
      </c>
      <c r="R17" s="1520">
        <f t="shared" ca="1" si="3"/>
        <v>0</v>
      </c>
      <c r="S17" s="1520">
        <f t="shared" ca="1" si="3"/>
        <v>0</v>
      </c>
      <c r="T17" s="1520">
        <f t="shared" ca="1" si="3"/>
        <v>0</v>
      </c>
      <c r="U17" s="478"/>
      <c r="V17" s="478"/>
    </row>
    <row r="18" spans="2:28" outlineLevel="1">
      <c r="C18" s="3"/>
      <c r="K18" s="478"/>
      <c r="L18" s="478"/>
      <c r="M18" s="478"/>
      <c r="N18" s="478"/>
      <c r="O18" s="478"/>
      <c r="P18" s="478"/>
      <c r="Q18" s="478"/>
      <c r="R18" s="478"/>
      <c r="S18" s="478"/>
      <c r="T18" s="478"/>
      <c r="U18" s="478"/>
      <c r="V18" s="478"/>
    </row>
    <row r="19" spans="2:28" outlineLevel="1">
      <c r="F19" s="9"/>
    </row>
    <row r="20" spans="2:28" s="13" customFormat="1">
      <c r="B20" s="26" t="s">
        <v>151</v>
      </c>
      <c r="C20" s="6" t="s">
        <v>152</v>
      </c>
      <c r="D20" s="6" t="s">
        <v>82</v>
      </c>
      <c r="E20" s="13" t="s">
        <v>153</v>
      </c>
      <c r="F20" s="13" t="s">
        <v>83</v>
      </c>
      <c r="G20" s="13" t="s">
        <v>84</v>
      </c>
      <c r="H20" s="13" t="s">
        <v>85</v>
      </c>
      <c r="I20" s="13" t="s">
        <v>86</v>
      </c>
      <c r="J20" s="13" t="s">
        <v>87</v>
      </c>
      <c r="K20" s="13" t="s">
        <v>88</v>
      </c>
      <c r="L20" s="13" t="s">
        <v>154</v>
      </c>
      <c r="M20" s="32"/>
      <c r="N20" s="32"/>
      <c r="O20" s="32"/>
      <c r="P20" s="32"/>
      <c r="Q20" s="32"/>
      <c r="R20" s="32"/>
      <c r="S20" s="32"/>
    </row>
    <row r="21" spans="2:28">
      <c r="B21" s="197"/>
      <c r="C21" s="198"/>
      <c r="D21" s="33">
        <v>0</v>
      </c>
      <c r="E21" s="197"/>
      <c r="F21" s="197"/>
      <c r="G21" s="197"/>
      <c r="H21" s="336"/>
      <c r="I21" s="197"/>
      <c r="J21" s="197"/>
      <c r="K21" s="416">
        <f ca="1">(($D$15+$D$16)*$H$8)-$H$8</f>
        <v>-162614.99719859438</v>
      </c>
      <c r="L21" s="416">
        <f ca="1">$H$8</f>
        <v>162614.99719859438</v>
      </c>
      <c r="M21" s="57"/>
      <c r="N21" s="57"/>
      <c r="O21" s="57"/>
      <c r="P21" s="57"/>
      <c r="Q21" s="57"/>
      <c r="R21" s="57"/>
      <c r="S21" s="57"/>
    </row>
    <row r="22" spans="2:28">
      <c r="B22" s="200">
        <f>$D$6</f>
        <v>44775</v>
      </c>
      <c r="C22" s="196">
        <f>YEAR(B22)</f>
        <v>2022</v>
      </c>
      <c r="D22" s="414">
        <f t="shared" ref="D22:D53" ca="1" si="4">IF(OR($D21="",D21=$D$8*$D$11,$L21=0),"",$D21+1)</f>
        <v>1</v>
      </c>
      <c r="E22" s="415">
        <f ca="1">IF(D22="","",L21)</f>
        <v>162614.99719859438</v>
      </c>
      <c r="F22" s="415">
        <f t="shared" ref="F22:F53" ca="1" si="5">IF(D22="","",MIN(E22+G22,(D22&lt;=($D$9*$D$11))*$L$9+(D22&gt;($D$9*$D$11))*$L$10))</f>
        <v>813.07498599297196</v>
      </c>
      <c r="G22" s="415">
        <f t="shared" ref="G22:G53" ca="1" si="6">IF(D22="","",((E22*$D$13)/$D$11))</f>
        <v>813.07498599297196</v>
      </c>
      <c r="H22" s="416">
        <f ca="1">IF(D22="","",F22-G22)</f>
        <v>0</v>
      </c>
      <c r="I22" s="417">
        <f t="shared" ref="I22:I53" ca="1" si="7">IF($D22="","",($D22=$D$8*$D$11)*($E22-$H22-$J22))</f>
        <v>0</v>
      </c>
      <c r="J22" s="417">
        <f t="shared" ref="J22:J53" ca="1" si="8">IF($D22="","",MIN($H$11,$E22-$H22))</f>
        <v>0</v>
      </c>
      <c r="K22" s="417">
        <f ca="1">IF($D22="","",SUM($G22:$J22))</f>
        <v>813.07498599297196</v>
      </c>
      <c r="L22" s="417">
        <f ca="1">IF($D22="","",$E22-$H22-$I22-$J22)</f>
        <v>162614.99719859438</v>
      </c>
      <c r="M22" s="412"/>
      <c r="N22" s="57"/>
      <c r="O22" s="57"/>
      <c r="P22" s="57"/>
      <c r="Q22" s="57"/>
      <c r="R22" s="57"/>
      <c r="S22" s="57"/>
    </row>
    <row r="23" spans="2:28">
      <c r="B23" s="202">
        <f>EDATE(B22,1)</f>
        <v>44806</v>
      </c>
      <c r="C23" s="168">
        <f>YEAR(B23)</f>
        <v>2022</v>
      </c>
      <c r="D23" s="418">
        <f t="shared" ca="1" si="4"/>
        <v>2</v>
      </c>
      <c r="E23" s="419">
        <f t="shared" ref="E23:E86" ca="1" si="9">IF(D23="","",L22)</f>
        <v>162614.99719859438</v>
      </c>
      <c r="F23" s="419">
        <f t="shared" ca="1" si="5"/>
        <v>813.07498599297196</v>
      </c>
      <c r="G23" s="419">
        <f t="shared" ca="1" si="6"/>
        <v>813.07498599297196</v>
      </c>
      <c r="H23" s="416">
        <f t="shared" ref="H23:H86" ca="1" si="10">IF(D23="","",F23-G23)</f>
        <v>0</v>
      </c>
      <c r="I23" s="416">
        <f t="shared" ca="1" si="7"/>
        <v>0</v>
      </c>
      <c r="J23" s="416">
        <f t="shared" ca="1" si="8"/>
        <v>0</v>
      </c>
      <c r="K23" s="416">
        <f t="shared" ref="K23:K86" ca="1" si="11">IF($D23="","",SUM($G23:$J23))</f>
        <v>813.07498599297196</v>
      </c>
      <c r="L23" s="416">
        <f t="shared" ref="L23:L86" ca="1" si="12">IF($D23="","",$E23-$H23-$I23-$J23)</f>
        <v>162614.99719859438</v>
      </c>
      <c r="M23" s="420"/>
    </row>
    <row r="24" spans="2:28">
      <c r="B24" s="202">
        <f t="shared" ref="B24:B87" si="13">EDATE(B23,1)</f>
        <v>44836</v>
      </c>
      <c r="C24" s="168">
        <f t="shared" ref="C24:C87" si="14">YEAR(B24)</f>
        <v>2022</v>
      </c>
      <c r="D24" s="418">
        <f t="shared" ca="1" si="4"/>
        <v>3</v>
      </c>
      <c r="E24" s="419">
        <f t="shared" ca="1" si="9"/>
        <v>162614.99719859438</v>
      </c>
      <c r="F24" s="419">
        <f t="shared" ca="1" si="5"/>
        <v>813.07498599297196</v>
      </c>
      <c r="G24" s="419">
        <f t="shared" ca="1" si="6"/>
        <v>813.07498599297196</v>
      </c>
      <c r="H24" s="416">
        <f t="shared" ca="1" si="10"/>
        <v>0</v>
      </c>
      <c r="I24" s="416">
        <f t="shared" ca="1" si="7"/>
        <v>0</v>
      </c>
      <c r="J24" s="416">
        <f t="shared" ca="1" si="8"/>
        <v>0</v>
      </c>
      <c r="K24" s="416">
        <f t="shared" ca="1" si="11"/>
        <v>813.07498599297196</v>
      </c>
      <c r="L24" s="416">
        <f t="shared" ca="1" si="12"/>
        <v>162614.99719859438</v>
      </c>
      <c r="M24" s="420"/>
    </row>
    <row r="25" spans="2:28">
      <c r="B25" s="202">
        <f t="shared" si="13"/>
        <v>44867</v>
      </c>
      <c r="C25" s="168">
        <f t="shared" si="14"/>
        <v>2022</v>
      </c>
      <c r="D25" s="418">
        <f t="shared" ca="1" si="4"/>
        <v>4</v>
      </c>
      <c r="E25" s="419">
        <f t="shared" ca="1" si="9"/>
        <v>162614.99719859438</v>
      </c>
      <c r="F25" s="419">
        <f t="shared" ca="1" si="5"/>
        <v>813.07498599297196</v>
      </c>
      <c r="G25" s="419">
        <f t="shared" ca="1" si="6"/>
        <v>813.07498599297196</v>
      </c>
      <c r="H25" s="416">
        <f t="shared" ca="1" si="10"/>
        <v>0</v>
      </c>
      <c r="I25" s="416">
        <f t="shared" ca="1" si="7"/>
        <v>0</v>
      </c>
      <c r="J25" s="416">
        <f t="shared" ca="1" si="8"/>
        <v>0</v>
      </c>
      <c r="K25" s="416">
        <f t="shared" ca="1" si="11"/>
        <v>813.07498599297196</v>
      </c>
      <c r="L25" s="416">
        <f t="shared" ca="1" si="12"/>
        <v>162614.99719859438</v>
      </c>
      <c r="M25" s="420"/>
      <c r="O25"/>
      <c r="P25"/>
      <c r="Q25"/>
      <c r="R25"/>
      <c r="S25"/>
      <c r="T25"/>
      <c r="U25"/>
      <c r="V25"/>
      <c r="W25"/>
      <c r="X25"/>
      <c r="Y25"/>
      <c r="Z25"/>
      <c r="AA25"/>
      <c r="AB25"/>
    </row>
    <row r="26" spans="2:28">
      <c r="B26" s="202">
        <f t="shared" si="13"/>
        <v>44897</v>
      </c>
      <c r="C26" s="168">
        <f t="shared" si="14"/>
        <v>2022</v>
      </c>
      <c r="D26" s="418">
        <f t="shared" ca="1" si="4"/>
        <v>5</v>
      </c>
      <c r="E26" s="419">
        <f t="shared" ca="1" si="9"/>
        <v>162614.99719859438</v>
      </c>
      <c r="F26" s="419">
        <f t="shared" ca="1" si="5"/>
        <v>813.07498599297196</v>
      </c>
      <c r="G26" s="419">
        <f t="shared" ca="1" si="6"/>
        <v>813.07498599297196</v>
      </c>
      <c r="H26" s="416">
        <f t="shared" ca="1" si="10"/>
        <v>0</v>
      </c>
      <c r="I26" s="416">
        <f t="shared" ca="1" si="7"/>
        <v>0</v>
      </c>
      <c r="J26" s="416">
        <f t="shared" ca="1" si="8"/>
        <v>0</v>
      </c>
      <c r="K26" s="416">
        <f t="shared" ca="1" si="11"/>
        <v>813.07498599297196</v>
      </c>
      <c r="L26" s="416">
        <f t="shared" ca="1" si="12"/>
        <v>162614.99719859438</v>
      </c>
      <c r="M26" s="420"/>
      <c r="O26"/>
      <c r="P26"/>
      <c r="Q26"/>
      <c r="R26"/>
      <c r="S26"/>
      <c r="T26"/>
      <c r="U26"/>
      <c r="V26"/>
      <c r="W26"/>
      <c r="X26"/>
      <c r="Y26"/>
      <c r="Z26"/>
      <c r="AA26"/>
      <c r="AB26"/>
    </row>
    <row r="27" spans="2:28">
      <c r="B27" s="202">
        <f t="shared" si="13"/>
        <v>44928</v>
      </c>
      <c r="C27" s="168">
        <f t="shared" si="14"/>
        <v>2023</v>
      </c>
      <c r="D27" s="418">
        <f t="shared" ca="1" si="4"/>
        <v>6</v>
      </c>
      <c r="E27" s="419">
        <f t="shared" ca="1" si="9"/>
        <v>162614.99719859438</v>
      </c>
      <c r="F27" s="419">
        <f t="shared" ca="1" si="5"/>
        <v>813.07498599297196</v>
      </c>
      <c r="G27" s="419">
        <f t="shared" ca="1" si="6"/>
        <v>813.07498599297196</v>
      </c>
      <c r="H27" s="416">
        <f t="shared" ca="1" si="10"/>
        <v>0</v>
      </c>
      <c r="I27" s="416">
        <f t="shared" ca="1" si="7"/>
        <v>0</v>
      </c>
      <c r="J27" s="416">
        <f t="shared" ca="1" si="8"/>
        <v>0</v>
      </c>
      <c r="K27" s="416">
        <f t="shared" ca="1" si="11"/>
        <v>813.07498599297196</v>
      </c>
      <c r="L27" s="416">
        <f t="shared" ca="1" si="12"/>
        <v>162614.99719859438</v>
      </c>
      <c r="M27" s="420"/>
      <c r="O27"/>
      <c r="P27"/>
      <c r="Q27"/>
      <c r="R27"/>
      <c r="S27"/>
      <c r="T27"/>
      <c r="U27"/>
      <c r="V27"/>
      <c r="W27"/>
      <c r="X27"/>
      <c r="Y27"/>
      <c r="Z27"/>
      <c r="AA27"/>
      <c r="AB27"/>
    </row>
    <row r="28" spans="2:28">
      <c r="B28" s="202">
        <f t="shared" si="13"/>
        <v>44959</v>
      </c>
      <c r="C28" s="168">
        <f t="shared" si="14"/>
        <v>2023</v>
      </c>
      <c r="D28" s="418">
        <f t="shared" ca="1" si="4"/>
        <v>7</v>
      </c>
      <c r="E28" s="419">
        <f t="shared" ca="1" si="9"/>
        <v>162614.99719859438</v>
      </c>
      <c r="F28" s="419">
        <f t="shared" ca="1" si="5"/>
        <v>813.07498599297196</v>
      </c>
      <c r="G28" s="419">
        <f t="shared" ca="1" si="6"/>
        <v>813.07498599297196</v>
      </c>
      <c r="H28" s="416">
        <f t="shared" ca="1" si="10"/>
        <v>0</v>
      </c>
      <c r="I28" s="416">
        <f t="shared" ca="1" si="7"/>
        <v>0</v>
      </c>
      <c r="J28" s="416">
        <f t="shared" ca="1" si="8"/>
        <v>0</v>
      </c>
      <c r="K28" s="416">
        <f t="shared" ca="1" si="11"/>
        <v>813.07498599297196</v>
      </c>
      <c r="L28" s="416">
        <f t="shared" ca="1" si="12"/>
        <v>162614.99719859438</v>
      </c>
      <c r="M28" s="420"/>
      <c r="O28"/>
      <c r="P28"/>
      <c r="Q28"/>
      <c r="R28"/>
      <c r="S28"/>
      <c r="T28"/>
      <c r="U28"/>
      <c r="V28"/>
      <c r="W28"/>
      <c r="X28"/>
      <c r="Y28"/>
      <c r="Z28" s="10">
        <f>PRODUCT($E$10,$E$13)</f>
        <v>0</v>
      </c>
      <c r="AA28"/>
      <c r="AB28"/>
    </row>
    <row r="29" spans="2:28">
      <c r="B29" s="202">
        <f t="shared" si="13"/>
        <v>44987</v>
      </c>
      <c r="C29" s="168">
        <f t="shared" si="14"/>
        <v>2023</v>
      </c>
      <c r="D29" s="418">
        <f t="shared" ca="1" si="4"/>
        <v>8</v>
      </c>
      <c r="E29" s="419">
        <f t="shared" ca="1" si="9"/>
        <v>162614.99719859438</v>
      </c>
      <c r="F29" s="419">
        <f t="shared" ca="1" si="5"/>
        <v>813.07498599297196</v>
      </c>
      <c r="G29" s="419">
        <f t="shared" ca="1" si="6"/>
        <v>813.07498599297196</v>
      </c>
      <c r="H29" s="416">
        <f t="shared" ca="1" si="10"/>
        <v>0</v>
      </c>
      <c r="I29" s="416">
        <f t="shared" ca="1" si="7"/>
        <v>0</v>
      </c>
      <c r="J29" s="416">
        <f t="shared" ca="1" si="8"/>
        <v>0</v>
      </c>
      <c r="K29" s="416">
        <f t="shared" ca="1" si="11"/>
        <v>813.07498599297196</v>
      </c>
      <c r="L29" s="416">
        <f t="shared" ca="1" si="12"/>
        <v>162614.99719859438</v>
      </c>
      <c r="M29" s="420"/>
      <c r="O29"/>
      <c r="P29"/>
      <c r="Q29"/>
      <c r="R29"/>
      <c r="S29"/>
      <c r="T29"/>
      <c r="U29"/>
      <c r="V29"/>
      <c r="W29"/>
      <c r="X29"/>
      <c r="Y29"/>
      <c r="Z29" s="10">
        <f>PRODUCT($E$10,$E$14)</f>
        <v>0</v>
      </c>
      <c r="AA29"/>
      <c r="AB29"/>
    </row>
    <row r="30" spans="2:28">
      <c r="B30" s="202">
        <f t="shared" si="13"/>
        <v>45018</v>
      </c>
      <c r="C30" s="168">
        <f t="shared" si="14"/>
        <v>2023</v>
      </c>
      <c r="D30" s="418">
        <f t="shared" ca="1" si="4"/>
        <v>9</v>
      </c>
      <c r="E30" s="419">
        <f t="shared" ca="1" si="9"/>
        <v>162614.99719859438</v>
      </c>
      <c r="F30" s="419">
        <f t="shared" ca="1" si="5"/>
        <v>813.07498599297196</v>
      </c>
      <c r="G30" s="419">
        <f t="shared" ca="1" si="6"/>
        <v>813.07498599297196</v>
      </c>
      <c r="H30" s="416">
        <f t="shared" ca="1" si="10"/>
        <v>0</v>
      </c>
      <c r="I30" s="416">
        <f t="shared" ca="1" si="7"/>
        <v>0</v>
      </c>
      <c r="J30" s="416">
        <f t="shared" ca="1" si="8"/>
        <v>0</v>
      </c>
      <c r="K30" s="416">
        <f t="shared" ca="1" si="11"/>
        <v>813.07498599297196</v>
      </c>
      <c r="L30" s="416">
        <f t="shared" ca="1" si="12"/>
        <v>162614.99719859438</v>
      </c>
      <c r="M30" s="420"/>
      <c r="O30"/>
      <c r="P30"/>
      <c r="Q30"/>
      <c r="R30"/>
      <c r="S30"/>
      <c r="T30"/>
      <c r="U30"/>
      <c r="V30"/>
      <c r="W30"/>
      <c r="X30"/>
      <c r="Y30"/>
      <c r="Z30"/>
      <c r="AA30"/>
      <c r="AB30"/>
    </row>
    <row r="31" spans="2:28">
      <c r="B31" s="202">
        <f t="shared" si="13"/>
        <v>45048</v>
      </c>
      <c r="C31" s="168">
        <f t="shared" si="14"/>
        <v>2023</v>
      </c>
      <c r="D31" s="418">
        <f t="shared" ca="1" si="4"/>
        <v>10</v>
      </c>
      <c r="E31" s="419">
        <f t="shared" ca="1" si="9"/>
        <v>162614.99719859438</v>
      </c>
      <c r="F31" s="419">
        <f t="shared" ca="1" si="5"/>
        <v>813.07498599297196</v>
      </c>
      <c r="G31" s="419">
        <f t="shared" ca="1" si="6"/>
        <v>813.07498599297196</v>
      </c>
      <c r="H31" s="416">
        <f t="shared" ca="1" si="10"/>
        <v>0</v>
      </c>
      <c r="I31" s="416">
        <f t="shared" ca="1" si="7"/>
        <v>0</v>
      </c>
      <c r="J31" s="416">
        <f t="shared" ca="1" si="8"/>
        <v>0</v>
      </c>
      <c r="K31" s="416">
        <f t="shared" ca="1" si="11"/>
        <v>813.07498599297196</v>
      </c>
      <c r="L31" s="416">
        <f t="shared" ca="1" si="12"/>
        <v>162614.99719859438</v>
      </c>
      <c r="M31" s="420"/>
      <c r="O31"/>
      <c r="P31"/>
      <c r="Q31"/>
      <c r="R31"/>
      <c r="S31"/>
      <c r="T31"/>
      <c r="U31"/>
      <c r="V31"/>
      <c r="W31"/>
      <c r="X31"/>
      <c r="Y31"/>
      <c r="Z31"/>
      <c r="AA31"/>
      <c r="AB31"/>
    </row>
    <row r="32" spans="2:28">
      <c r="B32" s="202">
        <f t="shared" si="13"/>
        <v>45079</v>
      </c>
      <c r="C32" s="168">
        <f t="shared" si="14"/>
        <v>2023</v>
      </c>
      <c r="D32" s="418">
        <f t="shared" ca="1" si="4"/>
        <v>11</v>
      </c>
      <c r="E32" s="419">
        <f t="shared" ca="1" si="9"/>
        <v>162614.99719859438</v>
      </c>
      <c r="F32" s="419">
        <f t="shared" ca="1" si="5"/>
        <v>813.07498599297196</v>
      </c>
      <c r="G32" s="419">
        <f t="shared" ca="1" si="6"/>
        <v>813.07498599297196</v>
      </c>
      <c r="H32" s="416">
        <f t="shared" ca="1" si="10"/>
        <v>0</v>
      </c>
      <c r="I32" s="416">
        <f t="shared" ca="1" si="7"/>
        <v>0</v>
      </c>
      <c r="J32" s="416">
        <f t="shared" ca="1" si="8"/>
        <v>0</v>
      </c>
      <c r="K32" s="416">
        <f t="shared" ca="1" si="11"/>
        <v>813.07498599297196</v>
      </c>
      <c r="L32" s="416">
        <f t="shared" ca="1" si="12"/>
        <v>162614.99719859438</v>
      </c>
      <c r="M32" s="420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2:28">
      <c r="B33" s="202">
        <f t="shared" si="13"/>
        <v>45109</v>
      </c>
      <c r="C33" s="168">
        <f t="shared" si="14"/>
        <v>2023</v>
      </c>
      <c r="D33" s="418">
        <f t="shared" ca="1" si="4"/>
        <v>12</v>
      </c>
      <c r="E33" s="419">
        <f t="shared" ca="1" si="9"/>
        <v>162614.99719859438</v>
      </c>
      <c r="F33" s="419">
        <f t="shared" ca="1" si="5"/>
        <v>813.07498599297196</v>
      </c>
      <c r="G33" s="419">
        <f t="shared" ca="1" si="6"/>
        <v>813.07498599297196</v>
      </c>
      <c r="H33" s="416">
        <f t="shared" ca="1" si="10"/>
        <v>0</v>
      </c>
      <c r="I33" s="416">
        <f t="shared" ca="1" si="7"/>
        <v>0</v>
      </c>
      <c r="J33" s="416">
        <f t="shared" ca="1" si="8"/>
        <v>0</v>
      </c>
      <c r="K33" s="416">
        <f t="shared" ca="1" si="11"/>
        <v>813.07498599297196</v>
      </c>
      <c r="L33" s="416">
        <f t="shared" ca="1" si="12"/>
        <v>162614.99719859438</v>
      </c>
      <c r="M33" s="420"/>
      <c r="O33"/>
      <c r="P33"/>
      <c r="Q33"/>
      <c r="R33"/>
      <c r="S33"/>
      <c r="T33"/>
      <c r="U33"/>
      <c r="V33"/>
      <c r="W33"/>
      <c r="X33"/>
      <c r="Y33"/>
      <c r="Z33"/>
      <c r="AA33"/>
      <c r="AB33"/>
    </row>
    <row r="34" spans="2:28">
      <c r="B34" s="202">
        <f t="shared" si="13"/>
        <v>45140</v>
      </c>
      <c r="C34" s="168">
        <f t="shared" si="14"/>
        <v>2023</v>
      </c>
      <c r="D34" s="418">
        <f t="shared" ca="1" si="4"/>
        <v>13</v>
      </c>
      <c r="E34" s="419">
        <f t="shared" ca="1" si="9"/>
        <v>162614.99719859438</v>
      </c>
      <c r="F34" s="419">
        <f t="shared" ca="1" si="5"/>
        <v>2375.5700464555262</v>
      </c>
      <c r="G34" s="419">
        <f t="shared" ca="1" si="6"/>
        <v>813.07498599297196</v>
      </c>
      <c r="H34" s="419">
        <f t="shared" ca="1" si="10"/>
        <v>1562.4950604625542</v>
      </c>
      <c r="I34" s="416">
        <f t="shared" ca="1" si="7"/>
        <v>0</v>
      </c>
      <c r="J34" s="416">
        <f t="shared" ca="1" si="8"/>
        <v>0</v>
      </c>
      <c r="K34" s="416">
        <f t="shared" ca="1" si="11"/>
        <v>2375.5700464555262</v>
      </c>
      <c r="L34" s="416">
        <f t="shared" ca="1" si="12"/>
        <v>161052.50213813182</v>
      </c>
      <c r="M34" s="420"/>
      <c r="O34"/>
      <c r="P34"/>
      <c r="Q34"/>
      <c r="R34"/>
      <c r="S34"/>
      <c r="T34"/>
      <c r="U34"/>
      <c r="V34"/>
      <c r="W34"/>
      <c r="X34"/>
      <c r="Y34"/>
      <c r="Z34" s="10"/>
      <c r="AA34"/>
      <c r="AB34"/>
    </row>
    <row r="35" spans="2:28">
      <c r="B35" s="202">
        <f t="shared" si="13"/>
        <v>45171</v>
      </c>
      <c r="C35" s="168">
        <f t="shared" si="14"/>
        <v>2023</v>
      </c>
      <c r="D35" s="418">
        <f t="shared" ca="1" si="4"/>
        <v>14</v>
      </c>
      <c r="E35" s="419">
        <f t="shared" ca="1" si="9"/>
        <v>161052.50213813182</v>
      </c>
      <c r="F35" s="419">
        <f t="shared" ca="1" si="5"/>
        <v>2375.5700464555262</v>
      </c>
      <c r="G35" s="419">
        <f t="shared" ca="1" si="6"/>
        <v>805.26251069065904</v>
      </c>
      <c r="H35" s="419">
        <f t="shared" ca="1" si="10"/>
        <v>1570.3075357648672</v>
      </c>
      <c r="I35" s="416">
        <f t="shared" ca="1" si="7"/>
        <v>0</v>
      </c>
      <c r="J35" s="416">
        <f t="shared" ca="1" si="8"/>
        <v>0</v>
      </c>
      <c r="K35" s="416">
        <f t="shared" ca="1" si="11"/>
        <v>2375.5700464555262</v>
      </c>
      <c r="L35" s="416">
        <f t="shared" ca="1" si="12"/>
        <v>159482.19460236694</v>
      </c>
      <c r="M35" s="420"/>
      <c r="O35"/>
      <c r="P35"/>
      <c r="Q35"/>
      <c r="R35"/>
      <c r="S35"/>
      <c r="T35"/>
      <c r="U35"/>
      <c r="V35"/>
      <c r="W35"/>
      <c r="X35"/>
    </row>
    <row r="36" spans="2:28">
      <c r="B36" s="202">
        <f t="shared" si="13"/>
        <v>45201</v>
      </c>
      <c r="C36" s="168">
        <f t="shared" si="14"/>
        <v>2023</v>
      </c>
      <c r="D36" s="418">
        <f t="shared" ca="1" si="4"/>
        <v>15</v>
      </c>
      <c r="E36" s="419">
        <f t="shared" ca="1" si="9"/>
        <v>159482.19460236694</v>
      </c>
      <c r="F36" s="419">
        <f t="shared" ca="1" si="5"/>
        <v>2375.5700464555262</v>
      </c>
      <c r="G36" s="419">
        <f t="shared" ca="1" si="6"/>
        <v>797.4109730118347</v>
      </c>
      <c r="H36" s="419">
        <f t="shared" ca="1" si="10"/>
        <v>1578.1590734436913</v>
      </c>
      <c r="I36" s="416">
        <f t="shared" ca="1" si="7"/>
        <v>0</v>
      </c>
      <c r="J36" s="416">
        <f t="shared" ca="1" si="8"/>
        <v>0</v>
      </c>
      <c r="K36" s="416">
        <f t="shared" ca="1" si="11"/>
        <v>2375.5700464555262</v>
      </c>
      <c r="L36" s="416">
        <f t="shared" ca="1" si="12"/>
        <v>157904.03552892324</v>
      </c>
      <c r="M36" s="420"/>
      <c r="O36"/>
      <c r="P36"/>
      <c r="Q36"/>
      <c r="R36"/>
      <c r="S36"/>
      <c r="T36"/>
      <c r="U36"/>
      <c r="V36"/>
      <c r="W36"/>
      <c r="X36"/>
    </row>
    <row r="37" spans="2:28">
      <c r="B37" s="202">
        <f t="shared" si="13"/>
        <v>45232</v>
      </c>
      <c r="C37" s="168">
        <f t="shared" si="14"/>
        <v>2023</v>
      </c>
      <c r="D37" s="418">
        <f t="shared" ca="1" si="4"/>
        <v>16</v>
      </c>
      <c r="E37" s="419">
        <f t="shared" ca="1" si="9"/>
        <v>157904.03552892324</v>
      </c>
      <c r="F37" s="419">
        <f t="shared" ca="1" si="5"/>
        <v>2375.5700464555262</v>
      </c>
      <c r="G37" s="419">
        <f t="shared" ca="1" si="6"/>
        <v>789.52017764461618</v>
      </c>
      <c r="H37" s="419">
        <f t="shared" ca="1" si="10"/>
        <v>1586.0498688109101</v>
      </c>
      <c r="I37" s="416">
        <f t="shared" ca="1" si="7"/>
        <v>0</v>
      </c>
      <c r="J37" s="416">
        <f t="shared" ca="1" si="8"/>
        <v>0</v>
      </c>
      <c r="K37" s="416">
        <f t="shared" ca="1" si="11"/>
        <v>2375.5700464555262</v>
      </c>
      <c r="L37" s="416">
        <f t="shared" ca="1" si="12"/>
        <v>156317.98566011232</v>
      </c>
      <c r="M37" s="420"/>
      <c r="O37"/>
      <c r="P37"/>
      <c r="Q37"/>
      <c r="R37"/>
      <c r="S37"/>
      <c r="T37"/>
      <c r="U37"/>
      <c r="V37"/>
      <c r="W37"/>
      <c r="X37"/>
    </row>
    <row r="38" spans="2:28">
      <c r="B38" s="202">
        <f t="shared" si="13"/>
        <v>45262</v>
      </c>
      <c r="C38" s="168">
        <f t="shared" si="14"/>
        <v>2023</v>
      </c>
      <c r="D38" s="418">
        <f t="shared" ca="1" si="4"/>
        <v>17</v>
      </c>
      <c r="E38" s="419">
        <f t="shared" ca="1" si="9"/>
        <v>156317.98566011232</v>
      </c>
      <c r="F38" s="419">
        <f t="shared" ca="1" si="5"/>
        <v>2375.5700464555262</v>
      </c>
      <c r="G38" s="419">
        <f t="shared" ca="1" si="6"/>
        <v>781.5899283005615</v>
      </c>
      <c r="H38" s="419">
        <f t="shared" ca="1" si="10"/>
        <v>1593.9801181549647</v>
      </c>
      <c r="I38" s="416">
        <f t="shared" ca="1" si="7"/>
        <v>0</v>
      </c>
      <c r="J38" s="416">
        <f t="shared" ca="1" si="8"/>
        <v>0</v>
      </c>
      <c r="K38" s="416">
        <f t="shared" ca="1" si="11"/>
        <v>2375.5700464555262</v>
      </c>
      <c r="L38" s="416">
        <f t="shared" ca="1" si="12"/>
        <v>154724.00554195736</v>
      </c>
      <c r="M38" s="420"/>
    </row>
    <row r="39" spans="2:28">
      <c r="B39" s="202">
        <f t="shared" si="13"/>
        <v>45293</v>
      </c>
      <c r="C39" s="168">
        <f t="shared" si="14"/>
        <v>2024</v>
      </c>
      <c r="D39" s="418">
        <f t="shared" ca="1" si="4"/>
        <v>18</v>
      </c>
      <c r="E39" s="419">
        <f t="shared" ca="1" si="9"/>
        <v>154724.00554195736</v>
      </c>
      <c r="F39" s="419">
        <f t="shared" ca="1" si="5"/>
        <v>2375.5700464555262</v>
      </c>
      <c r="G39" s="419">
        <f t="shared" ca="1" si="6"/>
        <v>773.62002770978677</v>
      </c>
      <c r="H39" s="419">
        <f t="shared" ca="1" si="10"/>
        <v>1601.9500187457393</v>
      </c>
      <c r="I39" s="416">
        <f t="shared" ca="1" si="7"/>
        <v>0</v>
      </c>
      <c r="J39" s="416">
        <f t="shared" ca="1" si="8"/>
        <v>0</v>
      </c>
      <c r="K39" s="416">
        <f t="shared" ca="1" si="11"/>
        <v>2375.5700464555262</v>
      </c>
      <c r="L39" s="416">
        <f t="shared" ca="1" si="12"/>
        <v>153122.05552321163</v>
      </c>
      <c r="M39" s="420"/>
    </row>
    <row r="40" spans="2:28">
      <c r="B40" s="202">
        <f t="shared" si="13"/>
        <v>45324</v>
      </c>
      <c r="C40" s="168">
        <f t="shared" si="14"/>
        <v>2024</v>
      </c>
      <c r="D40" s="418">
        <f t="shared" ca="1" si="4"/>
        <v>19</v>
      </c>
      <c r="E40" s="419">
        <f t="shared" ca="1" si="9"/>
        <v>153122.05552321163</v>
      </c>
      <c r="F40" s="419">
        <f t="shared" ca="1" si="5"/>
        <v>2375.5700464555262</v>
      </c>
      <c r="G40" s="419">
        <f t="shared" ca="1" si="6"/>
        <v>765.61027761605817</v>
      </c>
      <c r="H40" s="419">
        <f t="shared" ca="1" si="10"/>
        <v>1609.9597688394679</v>
      </c>
      <c r="I40" s="416">
        <f t="shared" ca="1" si="7"/>
        <v>0</v>
      </c>
      <c r="J40" s="416">
        <f t="shared" ca="1" si="8"/>
        <v>0</v>
      </c>
      <c r="K40" s="416">
        <f t="shared" ca="1" si="11"/>
        <v>2375.5700464555262</v>
      </c>
      <c r="L40" s="416">
        <f t="shared" ca="1" si="12"/>
        <v>151512.09575437216</v>
      </c>
      <c r="M40" s="420"/>
    </row>
    <row r="41" spans="2:28">
      <c r="B41" s="202">
        <f t="shared" si="13"/>
        <v>45353</v>
      </c>
      <c r="C41" s="168">
        <f t="shared" si="14"/>
        <v>2024</v>
      </c>
      <c r="D41" s="418">
        <f t="shared" ca="1" si="4"/>
        <v>20</v>
      </c>
      <c r="E41" s="419">
        <f t="shared" ca="1" si="9"/>
        <v>151512.09575437216</v>
      </c>
      <c r="F41" s="419">
        <f t="shared" ca="1" si="5"/>
        <v>2375.5700464555262</v>
      </c>
      <c r="G41" s="419">
        <f t="shared" ca="1" si="6"/>
        <v>757.56047877186074</v>
      </c>
      <c r="H41" s="419">
        <f t="shared" ca="1" si="10"/>
        <v>1618.0095676836654</v>
      </c>
      <c r="I41" s="416">
        <f t="shared" ca="1" si="7"/>
        <v>0</v>
      </c>
      <c r="J41" s="416">
        <f t="shared" ca="1" si="8"/>
        <v>0</v>
      </c>
      <c r="K41" s="416">
        <f t="shared" ca="1" si="11"/>
        <v>2375.5700464555262</v>
      </c>
      <c r="L41" s="416">
        <f t="shared" ca="1" si="12"/>
        <v>149894.08618668848</v>
      </c>
      <c r="M41" s="420"/>
    </row>
    <row r="42" spans="2:28">
      <c r="B42" s="202">
        <f t="shared" si="13"/>
        <v>45384</v>
      </c>
      <c r="C42" s="168">
        <f t="shared" si="14"/>
        <v>2024</v>
      </c>
      <c r="D42" s="418">
        <f t="shared" ca="1" si="4"/>
        <v>21</v>
      </c>
      <c r="E42" s="419">
        <f t="shared" ca="1" si="9"/>
        <v>149894.08618668848</v>
      </c>
      <c r="F42" s="419">
        <f t="shared" ca="1" si="5"/>
        <v>2375.5700464555262</v>
      </c>
      <c r="G42" s="419">
        <f t="shared" ca="1" si="6"/>
        <v>749.47043093344234</v>
      </c>
      <c r="H42" s="419">
        <f t="shared" ca="1" si="10"/>
        <v>1626.0996155220837</v>
      </c>
      <c r="I42" s="416">
        <f t="shared" ca="1" si="7"/>
        <v>0</v>
      </c>
      <c r="J42" s="416">
        <f t="shared" ca="1" si="8"/>
        <v>0</v>
      </c>
      <c r="K42" s="416">
        <f t="shared" ca="1" si="11"/>
        <v>2375.5700464555262</v>
      </c>
      <c r="L42" s="416">
        <f t="shared" ca="1" si="12"/>
        <v>148267.9865711664</v>
      </c>
      <c r="M42" s="420"/>
    </row>
    <row r="43" spans="2:28">
      <c r="B43" s="202">
        <f t="shared" si="13"/>
        <v>45414</v>
      </c>
      <c r="C43" s="168">
        <f t="shared" si="14"/>
        <v>2024</v>
      </c>
      <c r="D43" s="418">
        <f t="shared" ca="1" si="4"/>
        <v>22</v>
      </c>
      <c r="E43" s="419">
        <f t="shared" ca="1" si="9"/>
        <v>148267.9865711664</v>
      </c>
      <c r="F43" s="419">
        <f t="shared" ca="1" si="5"/>
        <v>2375.5700464555262</v>
      </c>
      <c r="G43" s="419">
        <f t="shared" ca="1" si="6"/>
        <v>741.33993285583199</v>
      </c>
      <c r="H43" s="419">
        <f t="shared" ca="1" si="10"/>
        <v>1634.2301135996941</v>
      </c>
      <c r="I43" s="416">
        <f t="shared" ca="1" si="7"/>
        <v>0</v>
      </c>
      <c r="J43" s="416">
        <f t="shared" ca="1" si="8"/>
        <v>0</v>
      </c>
      <c r="K43" s="416">
        <f t="shared" ca="1" si="11"/>
        <v>2375.5700464555262</v>
      </c>
      <c r="L43" s="416">
        <f t="shared" ca="1" si="12"/>
        <v>146633.75645756672</v>
      </c>
      <c r="M43" s="420"/>
    </row>
    <row r="44" spans="2:28">
      <c r="B44" s="202">
        <f t="shared" si="13"/>
        <v>45445</v>
      </c>
      <c r="C44" s="168">
        <f t="shared" si="14"/>
        <v>2024</v>
      </c>
      <c r="D44" s="418">
        <f t="shared" ca="1" si="4"/>
        <v>23</v>
      </c>
      <c r="E44" s="419">
        <f t="shared" ca="1" si="9"/>
        <v>146633.75645756672</v>
      </c>
      <c r="F44" s="419">
        <f t="shared" ca="1" si="5"/>
        <v>2375.5700464555262</v>
      </c>
      <c r="G44" s="419">
        <f t="shared" ca="1" si="6"/>
        <v>733.16878228783355</v>
      </c>
      <c r="H44" s="419">
        <f t="shared" ca="1" si="10"/>
        <v>1642.4012641676927</v>
      </c>
      <c r="I44" s="416">
        <f t="shared" ca="1" si="7"/>
        <v>0</v>
      </c>
      <c r="J44" s="416">
        <f t="shared" ca="1" si="8"/>
        <v>0</v>
      </c>
      <c r="K44" s="416">
        <f t="shared" ca="1" si="11"/>
        <v>2375.5700464555262</v>
      </c>
      <c r="L44" s="416">
        <f t="shared" ca="1" si="12"/>
        <v>144991.35519339904</v>
      </c>
      <c r="M44" s="420"/>
    </row>
    <row r="45" spans="2:28">
      <c r="B45" s="202">
        <f t="shared" si="13"/>
        <v>45475</v>
      </c>
      <c r="C45" s="168">
        <f t="shared" si="14"/>
        <v>2024</v>
      </c>
      <c r="D45" s="418">
        <f t="shared" ca="1" si="4"/>
        <v>24</v>
      </c>
      <c r="E45" s="419">
        <f t="shared" ca="1" si="9"/>
        <v>144991.35519339904</v>
      </c>
      <c r="F45" s="419">
        <f t="shared" ca="1" si="5"/>
        <v>2375.5700464555262</v>
      </c>
      <c r="G45" s="419">
        <f t="shared" ca="1" si="6"/>
        <v>724.95677596699522</v>
      </c>
      <c r="H45" s="419">
        <f t="shared" ca="1" si="10"/>
        <v>1650.6132704885308</v>
      </c>
      <c r="I45" s="416">
        <f t="shared" ca="1" si="7"/>
        <v>0</v>
      </c>
      <c r="J45" s="416">
        <f t="shared" ca="1" si="8"/>
        <v>0</v>
      </c>
      <c r="K45" s="416">
        <f t="shared" ca="1" si="11"/>
        <v>2375.5700464555262</v>
      </c>
      <c r="L45" s="416">
        <f t="shared" ca="1" si="12"/>
        <v>143340.7419229105</v>
      </c>
      <c r="M45" s="420"/>
    </row>
    <row r="46" spans="2:28">
      <c r="B46" s="202">
        <f t="shared" si="13"/>
        <v>45506</v>
      </c>
      <c r="C46" s="168">
        <f t="shared" si="14"/>
        <v>2024</v>
      </c>
      <c r="D46" s="418">
        <f t="shared" ca="1" si="4"/>
        <v>25</v>
      </c>
      <c r="E46" s="419">
        <f t="shared" ca="1" si="9"/>
        <v>143340.7419229105</v>
      </c>
      <c r="F46" s="419">
        <f t="shared" ca="1" si="5"/>
        <v>2375.5700464555262</v>
      </c>
      <c r="G46" s="419">
        <f t="shared" ca="1" si="6"/>
        <v>716.70370961455239</v>
      </c>
      <c r="H46" s="419">
        <f t="shared" ca="1" si="10"/>
        <v>1658.8663368409739</v>
      </c>
      <c r="I46" s="416">
        <f t="shared" ca="1" si="7"/>
        <v>0</v>
      </c>
      <c r="J46" s="416">
        <f t="shared" ca="1" si="8"/>
        <v>0</v>
      </c>
      <c r="K46" s="416">
        <f t="shared" ca="1" si="11"/>
        <v>2375.5700464555262</v>
      </c>
      <c r="L46" s="416">
        <f t="shared" ca="1" si="12"/>
        <v>141681.87558606954</v>
      </c>
      <c r="M46" s="420"/>
    </row>
    <row r="47" spans="2:28">
      <c r="B47" s="202">
        <f t="shared" si="13"/>
        <v>45537</v>
      </c>
      <c r="C47" s="168">
        <f t="shared" si="14"/>
        <v>2024</v>
      </c>
      <c r="D47" s="418">
        <f t="shared" ca="1" si="4"/>
        <v>26</v>
      </c>
      <c r="E47" s="419">
        <f t="shared" ca="1" si="9"/>
        <v>141681.87558606954</v>
      </c>
      <c r="F47" s="419">
        <f t="shared" ca="1" si="5"/>
        <v>2375.5700464555262</v>
      </c>
      <c r="G47" s="419">
        <f t="shared" ca="1" si="6"/>
        <v>708.40937793034766</v>
      </c>
      <c r="H47" s="419">
        <f t="shared" ca="1" si="10"/>
        <v>1667.1606685251786</v>
      </c>
      <c r="I47" s="416">
        <f t="shared" ca="1" si="7"/>
        <v>0</v>
      </c>
      <c r="J47" s="416">
        <f t="shared" ca="1" si="8"/>
        <v>0</v>
      </c>
      <c r="K47" s="416">
        <f t="shared" ca="1" si="11"/>
        <v>2375.5700464555262</v>
      </c>
      <c r="L47" s="416">
        <f t="shared" ca="1" si="12"/>
        <v>140014.71491754436</v>
      </c>
      <c r="M47" s="420"/>
    </row>
    <row r="48" spans="2:28">
      <c r="B48" s="202">
        <f t="shared" si="13"/>
        <v>45567</v>
      </c>
      <c r="C48" s="168">
        <f t="shared" si="14"/>
        <v>2024</v>
      </c>
      <c r="D48" s="418">
        <f t="shared" ca="1" si="4"/>
        <v>27</v>
      </c>
      <c r="E48" s="419">
        <f t="shared" ca="1" si="9"/>
        <v>140014.71491754436</v>
      </c>
      <c r="F48" s="419">
        <f t="shared" ca="1" si="5"/>
        <v>2375.5700464555262</v>
      </c>
      <c r="G48" s="419">
        <f t="shared" ca="1" si="6"/>
        <v>700.07357458772185</v>
      </c>
      <c r="H48" s="419">
        <f t="shared" ca="1" si="10"/>
        <v>1675.4964718678043</v>
      </c>
      <c r="I48" s="416">
        <f t="shared" ca="1" si="7"/>
        <v>0</v>
      </c>
      <c r="J48" s="416">
        <f t="shared" ca="1" si="8"/>
        <v>0</v>
      </c>
      <c r="K48" s="416">
        <f t="shared" ca="1" si="11"/>
        <v>2375.5700464555262</v>
      </c>
      <c r="L48" s="416">
        <f t="shared" ca="1" si="12"/>
        <v>138339.21844567655</v>
      </c>
      <c r="M48" s="420"/>
    </row>
    <row r="49" spans="2:13">
      <c r="B49" s="202">
        <f t="shared" si="13"/>
        <v>45598</v>
      </c>
      <c r="C49" s="168">
        <f t="shared" si="14"/>
        <v>2024</v>
      </c>
      <c r="D49" s="418">
        <f t="shared" ca="1" si="4"/>
        <v>28</v>
      </c>
      <c r="E49" s="419">
        <f t="shared" ca="1" si="9"/>
        <v>138339.21844567655</v>
      </c>
      <c r="F49" s="419">
        <f t="shared" ca="1" si="5"/>
        <v>2375.5700464555262</v>
      </c>
      <c r="G49" s="419">
        <f t="shared" ca="1" si="6"/>
        <v>691.69609222838278</v>
      </c>
      <c r="H49" s="419">
        <f t="shared" ca="1" si="10"/>
        <v>1683.8739542271433</v>
      </c>
      <c r="I49" s="416">
        <f t="shared" ca="1" si="7"/>
        <v>0</v>
      </c>
      <c r="J49" s="416">
        <f t="shared" ca="1" si="8"/>
        <v>0</v>
      </c>
      <c r="K49" s="416">
        <f t="shared" ca="1" si="11"/>
        <v>2375.5700464555262</v>
      </c>
      <c r="L49" s="416">
        <f t="shared" ca="1" si="12"/>
        <v>136655.34449144942</v>
      </c>
      <c r="M49" s="420"/>
    </row>
    <row r="50" spans="2:13">
      <c r="B50" s="202">
        <f t="shared" si="13"/>
        <v>45628</v>
      </c>
      <c r="C50" s="168">
        <f t="shared" si="14"/>
        <v>2024</v>
      </c>
      <c r="D50" s="418">
        <f t="shared" ca="1" si="4"/>
        <v>29</v>
      </c>
      <c r="E50" s="419">
        <f t="shared" ca="1" si="9"/>
        <v>136655.34449144942</v>
      </c>
      <c r="F50" s="419">
        <f t="shared" ca="1" si="5"/>
        <v>2375.5700464555262</v>
      </c>
      <c r="G50" s="419">
        <f t="shared" ca="1" si="6"/>
        <v>683.27672245724705</v>
      </c>
      <c r="H50" s="419">
        <f t="shared" ca="1" si="10"/>
        <v>1692.293323998279</v>
      </c>
      <c r="I50" s="416">
        <f t="shared" ca="1" si="7"/>
        <v>0</v>
      </c>
      <c r="J50" s="416">
        <f t="shared" ca="1" si="8"/>
        <v>0</v>
      </c>
      <c r="K50" s="416">
        <f t="shared" ca="1" si="11"/>
        <v>2375.5700464555262</v>
      </c>
      <c r="L50" s="416">
        <f t="shared" ca="1" si="12"/>
        <v>134963.05116745114</v>
      </c>
      <c r="M50" s="420"/>
    </row>
    <row r="51" spans="2:13">
      <c r="B51" s="202">
        <f t="shared" si="13"/>
        <v>45659</v>
      </c>
      <c r="C51" s="168">
        <f t="shared" si="14"/>
        <v>2025</v>
      </c>
      <c r="D51" s="418">
        <f t="shared" ca="1" si="4"/>
        <v>30</v>
      </c>
      <c r="E51" s="419">
        <f t="shared" ca="1" si="9"/>
        <v>134963.05116745114</v>
      </c>
      <c r="F51" s="419">
        <f t="shared" ca="1" si="5"/>
        <v>2375.5700464555262</v>
      </c>
      <c r="G51" s="419">
        <f t="shared" ca="1" si="6"/>
        <v>674.81525583725568</v>
      </c>
      <c r="H51" s="419">
        <f t="shared" ca="1" si="10"/>
        <v>1700.7547906182704</v>
      </c>
      <c r="I51" s="416">
        <f t="shared" ca="1" si="7"/>
        <v>0</v>
      </c>
      <c r="J51" s="416">
        <f t="shared" ca="1" si="8"/>
        <v>0</v>
      </c>
      <c r="K51" s="416">
        <f t="shared" ca="1" si="11"/>
        <v>2375.5700464555262</v>
      </c>
      <c r="L51" s="416">
        <f t="shared" ca="1" si="12"/>
        <v>133262.29637683288</v>
      </c>
      <c r="M51" s="420"/>
    </row>
    <row r="52" spans="2:13">
      <c r="B52" s="202">
        <f t="shared" si="13"/>
        <v>45690</v>
      </c>
      <c r="C52" s="168">
        <f t="shared" si="14"/>
        <v>2025</v>
      </c>
      <c r="D52" s="418">
        <f t="shared" ca="1" si="4"/>
        <v>31</v>
      </c>
      <c r="E52" s="419">
        <f t="shared" ca="1" si="9"/>
        <v>133262.29637683288</v>
      </c>
      <c r="F52" s="419">
        <f t="shared" ca="1" si="5"/>
        <v>2375.5700464555262</v>
      </c>
      <c r="G52" s="419">
        <f t="shared" ca="1" si="6"/>
        <v>666.31148188416444</v>
      </c>
      <c r="H52" s="419">
        <f t="shared" ca="1" si="10"/>
        <v>1709.2585645713616</v>
      </c>
      <c r="I52" s="416">
        <f t="shared" ca="1" si="7"/>
        <v>0</v>
      </c>
      <c r="J52" s="416">
        <f t="shared" ca="1" si="8"/>
        <v>0</v>
      </c>
      <c r="K52" s="416">
        <f t="shared" ca="1" si="11"/>
        <v>2375.5700464555262</v>
      </c>
      <c r="L52" s="416">
        <f t="shared" ca="1" si="12"/>
        <v>131553.03781226152</v>
      </c>
      <c r="M52" s="420"/>
    </row>
    <row r="53" spans="2:13">
      <c r="B53" s="202">
        <f t="shared" si="13"/>
        <v>45718</v>
      </c>
      <c r="C53" s="168">
        <f t="shared" si="14"/>
        <v>2025</v>
      </c>
      <c r="D53" s="418">
        <f t="shared" ca="1" si="4"/>
        <v>32</v>
      </c>
      <c r="E53" s="419">
        <f t="shared" ca="1" si="9"/>
        <v>131553.03781226152</v>
      </c>
      <c r="F53" s="419">
        <f t="shared" ca="1" si="5"/>
        <v>2375.5700464555262</v>
      </c>
      <c r="G53" s="419">
        <f t="shared" ca="1" si="6"/>
        <v>657.76518906130752</v>
      </c>
      <c r="H53" s="419">
        <f t="shared" ca="1" si="10"/>
        <v>1717.8048573942187</v>
      </c>
      <c r="I53" s="416">
        <f t="shared" ca="1" si="7"/>
        <v>0</v>
      </c>
      <c r="J53" s="416">
        <f t="shared" ca="1" si="8"/>
        <v>0</v>
      </c>
      <c r="K53" s="416">
        <f t="shared" ca="1" si="11"/>
        <v>2375.5700464555262</v>
      </c>
      <c r="L53" s="416">
        <f t="shared" ca="1" si="12"/>
        <v>129835.2329548673</v>
      </c>
      <c r="M53" s="420"/>
    </row>
    <row r="54" spans="2:13">
      <c r="B54" s="202">
        <f t="shared" si="13"/>
        <v>45749</v>
      </c>
      <c r="C54" s="168">
        <f t="shared" si="14"/>
        <v>2025</v>
      </c>
      <c r="D54" s="418">
        <f t="shared" ref="D54:D85" ca="1" si="15">IF(OR($D53="",D53=$D$8*$D$11,$L53=0),"",$D53+1)</f>
        <v>33</v>
      </c>
      <c r="E54" s="419">
        <f t="shared" ca="1" si="9"/>
        <v>129835.2329548673</v>
      </c>
      <c r="F54" s="419">
        <f t="shared" ref="F54:F85" ca="1" si="16">IF(D54="","",MIN(E54+G54,(D54&lt;=($D$9*$D$11))*$L$9+(D54&gt;($D$9*$D$11))*$L$10))</f>
        <v>2375.5700464555262</v>
      </c>
      <c r="G54" s="419">
        <f t="shared" ref="G54:G85" ca="1" si="17">IF(D54="","",((E54*$D$13)/$D$11))</f>
        <v>649.17616477433648</v>
      </c>
      <c r="H54" s="419">
        <f t="shared" ca="1" si="10"/>
        <v>1726.3938816811897</v>
      </c>
      <c r="I54" s="416">
        <f t="shared" ref="I54:I85" ca="1" si="18">IF($D54="","",($D54=$D$8*$D$11)*($E54-$H54-$J54))</f>
        <v>0</v>
      </c>
      <c r="J54" s="416">
        <f t="shared" ref="J54:J85" ca="1" si="19">IF($D54="","",MIN($H$11,$E54-$H54))</f>
        <v>0</v>
      </c>
      <c r="K54" s="416">
        <f t="shared" ca="1" si="11"/>
        <v>2375.5700464555262</v>
      </c>
      <c r="L54" s="416">
        <f t="shared" ca="1" si="12"/>
        <v>128108.83907318611</v>
      </c>
      <c r="M54" s="420"/>
    </row>
    <row r="55" spans="2:13">
      <c r="B55" s="202">
        <f t="shared" si="13"/>
        <v>45779</v>
      </c>
      <c r="C55" s="168">
        <f t="shared" si="14"/>
        <v>2025</v>
      </c>
      <c r="D55" s="418">
        <f t="shared" ca="1" si="15"/>
        <v>34</v>
      </c>
      <c r="E55" s="419">
        <f t="shared" ca="1" si="9"/>
        <v>128108.83907318611</v>
      </c>
      <c r="F55" s="419">
        <f t="shared" ca="1" si="16"/>
        <v>2375.5700464555262</v>
      </c>
      <c r="G55" s="419">
        <f t="shared" ca="1" si="17"/>
        <v>640.54419536593048</v>
      </c>
      <c r="H55" s="419">
        <f t="shared" ca="1" si="10"/>
        <v>1735.0258510895956</v>
      </c>
      <c r="I55" s="416">
        <f t="shared" ca="1" si="18"/>
        <v>0</v>
      </c>
      <c r="J55" s="416">
        <f t="shared" ca="1" si="19"/>
        <v>0</v>
      </c>
      <c r="K55" s="416">
        <f t="shared" ca="1" si="11"/>
        <v>2375.5700464555262</v>
      </c>
      <c r="L55" s="416">
        <f t="shared" ca="1" si="12"/>
        <v>126373.81322209652</v>
      </c>
      <c r="M55" s="420"/>
    </row>
    <row r="56" spans="2:13">
      <c r="B56" s="202">
        <f t="shared" si="13"/>
        <v>45810</v>
      </c>
      <c r="C56" s="168">
        <f t="shared" si="14"/>
        <v>2025</v>
      </c>
      <c r="D56" s="418">
        <f t="shared" ca="1" si="15"/>
        <v>35</v>
      </c>
      <c r="E56" s="419">
        <f t="shared" ca="1" si="9"/>
        <v>126373.81322209652</v>
      </c>
      <c r="F56" s="419">
        <f t="shared" ca="1" si="16"/>
        <v>2375.5700464555262</v>
      </c>
      <c r="G56" s="419">
        <f t="shared" ca="1" si="17"/>
        <v>631.86906611048255</v>
      </c>
      <c r="H56" s="419">
        <f t="shared" ca="1" si="10"/>
        <v>1743.7009803450437</v>
      </c>
      <c r="I56" s="416">
        <f t="shared" ca="1" si="18"/>
        <v>0</v>
      </c>
      <c r="J56" s="416">
        <f t="shared" ca="1" si="19"/>
        <v>0</v>
      </c>
      <c r="K56" s="416">
        <f t="shared" ca="1" si="11"/>
        <v>2375.5700464555262</v>
      </c>
      <c r="L56" s="416">
        <f t="shared" ca="1" si="12"/>
        <v>124630.11224175147</v>
      </c>
      <c r="M56" s="420"/>
    </row>
    <row r="57" spans="2:13">
      <c r="B57" s="202">
        <f t="shared" si="13"/>
        <v>45840</v>
      </c>
      <c r="C57" s="168">
        <f t="shared" si="14"/>
        <v>2025</v>
      </c>
      <c r="D57" s="418">
        <f t="shared" ca="1" si="15"/>
        <v>36</v>
      </c>
      <c r="E57" s="419">
        <f t="shared" ca="1" si="9"/>
        <v>124630.11224175147</v>
      </c>
      <c r="F57" s="419">
        <f t="shared" ca="1" si="16"/>
        <v>2375.5700464555262</v>
      </c>
      <c r="G57" s="419">
        <f t="shared" ca="1" si="17"/>
        <v>623.15056120875727</v>
      </c>
      <c r="H57" s="419">
        <f t="shared" ca="1" si="10"/>
        <v>1752.419485246769</v>
      </c>
      <c r="I57" s="416">
        <f t="shared" ca="1" si="18"/>
        <v>0</v>
      </c>
      <c r="J57" s="416">
        <f t="shared" ca="1" si="19"/>
        <v>0</v>
      </c>
      <c r="K57" s="416">
        <f t="shared" ca="1" si="11"/>
        <v>2375.5700464555262</v>
      </c>
      <c r="L57" s="416">
        <f t="shared" ca="1" si="12"/>
        <v>122877.69275650471</v>
      </c>
      <c r="M57" s="420"/>
    </row>
    <row r="58" spans="2:13">
      <c r="B58" s="202">
        <f t="shared" si="13"/>
        <v>45871</v>
      </c>
      <c r="C58" s="168">
        <f t="shared" si="14"/>
        <v>2025</v>
      </c>
      <c r="D58" s="418">
        <f t="shared" ca="1" si="15"/>
        <v>37</v>
      </c>
      <c r="E58" s="419">
        <f t="shared" ca="1" si="9"/>
        <v>122877.69275650471</v>
      </c>
      <c r="F58" s="419">
        <f t="shared" ca="1" si="16"/>
        <v>2375.5700464555262</v>
      </c>
      <c r="G58" s="419">
        <f t="shared" ca="1" si="17"/>
        <v>614.38846378252344</v>
      </c>
      <c r="H58" s="419">
        <f t="shared" ca="1" si="10"/>
        <v>1761.1815826730026</v>
      </c>
      <c r="I58" s="416">
        <f t="shared" ca="1" si="18"/>
        <v>0</v>
      </c>
      <c r="J58" s="416">
        <f t="shared" ca="1" si="19"/>
        <v>0</v>
      </c>
      <c r="K58" s="416">
        <f t="shared" ca="1" si="11"/>
        <v>2375.5700464555262</v>
      </c>
      <c r="L58" s="416">
        <f t="shared" ca="1" si="12"/>
        <v>121116.51117383171</v>
      </c>
      <c r="M58" s="420"/>
    </row>
    <row r="59" spans="2:13">
      <c r="B59" s="202">
        <f t="shared" si="13"/>
        <v>45902</v>
      </c>
      <c r="C59" s="168">
        <f t="shared" si="14"/>
        <v>2025</v>
      </c>
      <c r="D59" s="418">
        <f t="shared" ca="1" si="15"/>
        <v>38</v>
      </c>
      <c r="E59" s="419">
        <f t="shared" ca="1" si="9"/>
        <v>121116.51117383171</v>
      </c>
      <c r="F59" s="419">
        <f t="shared" ca="1" si="16"/>
        <v>2375.5700464555262</v>
      </c>
      <c r="G59" s="419">
        <f t="shared" ca="1" si="17"/>
        <v>605.58255586915845</v>
      </c>
      <c r="H59" s="419">
        <f t="shared" ca="1" si="10"/>
        <v>1769.9874905863676</v>
      </c>
      <c r="I59" s="416">
        <f t="shared" ca="1" si="18"/>
        <v>0</v>
      </c>
      <c r="J59" s="416">
        <f t="shared" ca="1" si="19"/>
        <v>0</v>
      </c>
      <c r="K59" s="416">
        <f t="shared" ca="1" si="11"/>
        <v>2375.5700464555262</v>
      </c>
      <c r="L59" s="416">
        <f t="shared" ca="1" si="12"/>
        <v>119346.52368324534</v>
      </c>
      <c r="M59" s="420"/>
    </row>
    <row r="60" spans="2:13">
      <c r="B60" s="202">
        <f t="shared" si="13"/>
        <v>45932</v>
      </c>
      <c r="C60" s="168">
        <f t="shared" si="14"/>
        <v>2025</v>
      </c>
      <c r="D60" s="418">
        <f t="shared" ca="1" si="15"/>
        <v>39</v>
      </c>
      <c r="E60" s="419">
        <f t="shared" ca="1" si="9"/>
        <v>119346.52368324534</v>
      </c>
      <c r="F60" s="419">
        <f t="shared" ca="1" si="16"/>
        <v>2375.5700464555262</v>
      </c>
      <c r="G60" s="419">
        <f t="shared" ca="1" si="17"/>
        <v>596.73261841622673</v>
      </c>
      <c r="H60" s="419">
        <f t="shared" ca="1" si="10"/>
        <v>1778.8374280392995</v>
      </c>
      <c r="I60" s="416">
        <f t="shared" ca="1" si="18"/>
        <v>0</v>
      </c>
      <c r="J60" s="416">
        <f t="shared" ca="1" si="19"/>
        <v>0</v>
      </c>
      <c r="K60" s="416">
        <f t="shared" ca="1" si="11"/>
        <v>2375.5700464555262</v>
      </c>
      <c r="L60" s="416">
        <f t="shared" ca="1" si="12"/>
        <v>117567.68625520603</v>
      </c>
      <c r="M60" s="420"/>
    </row>
    <row r="61" spans="2:13">
      <c r="B61" s="202">
        <f t="shared" si="13"/>
        <v>45963</v>
      </c>
      <c r="C61" s="168">
        <f t="shared" si="14"/>
        <v>2025</v>
      </c>
      <c r="D61" s="418">
        <f t="shared" ca="1" si="15"/>
        <v>40</v>
      </c>
      <c r="E61" s="419">
        <f t="shared" ca="1" si="9"/>
        <v>117567.68625520603</v>
      </c>
      <c r="F61" s="419">
        <f t="shared" ca="1" si="16"/>
        <v>2375.5700464555262</v>
      </c>
      <c r="G61" s="419">
        <f t="shared" ca="1" si="17"/>
        <v>587.83843127603018</v>
      </c>
      <c r="H61" s="419">
        <f t="shared" ca="1" si="10"/>
        <v>1787.731615179496</v>
      </c>
      <c r="I61" s="416">
        <f t="shared" ca="1" si="18"/>
        <v>0</v>
      </c>
      <c r="J61" s="416">
        <f t="shared" ca="1" si="19"/>
        <v>0</v>
      </c>
      <c r="K61" s="416">
        <f t="shared" ca="1" si="11"/>
        <v>2375.5700464555262</v>
      </c>
      <c r="L61" s="416">
        <f t="shared" ca="1" si="12"/>
        <v>115779.95464002654</v>
      </c>
      <c r="M61" s="420"/>
    </row>
    <row r="62" spans="2:13">
      <c r="B62" s="202">
        <f t="shared" si="13"/>
        <v>45993</v>
      </c>
      <c r="C62" s="168">
        <f t="shared" si="14"/>
        <v>2025</v>
      </c>
      <c r="D62" s="418">
        <f t="shared" ca="1" si="15"/>
        <v>41</v>
      </c>
      <c r="E62" s="419">
        <f t="shared" ca="1" si="9"/>
        <v>115779.95464002654</v>
      </c>
      <c r="F62" s="419">
        <f t="shared" ca="1" si="16"/>
        <v>2375.5700464555262</v>
      </c>
      <c r="G62" s="419">
        <f t="shared" ca="1" si="17"/>
        <v>578.8997732001327</v>
      </c>
      <c r="H62" s="419">
        <f t="shared" ca="1" si="10"/>
        <v>1796.6702732553936</v>
      </c>
      <c r="I62" s="416">
        <f t="shared" ca="1" si="18"/>
        <v>0</v>
      </c>
      <c r="J62" s="416">
        <f t="shared" ca="1" si="19"/>
        <v>0</v>
      </c>
      <c r="K62" s="416">
        <f t="shared" ca="1" si="11"/>
        <v>2375.5700464555262</v>
      </c>
      <c r="L62" s="416">
        <f t="shared" ca="1" si="12"/>
        <v>113983.28436677114</v>
      </c>
      <c r="M62" s="420"/>
    </row>
    <row r="63" spans="2:13">
      <c r="B63" s="202">
        <f t="shared" si="13"/>
        <v>46024</v>
      </c>
      <c r="C63" s="168">
        <f t="shared" si="14"/>
        <v>2026</v>
      </c>
      <c r="D63" s="418">
        <f t="shared" ca="1" si="15"/>
        <v>42</v>
      </c>
      <c r="E63" s="419">
        <f t="shared" ca="1" si="9"/>
        <v>113983.28436677114</v>
      </c>
      <c r="F63" s="419">
        <f t="shared" ca="1" si="16"/>
        <v>2375.5700464555262</v>
      </c>
      <c r="G63" s="419">
        <f t="shared" ca="1" si="17"/>
        <v>569.91642183385568</v>
      </c>
      <c r="H63" s="419">
        <f t="shared" ca="1" si="10"/>
        <v>1805.6536246216706</v>
      </c>
      <c r="I63" s="416">
        <f t="shared" ca="1" si="18"/>
        <v>0</v>
      </c>
      <c r="J63" s="416">
        <f t="shared" ca="1" si="19"/>
        <v>0</v>
      </c>
      <c r="K63" s="416">
        <f t="shared" ca="1" si="11"/>
        <v>2375.5700464555262</v>
      </c>
      <c r="L63" s="416">
        <f t="shared" ca="1" si="12"/>
        <v>112177.63074214947</v>
      </c>
      <c r="M63" s="420"/>
    </row>
    <row r="64" spans="2:13">
      <c r="B64" s="202">
        <f t="shared" si="13"/>
        <v>46055</v>
      </c>
      <c r="C64" s="168">
        <f t="shared" si="14"/>
        <v>2026</v>
      </c>
      <c r="D64" s="418">
        <f t="shared" ca="1" si="15"/>
        <v>43</v>
      </c>
      <c r="E64" s="419">
        <f t="shared" ca="1" si="9"/>
        <v>112177.63074214947</v>
      </c>
      <c r="F64" s="419">
        <f t="shared" ca="1" si="16"/>
        <v>2375.5700464555262</v>
      </c>
      <c r="G64" s="419">
        <f t="shared" ca="1" si="17"/>
        <v>560.88815371074736</v>
      </c>
      <c r="H64" s="419">
        <f t="shared" ca="1" si="10"/>
        <v>1814.6818927447789</v>
      </c>
      <c r="I64" s="416">
        <f t="shared" ca="1" si="18"/>
        <v>0</v>
      </c>
      <c r="J64" s="416">
        <f t="shared" ca="1" si="19"/>
        <v>0</v>
      </c>
      <c r="K64" s="416">
        <f t="shared" ca="1" si="11"/>
        <v>2375.5700464555262</v>
      </c>
      <c r="L64" s="416">
        <f t="shared" ca="1" si="12"/>
        <v>110362.9488494047</v>
      </c>
      <c r="M64" s="420"/>
    </row>
    <row r="65" spans="2:13">
      <c r="B65" s="202">
        <f t="shared" si="13"/>
        <v>46083</v>
      </c>
      <c r="C65" s="168">
        <f t="shared" si="14"/>
        <v>2026</v>
      </c>
      <c r="D65" s="418">
        <f t="shared" ca="1" si="15"/>
        <v>44</v>
      </c>
      <c r="E65" s="419">
        <f t="shared" ca="1" si="9"/>
        <v>110362.9488494047</v>
      </c>
      <c r="F65" s="419">
        <f t="shared" ca="1" si="16"/>
        <v>2375.5700464555262</v>
      </c>
      <c r="G65" s="419">
        <f t="shared" ca="1" si="17"/>
        <v>551.81474424702344</v>
      </c>
      <c r="H65" s="419">
        <f t="shared" ca="1" si="10"/>
        <v>1823.7553022085026</v>
      </c>
      <c r="I65" s="416">
        <f t="shared" ca="1" si="18"/>
        <v>0</v>
      </c>
      <c r="J65" s="416">
        <f t="shared" ca="1" si="19"/>
        <v>0</v>
      </c>
      <c r="K65" s="416">
        <f t="shared" ca="1" si="11"/>
        <v>2375.5700464555262</v>
      </c>
      <c r="L65" s="416">
        <f t="shared" ca="1" si="12"/>
        <v>108539.19354719619</v>
      </c>
      <c r="M65" s="420"/>
    </row>
    <row r="66" spans="2:13">
      <c r="B66" s="202">
        <f t="shared" si="13"/>
        <v>46114</v>
      </c>
      <c r="C66" s="168">
        <f t="shared" si="14"/>
        <v>2026</v>
      </c>
      <c r="D66" s="418">
        <f t="shared" ca="1" si="15"/>
        <v>45</v>
      </c>
      <c r="E66" s="419">
        <f t="shared" ca="1" si="9"/>
        <v>108539.19354719619</v>
      </c>
      <c r="F66" s="419">
        <f t="shared" ca="1" si="16"/>
        <v>2375.5700464555262</v>
      </c>
      <c r="G66" s="419">
        <f t="shared" ca="1" si="17"/>
        <v>542.69596773598096</v>
      </c>
      <c r="H66" s="419">
        <f t="shared" ca="1" si="10"/>
        <v>1832.8740787195452</v>
      </c>
      <c r="I66" s="416">
        <f t="shared" ca="1" si="18"/>
        <v>0</v>
      </c>
      <c r="J66" s="416">
        <f t="shared" ca="1" si="19"/>
        <v>0</v>
      </c>
      <c r="K66" s="416">
        <f t="shared" ca="1" si="11"/>
        <v>2375.5700464555262</v>
      </c>
      <c r="L66" s="416">
        <f t="shared" ca="1" si="12"/>
        <v>106706.31946847665</v>
      </c>
      <c r="M66" s="420"/>
    </row>
    <row r="67" spans="2:13">
      <c r="B67" s="202">
        <f t="shared" si="13"/>
        <v>46144</v>
      </c>
      <c r="C67" s="168">
        <f t="shared" si="14"/>
        <v>2026</v>
      </c>
      <c r="D67" s="418">
        <f t="shared" ca="1" si="15"/>
        <v>46</v>
      </c>
      <c r="E67" s="419">
        <f t="shared" ca="1" si="9"/>
        <v>106706.31946847665</v>
      </c>
      <c r="F67" s="419">
        <f t="shared" ca="1" si="16"/>
        <v>2375.5700464555262</v>
      </c>
      <c r="G67" s="419">
        <f t="shared" ca="1" si="17"/>
        <v>533.53159734238318</v>
      </c>
      <c r="H67" s="419">
        <f t="shared" ca="1" si="10"/>
        <v>1842.0384491131431</v>
      </c>
      <c r="I67" s="416">
        <f t="shared" ca="1" si="18"/>
        <v>0</v>
      </c>
      <c r="J67" s="416">
        <f t="shared" ca="1" si="19"/>
        <v>0</v>
      </c>
      <c r="K67" s="416">
        <f t="shared" ca="1" si="11"/>
        <v>2375.5700464555262</v>
      </c>
      <c r="L67" s="416">
        <f t="shared" ca="1" si="12"/>
        <v>104864.28101936351</v>
      </c>
      <c r="M67" s="420"/>
    </row>
    <row r="68" spans="2:13">
      <c r="B68" s="202">
        <f t="shared" si="13"/>
        <v>46175</v>
      </c>
      <c r="C68" s="168">
        <f t="shared" si="14"/>
        <v>2026</v>
      </c>
      <c r="D68" s="418">
        <f t="shared" ca="1" si="15"/>
        <v>47</v>
      </c>
      <c r="E68" s="419">
        <f t="shared" ca="1" si="9"/>
        <v>104864.28101936351</v>
      </c>
      <c r="F68" s="419">
        <f t="shared" ca="1" si="16"/>
        <v>2375.5700464555262</v>
      </c>
      <c r="G68" s="419">
        <f t="shared" ca="1" si="17"/>
        <v>524.32140509681756</v>
      </c>
      <c r="H68" s="419">
        <f t="shared" ca="1" si="10"/>
        <v>1851.2486413587085</v>
      </c>
      <c r="I68" s="416">
        <f t="shared" ca="1" si="18"/>
        <v>0</v>
      </c>
      <c r="J68" s="416">
        <f t="shared" ca="1" si="19"/>
        <v>0</v>
      </c>
      <c r="K68" s="416">
        <f t="shared" ca="1" si="11"/>
        <v>2375.5700464555262</v>
      </c>
      <c r="L68" s="416">
        <f t="shared" ca="1" si="12"/>
        <v>103013.03237800481</v>
      </c>
      <c r="M68" s="420"/>
    </row>
    <row r="69" spans="2:13">
      <c r="B69" s="202">
        <f t="shared" si="13"/>
        <v>46205</v>
      </c>
      <c r="C69" s="168">
        <f t="shared" si="14"/>
        <v>2026</v>
      </c>
      <c r="D69" s="418">
        <f t="shared" ca="1" si="15"/>
        <v>48</v>
      </c>
      <c r="E69" s="419">
        <f t="shared" ca="1" si="9"/>
        <v>103013.03237800481</v>
      </c>
      <c r="F69" s="419">
        <f t="shared" ca="1" si="16"/>
        <v>2375.5700464555262</v>
      </c>
      <c r="G69" s="419">
        <f t="shared" ca="1" si="17"/>
        <v>515.065161890024</v>
      </c>
      <c r="H69" s="419">
        <f t="shared" ca="1" si="10"/>
        <v>1860.5048845655022</v>
      </c>
      <c r="I69" s="416">
        <f t="shared" ca="1" si="18"/>
        <v>0</v>
      </c>
      <c r="J69" s="416">
        <f t="shared" ca="1" si="19"/>
        <v>0</v>
      </c>
      <c r="K69" s="416">
        <f t="shared" ca="1" si="11"/>
        <v>2375.5700464555262</v>
      </c>
      <c r="L69" s="416">
        <f t="shared" ca="1" si="12"/>
        <v>101152.52749343931</v>
      </c>
      <c r="M69" s="420"/>
    </row>
    <row r="70" spans="2:13">
      <c r="B70" s="202">
        <f t="shared" si="13"/>
        <v>46236</v>
      </c>
      <c r="C70" s="168">
        <f t="shared" si="14"/>
        <v>2026</v>
      </c>
      <c r="D70" s="418">
        <f t="shared" ca="1" si="15"/>
        <v>49</v>
      </c>
      <c r="E70" s="419">
        <f t="shared" ca="1" si="9"/>
        <v>101152.52749343931</v>
      </c>
      <c r="F70" s="419">
        <f t="shared" ca="1" si="16"/>
        <v>2375.5700464555262</v>
      </c>
      <c r="G70" s="419">
        <f t="shared" ca="1" si="17"/>
        <v>505.76263746719656</v>
      </c>
      <c r="H70" s="419">
        <f t="shared" ca="1" si="10"/>
        <v>1869.8074089883296</v>
      </c>
      <c r="I70" s="416">
        <f t="shared" ca="1" si="18"/>
        <v>0</v>
      </c>
      <c r="J70" s="416">
        <f t="shared" ca="1" si="19"/>
        <v>0</v>
      </c>
      <c r="K70" s="416">
        <f t="shared" ca="1" si="11"/>
        <v>2375.5700464555262</v>
      </c>
      <c r="L70" s="416">
        <f t="shared" ca="1" si="12"/>
        <v>99282.720084450979</v>
      </c>
      <c r="M70" s="420"/>
    </row>
    <row r="71" spans="2:13">
      <c r="B71" s="202">
        <f>EDATE(B70,1)</f>
        <v>46267</v>
      </c>
      <c r="C71" s="168">
        <f t="shared" si="14"/>
        <v>2026</v>
      </c>
      <c r="D71" s="418">
        <f t="shared" ca="1" si="15"/>
        <v>50</v>
      </c>
      <c r="E71" s="419">
        <f t="shared" ca="1" si="9"/>
        <v>99282.720084450979</v>
      </c>
      <c r="F71" s="419">
        <f t="shared" ca="1" si="16"/>
        <v>2375.5700464555262</v>
      </c>
      <c r="G71" s="419">
        <f t="shared" ca="1" si="17"/>
        <v>496.41360042225489</v>
      </c>
      <c r="H71" s="419">
        <f t="shared" ca="1" si="10"/>
        <v>1879.1564460332713</v>
      </c>
      <c r="I71" s="416">
        <f t="shared" ca="1" si="18"/>
        <v>0</v>
      </c>
      <c r="J71" s="416">
        <f t="shared" ca="1" si="19"/>
        <v>0</v>
      </c>
      <c r="K71" s="416">
        <f t="shared" ca="1" si="11"/>
        <v>2375.5700464555262</v>
      </c>
      <c r="L71" s="416">
        <f t="shared" ca="1" si="12"/>
        <v>97403.563638417705</v>
      </c>
      <c r="M71" s="420"/>
    </row>
    <row r="72" spans="2:13">
      <c r="B72" s="202">
        <f t="shared" si="13"/>
        <v>46297</v>
      </c>
      <c r="C72" s="168">
        <f t="shared" si="14"/>
        <v>2026</v>
      </c>
      <c r="D72" s="418">
        <f t="shared" ca="1" si="15"/>
        <v>51</v>
      </c>
      <c r="E72" s="419">
        <f t="shared" ca="1" si="9"/>
        <v>97403.563638417705</v>
      </c>
      <c r="F72" s="419">
        <f t="shared" ca="1" si="16"/>
        <v>2375.5700464555262</v>
      </c>
      <c r="G72" s="419">
        <f t="shared" ca="1" si="17"/>
        <v>487.0178181920885</v>
      </c>
      <c r="H72" s="419">
        <f t="shared" ca="1" si="10"/>
        <v>1888.5522282634377</v>
      </c>
      <c r="I72" s="416">
        <f t="shared" ca="1" si="18"/>
        <v>0</v>
      </c>
      <c r="J72" s="416">
        <f t="shared" ca="1" si="19"/>
        <v>0</v>
      </c>
      <c r="K72" s="416">
        <f t="shared" ca="1" si="11"/>
        <v>2375.5700464555262</v>
      </c>
      <c r="L72" s="416">
        <f t="shared" ca="1" si="12"/>
        <v>95515.011410154271</v>
      </c>
      <c r="M72" s="420"/>
    </row>
    <row r="73" spans="2:13">
      <c r="B73" s="202">
        <f t="shared" si="13"/>
        <v>46328</v>
      </c>
      <c r="C73" s="168">
        <f t="shared" si="14"/>
        <v>2026</v>
      </c>
      <c r="D73" s="418">
        <f t="shared" ca="1" si="15"/>
        <v>52</v>
      </c>
      <c r="E73" s="419">
        <f t="shared" ca="1" si="9"/>
        <v>95515.011410154271</v>
      </c>
      <c r="F73" s="419">
        <f t="shared" ca="1" si="16"/>
        <v>2375.5700464555262</v>
      </c>
      <c r="G73" s="419">
        <f t="shared" ca="1" si="17"/>
        <v>477.57505705077136</v>
      </c>
      <c r="H73" s="419">
        <f t="shared" ca="1" si="10"/>
        <v>1897.9949894047547</v>
      </c>
      <c r="I73" s="416">
        <f t="shared" ca="1" si="18"/>
        <v>0</v>
      </c>
      <c r="J73" s="416">
        <f t="shared" ca="1" si="19"/>
        <v>0</v>
      </c>
      <c r="K73" s="416">
        <f t="shared" ca="1" si="11"/>
        <v>2375.5700464555262</v>
      </c>
      <c r="L73" s="416">
        <f t="shared" ca="1" si="12"/>
        <v>93617.016420749511</v>
      </c>
      <c r="M73" s="420"/>
    </row>
    <row r="74" spans="2:13">
      <c r="B74" s="202">
        <f t="shared" si="13"/>
        <v>46358</v>
      </c>
      <c r="C74" s="168">
        <f t="shared" si="14"/>
        <v>2026</v>
      </c>
      <c r="D74" s="418">
        <f t="shared" ca="1" si="15"/>
        <v>53</v>
      </c>
      <c r="E74" s="419">
        <f t="shared" ca="1" si="9"/>
        <v>93617.016420749511</v>
      </c>
      <c r="F74" s="419">
        <f t="shared" ca="1" si="16"/>
        <v>2375.5700464555262</v>
      </c>
      <c r="G74" s="419">
        <f t="shared" ca="1" si="17"/>
        <v>468.08508210374754</v>
      </c>
      <c r="H74" s="419">
        <f t="shared" ca="1" si="10"/>
        <v>1907.4849643517787</v>
      </c>
      <c r="I74" s="416">
        <f t="shared" ca="1" si="18"/>
        <v>0</v>
      </c>
      <c r="J74" s="416">
        <f t="shared" ca="1" si="19"/>
        <v>0</v>
      </c>
      <c r="K74" s="416">
        <f t="shared" ca="1" si="11"/>
        <v>2375.5700464555262</v>
      </c>
      <c r="L74" s="416">
        <f t="shared" ca="1" si="12"/>
        <v>91709.53145639773</v>
      </c>
      <c r="M74" s="420"/>
    </row>
    <row r="75" spans="2:13">
      <c r="B75" s="202">
        <f t="shared" si="13"/>
        <v>46389</v>
      </c>
      <c r="C75" s="168">
        <f t="shared" si="14"/>
        <v>2027</v>
      </c>
      <c r="D75" s="418">
        <f t="shared" ca="1" si="15"/>
        <v>54</v>
      </c>
      <c r="E75" s="419">
        <f t="shared" ca="1" si="9"/>
        <v>91709.53145639773</v>
      </c>
      <c r="F75" s="419">
        <f t="shared" ca="1" si="16"/>
        <v>2375.5700464555262</v>
      </c>
      <c r="G75" s="419">
        <f t="shared" ca="1" si="17"/>
        <v>458.54765728198862</v>
      </c>
      <c r="H75" s="419">
        <f t="shared" ca="1" si="10"/>
        <v>1917.0223891735375</v>
      </c>
      <c r="I75" s="416">
        <f t="shared" ca="1" si="18"/>
        <v>0</v>
      </c>
      <c r="J75" s="416">
        <f t="shared" ca="1" si="19"/>
        <v>0</v>
      </c>
      <c r="K75" s="416">
        <f t="shared" ca="1" si="11"/>
        <v>2375.5700464555262</v>
      </c>
      <c r="L75" s="416">
        <f t="shared" ca="1" si="12"/>
        <v>89792.509067224193</v>
      </c>
      <c r="M75" s="420"/>
    </row>
    <row r="76" spans="2:13">
      <c r="B76" s="202">
        <f t="shared" si="13"/>
        <v>46420</v>
      </c>
      <c r="C76" s="168">
        <f t="shared" si="14"/>
        <v>2027</v>
      </c>
      <c r="D76" s="418">
        <f t="shared" ca="1" si="15"/>
        <v>55</v>
      </c>
      <c r="E76" s="419">
        <f t="shared" ca="1" si="9"/>
        <v>89792.509067224193</v>
      </c>
      <c r="F76" s="419">
        <f t="shared" ca="1" si="16"/>
        <v>2375.5700464555262</v>
      </c>
      <c r="G76" s="419">
        <f t="shared" ca="1" si="17"/>
        <v>448.96254533612097</v>
      </c>
      <c r="H76" s="419">
        <f t="shared" ca="1" si="10"/>
        <v>1926.6075011194052</v>
      </c>
      <c r="I76" s="416">
        <f t="shared" ca="1" si="18"/>
        <v>0</v>
      </c>
      <c r="J76" s="416">
        <f t="shared" ca="1" si="19"/>
        <v>0</v>
      </c>
      <c r="K76" s="416">
        <f t="shared" ca="1" si="11"/>
        <v>2375.5700464555262</v>
      </c>
      <c r="L76" s="416">
        <f t="shared" ca="1" si="12"/>
        <v>87865.901566104789</v>
      </c>
      <c r="M76" s="420"/>
    </row>
    <row r="77" spans="2:13">
      <c r="B77" s="202">
        <f t="shared" si="13"/>
        <v>46448</v>
      </c>
      <c r="C77" s="168">
        <f t="shared" si="14"/>
        <v>2027</v>
      </c>
      <c r="D77" s="418">
        <f t="shared" ca="1" si="15"/>
        <v>56</v>
      </c>
      <c r="E77" s="419">
        <f t="shared" ca="1" si="9"/>
        <v>87865.901566104789</v>
      </c>
      <c r="F77" s="419">
        <f t="shared" ca="1" si="16"/>
        <v>2375.5700464555262</v>
      </c>
      <c r="G77" s="419">
        <f t="shared" ca="1" si="17"/>
        <v>439.32950783052394</v>
      </c>
      <c r="H77" s="419">
        <f t="shared" ca="1" si="10"/>
        <v>1936.2405386250023</v>
      </c>
      <c r="I77" s="416">
        <f t="shared" ca="1" si="18"/>
        <v>0</v>
      </c>
      <c r="J77" s="416">
        <f t="shared" ca="1" si="19"/>
        <v>0</v>
      </c>
      <c r="K77" s="416">
        <f t="shared" ca="1" si="11"/>
        <v>2375.5700464555262</v>
      </c>
      <c r="L77" s="416">
        <f t="shared" ca="1" si="12"/>
        <v>85929.661027479786</v>
      </c>
      <c r="M77" s="420"/>
    </row>
    <row r="78" spans="2:13">
      <c r="B78" s="202">
        <f t="shared" si="13"/>
        <v>46479</v>
      </c>
      <c r="C78" s="168">
        <f t="shared" si="14"/>
        <v>2027</v>
      </c>
      <c r="D78" s="418">
        <f t="shared" ca="1" si="15"/>
        <v>57</v>
      </c>
      <c r="E78" s="419">
        <f t="shared" ca="1" si="9"/>
        <v>85929.661027479786</v>
      </c>
      <c r="F78" s="419">
        <f t="shared" ca="1" si="16"/>
        <v>2375.5700464555262</v>
      </c>
      <c r="G78" s="419">
        <f t="shared" ca="1" si="17"/>
        <v>429.64830513739889</v>
      </c>
      <c r="H78" s="419">
        <f t="shared" ca="1" si="10"/>
        <v>1945.9217413181273</v>
      </c>
      <c r="I78" s="416">
        <f t="shared" ca="1" si="18"/>
        <v>0</v>
      </c>
      <c r="J78" s="416">
        <f t="shared" ca="1" si="19"/>
        <v>0</v>
      </c>
      <c r="K78" s="416">
        <f t="shared" ca="1" si="11"/>
        <v>2375.5700464555262</v>
      </c>
      <c r="L78" s="416">
        <f t="shared" ca="1" si="12"/>
        <v>83983.739286161654</v>
      </c>
      <c r="M78" s="420"/>
    </row>
    <row r="79" spans="2:13">
      <c r="B79" s="202">
        <f t="shared" si="13"/>
        <v>46509</v>
      </c>
      <c r="C79" s="168">
        <f t="shared" si="14"/>
        <v>2027</v>
      </c>
      <c r="D79" s="418">
        <f t="shared" ca="1" si="15"/>
        <v>58</v>
      </c>
      <c r="E79" s="419">
        <f t="shared" ca="1" si="9"/>
        <v>83983.739286161654</v>
      </c>
      <c r="F79" s="419">
        <f t="shared" ca="1" si="16"/>
        <v>2375.5700464555262</v>
      </c>
      <c r="G79" s="419">
        <f t="shared" ca="1" si="17"/>
        <v>419.91869643080827</v>
      </c>
      <c r="H79" s="419">
        <f t="shared" ca="1" si="10"/>
        <v>1955.6513500247179</v>
      </c>
      <c r="I79" s="416">
        <f t="shared" ca="1" si="18"/>
        <v>0</v>
      </c>
      <c r="J79" s="416">
        <f t="shared" ca="1" si="19"/>
        <v>0</v>
      </c>
      <c r="K79" s="416">
        <f t="shared" ca="1" si="11"/>
        <v>2375.5700464555262</v>
      </c>
      <c r="L79" s="416">
        <f t="shared" ca="1" si="12"/>
        <v>82028.08793613693</v>
      </c>
      <c r="M79" s="420"/>
    </row>
    <row r="80" spans="2:13">
      <c r="B80" s="202">
        <f t="shared" si="13"/>
        <v>46540</v>
      </c>
      <c r="C80" s="168">
        <f t="shared" si="14"/>
        <v>2027</v>
      </c>
      <c r="D80" s="418">
        <f t="shared" ca="1" si="15"/>
        <v>59</v>
      </c>
      <c r="E80" s="419">
        <f t="shared" ca="1" si="9"/>
        <v>82028.08793613693</v>
      </c>
      <c r="F80" s="419">
        <f t="shared" ca="1" si="16"/>
        <v>2375.5700464555262</v>
      </c>
      <c r="G80" s="419">
        <f t="shared" ca="1" si="17"/>
        <v>410.14043968068466</v>
      </c>
      <c r="H80" s="419">
        <f t="shared" ca="1" si="10"/>
        <v>1965.4296067748414</v>
      </c>
      <c r="I80" s="416">
        <f t="shared" ca="1" si="18"/>
        <v>0</v>
      </c>
      <c r="J80" s="416">
        <f t="shared" ca="1" si="19"/>
        <v>0</v>
      </c>
      <c r="K80" s="416">
        <f t="shared" ca="1" si="11"/>
        <v>2375.5700464555262</v>
      </c>
      <c r="L80" s="416">
        <f t="shared" ca="1" si="12"/>
        <v>80062.658329362093</v>
      </c>
      <c r="M80" s="420"/>
    </row>
    <row r="81" spans="2:13">
      <c r="B81" s="202">
        <f t="shared" si="13"/>
        <v>46570</v>
      </c>
      <c r="C81" s="168">
        <f t="shared" si="14"/>
        <v>2027</v>
      </c>
      <c r="D81" s="418">
        <f t="shared" ca="1" si="15"/>
        <v>60</v>
      </c>
      <c r="E81" s="419">
        <f t="shared" ca="1" si="9"/>
        <v>80062.658329362093</v>
      </c>
      <c r="F81" s="419">
        <f t="shared" ca="1" si="16"/>
        <v>2375.5700464555262</v>
      </c>
      <c r="G81" s="419">
        <f t="shared" ca="1" si="17"/>
        <v>400.31329164681046</v>
      </c>
      <c r="H81" s="419">
        <f t="shared" ca="1" si="10"/>
        <v>1975.2567548087156</v>
      </c>
      <c r="I81" s="416">
        <f t="shared" ca="1" si="18"/>
        <v>78087.401574553383</v>
      </c>
      <c r="J81" s="416">
        <f t="shared" ca="1" si="19"/>
        <v>0</v>
      </c>
      <c r="K81" s="416">
        <f t="shared" ca="1" si="11"/>
        <v>80462.97162100891</v>
      </c>
      <c r="L81" s="416">
        <f t="shared" ca="1" si="12"/>
        <v>0</v>
      </c>
      <c r="M81" s="420"/>
    </row>
    <row r="82" spans="2:13">
      <c r="B82" s="202">
        <f t="shared" si="13"/>
        <v>46601</v>
      </c>
      <c r="C82" s="168">
        <f t="shared" si="14"/>
        <v>2027</v>
      </c>
      <c r="D82" s="168" t="str">
        <f ca="1">IF(OR($D81="",D81=$D$8*$D$11,$L81=0),"",$D81+1)</f>
        <v/>
      </c>
      <c r="E82" s="203" t="str">
        <f t="shared" ca="1" si="9"/>
        <v/>
      </c>
      <c r="F82" s="203" t="str">
        <f t="shared" ca="1" si="16"/>
        <v/>
      </c>
      <c r="G82" s="203" t="str">
        <f t="shared" ca="1" si="17"/>
        <v/>
      </c>
      <c r="H82" s="203" t="str">
        <f t="shared" ca="1" si="10"/>
        <v/>
      </c>
      <c r="I82" s="29" t="str">
        <f t="shared" ca="1" si="18"/>
        <v/>
      </c>
      <c r="J82" s="29" t="str">
        <f t="shared" ca="1" si="19"/>
        <v/>
      </c>
      <c r="K82" s="203" t="str">
        <f t="shared" ca="1" si="11"/>
        <v/>
      </c>
      <c r="L82" s="203" t="str">
        <f t="shared" ca="1" si="12"/>
        <v/>
      </c>
    </row>
    <row r="83" spans="2:13">
      <c r="B83" s="202">
        <f t="shared" si="13"/>
        <v>46632</v>
      </c>
      <c r="C83" s="168">
        <f t="shared" si="14"/>
        <v>2027</v>
      </c>
      <c r="D83" s="168" t="str">
        <f t="shared" ca="1" si="15"/>
        <v/>
      </c>
      <c r="E83" s="203" t="str">
        <f t="shared" ca="1" si="9"/>
        <v/>
      </c>
      <c r="F83" s="203" t="str">
        <f t="shared" ca="1" si="16"/>
        <v/>
      </c>
      <c r="G83" s="203" t="str">
        <f t="shared" ca="1" si="17"/>
        <v/>
      </c>
      <c r="H83" s="203" t="str">
        <f t="shared" ca="1" si="10"/>
        <v/>
      </c>
      <c r="I83" s="29" t="str">
        <f t="shared" ca="1" si="18"/>
        <v/>
      </c>
      <c r="J83" s="29" t="str">
        <f t="shared" ca="1" si="19"/>
        <v/>
      </c>
      <c r="K83" s="203" t="str">
        <f t="shared" ca="1" si="11"/>
        <v/>
      </c>
      <c r="L83" s="203" t="str">
        <f t="shared" ca="1" si="12"/>
        <v/>
      </c>
    </row>
    <row r="84" spans="2:13">
      <c r="B84" s="202">
        <f t="shared" si="13"/>
        <v>46662</v>
      </c>
      <c r="C84" s="168">
        <f t="shared" si="14"/>
        <v>2027</v>
      </c>
      <c r="D84" s="168" t="str">
        <f t="shared" ca="1" si="15"/>
        <v/>
      </c>
      <c r="E84" s="203" t="str">
        <f t="shared" ca="1" si="9"/>
        <v/>
      </c>
      <c r="F84" s="203" t="str">
        <f t="shared" ca="1" si="16"/>
        <v/>
      </c>
      <c r="G84" s="203" t="str">
        <f t="shared" ca="1" si="17"/>
        <v/>
      </c>
      <c r="H84" s="203" t="str">
        <f t="shared" ca="1" si="10"/>
        <v/>
      </c>
      <c r="I84" s="29" t="str">
        <f t="shared" ca="1" si="18"/>
        <v/>
      </c>
      <c r="J84" s="29" t="str">
        <f t="shared" ca="1" si="19"/>
        <v/>
      </c>
      <c r="K84" s="203" t="str">
        <f t="shared" ca="1" si="11"/>
        <v/>
      </c>
      <c r="L84" s="203" t="str">
        <f t="shared" ca="1" si="12"/>
        <v/>
      </c>
    </row>
    <row r="85" spans="2:13">
      <c r="B85" s="202">
        <f t="shared" si="13"/>
        <v>46693</v>
      </c>
      <c r="C85" s="168">
        <f t="shared" si="14"/>
        <v>2027</v>
      </c>
      <c r="D85" s="168" t="str">
        <f t="shared" ca="1" si="15"/>
        <v/>
      </c>
      <c r="E85" s="203" t="str">
        <f t="shared" ca="1" si="9"/>
        <v/>
      </c>
      <c r="F85" s="203" t="str">
        <f t="shared" ca="1" si="16"/>
        <v/>
      </c>
      <c r="G85" s="203" t="str">
        <f t="shared" ca="1" si="17"/>
        <v/>
      </c>
      <c r="H85" s="203" t="str">
        <f t="shared" ca="1" si="10"/>
        <v/>
      </c>
      <c r="I85" s="29" t="str">
        <f t="shared" ca="1" si="18"/>
        <v/>
      </c>
      <c r="J85" s="29" t="str">
        <f t="shared" ca="1" si="19"/>
        <v/>
      </c>
      <c r="K85" s="203" t="str">
        <f t="shared" ca="1" si="11"/>
        <v/>
      </c>
      <c r="L85" s="203" t="str">
        <f t="shared" ca="1" si="12"/>
        <v/>
      </c>
    </row>
    <row r="86" spans="2:13">
      <c r="B86" s="202">
        <f t="shared" si="13"/>
        <v>46723</v>
      </c>
      <c r="C86" s="168">
        <f t="shared" si="14"/>
        <v>2027</v>
      </c>
      <c r="D86" s="168" t="str">
        <f t="shared" ref="D86:D117" ca="1" si="20">IF(OR($D85="",D85=$D$8*$D$11,$L85=0),"",$D85+1)</f>
        <v/>
      </c>
      <c r="E86" s="203" t="str">
        <f t="shared" ca="1" si="9"/>
        <v/>
      </c>
      <c r="F86" s="203" t="str">
        <f t="shared" ref="F86:F117" ca="1" si="21">IF(D86="","",MIN(E86+G86,(D86&lt;=($D$9*$D$11))*$L$9+(D86&gt;($D$9*$D$11))*$L$10))</f>
        <v/>
      </c>
      <c r="G86" s="203" t="str">
        <f t="shared" ref="G86:G117" ca="1" si="22">IF(D86="","",((E86*$D$13)/$D$11))</f>
        <v/>
      </c>
      <c r="H86" s="203" t="str">
        <f t="shared" ca="1" si="10"/>
        <v/>
      </c>
      <c r="I86" s="29" t="str">
        <f t="shared" ref="I86:I117" ca="1" si="23">IF($D86="","",($D86=$D$8*$D$11)*($E86-$H86-$J86))</f>
        <v/>
      </c>
      <c r="J86" s="29" t="str">
        <f t="shared" ref="J86:J117" ca="1" si="24">IF($D86="","",MIN($H$11,$E86-$H86))</f>
        <v/>
      </c>
      <c r="K86" s="203" t="str">
        <f t="shared" ca="1" si="11"/>
        <v/>
      </c>
      <c r="L86" s="203" t="str">
        <f t="shared" ca="1" si="12"/>
        <v/>
      </c>
    </row>
    <row r="87" spans="2:13">
      <c r="B87" s="202">
        <f t="shared" si="13"/>
        <v>46754</v>
      </c>
      <c r="C87" s="168">
        <f t="shared" si="14"/>
        <v>2028</v>
      </c>
      <c r="D87" s="168" t="str">
        <f t="shared" ca="1" si="20"/>
        <v/>
      </c>
      <c r="E87" s="203" t="str">
        <f t="shared" ref="E87:E150" ca="1" si="25">IF(D87="","",L86)</f>
        <v/>
      </c>
      <c r="F87" s="203" t="str">
        <f t="shared" ca="1" si="21"/>
        <v/>
      </c>
      <c r="G87" s="203" t="str">
        <f t="shared" ca="1" si="22"/>
        <v/>
      </c>
      <c r="H87" s="203" t="str">
        <f t="shared" ref="H87:H150" ca="1" si="26">IF(D87="","",F87-G87)</f>
        <v/>
      </c>
      <c r="I87" s="29" t="str">
        <f t="shared" ca="1" si="23"/>
        <v/>
      </c>
      <c r="J87" s="29" t="str">
        <f t="shared" ca="1" si="24"/>
        <v/>
      </c>
      <c r="K87" s="203" t="str">
        <f t="shared" ref="K87:K150" ca="1" si="27">IF($D87="","",SUM($G87:$J87))</f>
        <v/>
      </c>
      <c r="L87" s="203" t="str">
        <f t="shared" ref="L87:L150" ca="1" si="28">IF($D87="","",$E87-$H87-$I87-$J87)</f>
        <v/>
      </c>
    </row>
    <row r="88" spans="2:13">
      <c r="B88" s="202">
        <f t="shared" ref="B88:B141" si="29">EDATE(B87,1)</f>
        <v>46785</v>
      </c>
      <c r="C88" s="168">
        <f t="shared" ref="C88:C141" si="30">YEAR(B88)</f>
        <v>2028</v>
      </c>
      <c r="D88" s="168" t="str">
        <f t="shared" ca="1" si="20"/>
        <v/>
      </c>
      <c r="E88" s="203" t="str">
        <f t="shared" ca="1" si="25"/>
        <v/>
      </c>
      <c r="F88" s="203" t="str">
        <f t="shared" ca="1" si="21"/>
        <v/>
      </c>
      <c r="G88" s="203" t="str">
        <f t="shared" ca="1" si="22"/>
        <v/>
      </c>
      <c r="H88" s="203" t="str">
        <f t="shared" ca="1" si="26"/>
        <v/>
      </c>
      <c r="I88" s="29" t="str">
        <f t="shared" ca="1" si="23"/>
        <v/>
      </c>
      <c r="J88" s="29" t="str">
        <f t="shared" ca="1" si="24"/>
        <v/>
      </c>
      <c r="K88" s="203" t="str">
        <f t="shared" ca="1" si="27"/>
        <v/>
      </c>
      <c r="L88" s="203" t="str">
        <f t="shared" ca="1" si="28"/>
        <v/>
      </c>
    </row>
    <row r="89" spans="2:13">
      <c r="B89" s="202">
        <f t="shared" si="29"/>
        <v>46814</v>
      </c>
      <c r="C89" s="168">
        <f t="shared" si="30"/>
        <v>2028</v>
      </c>
      <c r="D89" s="168" t="str">
        <f t="shared" ca="1" si="20"/>
        <v/>
      </c>
      <c r="E89" s="203" t="str">
        <f t="shared" ca="1" si="25"/>
        <v/>
      </c>
      <c r="F89" s="203" t="str">
        <f t="shared" ca="1" si="21"/>
        <v/>
      </c>
      <c r="G89" s="203" t="str">
        <f t="shared" ca="1" si="22"/>
        <v/>
      </c>
      <c r="H89" s="203" t="str">
        <f t="shared" ca="1" si="26"/>
        <v/>
      </c>
      <c r="I89" s="29" t="str">
        <f t="shared" ca="1" si="23"/>
        <v/>
      </c>
      <c r="J89" s="29" t="str">
        <f t="shared" ca="1" si="24"/>
        <v/>
      </c>
      <c r="K89" s="203" t="str">
        <f t="shared" ca="1" si="27"/>
        <v/>
      </c>
      <c r="L89" s="203" t="str">
        <f t="shared" ca="1" si="28"/>
        <v/>
      </c>
    </row>
    <row r="90" spans="2:13">
      <c r="B90" s="202">
        <f t="shared" si="29"/>
        <v>46845</v>
      </c>
      <c r="C90" s="168">
        <f t="shared" si="30"/>
        <v>2028</v>
      </c>
      <c r="D90" s="168" t="str">
        <f t="shared" ca="1" si="20"/>
        <v/>
      </c>
      <c r="E90" s="203" t="str">
        <f t="shared" ca="1" si="25"/>
        <v/>
      </c>
      <c r="F90" s="203" t="str">
        <f t="shared" ca="1" si="21"/>
        <v/>
      </c>
      <c r="G90" s="203" t="str">
        <f t="shared" ca="1" si="22"/>
        <v/>
      </c>
      <c r="H90" s="203" t="str">
        <f t="shared" ca="1" si="26"/>
        <v/>
      </c>
      <c r="I90" s="29" t="str">
        <f t="shared" ca="1" si="23"/>
        <v/>
      </c>
      <c r="J90" s="29" t="str">
        <f t="shared" ca="1" si="24"/>
        <v/>
      </c>
      <c r="K90" s="203" t="str">
        <f t="shared" ca="1" si="27"/>
        <v/>
      </c>
      <c r="L90" s="203" t="str">
        <f t="shared" ca="1" si="28"/>
        <v/>
      </c>
    </row>
    <row r="91" spans="2:13">
      <c r="B91" s="202">
        <f t="shared" si="29"/>
        <v>46875</v>
      </c>
      <c r="C91" s="168">
        <f t="shared" si="30"/>
        <v>2028</v>
      </c>
      <c r="D91" s="168" t="str">
        <f t="shared" ca="1" si="20"/>
        <v/>
      </c>
      <c r="E91" s="203" t="str">
        <f t="shared" ca="1" si="25"/>
        <v/>
      </c>
      <c r="F91" s="203" t="str">
        <f t="shared" ca="1" si="21"/>
        <v/>
      </c>
      <c r="G91" s="203" t="str">
        <f t="shared" ca="1" si="22"/>
        <v/>
      </c>
      <c r="H91" s="203" t="str">
        <f t="shared" ca="1" si="26"/>
        <v/>
      </c>
      <c r="I91" s="29" t="str">
        <f t="shared" ca="1" si="23"/>
        <v/>
      </c>
      <c r="J91" s="29" t="str">
        <f t="shared" ca="1" si="24"/>
        <v/>
      </c>
      <c r="K91" s="203" t="str">
        <f t="shared" ca="1" si="27"/>
        <v/>
      </c>
      <c r="L91" s="203" t="str">
        <f t="shared" ca="1" si="28"/>
        <v/>
      </c>
    </row>
    <row r="92" spans="2:13">
      <c r="B92" s="202">
        <f t="shared" si="29"/>
        <v>46906</v>
      </c>
      <c r="C92" s="168">
        <f t="shared" si="30"/>
        <v>2028</v>
      </c>
      <c r="D92" s="168" t="str">
        <f t="shared" ca="1" si="20"/>
        <v/>
      </c>
      <c r="E92" s="203" t="str">
        <f t="shared" ca="1" si="25"/>
        <v/>
      </c>
      <c r="F92" s="203" t="str">
        <f t="shared" ca="1" si="21"/>
        <v/>
      </c>
      <c r="G92" s="203" t="str">
        <f t="shared" ca="1" si="22"/>
        <v/>
      </c>
      <c r="H92" s="203" t="str">
        <f t="shared" ca="1" si="26"/>
        <v/>
      </c>
      <c r="I92" s="29" t="str">
        <f t="shared" ca="1" si="23"/>
        <v/>
      </c>
      <c r="J92" s="29" t="str">
        <f t="shared" ca="1" si="24"/>
        <v/>
      </c>
      <c r="K92" s="203" t="str">
        <f t="shared" ca="1" si="27"/>
        <v/>
      </c>
      <c r="L92" s="203" t="str">
        <f t="shared" ca="1" si="28"/>
        <v/>
      </c>
    </row>
    <row r="93" spans="2:13">
      <c r="B93" s="202">
        <f t="shared" si="29"/>
        <v>46936</v>
      </c>
      <c r="C93" s="168">
        <f t="shared" si="30"/>
        <v>2028</v>
      </c>
      <c r="D93" s="168" t="str">
        <f t="shared" ca="1" si="20"/>
        <v/>
      </c>
      <c r="E93" s="203" t="str">
        <f t="shared" ca="1" si="25"/>
        <v/>
      </c>
      <c r="F93" s="203" t="str">
        <f t="shared" ca="1" si="21"/>
        <v/>
      </c>
      <c r="G93" s="203" t="str">
        <f t="shared" ca="1" si="22"/>
        <v/>
      </c>
      <c r="H93" s="203" t="str">
        <f t="shared" ca="1" si="26"/>
        <v/>
      </c>
      <c r="I93" s="29" t="str">
        <f t="shared" ca="1" si="23"/>
        <v/>
      </c>
      <c r="J93" s="29" t="str">
        <f t="shared" ca="1" si="24"/>
        <v/>
      </c>
      <c r="K93" s="203" t="str">
        <f t="shared" ca="1" si="27"/>
        <v/>
      </c>
      <c r="L93" s="203" t="str">
        <f t="shared" ca="1" si="28"/>
        <v/>
      </c>
    </row>
    <row r="94" spans="2:13">
      <c r="B94" s="202">
        <f t="shared" si="29"/>
        <v>46967</v>
      </c>
      <c r="C94" s="168">
        <f t="shared" si="30"/>
        <v>2028</v>
      </c>
      <c r="D94" s="168" t="str">
        <f t="shared" ca="1" si="20"/>
        <v/>
      </c>
      <c r="E94" s="203" t="str">
        <f t="shared" ca="1" si="25"/>
        <v/>
      </c>
      <c r="F94" s="203" t="str">
        <f t="shared" ca="1" si="21"/>
        <v/>
      </c>
      <c r="G94" s="203" t="str">
        <f t="shared" ca="1" si="22"/>
        <v/>
      </c>
      <c r="H94" s="203" t="str">
        <f t="shared" ca="1" si="26"/>
        <v/>
      </c>
      <c r="I94" s="29" t="str">
        <f t="shared" ca="1" si="23"/>
        <v/>
      </c>
      <c r="J94" s="29" t="str">
        <f t="shared" ca="1" si="24"/>
        <v/>
      </c>
      <c r="K94" s="203" t="str">
        <f t="shared" ca="1" si="27"/>
        <v/>
      </c>
      <c r="L94" s="203" t="str">
        <f t="shared" ca="1" si="28"/>
        <v/>
      </c>
    </row>
    <row r="95" spans="2:13">
      <c r="B95" s="202">
        <f t="shared" si="29"/>
        <v>46998</v>
      </c>
      <c r="C95" s="168">
        <f t="shared" si="30"/>
        <v>2028</v>
      </c>
      <c r="D95" s="168" t="str">
        <f t="shared" ca="1" si="20"/>
        <v/>
      </c>
      <c r="E95" s="203" t="str">
        <f t="shared" ca="1" si="25"/>
        <v/>
      </c>
      <c r="F95" s="203" t="str">
        <f t="shared" ca="1" si="21"/>
        <v/>
      </c>
      <c r="G95" s="203" t="str">
        <f t="shared" ca="1" si="22"/>
        <v/>
      </c>
      <c r="H95" s="203" t="str">
        <f t="shared" ca="1" si="26"/>
        <v/>
      </c>
      <c r="I95" s="29" t="str">
        <f t="shared" ca="1" si="23"/>
        <v/>
      </c>
      <c r="J95" s="29" t="str">
        <f t="shared" ca="1" si="24"/>
        <v/>
      </c>
      <c r="K95" s="203" t="str">
        <f t="shared" ca="1" si="27"/>
        <v/>
      </c>
      <c r="L95" s="203" t="str">
        <f t="shared" ca="1" si="28"/>
        <v/>
      </c>
    </row>
    <row r="96" spans="2:13">
      <c r="B96" s="202">
        <f t="shared" si="29"/>
        <v>47028</v>
      </c>
      <c r="C96" s="168">
        <f t="shared" si="30"/>
        <v>2028</v>
      </c>
      <c r="D96" s="168" t="str">
        <f t="shared" ca="1" si="20"/>
        <v/>
      </c>
      <c r="E96" s="203" t="str">
        <f t="shared" ca="1" si="25"/>
        <v/>
      </c>
      <c r="F96" s="203" t="str">
        <f t="shared" ca="1" si="21"/>
        <v/>
      </c>
      <c r="G96" s="203" t="str">
        <f t="shared" ca="1" si="22"/>
        <v/>
      </c>
      <c r="H96" s="203" t="str">
        <f t="shared" ca="1" si="26"/>
        <v/>
      </c>
      <c r="I96" s="29" t="str">
        <f t="shared" ca="1" si="23"/>
        <v/>
      </c>
      <c r="J96" s="29" t="str">
        <f t="shared" ca="1" si="24"/>
        <v/>
      </c>
      <c r="K96" s="203" t="str">
        <f t="shared" ca="1" si="27"/>
        <v/>
      </c>
      <c r="L96" s="203" t="str">
        <f t="shared" ca="1" si="28"/>
        <v/>
      </c>
    </row>
    <row r="97" spans="2:12">
      <c r="B97" s="202">
        <f t="shared" si="29"/>
        <v>47059</v>
      </c>
      <c r="C97" s="168">
        <f t="shared" si="30"/>
        <v>2028</v>
      </c>
      <c r="D97" s="168" t="str">
        <f t="shared" ca="1" si="20"/>
        <v/>
      </c>
      <c r="E97" s="203" t="str">
        <f t="shared" ca="1" si="25"/>
        <v/>
      </c>
      <c r="F97" s="203" t="str">
        <f t="shared" ca="1" si="21"/>
        <v/>
      </c>
      <c r="G97" s="203" t="str">
        <f t="shared" ca="1" si="22"/>
        <v/>
      </c>
      <c r="H97" s="203" t="str">
        <f t="shared" ca="1" si="26"/>
        <v/>
      </c>
      <c r="I97" s="29" t="str">
        <f t="shared" ca="1" si="23"/>
        <v/>
      </c>
      <c r="J97" s="29" t="str">
        <f t="shared" ca="1" si="24"/>
        <v/>
      </c>
      <c r="K97" s="203" t="str">
        <f t="shared" ca="1" si="27"/>
        <v/>
      </c>
      <c r="L97" s="203" t="str">
        <f t="shared" ca="1" si="28"/>
        <v/>
      </c>
    </row>
    <row r="98" spans="2:12">
      <c r="B98" s="202">
        <f t="shared" si="29"/>
        <v>47089</v>
      </c>
      <c r="C98" s="168">
        <f t="shared" si="30"/>
        <v>2028</v>
      </c>
      <c r="D98" s="168" t="str">
        <f t="shared" ca="1" si="20"/>
        <v/>
      </c>
      <c r="E98" s="203" t="str">
        <f t="shared" ca="1" si="25"/>
        <v/>
      </c>
      <c r="F98" s="203" t="str">
        <f t="shared" ca="1" si="21"/>
        <v/>
      </c>
      <c r="G98" s="203" t="str">
        <f t="shared" ca="1" si="22"/>
        <v/>
      </c>
      <c r="H98" s="203" t="str">
        <f t="shared" ca="1" si="26"/>
        <v/>
      </c>
      <c r="I98" s="29" t="str">
        <f t="shared" ca="1" si="23"/>
        <v/>
      </c>
      <c r="J98" s="29" t="str">
        <f t="shared" ca="1" si="24"/>
        <v/>
      </c>
      <c r="K98" s="203" t="str">
        <f t="shared" ca="1" si="27"/>
        <v/>
      </c>
      <c r="L98" s="203" t="str">
        <f t="shared" ca="1" si="28"/>
        <v/>
      </c>
    </row>
    <row r="99" spans="2:12">
      <c r="B99" s="202">
        <f t="shared" si="29"/>
        <v>47120</v>
      </c>
      <c r="C99" s="168">
        <f t="shared" si="30"/>
        <v>2029</v>
      </c>
      <c r="D99" s="168" t="str">
        <f t="shared" ca="1" si="20"/>
        <v/>
      </c>
      <c r="E99" s="203" t="str">
        <f t="shared" ca="1" si="25"/>
        <v/>
      </c>
      <c r="F99" s="203" t="str">
        <f t="shared" ca="1" si="21"/>
        <v/>
      </c>
      <c r="G99" s="203" t="str">
        <f t="shared" ca="1" si="22"/>
        <v/>
      </c>
      <c r="H99" s="203" t="str">
        <f t="shared" ca="1" si="26"/>
        <v/>
      </c>
      <c r="I99" s="29" t="str">
        <f t="shared" ca="1" si="23"/>
        <v/>
      </c>
      <c r="J99" s="29" t="str">
        <f t="shared" ca="1" si="24"/>
        <v/>
      </c>
      <c r="K99" s="203" t="str">
        <f t="shared" ca="1" si="27"/>
        <v/>
      </c>
      <c r="L99" s="203" t="str">
        <f t="shared" ca="1" si="28"/>
        <v/>
      </c>
    </row>
    <row r="100" spans="2:12">
      <c r="B100" s="202">
        <f t="shared" si="29"/>
        <v>47151</v>
      </c>
      <c r="C100" s="168">
        <f t="shared" si="30"/>
        <v>2029</v>
      </c>
      <c r="D100" s="168" t="str">
        <f t="shared" ca="1" si="20"/>
        <v/>
      </c>
      <c r="E100" s="203" t="str">
        <f t="shared" ca="1" si="25"/>
        <v/>
      </c>
      <c r="F100" s="203" t="str">
        <f t="shared" ca="1" si="21"/>
        <v/>
      </c>
      <c r="G100" s="203" t="str">
        <f t="shared" ca="1" si="22"/>
        <v/>
      </c>
      <c r="H100" s="203" t="str">
        <f t="shared" ca="1" si="26"/>
        <v/>
      </c>
      <c r="I100" s="29" t="str">
        <f t="shared" ca="1" si="23"/>
        <v/>
      </c>
      <c r="J100" s="29" t="str">
        <f t="shared" ca="1" si="24"/>
        <v/>
      </c>
      <c r="K100" s="203" t="str">
        <f t="shared" ca="1" si="27"/>
        <v/>
      </c>
      <c r="L100" s="203" t="str">
        <f t="shared" ca="1" si="28"/>
        <v/>
      </c>
    </row>
    <row r="101" spans="2:12">
      <c r="B101" s="202">
        <f t="shared" si="29"/>
        <v>47179</v>
      </c>
      <c r="C101" s="168">
        <f t="shared" si="30"/>
        <v>2029</v>
      </c>
      <c r="D101" s="168" t="str">
        <f t="shared" ca="1" si="20"/>
        <v/>
      </c>
      <c r="E101" s="203" t="str">
        <f t="shared" ca="1" si="25"/>
        <v/>
      </c>
      <c r="F101" s="203" t="str">
        <f t="shared" ca="1" si="21"/>
        <v/>
      </c>
      <c r="G101" s="203" t="str">
        <f t="shared" ca="1" si="22"/>
        <v/>
      </c>
      <c r="H101" s="203" t="str">
        <f t="shared" ca="1" si="26"/>
        <v/>
      </c>
      <c r="I101" s="29" t="str">
        <f t="shared" ca="1" si="23"/>
        <v/>
      </c>
      <c r="J101" s="29" t="str">
        <f t="shared" ca="1" si="24"/>
        <v/>
      </c>
      <c r="K101" s="203" t="str">
        <f t="shared" ca="1" si="27"/>
        <v/>
      </c>
      <c r="L101" s="203" t="str">
        <f t="shared" ca="1" si="28"/>
        <v/>
      </c>
    </row>
    <row r="102" spans="2:12">
      <c r="B102" s="202">
        <f t="shared" si="29"/>
        <v>47210</v>
      </c>
      <c r="C102" s="168">
        <f t="shared" si="30"/>
        <v>2029</v>
      </c>
      <c r="D102" s="168" t="str">
        <f t="shared" ca="1" si="20"/>
        <v/>
      </c>
      <c r="E102" s="203" t="str">
        <f t="shared" ca="1" si="25"/>
        <v/>
      </c>
      <c r="F102" s="203" t="str">
        <f t="shared" ca="1" si="21"/>
        <v/>
      </c>
      <c r="G102" s="203" t="str">
        <f t="shared" ca="1" si="22"/>
        <v/>
      </c>
      <c r="H102" s="203" t="str">
        <f t="shared" ca="1" si="26"/>
        <v/>
      </c>
      <c r="I102" s="29" t="str">
        <f t="shared" ca="1" si="23"/>
        <v/>
      </c>
      <c r="J102" s="29" t="str">
        <f t="shared" ca="1" si="24"/>
        <v/>
      </c>
      <c r="K102" s="203" t="str">
        <f t="shared" ca="1" si="27"/>
        <v/>
      </c>
      <c r="L102" s="203" t="str">
        <f t="shared" ca="1" si="28"/>
        <v/>
      </c>
    </row>
    <row r="103" spans="2:12">
      <c r="B103" s="202">
        <f t="shared" si="29"/>
        <v>47240</v>
      </c>
      <c r="C103" s="168">
        <f t="shared" si="30"/>
        <v>2029</v>
      </c>
      <c r="D103" s="168" t="str">
        <f t="shared" ca="1" si="20"/>
        <v/>
      </c>
      <c r="E103" s="203" t="str">
        <f t="shared" ca="1" si="25"/>
        <v/>
      </c>
      <c r="F103" s="203" t="str">
        <f t="shared" ca="1" si="21"/>
        <v/>
      </c>
      <c r="G103" s="203" t="str">
        <f t="shared" ca="1" si="22"/>
        <v/>
      </c>
      <c r="H103" s="203" t="str">
        <f t="shared" ca="1" si="26"/>
        <v/>
      </c>
      <c r="I103" s="29" t="str">
        <f t="shared" ca="1" si="23"/>
        <v/>
      </c>
      <c r="J103" s="29" t="str">
        <f t="shared" ca="1" si="24"/>
        <v/>
      </c>
      <c r="K103" s="203" t="str">
        <f t="shared" ca="1" si="27"/>
        <v/>
      </c>
      <c r="L103" s="203" t="str">
        <f t="shared" ca="1" si="28"/>
        <v/>
      </c>
    </row>
    <row r="104" spans="2:12">
      <c r="B104" s="202">
        <f t="shared" si="29"/>
        <v>47271</v>
      </c>
      <c r="C104" s="168">
        <f t="shared" si="30"/>
        <v>2029</v>
      </c>
      <c r="D104" s="168" t="str">
        <f t="shared" ca="1" si="20"/>
        <v/>
      </c>
      <c r="E104" s="203" t="str">
        <f t="shared" ca="1" si="25"/>
        <v/>
      </c>
      <c r="F104" s="203" t="str">
        <f t="shared" ca="1" si="21"/>
        <v/>
      </c>
      <c r="G104" s="203" t="str">
        <f t="shared" ca="1" si="22"/>
        <v/>
      </c>
      <c r="H104" s="203" t="str">
        <f t="shared" ca="1" si="26"/>
        <v/>
      </c>
      <c r="I104" s="29" t="str">
        <f t="shared" ca="1" si="23"/>
        <v/>
      </c>
      <c r="J104" s="29" t="str">
        <f t="shared" ca="1" si="24"/>
        <v/>
      </c>
      <c r="K104" s="203" t="str">
        <f t="shared" ca="1" si="27"/>
        <v/>
      </c>
      <c r="L104" s="203" t="str">
        <f t="shared" ca="1" si="28"/>
        <v/>
      </c>
    </row>
    <row r="105" spans="2:12">
      <c r="B105" s="202">
        <f t="shared" si="29"/>
        <v>47301</v>
      </c>
      <c r="C105" s="168">
        <f t="shared" si="30"/>
        <v>2029</v>
      </c>
      <c r="D105" s="168" t="str">
        <f t="shared" ca="1" si="20"/>
        <v/>
      </c>
      <c r="E105" s="203" t="str">
        <f t="shared" ca="1" si="25"/>
        <v/>
      </c>
      <c r="F105" s="203" t="str">
        <f t="shared" ca="1" si="21"/>
        <v/>
      </c>
      <c r="G105" s="203" t="str">
        <f t="shared" ca="1" si="22"/>
        <v/>
      </c>
      <c r="H105" s="203" t="str">
        <f t="shared" ca="1" si="26"/>
        <v/>
      </c>
      <c r="I105" s="29" t="str">
        <f t="shared" ca="1" si="23"/>
        <v/>
      </c>
      <c r="J105" s="29" t="str">
        <f t="shared" ca="1" si="24"/>
        <v/>
      </c>
      <c r="K105" s="203" t="str">
        <f t="shared" ca="1" si="27"/>
        <v/>
      </c>
      <c r="L105" s="203" t="str">
        <f t="shared" ca="1" si="28"/>
        <v/>
      </c>
    </row>
    <row r="106" spans="2:12">
      <c r="B106" s="202">
        <f t="shared" si="29"/>
        <v>47332</v>
      </c>
      <c r="C106" s="168">
        <f t="shared" si="30"/>
        <v>2029</v>
      </c>
      <c r="D106" s="168" t="str">
        <f t="shared" ca="1" si="20"/>
        <v/>
      </c>
      <c r="E106" s="203" t="str">
        <f t="shared" ca="1" si="25"/>
        <v/>
      </c>
      <c r="F106" s="203" t="str">
        <f t="shared" ca="1" si="21"/>
        <v/>
      </c>
      <c r="G106" s="203" t="str">
        <f t="shared" ca="1" si="22"/>
        <v/>
      </c>
      <c r="H106" s="203" t="str">
        <f t="shared" ca="1" si="26"/>
        <v/>
      </c>
      <c r="I106" s="29" t="str">
        <f t="shared" ca="1" si="23"/>
        <v/>
      </c>
      <c r="J106" s="29" t="str">
        <f t="shared" ca="1" si="24"/>
        <v/>
      </c>
      <c r="K106" s="203" t="str">
        <f t="shared" ca="1" si="27"/>
        <v/>
      </c>
      <c r="L106" s="203" t="str">
        <f t="shared" ca="1" si="28"/>
        <v/>
      </c>
    </row>
    <row r="107" spans="2:12">
      <c r="B107" s="202">
        <f t="shared" si="29"/>
        <v>47363</v>
      </c>
      <c r="C107" s="168">
        <f t="shared" si="30"/>
        <v>2029</v>
      </c>
      <c r="D107" s="168" t="str">
        <f t="shared" ca="1" si="20"/>
        <v/>
      </c>
      <c r="E107" s="203" t="str">
        <f t="shared" ca="1" si="25"/>
        <v/>
      </c>
      <c r="F107" s="203" t="str">
        <f t="shared" ca="1" si="21"/>
        <v/>
      </c>
      <c r="G107" s="203" t="str">
        <f t="shared" ca="1" si="22"/>
        <v/>
      </c>
      <c r="H107" s="203" t="str">
        <f t="shared" ca="1" si="26"/>
        <v/>
      </c>
      <c r="I107" s="29" t="str">
        <f t="shared" ca="1" si="23"/>
        <v/>
      </c>
      <c r="J107" s="29" t="str">
        <f t="shared" ca="1" si="24"/>
        <v/>
      </c>
      <c r="K107" s="203" t="str">
        <f t="shared" ca="1" si="27"/>
        <v/>
      </c>
      <c r="L107" s="203" t="str">
        <f t="shared" ca="1" si="28"/>
        <v/>
      </c>
    </row>
    <row r="108" spans="2:12">
      <c r="B108" s="202">
        <f t="shared" si="29"/>
        <v>47393</v>
      </c>
      <c r="C108" s="168">
        <f t="shared" si="30"/>
        <v>2029</v>
      </c>
      <c r="D108" s="168" t="str">
        <f t="shared" ca="1" si="20"/>
        <v/>
      </c>
      <c r="E108" s="203" t="str">
        <f t="shared" ca="1" si="25"/>
        <v/>
      </c>
      <c r="F108" s="203" t="str">
        <f t="shared" ca="1" si="21"/>
        <v/>
      </c>
      <c r="G108" s="203" t="str">
        <f t="shared" ca="1" si="22"/>
        <v/>
      </c>
      <c r="H108" s="203" t="str">
        <f t="shared" ca="1" si="26"/>
        <v/>
      </c>
      <c r="I108" s="29" t="str">
        <f t="shared" ca="1" si="23"/>
        <v/>
      </c>
      <c r="J108" s="29" t="str">
        <f t="shared" ca="1" si="24"/>
        <v/>
      </c>
      <c r="K108" s="203" t="str">
        <f t="shared" ca="1" si="27"/>
        <v/>
      </c>
      <c r="L108" s="203" t="str">
        <f t="shared" ca="1" si="28"/>
        <v/>
      </c>
    </row>
    <row r="109" spans="2:12">
      <c r="B109" s="202">
        <f t="shared" si="29"/>
        <v>47424</v>
      </c>
      <c r="C109" s="168">
        <f t="shared" si="30"/>
        <v>2029</v>
      </c>
      <c r="D109" s="168" t="str">
        <f t="shared" ca="1" si="20"/>
        <v/>
      </c>
      <c r="E109" s="203" t="str">
        <f t="shared" ca="1" si="25"/>
        <v/>
      </c>
      <c r="F109" s="203" t="str">
        <f t="shared" ca="1" si="21"/>
        <v/>
      </c>
      <c r="G109" s="203" t="str">
        <f t="shared" ca="1" si="22"/>
        <v/>
      </c>
      <c r="H109" s="203" t="str">
        <f t="shared" ca="1" si="26"/>
        <v/>
      </c>
      <c r="I109" s="29" t="str">
        <f t="shared" ca="1" si="23"/>
        <v/>
      </c>
      <c r="J109" s="29" t="str">
        <f t="shared" ca="1" si="24"/>
        <v/>
      </c>
      <c r="K109" s="203" t="str">
        <f t="shared" ca="1" si="27"/>
        <v/>
      </c>
      <c r="L109" s="203" t="str">
        <f t="shared" ca="1" si="28"/>
        <v/>
      </c>
    </row>
    <row r="110" spans="2:12">
      <c r="B110" s="202">
        <f t="shared" si="29"/>
        <v>47454</v>
      </c>
      <c r="C110" s="168">
        <f t="shared" si="30"/>
        <v>2029</v>
      </c>
      <c r="D110" s="168" t="str">
        <f t="shared" ca="1" si="20"/>
        <v/>
      </c>
      <c r="E110" s="203" t="str">
        <f t="shared" ca="1" si="25"/>
        <v/>
      </c>
      <c r="F110" s="203" t="str">
        <f t="shared" ca="1" si="21"/>
        <v/>
      </c>
      <c r="G110" s="203" t="str">
        <f t="shared" ca="1" si="22"/>
        <v/>
      </c>
      <c r="H110" s="203" t="str">
        <f t="shared" ca="1" si="26"/>
        <v/>
      </c>
      <c r="I110" s="29" t="str">
        <f t="shared" ca="1" si="23"/>
        <v/>
      </c>
      <c r="J110" s="29" t="str">
        <f t="shared" ca="1" si="24"/>
        <v/>
      </c>
      <c r="K110" s="203" t="str">
        <f t="shared" ca="1" si="27"/>
        <v/>
      </c>
      <c r="L110" s="203" t="str">
        <f t="shared" ca="1" si="28"/>
        <v/>
      </c>
    </row>
    <row r="111" spans="2:12">
      <c r="B111" s="202">
        <f t="shared" si="29"/>
        <v>47485</v>
      </c>
      <c r="C111" s="168">
        <f t="shared" si="30"/>
        <v>2030</v>
      </c>
      <c r="D111" s="168" t="str">
        <f t="shared" ca="1" si="20"/>
        <v/>
      </c>
      <c r="E111" s="203" t="str">
        <f t="shared" ca="1" si="25"/>
        <v/>
      </c>
      <c r="F111" s="203" t="str">
        <f t="shared" ca="1" si="21"/>
        <v/>
      </c>
      <c r="G111" s="203" t="str">
        <f t="shared" ca="1" si="22"/>
        <v/>
      </c>
      <c r="H111" s="203" t="str">
        <f t="shared" ca="1" si="26"/>
        <v/>
      </c>
      <c r="I111" s="29" t="str">
        <f t="shared" ca="1" si="23"/>
        <v/>
      </c>
      <c r="J111" s="29" t="str">
        <f t="shared" ca="1" si="24"/>
        <v/>
      </c>
      <c r="K111" s="203" t="str">
        <f t="shared" ca="1" si="27"/>
        <v/>
      </c>
      <c r="L111" s="203" t="str">
        <f t="shared" ca="1" si="28"/>
        <v/>
      </c>
    </row>
    <row r="112" spans="2:12">
      <c r="B112" s="202">
        <f t="shared" si="29"/>
        <v>47516</v>
      </c>
      <c r="C112" s="168">
        <f t="shared" si="30"/>
        <v>2030</v>
      </c>
      <c r="D112" s="168" t="str">
        <f t="shared" ca="1" si="20"/>
        <v/>
      </c>
      <c r="E112" s="203" t="str">
        <f t="shared" ca="1" si="25"/>
        <v/>
      </c>
      <c r="F112" s="203" t="str">
        <f t="shared" ca="1" si="21"/>
        <v/>
      </c>
      <c r="G112" s="203" t="str">
        <f t="shared" ca="1" si="22"/>
        <v/>
      </c>
      <c r="H112" s="203" t="str">
        <f t="shared" ca="1" si="26"/>
        <v/>
      </c>
      <c r="I112" s="29" t="str">
        <f t="shared" ca="1" si="23"/>
        <v/>
      </c>
      <c r="J112" s="29" t="str">
        <f t="shared" ca="1" si="24"/>
        <v/>
      </c>
      <c r="K112" s="203" t="str">
        <f t="shared" ca="1" si="27"/>
        <v/>
      </c>
      <c r="L112" s="203" t="str">
        <f t="shared" ca="1" si="28"/>
        <v/>
      </c>
    </row>
    <row r="113" spans="2:12">
      <c r="B113" s="202">
        <f t="shared" si="29"/>
        <v>47544</v>
      </c>
      <c r="C113" s="168">
        <f t="shared" si="30"/>
        <v>2030</v>
      </c>
      <c r="D113" s="168" t="str">
        <f t="shared" ca="1" si="20"/>
        <v/>
      </c>
      <c r="E113" s="203" t="str">
        <f t="shared" ca="1" si="25"/>
        <v/>
      </c>
      <c r="F113" s="203" t="str">
        <f t="shared" ca="1" si="21"/>
        <v/>
      </c>
      <c r="G113" s="203" t="str">
        <f t="shared" ca="1" si="22"/>
        <v/>
      </c>
      <c r="H113" s="203" t="str">
        <f t="shared" ca="1" si="26"/>
        <v/>
      </c>
      <c r="I113" s="29" t="str">
        <f t="shared" ca="1" si="23"/>
        <v/>
      </c>
      <c r="J113" s="29" t="str">
        <f t="shared" ca="1" si="24"/>
        <v/>
      </c>
      <c r="K113" s="203" t="str">
        <f t="shared" ca="1" si="27"/>
        <v/>
      </c>
      <c r="L113" s="203" t="str">
        <f t="shared" ca="1" si="28"/>
        <v/>
      </c>
    </row>
    <row r="114" spans="2:12">
      <c r="B114" s="202">
        <f t="shared" si="29"/>
        <v>47575</v>
      </c>
      <c r="C114" s="168">
        <f t="shared" si="30"/>
        <v>2030</v>
      </c>
      <c r="D114" s="168" t="str">
        <f t="shared" ca="1" si="20"/>
        <v/>
      </c>
      <c r="E114" s="203" t="str">
        <f t="shared" ca="1" si="25"/>
        <v/>
      </c>
      <c r="F114" s="203" t="str">
        <f t="shared" ca="1" si="21"/>
        <v/>
      </c>
      <c r="G114" s="203" t="str">
        <f t="shared" ca="1" si="22"/>
        <v/>
      </c>
      <c r="H114" s="203" t="str">
        <f t="shared" ca="1" si="26"/>
        <v/>
      </c>
      <c r="I114" s="29" t="str">
        <f t="shared" ca="1" si="23"/>
        <v/>
      </c>
      <c r="J114" s="29" t="str">
        <f t="shared" ca="1" si="24"/>
        <v/>
      </c>
      <c r="K114" s="203" t="str">
        <f t="shared" ca="1" si="27"/>
        <v/>
      </c>
      <c r="L114" s="203" t="str">
        <f t="shared" ca="1" si="28"/>
        <v/>
      </c>
    </row>
    <row r="115" spans="2:12">
      <c r="B115" s="202">
        <f t="shared" si="29"/>
        <v>47605</v>
      </c>
      <c r="C115" s="168">
        <f t="shared" si="30"/>
        <v>2030</v>
      </c>
      <c r="D115" s="168" t="str">
        <f t="shared" ca="1" si="20"/>
        <v/>
      </c>
      <c r="E115" s="203" t="str">
        <f t="shared" ca="1" si="25"/>
        <v/>
      </c>
      <c r="F115" s="203" t="str">
        <f t="shared" ca="1" si="21"/>
        <v/>
      </c>
      <c r="G115" s="203" t="str">
        <f t="shared" ca="1" si="22"/>
        <v/>
      </c>
      <c r="H115" s="203" t="str">
        <f t="shared" ca="1" si="26"/>
        <v/>
      </c>
      <c r="I115" s="29" t="str">
        <f t="shared" ca="1" si="23"/>
        <v/>
      </c>
      <c r="J115" s="29" t="str">
        <f t="shared" ca="1" si="24"/>
        <v/>
      </c>
      <c r="K115" s="203" t="str">
        <f t="shared" ca="1" si="27"/>
        <v/>
      </c>
      <c r="L115" s="203" t="str">
        <f t="shared" ca="1" si="28"/>
        <v/>
      </c>
    </row>
    <row r="116" spans="2:12">
      <c r="B116" s="202">
        <f t="shared" si="29"/>
        <v>47636</v>
      </c>
      <c r="C116" s="168">
        <f t="shared" si="30"/>
        <v>2030</v>
      </c>
      <c r="D116" s="168" t="str">
        <f t="shared" ca="1" si="20"/>
        <v/>
      </c>
      <c r="E116" s="203" t="str">
        <f t="shared" ca="1" si="25"/>
        <v/>
      </c>
      <c r="F116" s="203" t="str">
        <f t="shared" ca="1" si="21"/>
        <v/>
      </c>
      <c r="G116" s="203" t="str">
        <f t="shared" ca="1" si="22"/>
        <v/>
      </c>
      <c r="H116" s="203" t="str">
        <f t="shared" ca="1" si="26"/>
        <v/>
      </c>
      <c r="I116" s="29" t="str">
        <f t="shared" ca="1" si="23"/>
        <v/>
      </c>
      <c r="J116" s="29" t="str">
        <f t="shared" ca="1" si="24"/>
        <v/>
      </c>
      <c r="K116" s="203" t="str">
        <f t="shared" ca="1" si="27"/>
        <v/>
      </c>
      <c r="L116" s="203" t="str">
        <f t="shared" ca="1" si="28"/>
        <v/>
      </c>
    </row>
    <row r="117" spans="2:12">
      <c r="B117" s="202">
        <f t="shared" si="29"/>
        <v>47666</v>
      </c>
      <c r="C117" s="168">
        <f t="shared" si="30"/>
        <v>2030</v>
      </c>
      <c r="D117" s="168" t="str">
        <f t="shared" ca="1" si="20"/>
        <v/>
      </c>
      <c r="E117" s="203" t="str">
        <f t="shared" ca="1" si="25"/>
        <v/>
      </c>
      <c r="F117" s="203" t="str">
        <f t="shared" ca="1" si="21"/>
        <v/>
      </c>
      <c r="G117" s="203" t="str">
        <f t="shared" ca="1" si="22"/>
        <v/>
      </c>
      <c r="H117" s="203" t="str">
        <f t="shared" ca="1" si="26"/>
        <v/>
      </c>
      <c r="I117" s="29" t="str">
        <f t="shared" ca="1" si="23"/>
        <v/>
      </c>
      <c r="J117" s="29" t="str">
        <f t="shared" ca="1" si="24"/>
        <v/>
      </c>
      <c r="K117" s="203" t="str">
        <f t="shared" ca="1" si="27"/>
        <v/>
      </c>
      <c r="L117" s="203" t="str">
        <f t="shared" ca="1" si="28"/>
        <v/>
      </c>
    </row>
    <row r="118" spans="2:12">
      <c r="B118" s="202">
        <f t="shared" si="29"/>
        <v>47697</v>
      </c>
      <c r="C118" s="168">
        <f t="shared" si="30"/>
        <v>2030</v>
      </c>
      <c r="D118" s="168" t="str">
        <f t="shared" ref="D118:D149" ca="1" si="31">IF(OR($D117="",D117=$D$8*$D$11,$L117=0),"",$D117+1)</f>
        <v/>
      </c>
      <c r="E118" s="203" t="str">
        <f t="shared" ca="1" si="25"/>
        <v/>
      </c>
      <c r="F118" s="203" t="str">
        <f t="shared" ref="F118:F149" ca="1" si="32">IF(D118="","",MIN(E118+G118,(D118&lt;=($D$9*$D$11))*$L$9+(D118&gt;($D$9*$D$11))*$L$10))</f>
        <v/>
      </c>
      <c r="G118" s="203" t="str">
        <f t="shared" ref="G118:G149" ca="1" si="33">IF(D118="","",((E118*$D$13)/$D$11))</f>
        <v/>
      </c>
      <c r="H118" s="203" t="str">
        <f t="shared" ca="1" si="26"/>
        <v/>
      </c>
      <c r="I118" s="29" t="str">
        <f t="shared" ref="I118:I149" ca="1" si="34">IF($D118="","",($D118=$D$8*$D$11)*($E118-$H118-$J118))</f>
        <v/>
      </c>
      <c r="J118" s="29" t="str">
        <f t="shared" ref="J118:J149" ca="1" si="35">IF($D118="","",MIN($H$11,$E118-$H118))</f>
        <v/>
      </c>
      <c r="K118" s="203" t="str">
        <f t="shared" ca="1" si="27"/>
        <v/>
      </c>
      <c r="L118" s="203" t="str">
        <f t="shared" ca="1" si="28"/>
        <v/>
      </c>
    </row>
    <row r="119" spans="2:12">
      <c r="B119" s="202">
        <f t="shared" si="29"/>
        <v>47728</v>
      </c>
      <c r="C119" s="168">
        <f t="shared" si="30"/>
        <v>2030</v>
      </c>
      <c r="D119" s="168" t="str">
        <f t="shared" ca="1" si="31"/>
        <v/>
      </c>
      <c r="E119" s="203" t="str">
        <f t="shared" ca="1" si="25"/>
        <v/>
      </c>
      <c r="F119" s="203" t="str">
        <f t="shared" ca="1" si="32"/>
        <v/>
      </c>
      <c r="G119" s="203" t="str">
        <f t="shared" ca="1" si="33"/>
        <v/>
      </c>
      <c r="H119" s="203" t="str">
        <f t="shared" ca="1" si="26"/>
        <v/>
      </c>
      <c r="I119" s="29" t="str">
        <f t="shared" ca="1" si="34"/>
        <v/>
      </c>
      <c r="J119" s="29" t="str">
        <f t="shared" ca="1" si="35"/>
        <v/>
      </c>
      <c r="K119" s="203" t="str">
        <f t="shared" ca="1" si="27"/>
        <v/>
      </c>
      <c r="L119" s="203" t="str">
        <f t="shared" ca="1" si="28"/>
        <v/>
      </c>
    </row>
    <row r="120" spans="2:12">
      <c r="B120" s="202">
        <f t="shared" si="29"/>
        <v>47758</v>
      </c>
      <c r="C120" s="168">
        <f t="shared" si="30"/>
        <v>2030</v>
      </c>
      <c r="D120" s="168" t="str">
        <f t="shared" ca="1" si="31"/>
        <v/>
      </c>
      <c r="E120" s="203" t="str">
        <f t="shared" ca="1" si="25"/>
        <v/>
      </c>
      <c r="F120" s="203" t="str">
        <f t="shared" ca="1" si="32"/>
        <v/>
      </c>
      <c r="G120" s="203" t="str">
        <f t="shared" ca="1" si="33"/>
        <v/>
      </c>
      <c r="H120" s="203" t="str">
        <f t="shared" ca="1" si="26"/>
        <v/>
      </c>
      <c r="I120" s="29" t="str">
        <f t="shared" ca="1" si="34"/>
        <v/>
      </c>
      <c r="J120" s="29" t="str">
        <f t="shared" ca="1" si="35"/>
        <v/>
      </c>
      <c r="K120" s="203" t="str">
        <f t="shared" ca="1" si="27"/>
        <v/>
      </c>
      <c r="L120" s="203" t="str">
        <f t="shared" ca="1" si="28"/>
        <v/>
      </c>
    </row>
    <row r="121" spans="2:12">
      <c r="B121" s="202">
        <f t="shared" si="29"/>
        <v>47789</v>
      </c>
      <c r="C121" s="168">
        <f t="shared" si="30"/>
        <v>2030</v>
      </c>
      <c r="D121" s="168" t="str">
        <f t="shared" ca="1" si="31"/>
        <v/>
      </c>
      <c r="E121" s="203" t="str">
        <f t="shared" ca="1" si="25"/>
        <v/>
      </c>
      <c r="F121" s="203" t="str">
        <f t="shared" ca="1" si="32"/>
        <v/>
      </c>
      <c r="G121" s="203" t="str">
        <f t="shared" ca="1" si="33"/>
        <v/>
      </c>
      <c r="H121" s="203" t="str">
        <f t="shared" ca="1" si="26"/>
        <v/>
      </c>
      <c r="I121" s="29" t="str">
        <f t="shared" ca="1" si="34"/>
        <v/>
      </c>
      <c r="J121" s="29" t="str">
        <f t="shared" ca="1" si="35"/>
        <v/>
      </c>
      <c r="K121" s="203" t="str">
        <f t="shared" ca="1" si="27"/>
        <v/>
      </c>
      <c r="L121" s="203" t="str">
        <f t="shared" ca="1" si="28"/>
        <v/>
      </c>
    </row>
    <row r="122" spans="2:12">
      <c r="B122" s="202">
        <f t="shared" si="29"/>
        <v>47819</v>
      </c>
      <c r="C122" s="168">
        <f t="shared" si="30"/>
        <v>2030</v>
      </c>
      <c r="D122" s="168" t="str">
        <f t="shared" ca="1" si="31"/>
        <v/>
      </c>
      <c r="E122" s="203" t="str">
        <f t="shared" ca="1" si="25"/>
        <v/>
      </c>
      <c r="F122" s="203" t="str">
        <f t="shared" ca="1" si="32"/>
        <v/>
      </c>
      <c r="G122" s="203" t="str">
        <f t="shared" ca="1" si="33"/>
        <v/>
      </c>
      <c r="H122" s="203" t="str">
        <f t="shared" ca="1" si="26"/>
        <v/>
      </c>
      <c r="I122" s="29" t="str">
        <f t="shared" ca="1" si="34"/>
        <v/>
      </c>
      <c r="J122" s="29" t="str">
        <f t="shared" ca="1" si="35"/>
        <v/>
      </c>
      <c r="K122" s="203" t="str">
        <f t="shared" ca="1" si="27"/>
        <v/>
      </c>
      <c r="L122" s="203" t="str">
        <f t="shared" ca="1" si="28"/>
        <v/>
      </c>
    </row>
    <row r="123" spans="2:12">
      <c r="B123" s="202">
        <f t="shared" si="29"/>
        <v>47850</v>
      </c>
      <c r="C123" s="168">
        <f t="shared" si="30"/>
        <v>2031</v>
      </c>
      <c r="D123" s="168" t="str">
        <f t="shared" ca="1" si="31"/>
        <v/>
      </c>
      <c r="E123" s="203" t="str">
        <f t="shared" ca="1" si="25"/>
        <v/>
      </c>
      <c r="F123" s="203" t="str">
        <f t="shared" ca="1" si="32"/>
        <v/>
      </c>
      <c r="G123" s="203" t="str">
        <f t="shared" ca="1" si="33"/>
        <v/>
      </c>
      <c r="H123" s="203" t="str">
        <f t="shared" ca="1" si="26"/>
        <v/>
      </c>
      <c r="I123" s="29" t="str">
        <f t="shared" ca="1" si="34"/>
        <v/>
      </c>
      <c r="J123" s="29" t="str">
        <f t="shared" ca="1" si="35"/>
        <v/>
      </c>
      <c r="K123" s="203" t="str">
        <f t="shared" ca="1" si="27"/>
        <v/>
      </c>
      <c r="L123" s="203" t="str">
        <f t="shared" ca="1" si="28"/>
        <v/>
      </c>
    </row>
    <row r="124" spans="2:12">
      <c r="B124" s="202">
        <f t="shared" si="29"/>
        <v>47881</v>
      </c>
      <c r="C124" s="168">
        <f t="shared" si="30"/>
        <v>2031</v>
      </c>
      <c r="D124" s="168" t="str">
        <f t="shared" ca="1" si="31"/>
        <v/>
      </c>
      <c r="E124" s="203" t="str">
        <f t="shared" ca="1" si="25"/>
        <v/>
      </c>
      <c r="F124" s="203" t="str">
        <f t="shared" ca="1" si="32"/>
        <v/>
      </c>
      <c r="G124" s="203" t="str">
        <f t="shared" ca="1" si="33"/>
        <v/>
      </c>
      <c r="H124" s="203" t="str">
        <f t="shared" ca="1" si="26"/>
        <v/>
      </c>
      <c r="I124" s="29" t="str">
        <f t="shared" ca="1" si="34"/>
        <v/>
      </c>
      <c r="J124" s="29" t="str">
        <f t="shared" ca="1" si="35"/>
        <v/>
      </c>
      <c r="K124" s="203" t="str">
        <f t="shared" ca="1" si="27"/>
        <v/>
      </c>
      <c r="L124" s="203" t="str">
        <f t="shared" ca="1" si="28"/>
        <v/>
      </c>
    </row>
    <row r="125" spans="2:12">
      <c r="B125" s="202">
        <f t="shared" si="29"/>
        <v>47909</v>
      </c>
      <c r="C125" s="168">
        <f t="shared" si="30"/>
        <v>2031</v>
      </c>
      <c r="D125" s="168" t="str">
        <f t="shared" ca="1" si="31"/>
        <v/>
      </c>
      <c r="E125" s="203" t="str">
        <f t="shared" ca="1" si="25"/>
        <v/>
      </c>
      <c r="F125" s="203" t="str">
        <f t="shared" ca="1" si="32"/>
        <v/>
      </c>
      <c r="G125" s="203" t="str">
        <f t="shared" ca="1" si="33"/>
        <v/>
      </c>
      <c r="H125" s="203" t="str">
        <f t="shared" ca="1" si="26"/>
        <v/>
      </c>
      <c r="I125" s="29" t="str">
        <f t="shared" ca="1" si="34"/>
        <v/>
      </c>
      <c r="J125" s="29" t="str">
        <f t="shared" ca="1" si="35"/>
        <v/>
      </c>
      <c r="K125" s="203" t="str">
        <f t="shared" ca="1" si="27"/>
        <v/>
      </c>
      <c r="L125" s="203" t="str">
        <f t="shared" ca="1" si="28"/>
        <v/>
      </c>
    </row>
    <row r="126" spans="2:12">
      <c r="B126" s="202">
        <f t="shared" si="29"/>
        <v>47940</v>
      </c>
      <c r="C126" s="168">
        <f t="shared" si="30"/>
        <v>2031</v>
      </c>
      <c r="D126" s="168" t="str">
        <f t="shared" ca="1" si="31"/>
        <v/>
      </c>
      <c r="E126" s="203" t="str">
        <f t="shared" ca="1" si="25"/>
        <v/>
      </c>
      <c r="F126" s="203" t="str">
        <f t="shared" ca="1" si="32"/>
        <v/>
      </c>
      <c r="G126" s="203" t="str">
        <f t="shared" ca="1" si="33"/>
        <v/>
      </c>
      <c r="H126" s="203" t="str">
        <f t="shared" ca="1" si="26"/>
        <v/>
      </c>
      <c r="I126" s="29" t="str">
        <f t="shared" ca="1" si="34"/>
        <v/>
      </c>
      <c r="J126" s="29" t="str">
        <f t="shared" ca="1" si="35"/>
        <v/>
      </c>
      <c r="K126" s="203" t="str">
        <f t="shared" ca="1" si="27"/>
        <v/>
      </c>
      <c r="L126" s="203" t="str">
        <f t="shared" ca="1" si="28"/>
        <v/>
      </c>
    </row>
    <row r="127" spans="2:12">
      <c r="B127" s="202">
        <f t="shared" si="29"/>
        <v>47970</v>
      </c>
      <c r="C127" s="168">
        <f t="shared" si="30"/>
        <v>2031</v>
      </c>
      <c r="D127" s="168" t="str">
        <f t="shared" ca="1" si="31"/>
        <v/>
      </c>
      <c r="E127" s="203" t="str">
        <f t="shared" ca="1" si="25"/>
        <v/>
      </c>
      <c r="F127" s="203" t="str">
        <f t="shared" ca="1" si="32"/>
        <v/>
      </c>
      <c r="G127" s="203" t="str">
        <f t="shared" ca="1" si="33"/>
        <v/>
      </c>
      <c r="H127" s="203" t="str">
        <f t="shared" ca="1" si="26"/>
        <v/>
      </c>
      <c r="I127" s="29" t="str">
        <f t="shared" ca="1" si="34"/>
        <v/>
      </c>
      <c r="J127" s="29" t="str">
        <f t="shared" ca="1" si="35"/>
        <v/>
      </c>
      <c r="K127" s="203" t="str">
        <f t="shared" ca="1" si="27"/>
        <v/>
      </c>
      <c r="L127" s="203" t="str">
        <f t="shared" ca="1" si="28"/>
        <v/>
      </c>
    </row>
    <row r="128" spans="2:12">
      <c r="B128" s="202">
        <f t="shared" si="29"/>
        <v>48001</v>
      </c>
      <c r="C128" s="168">
        <f t="shared" si="30"/>
        <v>2031</v>
      </c>
      <c r="D128" s="168" t="str">
        <f t="shared" ca="1" si="31"/>
        <v/>
      </c>
      <c r="E128" s="203" t="str">
        <f t="shared" ca="1" si="25"/>
        <v/>
      </c>
      <c r="F128" s="203" t="str">
        <f t="shared" ca="1" si="32"/>
        <v/>
      </c>
      <c r="G128" s="203" t="str">
        <f t="shared" ca="1" si="33"/>
        <v/>
      </c>
      <c r="H128" s="203" t="str">
        <f t="shared" ca="1" si="26"/>
        <v/>
      </c>
      <c r="I128" s="29" t="str">
        <f t="shared" ca="1" si="34"/>
        <v/>
      </c>
      <c r="J128" s="29" t="str">
        <f t="shared" ca="1" si="35"/>
        <v/>
      </c>
      <c r="K128" s="203" t="str">
        <f t="shared" ca="1" si="27"/>
        <v/>
      </c>
      <c r="L128" s="203" t="str">
        <f t="shared" ca="1" si="28"/>
        <v/>
      </c>
    </row>
    <row r="129" spans="2:12">
      <c r="B129" s="202">
        <f t="shared" si="29"/>
        <v>48031</v>
      </c>
      <c r="C129" s="168">
        <f t="shared" si="30"/>
        <v>2031</v>
      </c>
      <c r="D129" s="168" t="str">
        <f t="shared" ca="1" si="31"/>
        <v/>
      </c>
      <c r="E129" s="203" t="str">
        <f t="shared" ca="1" si="25"/>
        <v/>
      </c>
      <c r="F129" s="203" t="str">
        <f t="shared" ca="1" si="32"/>
        <v/>
      </c>
      <c r="G129" s="203" t="str">
        <f t="shared" ca="1" si="33"/>
        <v/>
      </c>
      <c r="H129" s="203" t="str">
        <f t="shared" ca="1" si="26"/>
        <v/>
      </c>
      <c r="I129" s="29" t="str">
        <f t="shared" ca="1" si="34"/>
        <v/>
      </c>
      <c r="J129" s="29" t="str">
        <f t="shared" ca="1" si="35"/>
        <v/>
      </c>
      <c r="K129" s="203" t="str">
        <f t="shared" ca="1" si="27"/>
        <v/>
      </c>
      <c r="L129" s="203" t="str">
        <f t="shared" ca="1" si="28"/>
        <v/>
      </c>
    </row>
    <row r="130" spans="2:12">
      <c r="B130" s="202">
        <f t="shared" si="29"/>
        <v>48062</v>
      </c>
      <c r="C130" s="168">
        <f t="shared" si="30"/>
        <v>2031</v>
      </c>
      <c r="D130" s="168" t="str">
        <f t="shared" ca="1" si="31"/>
        <v/>
      </c>
      <c r="E130" s="203" t="str">
        <f t="shared" ca="1" si="25"/>
        <v/>
      </c>
      <c r="F130" s="203" t="str">
        <f t="shared" ca="1" si="32"/>
        <v/>
      </c>
      <c r="G130" s="203" t="str">
        <f t="shared" ca="1" si="33"/>
        <v/>
      </c>
      <c r="H130" s="203" t="str">
        <f t="shared" ca="1" si="26"/>
        <v/>
      </c>
      <c r="I130" s="29" t="str">
        <f t="shared" ca="1" si="34"/>
        <v/>
      </c>
      <c r="J130" s="29" t="str">
        <f t="shared" ca="1" si="35"/>
        <v/>
      </c>
      <c r="K130" s="203" t="str">
        <f t="shared" ca="1" si="27"/>
        <v/>
      </c>
      <c r="L130" s="203" t="str">
        <f t="shared" ca="1" si="28"/>
        <v/>
      </c>
    </row>
    <row r="131" spans="2:12">
      <c r="B131" s="202">
        <f t="shared" si="29"/>
        <v>48093</v>
      </c>
      <c r="C131" s="168">
        <f t="shared" si="30"/>
        <v>2031</v>
      </c>
      <c r="D131" s="168" t="str">
        <f t="shared" ca="1" si="31"/>
        <v/>
      </c>
      <c r="E131" s="203" t="str">
        <f t="shared" ca="1" si="25"/>
        <v/>
      </c>
      <c r="F131" s="203" t="str">
        <f t="shared" ca="1" si="32"/>
        <v/>
      </c>
      <c r="G131" s="203" t="str">
        <f t="shared" ca="1" si="33"/>
        <v/>
      </c>
      <c r="H131" s="203" t="str">
        <f t="shared" ca="1" si="26"/>
        <v/>
      </c>
      <c r="I131" s="29" t="str">
        <f t="shared" ca="1" si="34"/>
        <v/>
      </c>
      <c r="J131" s="29" t="str">
        <f t="shared" ca="1" si="35"/>
        <v/>
      </c>
      <c r="K131" s="203" t="str">
        <f t="shared" ca="1" si="27"/>
        <v/>
      </c>
      <c r="L131" s="203" t="str">
        <f t="shared" ca="1" si="28"/>
        <v/>
      </c>
    </row>
    <row r="132" spans="2:12">
      <c r="B132" s="202">
        <f t="shared" si="29"/>
        <v>48123</v>
      </c>
      <c r="C132" s="168">
        <f t="shared" si="30"/>
        <v>2031</v>
      </c>
      <c r="D132" s="168" t="str">
        <f t="shared" ca="1" si="31"/>
        <v/>
      </c>
      <c r="E132" s="203" t="str">
        <f t="shared" ca="1" si="25"/>
        <v/>
      </c>
      <c r="F132" s="203" t="str">
        <f t="shared" ca="1" si="32"/>
        <v/>
      </c>
      <c r="G132" s="203" t="str">
        <f t="shared" ca="1" si="33"/>
        <v/>
      </c>
      <c r="H132" s="203" t="str">
        <f t="shared" ca="1" si="26"/>
        <v/>
      </c>
      <c r="I132" s="29" t="str">
        <f t="shared" ca="1" si="34"/>
        <v/>
      </c>
      <c r="J132" s="29" t="str">
        <f t="shared" ca="1" si="35"/>
        <v/>
      </c>
      <c r="K132" s="203" t="str">
        <f t="shared" ca="1" si="27"/>
        <v/>
      </c>
      <c r="L132" s="203" t="str">
        <f t="shared" ca="1" si="28"/>
        <v/>
      </c>
    </row>
    <row r="133" spans="2:12">
      <c r="B133" s="202">
        <f t="shared" si="29"/>
        <v>48154</v>
      </c>
      <c r="C133" s="168">
        <f t="shared" si="30"/>
        <v>2031</v>
      </c>
      <c r="D133" s="168" t="str">
        <f t="shared" ca="1" si="31"/>
        <v/>
      </c>
      <c r="E133" s="203" t="str">
        <f t="shared" ca="1" si="25"/>
        <v/>
      </c>
      <c r="F133" s="203" t="str">
        <f t="shared" ca="1" si="32"/>
        <v/>
      </c>
      <c r="G133" s="203" t="str">
        <f t="shared" ca="1" si="33"/>
        <v/>
      </c>
      <c r="H133" s="203" t="str">
        <f t="shared" ca="1" si="26"/>
        <v/>
      </c>
      <c r="I133" s="29" t="str">
        <f t="shared" ca="1" si="34"/>
        <v/>
      </c>
      <c r="J133" s="29" t="str">
        <f t="shared" ca="1" si="35"/>
        <v/>
      </c>
      <c r="K133" s="203" t="str">
        <f t="shared" ca="1" si="27"/>
        <v/>
      </c>
      <c r="L133" s="203" t="str">
        <f t="shared" ca="1" si="28"/>
        <v/>
      </c>
    </row>
    <row r="134" spans="2:12">
      <c r="B134" s="202">
        <f t="shared" si="29"/>
        <v>48184</v>
      </c>
      <c r="C134" s="168">
        <f t="shared" si="30"/>
        <v>2031</v>
      </c>
      <c r="D134" s="168" t="str">
        <f t="shared" ca="1" si="31"/>
        <v/>
      </c>
      <c r="E134" s="203" t="str">
        <f t="shared" ca="1" si="25"/>
        <v/>
      </c>
      <c r="F134" s="203" t="str">
        <f t="shared" ca="1" si="32"/>
        <v/>
      </c>
      <c r="G134" s="203" t="str">
        <f t="shared" ca="1" si="33"/>
        <v/>
      </c>
      <c r="H134" s="203" t="str">
        <f t="shared" ca="1" si="26"/>
        <v/>
      </c>
      <c r="I134" s="29" t="str">
        <f t="shared" ca="1" si="34"/>
        <v/>
      </c>
      <c r="J134" s="29" t="str">
        <f t="shared" ca="1" si="35"/>
        <v/>
      </c>
      <c r="K134" s="203" t="str">
        <f t="shared" ca="1" si="27"/>
        <v/>
      </c>
      <c r="L134" s="203" t="str">
        <f t="shared" ca="1" si="28"/>
        <v/>
      </c>
    </row>
    <row r="135" spans="2:12">
      <c r="B135" s="202">
        <f t="shared" si="29"/>
        <v>48215</v>
      </c>
      <c r="C135" s="168">
        <f t="shared" si="30"/>
        <v>2032</v>
      </c>
      <c r="D135" s="168" t="str">
        <f t="shared" ca="1" si="31"/>
        <v/>
      </c>
      <c r="E135" s="203" t="str">
        <f t="shared" ca="1" si="25"/>
        <v/>
      </c>
      <c r="F135" s="203" t="str">
        <f t="shared" ca="1" si="32"/>
        <v/>
      </c>
      <c r="G135" s="203" t="str">
        <f t="shared" ca="1" si="33"/>
        <v/>
      </c>
      <c r="H135" s="203" t="str">
        <f t="shared" ca="1" si="26"/>
        <v/>
      </c>
      <c r="I135" s="29" t="str">
        <f t="shared" ca="1" si="34"/>
        <v/>
      </c>
      <c r="J135" s="29" t="str">
        <f t="shared" ca="1" si="35"/>
        <v/>
      </c>
      <c r="K135" s="203" t="str">
        <f t="shared" ca="1" si="27"/>
        <v/>
      </c>
      <c r="L135" s="203" t="str">
        <f t="shared" ca="1" si="28"/>
        <v/>
      </c>
    </row>
    <row r="136" spans="2:12">
      <c r="B136" s="202">
        <f t="shared" si="29"/>
        <v>48246</v>
      </c>
      <c r="C136" s="168">
        <f t="shared" si="30"/>
        <v>2032</v>
      </c>
      <c r="D136" s="168" t="str">
        <f t="shared" ca="1" si="31"/>
        <v/>
      </c>
      <c r="E136" s="203" t="str">
        <f t="shared" ca="1" si="25"/>
        <v/>
      </c>
      <c r="F136" s="203" t="str">
        <f t="shared" ca="1" si="32"/>
        <v/>
      </c>
      <c r="G136" s="203" t="str">
        <f t="shared" ca="1" si="33"/>
        <v/>
      </c>
      <c r="H136" s="203" t="str">
        <f t="shared" ca="1" si="26"/>
        <v/>
      </c>
      <c r="I136" s="29" t="str">
        <f t="shared" ca="1" si="34"/>
        <v/>
      </c>
      <c r="J136" s="29" t="str">
        <f t="shared" ca="1" si="35"/>
        <v/>
      </c>
      <c r="K136" s="203" t="str">
        <f t="shared" ca="1" si="27"/>
        <v/>
      </c>
      <c r="L136" s="203" t="str">
        <f t="shared" ca="1" si="28"/>
        <v/>
      </c>
    </row>
    <row r="137" spans="2:12">
      <c r="B137" s="202">
        <f t="shared" si="29"/>
        <v>48275</v>
      </c>
      <c r="C137" s="168">
        <f t="shared" si="30"/>
        <v>2032</v>
      </c>
      <c r="D137" s="168" t="str">
        <f t="shared" ca="1" si="31"/>
        <v/>
      </c>
      <c r="E137" s="203" t="str">
        <f t="shared" ca="1" si="25"/>
        <v/>
      </c>
      <c r="F137" s="203" t="str">
        <f t="shared" ca="1" si="32"/>
        <v/>
      </c>
      <c r="G137" s="203" t="str">
        <f t="shared" ca="1" si="33"/>
        <v/>
      </c>
      <c r="H137" s="203" t="str">
        <f t="shared" ca="1" si="26"/>
        <v/>
      </c>
      <c r="I137" s="29" t="str">
        <f t="shared" ca="1" si="34"/>
        <v/>
      </c>
      <c r="J137" s="29" t="str">
        <f t="shared" ca="1" si="35"/>
        <v/>
      </c>
      <c r="K137" s="203" t="str">
        <f t="shared" ca="1" si="27"/>
        <v/>
      </c>
      <c r="L137" s="203" t="str">
        <f t="shared" ca="1" si="28"/>
        <v/>
      </c>
    </row>
    <row r="138" spans="2:12">
      <c r="B138" s="202">
        <f t="shared" si="29"/>
        <v>48306</v>
      </c>
      <c r="C138" s="168">
        <f t="shared" si="30"/>
        <v>2032</v>
      </c>
      <c r="D138" s="168" t="str">
        <f t="shared" ca="1" si="31"/>
        <v/>
      </c>
      <c r="E138" s="203" t="str">
        <f t="shared" ca="1" si="25"/>
        <v/>
      </c>
      <c r="F138" s="203" t="str">
        <f t="shared" ca="1" si="32"/>
        <v/>
      </c>
      <c r="G138" s="203" t="str">
        <f t="shared" ca="1" si="33"/>
        <v/>
      </c>
      <c r="H138" s="203" t="str">
        <f t="shared" ca="1" si="26"/>
        <v/>
      </c>
      <c r="I138" s="29" t="str">
        <f t="shared" ca="1" si="34"/>
        <v/>
      </c>
      <c r="J138" s="29" t="str">
        <f t="shared" ca="1" si="35"/>
        <v/>
      </c>
      <c r="K138" s="203" t="str">
        <f t="shared" ca="1" si="27"/>
        <v/>
      </c>
      <c r="L138" s="203" t="str">
        <f t="shared" ca="1" si="28"/>
        <v/>
      </c>
    </row>
    <row r="139" spans="2:12">
      <c r="B139" s="202">
        <f t="shared" si="29"/>
        <v>48336</v>
      </c>
      <c r="C139" s="168">
        <f t="shared" si="30"/>
        <v>2032</v>
      </c>
      <c r="D139" s="168" t="str">
        <f t="shared" ca="1" si="31"/>
        <v/>
      </c>
      <c r="E139" s="203" t="str">
        <f t="shared" ca="1" si="25"/>
        <v/>
      </c>
      <c r="F139" s="203" t="str">
        <f t="shared" ca="1" si="32"/>
        <v/>
      </c>
      <c r="G139" s="203" t="str">
        <f t="shared" ca="1" si="33"/>
        <v/>
      </c>
      <c r="H139" s="203" t="str">
        <f t="shared" ca="1" si="26"/>
        <v/>
      </c>
      <c r="I139" s="29" t="str">
        <f t="shared" ca="1" si="34"/>
        <v/>
      </c>
      <c r="J139" s="29" t="str">
        <f t="shared" ca="1" si="35"/>
        <v/>
      </c>
      <c r="K139" s="203" t="str">
        <f t="shared" ca="1" si="27"/>
        <v/>
      </c>
      <c r="L139" s="203" t="str">
        <f t="shared" ca="1" si="28"/>
        <v/>
      </c>
    </row>
    <row r="140" spans="2:12">
      <c r="B140" s="202">
        <f t="shared" si="29"/>
        <v>48367</v>
      </c>
      <c r="C140" s="168">
        <f t="shared" si="30"/>
        <v>2032</v>
      </c>
      <c r="D140" s="168" t="str">
        <f t="shared" ca="1" si="31"/>
        <v/>
      </c>
      <c r="E140" s="203" t="str">
        <f t="shared" ca="1" si="25"/>
        <v/>
      </c>
      <c r="F140" s="203" t="str">
        <f t="shared" ca="1" si="32"/>
        <v/>
      </c>
      <c r="G140" s="203" t="str">
        <f t="shared" ca="1" si="33"/>
        <v/>
      </c>
      <c r="H140" s="203" t="str">
        <f t="shared" ca="1" si="26"/>
        <v/>
      </c>
      <c r="I140" s="29" t="str">
        <f t="shared" ca="1" si="34"/>
        <v/>
      </c>
      <c r="J140" s="29" t="str">
        <f t="shared" ca="1" si="35"/>
        <v/>
      </c>
      <c r="K140" s="203" t="str">
        <f t="shared" ca="1" si="27"/>
        <v/>
      </c>
      <c r="L140" s="203" t="str">
        <f t="shared" ca="1" si="28"/>
        <v/>
      </c>
    </row>
    <row r="141" spans="2:12">
      <c r="B141" s="202">
        <f t="shared" si="29"/>
        <v>48397</v>
      </c>
      <c r="C141" s="168">
        <f t="shared" si="30"/>
        <v>2032</v>
      </c>
      <c r="D141" s="168" t="str">
        <f t="shared" ca="1" si="31"/>
        <v/>
      </c>
      <c r="E141" s="203" t="str">
        <f t="shared" ca="1" si="25"/>
        <v/>
      </c>
      <c r="F141" s="203" t="str">
        <f t="shared" ca="1" si="32"/>
        <v/>
      </c>
      <c r="G141" s="203" t="str">
        <f t="shared" ca="1" si="33"/>
        <v/>
      </c>
      <c r="H141" s="203" t="str">
        <f t="shared" ca="1" si="26"/>
        <v/>
      </c>
      <c r="I141" s="203" t="str">
        <f t="shared" ca="1" si="34"/>
        <v/>
      </c>
      <c r="J141" s="29" t="str">
        <f t="shared" ca="1" si="35"/>
        <v/>
      </c>
      <c r="K141" s="203" t="str">
        <f t="shared" ca="1" si="27"/>
        <v/>
      </c>
      <c r="L141" s="29" t="str">
        <f t="shared" ca="1" si="28"/>
        <v/>
      </c>
    </row>
    <row r="142" spans="2:12">
      <c r="D142" s="168" t="str">
        <f t="shared" ca="1" si="31"/>
        <v/>
      </c>
      <c r="E142" s="203" t="str">
        <f t="shared" ca="1" si="25"/>
        <v/>
      </c>
      <c r="F142" s="203" t="str">
        <f t="shared" ca="1" si="32"/>
        <v/>
      </c>
      <c r="G142" s="203" t="str">
        <f t="shared" ca="1" si="33"/>
        <v/>
      </c>
      <c r="H142" s="203" t="str">
        <f t="shared" ca="1" si="26"/>
        <v/>
      </c>
      <c r="I142" s="203" t="str">
        <f t="shared" ca="1" si="34"/>
        <v/>
      </c>
      <c r="J142" s="203" t="str">
        <f t="shared" ca="1" si="35"/>
        <v/>
      </c>
      <c r="K142" s="203" t="str">
        <f t="shared" ca="1" si="27"/>
        <v/>
      </c>
      <c r="L142" s="203" t="str">
        <f t="shared" ca="1" si="28"/>
        <v/>
      </c>
    </row>
    <row r="143" spans="2:12">
      <c r="D143" s="168" t="str">
        <f t="shared" ca="1" si="31"/>
        <v/>
      </c>
      <c r="E143" s="203" t="str">
        <f t="shared" ca="1" si="25"/>
        <v/>
      </c>
      <c r="F143" s="203" t="str">
        <f t="shared" ca="1" si="32"/>
        <v/>
      </c>
      <c r="G143" s="203" t="str">
        <f t="shared" ca="1" si="33"/>
        <v/>
      </c>
      <c r="H143" s="203" t="str">
        <f t="shared" ca="1" si="26"/>
        <v/>
      </c>
      <c r="I143" s="203" t="str">
        <f t="shared" ca="1" si="34"/>
        <v/>
      </c>
      <c r="J143" s="203" t="str">
        <f t="shared" ca="1" si="35"/>
        <v/>
      </c>
      <c r="K143" s="203" t="str">
        <f t="shared" ca="1" si="27"/>
        <v/>
      </c>
      <c r="L143" s="203" t="str">
        <f t="shared" ca="1" si="28"/>
        <v/>
      </c>
    </row>
    <row r="144" spans="2:12">
      <c r="D144" s="168" t="str">
        <f t="shared" ca="1" si="31"/>
        <v/>
      </c>
      <c r="E144" s="203" t="str">
        <f t="shared" ca="1" si="25"/>
        <v/>
      </c>
      <c r="F144" s="203" t="str">
        <f t="shared" ca="1" si="32"/>
        <v/>
      </c>
      <c r="G144" s="203" t="str">
        <f t="shared" ca="1" si="33"/>
        <v/>
      </c>
      <c r="H144" s="203" t="str">
        <f t="shared" ca="1" si="26"/>
        <v/>
      </c>
      <c r="I144" s="203" t="str">
        <f t="shared" ca="1" si="34"/>
        <v/>
      </c>
      <c r="J144" s="203" t="str">
        <f t="shared" ca="1" si="35"/>
        <v/>
      </c>
      <c r="K144" s="203" t="str">
        <f t="shared" ca="1" si="27"/>
        <v/>
      </c>
      <c r="L144" s="203" t="str">
        <f t="shared" ca="1" si="28"/>
        <v/>
      </c>
    </row>
    <row r="145" spans="4:12">
      <c r="D145" s="168" t="str">
        <f t="shared" ca="1" si="31"/>
        <v/>
      </c>
      <c r="E145" s="203" t="str">
        <f t="shared" ca="1" si="25"/>
        <v/>
      </c>
      <c r="F145" s="203" t="str">
        <f t="shared" ca="1" si="32"/>
        <v/>
      </c>
      <c r="G145" s="203" t="str">
        <f t="shared" ca="1" si="33"/>
        <v/>
      </c>
      <c r="H145" s="203" t="str">
        <f t="shared" ca="1" si="26"/>
        <v/>
      </c>
      <c r="I145" s="203" t="str">
        <f t="shared" ca="1" si="34"/>
        <v/>
      </c>
      <c r="J145" s="203" t="str">
        <f t="shared" ca="1" si="35"/>
        <v/>
      </c>
      <c r="K145" s="203" t="str">
        <f t="shared" ca="1" si="27"/>
        <v/>
      </c>
      <c r="L145" s="203" t="str">
        <f t="shared" ca="1" si="28"/>
        <v/>
      </c>
    </row>
    <row r="146" spans="4:12">
      <c r="D146" s="168" t="str">
        <f t="shared" ca="1" si="31"/>
        <v/>
      </c>
      <c r="E146" s="203" t="str">
        <f t="shared" ca="1" si="25"/>
        <v/>
      </c>
      <c r="F146" s="203" t="str">
        <f t="shared" ca="1" si="32"/>
        <v/>
      </c>
      <c r="G146" s="203" t="str">
        <f t="shared" ca="1" si="33"/>
        <v/>
      </c>
      <c r="H146" s="203" t="str">
        <f t="shared" ca="1" si="26"/>
        <v/>
      </c>
      <c r="I146" s="203" t="str">
        <f t="shared" ca="1" si="34"/>
        <v/>
      </c>
      <c r="J146" s="203" t="str">
        <f t="shared" ca="1" si="35"/>
        <v/>
      </c>
      <c r="K146" s="203" t="str">
        <f t="shared" ca="1" si="27"/>
        <v/>
      </c>
      <c r="L146" s="203" t="str">
        <f t="shared" ca="1" si="28"/>
        <v/>
      </c>
    </row>
    <row r="147" spans="4:12">
      <c r="D147" s="168" t="str">
        <f t="shared" ca="1" si="31"/>
        <v/>
      </c>
      <c r="E147" s="203" t="str">
        <f t="shared" ca="1" si="25"/>
        <v/>
      </c>
      <c r="F147" s="203" t="str">
        <f t="shared" ca="1" si="32"/>
        <v/>
      </c>
      <c r="G147" s="203" t="str">
        <f t="shared" ca="1" si="33"/>
        <v/>
      </c>
      <c r="H147" s="203" t="str">
        <f t="shared" ca="1" si="26"/>
        <v/>
      </c>
      <c r="I147" s="203" t="str">
        <f t="shared" ca="1" si="34"/>
        <v/>
      </c>
      <c r="J147" s="203" t="str">
        <f t="shared" ca="1" si="35"/>
        <v/>
      </c>
      <c r="K147" s="203" t="str">
        <f t="shared" ca="1" si="27"/>
        <v/>
      </c>
      <c r="L147" s="203" t="str">
        <f t="shared" ca="1" si="28"/>
        <v/>
      </c>
    </row>
    <row r="148" spans="4:12">
      <c r="D148" s="168" t="str">
        <f t="shared" ca="1" si="31"/>
        <v/>
      </c>
      <c r="E148" s="203" t="str">
        <f t="shared" ca="1" si="25"/>
        <v/>
      </c>
      <c r="F148" s="203" t="str">
        <f t="shared" ca="1" si="32"/>
        <v/>
      </c>
      <c r="G148" s="203" t="str">
        <f t="shared" ca="1" si="33"/>
        <v/>
      </c>
      <c r="H148" s="203" t="str">
        <f t="shared" ca="1" si="26"/>
        <v/>
      </c>
      <c r="I148" s="203" t="str">
        <f t="shared" ca="1" si="34"/>
        <v/>
      </c>
      <c r="J148" s="203" t="str">
        <f t="shared" ca="1" si="35"/>
        <v/>
      </c>
      <c r="K148" s="203" t="str">
        <f t="shared" ca="1" si="27"/>
        <v/>
      </c>
      <c r="L148" s="203" t="str">
        <f t="shared" ca="1" si="28"/>
        <v/>
      </c>
    </row>
    <row r="149" spans="4:12">
      <c r="D149" s="168" t="str">
        <f t="shared" ca="1" si="31"/>
        <v/>
      </c>
      <c r="E149" s="203" t="str">
        <f t="shared" ca="1" si="25"/>
        <v/>
      </c>
      <c r="F149" s="203" t="str">
        <f t="shared" ca="1" si="32"/>
        <v/>
      </c>
      <c r="G149" s="203" t="str">
        <f t="shared" ca="1" si="33"/>
        <v/>
      </c>
      <c r="H149" s="203" t="str">
        <f t="shared" ca="1" si="26"/>
        <v/>
      </c>
      <c r="I149" s="203" t="str">
        <f t="shared" ca="1" si="34"/>
        <v/>
      </c>
      <c r="J149" s="203" t="str">
        <f t="shared" ca="1" si="35"/>
        <v/>
      </c>
      <c r="K149" s="203" t="str">
        <f t="shared" ca="1" si="27"/>
        <v/>
      </c>
      <c r="L149" s="203" t="str">
        <f t="shared" ca="1" si="28"/>
        <v/>
      </c>
    </row>
    <row r="150" spans="4:12">
      <c r="D150" s="168" t="str">
        <f t="shared" ref="D150:D178" ca="1" si="36">IF(OR($D149="",D149=$D$8*$D$11,$L149=0),"",$D149+1)</f>
        <v/>
      </c>
      <c r="E150" s="203" t="str">
        <f t="shared" ca="1" si="25"/>
        <v/>
      </c>
      <c r="F150" s="203" t="str">
        <f t="shared" ref="F150:F178" ca="1" si="37">IF(D150="","",MIN(E150+G150,(D150&lt;=($D$9*$D$11))*$L$9+(D150&gt;($D$9*$D$11))*$L$10))</f>
        <v/>
      </c>
      <c r="G150" s="203" t="str">
        <f t="shared" ref="G150:G178" ca="1" si="38">IF(D150="","",((E150*$D$13)/$D$11))</f>
        <v/>
      </c>
      <c r="H150" s="203" t="str">
        <f t="shared" ca="1" si="26"/>
        <v/>
      </c>
      <c r="I150" s="203" t="str">
        <f t="shared" ref="I150:I178" ca="1" si="39">IF($D150="","",($D150=$D$8*$D$11)*($E150-$H150-$J150))</f>
        <v/>
      </c>
      <c r="J150" s="203" t="str">
        <f t="shared" ref="J150:J178" ca="1" si="40">IF($D150="","",MIN($H$11,$E150-$H150))</f>
        <v/>
      </c>
      <c r="K150" s="203" t="str">
        <f t="shared" ca="1" si="27"/>
        <v/>
      </c>
      <c r="L150" s="203" t="str">
        <f t="shared" ca="1" si="28"/>
        <v/>
      </c>
    </row>
    <row r="151" spans="4:12">
      <c r="D151" s="168" t="str">
        <f t="shared" ca="1" si="36"/>
        <v/>
      </c>
      <c r="E151" s="203" t="str">
        <f t="shared" ref="E151:E178" ca="1" si="41">IF(D151="","",L150)</f>
        <v/>
      </c>
      <c r="F151" s="203" t="str">
        <f t="shared" ca="1" si="37"/>
        <v/>
      </c>
      <c r="G151" s="203" t="str">
        <f t="shared" ca="1" si="38"/>
        <v/>
      </c>
      <c r="H151" s="203" t="str">
        <f t="shared" ref="H151:H178" ca="1" si="42">IF(D151="","",F151-G151)</f>
        <v/>
      </c>
      <c r="I151" s="203" t="str">
        <f t="shared" ca="1" si="39"/>
        <v/>
      </c>
      <c r="J151" s="203" t="str">
        <f t="shared" ca="1" si="40"/>
        <v/>
      </c>
      <c r="K151" s="203" t="str">
        <f t="shared" ref="K151:K178" ca="1" si="43">IF($D151="","",SUM($G151:$J151))</f>
        <v/>
      </c>
      <c r="L151" s="203" t="str">
        <f t="shared" ref="L151:L178" ca="1" si="44">IF($D151="","",$E151-$H151-$I151-$J151)</f>
        <v/>
      </c>
    </row>
    <row r="152" spans="4:12">
      <c r="D152" s="168" t="str">
        <f t="shared" ca="1" si="36"/>
        <v/>
      </c>
      <c r="E152" s="203" t="str">
        <f t="shared" ca="1" si="41"/>
        <v/>
      </c>
      <c r="F152" s="203" t="str">
        <f t="shared" ca="1" si="37"/>
        <v/>
      </c>
      <c r="G152" s="203" t="str">
        <f t="shared" ca="1" si="38"/>
        <v/>
      </c>
      <c r="H152" s="203" t="str">
        <f t="shared" ca="1" si="42"/>
        <v/>
      </c>
      <c r="I152" s="203" t="str">
        <f t="shared" ca="1" si="39"/>
        <v/>
      </c>
      <c r="J152" s="203" t="str">
        <f t="shared" ca="1" si="40"/>
        <v/>
      </c>
      <c r="K152" s="203" t="str">
        <f t="shared" ca="1" si="43"/>
        <v/>
      </c>
      <c r="L152" s="203" t="str">
        <f t="shared" ca="1" si="44"/>
        <v/>
      </c>
    </row>
    <row r="153" spans="4:12">
      <c r="D153" s="168" t="str">
        <f t="shared" ca="1" si="36"/>
        <v/>
      </c>
      <c r="E153" s="203" t="str">
        <f t="shared" ca="1" si="41"/>
        <v/>
      </c>
      <c r="F153" s="203" t="str">
        <f t="shared" ca="1" si="37"/>
        <v/>
      </c>
      <c r="G153" s="203" t="str">
        <f t="shared" ca="1" si="38"/>
        <v/>
      </c>
      <c r="H153" s="203" t="str">
        <f t="shared" ca="1" si="42"/>
        <v/>
      </c>
      <c r="I153" s="203" t="str">
        <f t="shared" ca="1" si="39"/>
        <v/>
      </c>
      <c r="J153" s="203" t="str">
        <f t="shared" ca="1" si="40"/>
        <v/>
      </c>
      <c r="K153" s="203" t="str">
        <f t="shared" ca="1" si="43"/>
        <v/>
      </c>
      <c r="L153" s="203" t="str">
        <f t="shared" ca="1" si="44"/>
        <v/>
      </c>
    </row>
    <row r="154" spans="4:12">
      <c r="D154" s="168" t="str">
        <f t="shared" ca="1" si="36"/>
        <v/>
      </c>
      <c r="E154" s="203" t="str">
        <f t="shared" ca="1" si="41"/>
        <v/>
      </c>
      <c r="F154" s="203" t="str">
        <f t="shared" ca="1" si="37"/>
        <v/>
      </c>
      <c r="G154" s="203" t="str">
        <f t="shared" ca="1" si="38"/>
        <v/>
      </c>
      <c r="H154" s="203" t="str">
        <f t="shared" ca="1" si="42"/>
        <v/>
      </c>
      <c r="I154" s="203" t="str">
        <f t="shared" ca="1" si="39"/>
        <v/>
      </c>
      <c r="J154" s="203" t="str">
        <f t="shared" ca="1" si="40"/>
        <v/>
      </c>
      <c r="K154" s="203" t="str">
        <f t="shared" ca="1" si="43"/>
        <v/>
      </c>
      <c r="L154" s="203" t="str">
        <f t="shared" ca="1" si="44"/>
        <v/>
      </c>
    </row>
    <row r="155" spans="4:12">
      <c r="D155" s="168" t="str">
        <f t="shared" ca="1" si="36"/>
        <v/>
      </c>
      <c r="E155" s="203" t="str">
        <f t="shared" ca="1" si="41"/>
        <v/>
      </c>
      <c r="F155" s="203" t="str">
        <f t="shared" ca="1" si="37"/>
        <v/>
      </c>
      <c r="G155" s="203" t="str">
        <f t="shared" ca="1" si="38"/>
        <v/>
      </c>
      <c r="H155" s="203" t="str">
        <f t="shared" ca="1" si="42"/>
        <v/>
      </c>
      <c r="I155" s="203" t="str">
        <f t="shared" ca="1" si="39"/>
        <v/>
      </c>
      <c r="J155" s="203" t="str">
        <f t="shared" ca="1" si="40"/>
        <v/>
      </c>
      <c r="K155" s="203" t="str">
        <f t="shared" ca="1" si="43"/>
        <v/>
      </c>
      <c r="L155" s="203" t="str">
        <f t="shared" ca="1" si="44"/>
        <v/>
      </c>
    </row>
    <row r="156" spans="4:12">
      <c r="D156" s="168" t="str">
        <f t="shared" ca="1" si="36"/>
        <v/>
      </c>
      <c r="E156" s="203" t="str">
        <f t="shared" ca="1" si="41"/>
        <v/>
      </c>
      <c r="F156" s="203" t="str">
        <f t="shared" ca="1" si="37"/>
        <v/>
      </c>
      <c r="G156" s="203" t="str">
        <f t="shared" ca="1" si="38"/>
        <v/>
      </c>
      <c r="H156" s="203" t="str">
        <f t="shared" ca="1" si="42"/>
        <v/>
      </c>
      <c r="I156" s="203" t="str">
        <f t="shared" ca="1" si="39"/>
        <v/>
      </c>
      <c r="J156" s="203" t="str">
        <f t="shared" ca="1" si="40"/>
        <v/>
      </c>
      <c r="K156" s="203" t="str">
        <f t="shared" ca="1" si="43"/>
        <v/>
      </c>
      <c r="L156" s="203" t="str">
        <f t="shared" ca="1" si="44"/>
        <v/>
      </c>
    </row>
    <row r="157" spans="4:12">
      <c r="D157" s="168" t="str">
        <f t="shared" ca="1" si="36"/>
        <v/>
      </c>
      <c r="E157" s="203" t="str">
        <f t="shared" ca="1" si="41"/>
        <v/>
      </c>
      <c r="F157" s="203" t="str">
        <f t="shared" ca="1" si="37"/>
        <v/>
      </c>
      <c r="G157" s="203" t="str">
        <f t="shared" ca="1" si="38"/>
        <v/>
      </c>
      <c r="H157" s="203" t="str">
        <f t="shared" ca="1" si="42"/>
        <v/>
      </c>
      <c r="I157" s="203" t="str">
        <f t="shared" ca="1" si="39"/>
        <v/>
      </c>
      <c r="J157" s="203" t="str">
        <f t="shared" ca="1" si="40"/>
        <v/>
      </c>
      <c r="K157" s="203" t="str">
        <f t="shared" ca="1" si="43"/>
        <v/>
      </c>
      <c r="L157" s="203" t="str">
        <f t="shared" ca="1" si="44"/>
        <v/>
      </c>
    </row>
    <row r="158" spans="4:12">
      <c r="D158" s="168" t="str">
        <f t="shared" ca="1" si="36"/>
        <v/>
      </c>
      <c r="E158" s="203" t="str">
        <f t="shared" ca="1" si="41"/>
        <v/>
      </c>
      <c r="F158" s="203" t="str">
        <f t="shared" ca="1" si="37"/>
        <v/>
      </c>
      <c r="G158" s="203" t="str">
        <f t="shared" ca="1" si="38"/>
        <v/>
      </c>
      <c r="H158" s="203" t="str">
        <f t="shared" ca="1" si="42"/>
        <v/>
      </c>
      <c r="I158" s="203" t="str">
        <f t="shared" ca="1" si="39"/>
        <v/>
      </c>
      <c r="J158" s="203" t="str">
        <f t="shared" ca="1" si="40"/>
        <v/>
      </c>
      <c r="K158" s="203" t="str">
        <f t="shared" ca="1" si="43"/>
        <v/>
      </c>
      <c r="L158" s="203" t="str">
        <f t="shared" ca="1" si="44"/>
        <v/>
      </c>
    </row>
    <row r="159" spans="4:12">
      <c r="D159" s="168" t="str">
        <f t="shared" ca="1" si="36"/>
        <v/>
      </c>
      <c r="E159" s="203" t="str">
        <f t="shared" ca="1" si="41"/>
        <v/>
      </c>
      <c r="F159" s="203" t="str">
        <f t="shared" ca="1" si="37"/>
        <v/>
      </c>
      <c r="G159" s="203" t="str">
        <f t="shared" ca="1" si="38"/>
        <v/>
      </c>
      <c r="H159" s="203" t="str">
        <f t="shared" ca="1" si="42"/>
        <v/>
      </c>
      <c r="I159" s="203" t="str">
        <f t="shared" ca="1" si="39"/>
        <v/>
      </c>
      <c r="J159" s="203" t="str">
        <f t="shared" ca="1" si="40"/>
        <v/>
      </c>
      <c r="K159" s="203" t="str">
        <f t="shared" ca="1" si="43"/>
        <v/>
      </c>
      <c r="L159" s="203" t="str">
        <f t="shared" ca="1" si="44"/>
        <v/>
      </c>
    </row>
    <row r="160" spans="4:12">
      <c r="D160" s="168" t="str">
        <f t="shared" ca="1" si="36"/>
        <v/>
      </c>
      <c r="E160" s="203" t="str">
        <f t="shared" ca="1" si="41"/>
        <v/>
      </c>
      <c r="F160" s="203" t="str">
        <f t="shared" ca="1" si="37"/>
        <v/>
      </c>
      <c r="G160" s="203" t="str">
        <f t="shared" ca="1" si="38"/>
        <v/>
      </c>
      <c r="H160" s="203" t="str">
        <f t="shared" ca="1" si="42"/>
        <v/>
      </c>
      <c r="I160" s="203" t="str">
        <f t="shared" ca="1" si="39"/>
        <v/>
      </c>
      <c r="J160" s="203" t="str">
        <f t="shared" ca="1" si="40"/>
        <v/>
      </c>
      <c r="K160" s="203" t="str">
        <f t="shared" ca="1" si="43"/>
        <v/>
      </c>
      <c r="L160" s="203" t="str">
        <f t="shared" ca="1" si="44"/>
        <v/>
      </c>
    </row>
    <row r="161" spans="4:12">
      <c r="D161" s="168" t="str">
        <f t="shared" ca="1" si="36"/>
        <v/>
      </c>
      <c r="E161" s="203" t="str">
        <f t="shared" ca="1" si="41"/>
        <v/>
      </c>
      <c r="F161" s="203" t="str">
        <f t="shared" ca="1" si="37"/>
        <v/>
      </c>
      <c r="G161" s="203" t="str">
        <f t="shared" ca="1" si="38"/>
        <v/>
      </c>
      <c r="H161" s="203" t="str">
        <f t="shared" ca="1" si="42"/>
        <v/>
      </c>
      <c r="I161" s="203" t="str">
        <f t="shared" ca="1" si="39"/>
        <v/>
      </c>
      <c r="J161" s="203" t="str">
        <f t="shared" ca="1" si="40"/>
        <v/>
      </c>
      <c r="K161" s="203" t="str">
        <f t="shared" ca="1" si="43"/>
        <v/>
      </c>
      <c r="L161" s="203" t="str">
        <f t="shared" ca="1" si="44"/>
        <v/>
      </c>
    </row>
    <row r="162" spans="4:12">
      <c r="D162" s="168" t="str">
        <f t="shared" ca="1" si="36"/>
        <v/>
      </c>
      <c r="E162" s="203" t="str">
        <f t="shared" ca="1" si="41"/>
        <v/>
      </c>
      <c r="F162" s="203" t="str">
        <f t="shared" ca="1" si="37"/>
        <v/>
      </c>
      <c r="G162" s="203" t="str">
        <f t="shared" ca="1" si="38"/>
        <v/>
      </c>
      <c r="H162" s="203" t="str">
        <f t="shared" ca="1" si="42"/>
        <v/>
      </c>
      <c r="I162" s="203" t="str">
        <f t="shared" ca="1" si="39"/>
        <v/>
      </c>
      <c r="J162" s="203" t="str">
        <f t="shared" ca="1" si="40"/>
        <v/>
      </c>
      <c r="K162" s="203" t="str">
        <f t="shared" ca="1" si="43"/>
        <v/>
      </c>
      <c r="L162" s="203" t="str">
        <f t="shared" ca="1" si="44"/>
        <v/>
      </c>
    </row>
    <row r="163" spans="4:12">
      <c r="D163" s="168" t="str">
        <f t="shared" ca="1" si="36"/>
        <v/>
      </c>
      <c r="E163" s="203" t="str">
        <f t="shared" ca="1" si="41"/>
        <v/>
      </c>
      <c r="F163" s="203" t="str">
        <f t="shared" ca="1" si="37"/>
        <v/>
      </c>
      <c r="G163" s="203" t="str">
        <f t="shared" ca="1" si="38"/>
        <v/>
      </c>
      <c r="H163" s="203" t="str">
        <f t="shared" ca="1" si="42"/>
        <v/>
      </c>
      <c r="I163" s="203" t="str">
        <f t="shared" ca="1" si="39"/>
        <v/>
      </c>
      <c r="J163" s="203" t="str">
        <f t="shared" ca="1" si="40"/>
        <v/>
      </c>
      <c r="K163" s="203" t="str">
        <f t="shared" ca="1" si="43"/>
        <v/>
      </c>
      <c r="L163" s="203" t="str">
        <f t="shared" ca="1" si="44"/>
        <v/>
      </c>
    </row>
    <row r="164" spans="4:12">
      <c r="D164" s="168" t="str">
        <f t="shared" ca="1" si="36"/>
        <v/>
      </c>
      <c r="E164" s="203" t="str">
        <f t="shared" ca="1" si="41"/>
        <v/>
      </c>
      <c r="F164" s="203" t="str">
        <f t="shared" ca="1" si="37"/>
        <v/>
      </c>
      <c r="G164" s="203" t="str">
        <f t="shared" ca="1" si="38"/>
        <v/>
      </c>
      <c r="H164" s="203" t="str">
        <f t="shared" ca="1" si="42"/>
        <v/>
      </c>
      <c r="I164" s="203" t="str">
        <f t="shared" ca="1" si="39"/>
        <v/>
      </c>
      <c r="J164" s="203" t="str">
        <f t="shared" ca="1" si="40"/>
        <v/>
      </c>
      <c r="K164" s="203" t="str">
        <f t="shared" ca="1" si="43"/>
        <v/>
      </c>
      <c r="L164" s="203" t="str">
        <f t="shared" ca="1" si="44"/>
        <v/>
      </c>
    </row>
    <row r="165" spans="4:12">
      <c r="D165" s="168" t="str">
        <f t="shared" ca="1" si="36"/>
        <v/>
      </c>
      <c r="E165" s="203" t="str">
        <f t="shared" ca="1" si="41"/>
        <v/>
      </c>
      <c r="F165" s="203" t="str">
        <f t="shared" ca="1" si="37"/>
        <v/>
      </c>
      <c r="G165" s="203" t="str">
        <f t="shared" ca="1" si="38"/>
        <v/>
      </c>
      <c r="H165" s="203" t="str">
        <f t="shared" ca="1" si="42"/>
        <v/>
      </c>
      <c r="I165" s="203" t="str">
        <f t="shared" ca="1" si="39"/>
        <v/>
      </c>
      <c r="J165" s="203" t="str">
        <f t="shared" ca="1" si="40"/>
        <v/>
      </c>
      <c r="K165" s="203" t="str">
        <f t="shared" ca="1" si="43"/>
        <v/>
      </c>
      <c r="L165" s="203" t="str">
        <f t="shared" ca="1" si="44"/>
        <v/>
      </c>
    </row>
    <row r="166" spans="4:12">
      <c r="D166" s="168" t="str">
        <f t="shared" ca="1" si="36"/>
        <v/>
      </c>
      <c r="E166" s="203" t="str">
        <f t="shared" ca="1" si="41"/>
        <v/>
      </c>
      <c r="F166" s="203" t="str">
        <f t="shared" ca="1" si="37"/>
        <v/>
      </c>
      <c r="G166" s="203" t="str">
        <f t="shared" ca="1" si="38"/>
        <v/>
      </c>
      <c r="H166" s="203" t="str">
        <f t="shared" ca="1" si="42"/>
        <v/>
      </c>
      <c r="I166" s="203" t="str">
        <f t="shared" ca="1" si="39"/>
        <v/>
      </c>
      <c r="J166" s="203" t="str">
        <f t="shared" ca="1" si="40"/>
        <v/>
      </c>
      <c r="K166" s="203" t="str">
        <f t="shared" ca="1" si="43"/>
        <v/>
      </c>
      <c r="L166" s="203" t="str">
        <f t="shared" ca="1" si="44"/>
        <v/>
      </c>
    </row>
    <row r="167" spans="4:12">
      <c r="D167" s="168" t="str">
        <f t="shared" ca="1" si="36"/>
        <v/>
      </c>
      <c r="E167" s="203" t="str">
        <f t="shared" ca="1" si="41"/>
        <v/>
      </c>
      <c r="F167" s="203" t="str">
        <f t="shared" ca="1" si="37"/>
        <v/>
      </c>
      <c r="G167" s="203" t="str">
        <f t="shared" ca="1" si="38"/>
        <v/>
      </c>
      <c r="H167" s="203" t="str">
        <f t="shared" ca="1" si="42"/>
        <v/>
      </c>
      <c r="I167" s="203" t="str">
        <f t="shared" ca="1" si="39"/>
        <v/>
      </c>
      <c r="J167" s="203" t="str">
        <f t="shared" ca="1" si="40"/>
        <v/>
      </c>
      <c r="K167" s="203" t="str">
        <f t="shared" ca="1" si="43"/>
        <v/>
      </c>
      <c r="L167" s="203" t="str">
        <f t="shared" ca="1" si="44"/>
        <v/>
      </c>
    </row>
    <row r="168" spans="4:12">
      <c r="D168" s="168" t="str">
        <f t="shared" ca="1" si="36"/>
        <v/>
      </c>
      <c r="E168" s="203" t="str">
        <f t="shared" ca="1" si="41"/>
        <v/>
      </c>
      <c r="F168" s="203" t="str">
        <f t="shared" ca="1" si="37"/>
        <v/>
      </c>
      <c r="G168" s="203" t="str">
        <f t="shared" ca="1" si="38"/>
        <v/>
      </c>
      <c r="H168" s="203" t="str">
        <f t="shared" ca="1" si="42"/>
        <v/>
      </c>
      <c r="I168" s="203" t="str">
        <f t="shared" ca="1" si="39"/>
        <v/>
      </c>
      <c r="J168" s="203" t="str">
        <f t="shared" ca="1" si="40"/>
        <v/>
      </c>
      <c r="K168" s="203" t="str">
        <f t="shared" ca="1" si="43"/>
        <v/>
      </c>
      <c r="L168" s="203" t="str">
        <f t="shared" ca="1" si="44"/>
        <v/>
      </c>
    </row>
    <row r="169" spans="4:12">
      <c r="D169" s="168" t="str">
        <f t="shared" ca="1" si="36"/>
        <v/>
      </c>
      <c r="E169" s="203" t="str">
        <f t="shared" ca="1" si="41"/>
        <v/>
      </c>
      <c r="F169" s="203" t="str">
        <f t="shared" ca="1" si="37"/>
        <v/>
      </c>
      <c r="G169" s="203" t="str">
        <f t="shared" ca="1" si="38"/>
        <v/>
      </c>
      <c r="H169" s="203" t="str">
        <f t="shared" ca="1" si="42"/>
        <v/>
      </c>
      <c r="I169" s="203" t="str">
        <f t="shared" ca="1" si="39"/>
        <v/>
      </c>
      <c r="J169" s="203" t="str">
        <f t="shared" ca="1" si="40"/>
        <v/>
      </c>
      <c r="K169" s="203" t="str">
        <f t="shared" ca="1" si="43"/>
        <v/>
      </c>
      <c r="L169" s="203" t="str">
        <f t="shared" ca="1" si="44"/>
        <v/>
      </c>
    </row>
    <row r="170" spans="4:12">
      <c r="D170" s="168" t="str">
        <f t="shared" ca="1" si="36"/>
        <v/>
      </c>
      <c r="E170" s="203" t="str">
        <f t="shared" ca="1" si="41"/>
        <v/>
      </c>
      <c r="F170" s="203" t="str">
        <f t="shared" ca="1" si="37"/>
        <v/>
      </c>
      <c r="G170" s="203" t="str">
        <f t="shared" ca="1" si="38"/>
        <v/>
      </c>
      <c r="H170" s="203" t="str">
        <f t="shared" ca="1" si="42"/>
        <v/>
      </c>
      <c r="I170" s="203" t="str">
        <f t="shared" ca="1" si="39"/>
        <v/>
      </c>
      <c r="J170" s="203" t="str">
        <f t="shared" ca="1" si="40"/>
        <v/>
      </c>
      <c r="K170" s="203" t="str">
        <f t="shared" ca="1" si="43"/>
        <v/>
      </c>
      <c r="L170" s="203" t="str">
        <f t="shared" ca="1" si="44"/>
        <v/>
      </c>
    </row>
    <row r="171" spans="4:12">
      <c r="D171" s="168" t="str">
        <f t="shared" ca="1" si="36"/>
        <v/>
      </c>
      <c r="E171" s="203" t="str">
        <f t="shared" ca="1" si="41"/>
        <v/>
      </c>
      <c r="F171" s="203" t="str">
        <f t="shared" ca="1" si="37"/>
        <v/>
      </c>
      <c r="G171" s="203" t="str">
        <f t="shared" ca="1" si="38"/>
        <v/>
      </c>
      <c r="H171" s="203" t="str">
        <f t="shared" ca="1" si="42"/>
        <v/>
      </c>
      <c r="I171" s="203" t="str">
        <f t="shared" ca="1" si="39"/>
        <v/>
      </c>
      <c r="J171" s="203" t="str">
        <f t="shared" ca="1" si="40"/>
        <v/>
      </c>
      <c r="K171" s="203" t="str">
        <f t="shared" ca="1" si="43"/>
        <v/>
      </c>
      <c r="L171" s="203" t="str">
        <f t="shared" ca="1" si="44"/>
        <v/>
      </c>
    </row>
    <row r="172" spans="4:12">
      <c r="D172" s="168" t="str">
        <f t="shared" ca="1" si="36"/>
        <v/>
      </c>
      <c r="E172" s="203" t="str">
        <f t="shared" ca="1" si="41"/>
        <v/>
      </c>
      <c r="F172" s="203" t="str">
        <f t="shared" ca="1" si="37"/>
        <v/>
      </c>
      <c r="G172" s="203" t="str">
        <f t="shared" ca="1" si="38"/>
        <v/>
      </c>
      <c r="H172" s="203" t="str">
        <f t="shared" ca="1" si="42"/>
        <v/>
      </c>
      <c r="I172" s="203" t="str">
        <f t="shared" ca="1" si="39"/>
        <v/>
      </c>
      <c r="J172" s="203" t="str">
        <f t="shared" ca="1" si="40"/>
        <v/>
      </c>
      <c r="K172" s="203" t="str">
        <f t="shared" ca="1" si="43"/>
        <v/>
      </c>
      <c r="L172" s="203" t="str">
        <f t="shared" ca="1" si="44"/>
        <v/>
      </c>
    </row>
    <row r="173" spans="4:12">
      <c r="D173" s="168" t="str">
        <f t="shared" ca="1" si="36"/>
        <v/>
      </c>
      <c r="E173" s="203" t="str">
        <f t="shared" ca="1" si="41"/>
        <v/>
      </c>
      <c r="F173" s="203" t="str">
        <f t="shared" ca="1" si="37"/>
        <v/>
      </c>
      <c r="G173" s="203" t="str">
        <f t="shared" ca="1" si="38"/>
        <v/>
      </c>
      <c r="H173" s="203" t="str">
        <f t="shared" ca="1" si="42"/>
        <v/>
      </c>
      <c r="I173" s="203" t="str">
        <f t="shared" ca="1" si="39"/>
        <v/>
      </c>
      <c r="J173" s="203" t="str">
        <f t="shared" ca="1" si="40"/>
        <v/>
      </c>
      <c r="K173" s="203" t="str">
        <f t="shared" ca="1" si="43"/>
        <v/>
      </c>
      <c r="L173" s="203" t="str">
        <f t="shared" ca="1" si="44"/>
        <v/>
      </c>
    </row>
    <row r="174" spans="4:12">
      <c r="D174" s="168" t="str">
        <f t="shared" ca="1" si="36"/>
        <v/>
      </c>
      <c r="E174" s="203" t="str">
        <f t="shared" ca="1" si="41"/>
        <v/>
      </c>
      <c r="F174" s="203" t="str">
        <f t="shared" ca="1" si="37"/>
        <v/>
      </c>
      <c r="G174" s="203" t="str">
        <f t="shared" ca="1" si="38"/>
        <v/>
      </c>
      <c r="H174" s="203" t="str">
        <f t="shared" ca="1" si="42"/>
        <v/>
      </c>
      <c r="I174" s="203" t="str">
        <f t="shared" ca="1" si="39"/>
        <v/>
      </c>
      <c r="J174" s="203" t="str">
        <f t="shared" ca="1" si="40"/>
        <v/>
      </c>
      <c r="K174" s="203" t="str">
        <f t="shared" ca="1" si="43"/>
        <v/>
      </c>
      <c r="L174" s="203" t="str">
        <f t="shared" ca="1" si="44"/>
        <v/>
      </c>
    </row>
    <row r="175" spans="4:12">
      <c r="D175" s="168" t="str">
        <f t="shared" ca="1" si="36"/>
        <v/>
      </c>
      <c r="E175" s="203" t="str">
        <f t="shared" ca="1" si="41"/>
        <v/>
      </c>
      <c r="F175" s="203" t="str">
        <f t="shared" ca="1" si="37"/>
        <v/>
      </c>
      <c r="G175" s="203" t="str">
        <f t="shared" ca="1" si="38"/>
        <v/>
      </c>
      <c r="H175" s="203" t="str">
        <f t="shared" ca="1" si="42"/>
        <v/>
      </c>
      <c r="I175" s="203" t="str">
        <f t="shared" ca="1" si="39"/>
        <v/>
      </c>
      <c r="J175" s="203" t="str">
        <f t="shared" ca="1" si="40"/>
        <v/>
      </c>
      <c r="K175" s="203" t="str">
        <f t="shared" ca="1" si="43"/>
        <v/>
      </c>
      <c r="L175" s="203" t="str">
        <f t="shared" ca="1" si="44"/>
        <v/>
      </c>
    </row>
    <row r="176" spans="4:12">
      <c r="D176" s="168" t="str">
        <f t="shared" ca="1" si="36"/>
        <v/>
      </c>
      <c r="E176" s="203" t="str">
        <f t="shared" ca="1" si="41"/>
        <v/>
      </c>
      <c r="F176" s="203" t="str">
        <f t="shared" ca="1" si="37"/>
        <v/>
      </c>
      <c r="G176" s="203" t="str">
        <f t="shared" ca="1" si="38"/>
        <v/>
      </c>
      <c r="H176" s="203" t="str">
        <f t="shared" ca="1" si="42"/>
        <v/>
      </c>
      <c r="I176" s="203" t="str">
        <f t="shared" ca="1" si="39"/>
        <v/>
      </c>
      <c r="J176" s="203" t="str">
        <f t="shared" ca="1" si="40"/>
        <v/>
      </c>
      <c r="K176" s="203" t="str">
        <f t="shared" ca="1" si="43"/>
        <v/>
      </c>
      <c r="L176" s="203" t="str">
        <f t="shared" ca="1" si="44"/>
        <v/>
      </c>
    </row>
    <row r="177" spans="4:12">
      <c r="D177" s="168" t="str">
        <f t="shared" ca="1" si="36"/>
        <v/>
      </c>
      <c r="E177" s="203" t="str">
        <f t="shared" ca="1" si="41"/>
        <v/>
      </c>
      <c r="F177" s="203" t="str">
        <f t="shared" ca="1" si="37"/>
        <v/>
      </c>
      <c r="G177" s="203" t="str">
        <f t="shared" ca="1" si="38"/>
        <v/>
      </c>
      <c r="H177" s="203" t="str">
        <f t="shared" ca="1" si="42"/>
        <v/>
      </c>
      <c r="I177" s="203" t="str">
        <f t="shared" ca="1" si="39"/>
        <v/>
      </c>
      <c r="J177" s="203" t="str">
        <f t="shared" ca="1" si="40"/>
        <v/>
      </c>
      <c r="K177" s="203" t="str">
        <f t="shared" ca="1" si="43"/>
        <v/>
      </c>
      <c r="L177" s="203" t="str">
        <f t="shared" ca="1" si="44"/>
        <v/>
      </c>
    </row>
    <row r="178" spans="4:12">
      <c r="D178" s="168" t="str">
        <f t="shared" ca="1" si="36"/>
        <v/>
      </c>
      <c r="E178" s="203" t="str">
        <f t="shared" ca="1" si="41"/>
        <v/>
      </c>
      <c r="F178" s="203" t="str">
        <f t="shared" ca="1" si="37"/>
        <v/>
      </c>
      <c r="G178" s="203" t="str">
        <f t="shared" ca="1" si="38"/>
        <v/>
      </c>
      <c r="H178" s="203" t="str">
        <f t="shared" ca="1" si="42"/>
        <v/>
      </c>
      <c r="I178" s="203" t="str">
        <f t="shared" ca="1" si="39"/>
        <v/>
      </c>
      <c r="J178" s="203" t="str">
        <f t="shared" ca="1" si="40"/>
        <v/>
      </c>
      <c r="K178" s="203" t="str">
        <f t="shared" ca="1" si="43"/>
        <v/>
      </c>
      <c r="L178" s="203" t="str">
        <f t="shared" ca="1" si="44"/>
        <v/>
      </c>
    </row>
  </sheetData>
  <sheetProtection algorithmName="SHA-512" hashValue="G7TFwn3DtfkO4xAjkCCuf7KYxmzFh6RUHf4ApAbWcUQq3VZszYZAhgjEjwvYKrWDYZKVA63vcnditrJvYc4HyA==" saltValue="sVBPzFgX1FIszVMBru2uzg==" spinCount="100000" sheet="1" objects="1" scenario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A0876-1FD0-4178-B25E-E6D5492F931C}">
  <sheetPr>
    <outlinePr summaryBelow="0"/>
  </sheetPr>
  <dimension ref="A1:AX134"/>
  <sheetViews>
    <sheetView showGridLines="0" zoomScale="80" zoomScaleNormal="80" workbookViewId="0">
      <selection activeCell="X21" sqref="X21"/>
    </sheetView>
  </sheetViews>
  <sheetFormatPr defaultRowHeight="14.5" outlineLevelRow="2"/>
  <cols>
    <col min="1" max="1" width="2" customWidth="1"/>
    <col min="2" max="3" width="10.81640625" customWidth="1"/>
    <col min="4" max="4" width="10.81640625" style="517" customWidth="1"/>
    <col min="5" max="5" width="10.81640625" style="468" customWidth="1"/>
    <col min="6" max="6" width="10.81640625" customWidth="1"/>
    <col min="7" max="7" width="10.81640625" style="380" customWidth="1"/>
    <col min="8" max="17" width="11.90625" customWidth="1"/>
    <col min="18" max="22" width="10.81640625" customWidth="1"/>
    <col min="23" max="28" width="9.54296875" customWidth="1"/>
  </cols>
  <sheetData>
    <row r="1" spans="1:50" ht="6.5" customHeight="1"/>
    <row r="2" spans="1:50" s="3" customFormat="1" ht="17">
      <c r="B2" s="270" t="s">
        <v>624</v>
      </c>
      <c r="E2" s="478"/>
      <c r="G2" s="168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</row>
    <row r="3" spans="1:50" s="3" customFormat="1" ht="5" customHeight="1" thickBot="1">
      <c r="B3" s="1"/>
      <c r="E3" s="478"/>
      <c r="G3" s="168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</row>
    <row r="4" spans="1:50" s="3" customFormat="1" ht="5" customHeight="1">
      <c r="B4" s="272"/>
      <c r="C4" s="249"/>
      <c r="D4" s="249"/>
      <c r="E4" s="479"/>
      <c r="F4" s="249"/>
      <c r="G4" s="271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</row>
    <row r="5" spans="1:50" s="57" customFormat="1">
      <c r="A5" s="52"/>
      <c r="B5" s="21" t="s">
        <v>626</v>
      </c>
      <c r="C5" s="389"/>
      <c r="D5" s="389"/>
      <c r="E5" s="470"/>
      <c r="F5" s="389"/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92"/>
    </row>
    <row r="6" spans="1:50" s="517" customFormat="1" ht="6" customHeight="1" outlineLevel="1">
      <c r="E6" s="468"/>
      <c r="H6" s="941"/>
      <c r="I6" s="747"/>
      <c r="J6" s="747"/>
      <c r="K6" s="747"/>
      <c r="L6" s="747"/>
      <c r="M6" s="747"/>
      <c r="N6" s="747"/>
      <c r="O6" s="747"/>
      <c r="P6" s="747"/>
      <c r="Q6" s="747"/>
    </row>
    <row r="7" spans="1:50" s="517" customFormat="1" outlineLevel="1">
      <c r="B7" s="962" t="str">
        <f>units</f>
        <v>($ '000)</v>
      </c>
      <c r="E7" s="468"/>
      <c r="H7" s="941"/>
      <c r="I7" s="747"/>
      <c r="J7" s="747"/>
      <c r="K7" s="747"/>
      <c r="L7" s="747"/>
      <c r="M7" s="747"/>
      <c r="N7" s="747"/>
      <c r="O7" s="747"/>
      <c r="P7" s="747"/>
      <c r="Q7" s="747"/>
    </row>
    <row r="8" spans="1:50" s="517" customFormat="1" outlineLevel="1" collapsed="1">
      <c r="B8" s="962"/>
      <c r="E8" s="468"/>
      <c r="H8" s="941"/>
      <c r="I8" s="747"/>
      <c r="J8" s="747"/>
      <c r="K8" s="747"/>
      <c r="L8" s="747"/>
      <c r="M8" s="747"/>
      <c r="N8" s="747"/>
      <c r="O8" s="747"/>
      <c r="P8" s="747"/>
      <c r="Q8" s="747"/>
    </row>
    <row r="9" spans="1:50" hidden="1" outlineLevel="2">
      <c r="B9" t="s">
        <v>249</v>
      </c>
      <c r="H9" s="580">
        <f>closing_date</f>
        <v>44775</v>
      </c>
      <c r="I9" s="1081">
        <f>H10+1</f>
        <v>44927</v>
      </c>
      <c r="J9" s="1081">
        <f t="shared" ref="J9:Q9" si="0">I10+1</f>
        <v>45292</v>
      </c>
      <c r="K9" s="1081">
        <f t="shared" si="0"/>
        <v>45658</v>
      </c>
      <c r="L9" s="1081">
        <f t="shared" si="0"/>
        <v>46023</v>
      </c>
      <c r="M9" s="1081">
        <f t="shared" si="0"/>
        <v>46388</v>
      </c>
      <c r="N9" s="1081">
        <f t="shared" si="0"/>
        <v>46753</v>
      </c>
      <c r="O9" s="1081">
        <f t="shared" si="0"/>
        <v>47119</v>
      </c>
      <c r="P9" s="1081">
        <f t="shared" si="0"/>
        <v>47484</v>
      </c>
      <c r="Q9" s="1081">
        <f t="shared" si="0"/>
        <v>47849</v>
      </c>
    </row>
    <row r="10" spans="1:50" hidden="1" outlineLevel="2">
      <c r="B10" t="s">
        <v>248</v>
      </c>
      <c r="H10" s="580">
        <f>Next_FYE</f>
        <v>44926</v>
      </c>
      <c r="I10" s="1081">
        <f>EOMONTH(I9,11)</f>
        <v>45291</v>
      </c>
      <c r="J10" s="1081">
        <f t="shared" ref="J10:Q10" si="1">EOMONTH(J9,11)</f>
        <v>45657</v>
      </c>
      <c r="K10" s="1081">
        <f t="shared" si="1"/>
        <v>46022</v>
      </c>
      <c r="L10" s="1081">
        <f t="shared" si="1"/>
        <v>46387</v>
      </c>
      <c r="M10" s="1081">
        <f t="shared" si="1"/>
        <v>46752</v>
      </c>
      <c r="N10" s="1081">
        <f t="shared" si="1"/>
        <v>47118</v>
      </c>
      <c r="O10" s="1081">
        <f t="shared" si="1"/>
        <v>47483</v>
      </c>
      <c r="P10" s="1081">
        <f t="shared" si="1"/>
        <v>47848</v>
      </c>
      <c r="Q10" s="1081">
        <f t="shared" si="1"/>
        <v>48213</v>
      </c>
    </row>
    <row r="11" spans="1:50" hidden="1" outlineLevel="2">
      <c r="H11" s="674">
        <f t="shared" ref="H11:Q11" si="2">YEARFRAC(H9,H10)</f>
        <v>0.41388888888888886</v>
      </c>
      <c r="I11" s="1082">
        <f t="shared" si="2"/>
        <v>1</v>
      </c>
      <c r="J11" s="1082">
        <f t="shared" si="2"/>
        <v>1</v>
      </c>
      <c r="K11" s="1082">
        <f t="shared" si="2"/>
        <v>1</v>
      </c>
      <c r="L11" s="1082">
        <f t="shared" si="2"/>
        <v>1</v>
      </c>
      <c r="M11" s="1082">
        <f t="shared" si="2"/>
        <v>1</v>
      </c>
      <c r="N11" s="1082">
        <f t="shared" si="2"/>
        <v>1</v>
      </c>
      <c r="O11" s="1082">
        <f t="shared" si="2"/>
        <v>1</v>
      </c>
      <c r="P11" s="1082">
        <f t="shared" si="2"/>
        <v>1</v>
      </c>
      <c r="Q11" s="1082">
        <f t="shared" si="2"/>
        <v>1</v>
      </c>
    </row>
    <row r="12" spans="1:50" s="517" customFormat="1" hidden="1" outlineLevel="2">
      <c r="E12" s="468"/>
      <c r="G12" s="380"/>
      <c r="H12" s="674"/>
      <c r="I12" s="581"/>
      <c r="J12" s="581"/>
      <c r="K12" s="581"/>
      <c r="L12" s="581"/>
      <c r="M12" s="581"/>
      <c r="N12" s="581"/>
      <c r="O12" s="581"/>
      <c r="P12" s="581"/>
      <c r="Q12" s="581"/>
    </row>
    <row r="13" spans="1:50" ht="16" outlineLevel="1">
      <c r="H13" s="743" t="str">
        <f>_xlfn.CONCAT((MONTH(H10)-MONTH(H9))," Months")</f>
        <v>4 Months</v>
      </c>
      <c r="I13" s="764" t="str">
        <f>"Projected Fiscal Years Ending "&amp;TEXT(HoldCo!$Q$16,"mmmm dd")</f>
        <v>Projected Fiscal Years Ending December 31</v>
      </c>
      <c r="J13" s="439"/>
      <c r="K13" s="439"/>
      <c r="L13" s="439"/>
      <c r="M13" s="439"/>
      <c r="N13" s="439"/>
      <c r="O13" s="439"/>
      <c r="P13" s="439"/>
      <c r="Q13" s="439"/>
    </row>
    <row r="14" spans="1:50" outlineLevel="1">
      <c r="H14" s="940">
        <v>1</v>
      </c>
      <c r="I14" s="441">
        <f t="shared" ref="I14:Q14" si="3">SUM(H14,1)</f>
        <v>2</v>
      </c>
      <c r="J14" s="441">
        <f t="shared" si="3"/>
        <v>3</v>
      </c>
      <c r="K14" s="441">
        <f t="shared" si="3"/>
        <v>4</v>
      </c>
      <c r="L14" s="441">
        <f t="shared" si="3"/>
        <v>5</v>
      </c>
      <c r="M14" s="441">
        <f t="shared" si="3"/>
        <v>6</v>
      </c>
      <c r="N14" s="441">
        <f t="shared" si="3"/>
        <v>7</v>
      </c>
      <c r="O14" s="441">
        <f t="shared" si="3"/>
        <v>8</v>
      </c>
      <c r="P14" s="441">
        <f t="shared" si="3"/>
        <v>9</v>
      </c>
      <c r="Q14" s="441">
        <f t="shared" si="3"/>
        <v>10</v>
      </c>
    </row>
    <row r="15" spans="1:50" outlineLevel="1">
      <c r="H15" s="1071">
        <f>Next_FYE</f>
        <v>44926</v>
      </c>
      <c r="I15" s="1072">
        <f t="shared" ref="I15:Q15" si="4">I$10</f>
        <v>45291</v>
      </c>
      <c r="J15" s="1072">
        <f t="shared" si="4"/>
        <v>45657</v>
      </c>
      <c r="K15" s="1072">
        <f t="shared" si="4"/>
        <v>46022</v>
      </c>
      <c r="L15" s="1072">
        <f t="shared" si="4"/>
        <v>46387</v>
      </c>
      <c r="M15" s="1072">
        <f t="shared" si="4"/>
        <v>46752</v>
      </c>
      <c r="N15" s="1072">
        <f t="shared" si="4"/>
        <v>47118</v>
      </c>
      <c r="O15" s="1072">
        <f t="shared" si="4"/>
        <v>47483</v>
      </c>
      <c r="P15" s="1072">
        <f t="shared" si="4"/>
        <v>47848</v>
      </c>
      <c r="Q15" s="1072">
        <f t="shared" si="4"/>
        <v>48213</v>
      </c>
    </row>
    <row r="16" spans="1:50" s="517" customFormat="1" ht="7" customHeight="1" outlineLevel="1">
      <c r="E16" s="468"/>
      <c r="G16" s="380"/>
      <c r="H16" s="941"/>
      <c r="I16" s="747"/>
      <c r="J16" s="747"/>
      <c r="K16" s="747"/>
      <c r="L16" s="747"/>
      <c r="M16" s="747"/>
      <c r="N16" s="747"/>
      <c r="O16" s="747"/>
      <c r="P16" s="747"/>
      <c r="Q16" s="747"/>
    </row>
    <row r="17" spans="1:22" s="517" customFormat="1" outlineLevel="1">
      <c r="B17" s="293" t="s">
        <v>476</v>
      </c>
      <c r="E17" s="468"/>
      <c r="H17" s="941"/>
      <c r="I17" s="747"/>
      <c r="J17" s="747"/>
      <c r="K17" s="747"/>
      <c r="L17" s="747"/>
      <c r="M17" s="747"/>
      <c r="N17" s="747"/>
      <c r="O17" s="747"/>
      <c r="P17" s="747"/>
      <c r="Q17" s="747"/>
    </row>
    <row r="18" spans="1:22" s="517" customFormat="1" outlineLevel="1">
      <c r="B18" s="499" t="s">
        <v>611</v>
      </c>
      <c r="E18" s="468"/>
      <c r="H18" s="299">
        <v>0</v>
      </c>
      <c r="I18" s="307">
        <f>$D$54</f>
        <v>504.803</v>
      </c>
      <c r="J18" s="299">
        <v>0</v>
      </c>
      <c r="K18" s="299">
        <v>0</v>
      </c>
      <c r="L18" s="299">
        <v>0</v>
      </c>
      <c r="M18" s="299">
        <v>0</v>
      </c>
      <c r="N18" s="299">
        <v>0</v>
      </c>
      <c r="O18" s="299">
        <v>0</v>
      </c>
      <c r="P18" s="299">
        <v>0</v>
      </c>
      <c r="Q18" s="299">
        <v>0</v>
      </c>
    </row>
    <row r="19" spans="1:22" s="517" customFormat="1" outlineLevel="1">
      <c r="B19" s="499" t="s">
        <v>612</v>
      </c>
      <c r="E19" s="468"/>
      <c r="H19" s="321">
        <f>H$64</f>
        <v>0</v>
      </c>
      <c r="I19" s="321">
        <f t="shared" ref="I19:Q19" si="5">I$64</f>
        <v>0</v>
      </c>
      <c r="J19" s="321">
        <f t="shared" si="5"/>
        <v>13.5</v>
      </c>
      <c r="K19" s="321">
        <f t="shared" si="5"/>
        <v>32.799999999999997</v>
      </c>
      <c r="L19" s="321">
        <f t="shared" si="5"/>
        <v>0.8</v>
      </c>
      <c r="M19" s="321">
        <f t="shared" si="5"/>
        <v>12.18</v>
      </c>
      <c r="N19" s="321">
        <f t="shared" si="5"/>
        <v>63</v>
      </c>
      <c r="O19" s="321">
        <f t="shared" si="5"/>
        <v>14.25</v>
      </c>
      <c r="P19" s="321">
        <f t="shared" si="5"/>
        <v>0</v>
      </c>
      <c r="Q19" s="321">
        <f t="shared" si="5"/>
        <v>0</v>
      </c>
    </row>
    <row r="20" spans="1:22" s="517" customFormat="1" outlineLevel="1">
      <c r="B20" s="615" t="s">
        <v>26</v>
      </c>
      <c r="C20" s="7"/>
      <c r="D20" s="7"/>
      <c r="E20" s="510"/>
      <c r="H20" s="300">
        <f>SUM(H18:H19)</f>
        <v>0</v>
      </c>
      <c r="I20" s="300">
        <f t="shared" ref="I20:Q20" si="6">SUM(I18:I19)</f>
        <v>504.803</v>
      </c>
      <c r="J20" s="300">
        <f t="shared" si="6"/>
        <v>13.5</v>
      </c>
      <c r="K20" s="300">
        <f t="shared" si="6"/>
        <v>32.799999999999997</v>
      </c>
      <c r="L20" s="300">
        <f t="shared" si="6"/>
        <v>0.8</v>
      </c>
      <c r="M20" s="300">
        <f t="shared" si="6"/>
        <v>12.18</v>
      </c>
      <c r="N20" s="300">
        <f t="shared" si="6"/>
        <v>63</v>
      </c>
      <c r="O20" s="300">
        <f t="shared" si="6"/>
        <v>14.25</v>
      </c>
      <c r="P20" s="300">
        <f t="shared" si="6"/>
        <v>0</v>
      </c>
      <c r="Q20" s="300">
        <f t="shared" si="6"/>
        <v>0</v>
      </c>
    </row>
    <row r="21" spans="1:22" s="517" customFormat="1" outlineLevel="1">
      <c r="E21" s="468"/>
      <c r="H21" s="941"/>
      <c r="I21" s="747"/>
      <c r="J21" s="747"/>
      <c r="K21" s="747"/>
      <c r="L21" s="747"/>
      <c r="M21" s="747"/>
      <c r="N21" s="747"/>
      <c r="O21" s="747"/>
      <c r="P21" s="747"/>
      <c r="Q21" s="747"/>
    </row>
    <row r="22" spans="1:22" s="1" customFormat="1" outlineLevel="1">
      <c r="B22" s="293" t="s">
        <v>38</v>
      </c>
      <c r="E22" s="13"/>
      <c r="H22" s="327"/>
      <c r="I22" s="327"/>
      <c r="J22" s="327"/>
      <c r="K22" s="327"/>
      <c r="L22" s="327"/>
      <c r="M22" s="327"/>
      <c r="N22" s="327"/>
      <c r="O22" s="327"/>
      <c r="P22" s="327"/>
      <c r="Q22" s="327"/>
    </row>
    <row r="23" spans="1:22" s="1" customFormat="1" outlineLevel="1">
      <c r="B23" s="499" t="s">
        <v>611</v>
      </c>
      <c r="E23" s="13"/>
      <c r="H23" s="299">
        <f>H$523</f>
        <v>0</v>
      </c>
      <c r="I23" s="298">
        <f t="shared" ref="I23:Q23" si="7">I$54</f>
        <v>17.8337602</v>
      </c>
      <c r="J23" s="298">
        <f t="shared" si="7"/>
        <v>33.722225800000004</v>
      </c>
      <c r="K23" s="298">
        <f t="shared" si="7"/>
        <v>30.876187300000005</v>
      </c>
      <c r="L23" s="298">
        <f t="shared" si="7"/>
        <v>28.329731799999998</v>
      </c>
      <c r="M23" s="298">
        <f t="shared" si="7"/>
        <v>26.022942700000002</v>
      </c>
      <c r="N23" s="298">
        <f t="shared" si="7"/>
        <v>23.925861699999999</v>
      </c>
      <c r="O23" s="298">
        <f t="shared" si="7"/>
        <v>22.937237799999998</v>
      </c>
      <c r="P23" s="298">
        <f t="shared" si="7"/>
        <v>22.937237799999998</v>
      </c>
      <c r="Q23" s="298">
        <f t="shared" si="7"/>
        <v>22.967196100000002</v>
      </c>
    </row>
    <row r="24" spans="1:22" s="1" customFormat="1" outlineLevel="1">
      <c r="B24" s="499" t="s">
        <v>612</v>
      </c>
      <c r="E24" s="13"/>
      <c r="H24" s="298">
        <f>H$77</f>
        <v>0</v>
      </c>
      <c r="I24" s="298">
        <f t="shared" ref="I24:Q24" si="8">I$77</f>
        <v>0</v>
      </c>
      <c r="J24" s="298">
        <f t="shared" si="8"/>
        <v>0.67500000000000004</v>
      </c>
      <c r="K24" s="298">
        <f t="shared" si="8"/>
        <v>2.9224999999999999</v>
      </c>
      <c r="L24" s="298">
        <f t="shared" si="8"/>
        <v>4.3102499999999999</v>
      </c>
      <c r="M24" s="298">
        <f t="shared" si="8"/>
        <v>4.5289000000000001</v>
      </c>
      <c r="N24" s="298">
        <f t="shared" si="8"/>
        <v>7.8366500000000006</v>
      </c>
      <c r="O24" s="298">
        <f t="shared" si="8"/>
        <v>10.914580000000001</v>
      </c>
      <c r="P24" s="298">
        <f t="shared" si="8"/>
        <v>10.573490000000001</v>
      </c>
      <c r="Q24" s="298">
        <f t="shared" si="8"/>
        <v>9.6949889999999996</v>
      </c>
    </row>
    <row r="25" spans="1:22" s="1" customFormat="1" outlineLevel="1">
      <c r="B25" s="615" t="s">
        <v>26</v>
      </c>
      <c r="C25" s="7"/>
      <c r="D25" s="7"/>
      <c r="E25" s="510"/>
      <c r="H25" s="300">
        <f>SUM(H23:H24)</f>
        <v>0</v>
      </c>
      <c r="I25" s="300">
        <f t="shared" ref="I25:Q25" si="9">SUM(I23:I24)</f>
        <v>17.8337602</v>
      </c>
      <c r="J25" s="300">
        <f t="shared" si="9"/>
        <v>34.397225800000001</v>
      </c>
      <c r="K25" s="300">
        <f t="shared" si="9"/>
        <v>33.798687300000005</v>
      </c>
      <c r="L25" s="300">
        <f t="shared" si="9"/>
        <v>32.639981800000001</v>
      </c>
      <c r="M25" s="300">
        <f t="shared" si="9"/>
        <v>30.551842700000002</v>
      </c>
      <c r="N25" s="300">
        <f t="shared" si="9"/>
        <v>31.762511699999997</v>
      </c>
      <c r="O25" s="300">
        <f t="shared" si="9"/>
        <v>33.851817799999999</v>
      </c>
      <c r="P25" s="300">
        <f t="shared" si="9"/>
        <v>33.510727799999998</v>
      </c>
      <c r="Q25" s="300">
        <f t="shared" si="9"/>
        <v>32.662185100000002</v>
      </c>
    </row>
    <row r="26" spans="1:22" s="517" customFormat="1" outlineLevel="1">
      <c r="E26" s="468"/>
      <c r="H26" s="941"/>
      <c r="I26" s="747"/>
      <c r="J26" s="747"/>
      <c r="K26" s="747"/>
      <c r="L26" s="747"/>
      <c r="M26" s="747"/>
      <c r="N26" s="747"/>
      <c r="O26" s="747"/>
      <c r="P26" s="747"/>
      <c r="Q26" s="747"/>
    </row>
    <row r="27" spans="1:22" s="517" customFormat="1" ht="5" customHeight="1">
      <c r="E27" s="468"/>
      <c r="H27" s="941"/>
      <c r="I27" s="747"/>
      <c r="J27" s="747"/>
      <c r="K27" s="747"/>
      <c r="L27" s="747"/>
      <c r="M27" s="747"/>
      <c r="N27" s="747"/>
      <c r="O27" s="747"/>
      <c r="P27" s="747"/>
      <c r="Q27" s="747"/>
    </row>
    <row r="28" spans="1:22" s="57" customFormat="1">
      <c r="A28" s="52"/>
      <c r="B28" s="21" t="s">
        <v>611</v>
      </c>
      <c r="C28" s="389"/>
      <c r="D28" s="389"/>
      <c r="E28" s="470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92"/>
    </row>
    <row r="29" spans="1:22" s="517" customFormat="1" ht="4.5" customHeight="1" outlineLevel="1">
      <c r="B29" s="1"/>
      <c r="E29" s="468"/>
      <c r="H29" s="941"/>
      <c r="I29" s="747"/>
      <c r="J29" s="747"/>
      <c r="K29" s="747"/>
      <c r="L29" s="747"/>
      <c r="M29" s="747"/>
      <c r="N29" s="747"/>
      <c r="O29" s="747"/>
      <c r="P29" s="747"/>
      <c r="Q29" s="747"/>
    </row>
    <row r="30" spans="1:22" s="517" customFormat="1" outlineLevel="1">
      <c r="B30" s="962" t="str">
        <f>units</f>
        <v>($ '000)</v>
      </c>
      <c r="E30" s="468"/>
      <c r="H30" s="941"/>
      <c r="I30" s="747"/>
      <c r="J30" s="747"/>
      <c r="K30" s="747"/>
      <c r="L30" s="747"/>
      <c r="M30" s="747"/>
      <c r="N30" s="747"/>
      <c r="O30" s="747"/>
      <c r="P30" s="747"/>
      <c r="Q30" s="747"/>
    </row>
    <row r="31" spans="1:22" s="517" customFormat="1" ht="16" outlineLevel="1">
      <c r="B31" s="962"/>
      <c r="E31" s="468"/>
      <c r="H31" s="438" t="str">
        <f>HoldCo!$N$124</f>
        <v>4 Months</v>
      </c>
      <c r="I31" s="764" t="str">
        <f>"Projected Fiscal Years Ending "&amp;TEXT(HoldCo!$Q$16,"mmmm dd")</f>
        <v>Projected Fiscal Years Ending December 31</v>
      </c>
      <c r="J31" s="439"/>
      <c r="K31" s="439"/>
      <c r="L31" s="439"/>
      <c r="M31" s="439"/>
      <c r="N31" s="439"/>
      <c r="O31" s="439"/>
      <c r="P31" s="439"/>
      <c r="Q31" s="439"/>
    </row>
    <row r="32" spans="1:22" s="517" customFormat="1" outlineLevel="1">
      <c r="B32" s="962"/>
      <c r="E32" s="468"/>
      <c r="H32" s="940">
        <v>1</v>
      </c>
      <c r="I32" s="441">
        <f t="shared" ref="I32" si="10">SUM(H32,1)</f>
        <v>2</v>
      </c>
      <c r="J32" s="441">
        <f t="shared" ref="J32" si="11">SUM(I32,1)</f>
        <v>3</v>
      </c>
      <c r="K32" s="441">
        <f t="shared" ref="K32" si="12">SUM(J32,1)</f>
        <v>4</v>
      </c>
      <c r="L32" s="441">
        <f t="shared" ref="L32" si="13">SUM(K32,1)</f>
        <v>5</v>
      </c>
      <c r="M32" s="441">
        <f t="shared" ref="M32" si="14">SUM(L32,1)</f>
        <v>6</v>
      </c>
      <c r="N32" s="441">
        <f t="shared" ref="N32" si="15">SUM(M32,1)</f>
        <v>7</v>
      </c>
      <c r="O32" s="441">
        <f t="shared" ref="O32" si="16">SUM(N32,1)</f>
        <v>8</v>
      </c>
      <c r="P32" s="441">
        <f t="shared" ref="P32" si="17">SUM(O32,1)</f>
        <v>9</v>
      </c>
      <c r="Q32" s="441">
        <f t="shared" ref="Q32" si="18">SUM(P32,1)</f>
        <v>10</v>
      </c>
    </row>
    <row r="33" spans="2:17" s="517" customFormat="1" outlineLevel="1">
      <c r="B33" s="962"/>
      <c r="E33" s="468"/>
      <c r="H33" s="1071">
        <f>Next_FYE</f>
        <v>44926</v>
      </c>
      <c r="I33" s="1072">
        <f t="shared" ref="I33:Q33" si="19">I$10</f>
        <v>45291</v>
      </c>
      <c r="J33" s="1072">
        <f t="shared" si="19"/>
        <v>45657</v>
      </c>
      <c r="K33" s="1072">
        <f t="shared" si="19"/>
        <v>46022</v>
      </c>
      <c r="L33" s="1072">
        <f t="shared" si="19"/>
        <v>46387</v>
      </c>
      <c r="M33" s="1072">
        <f t="shared" si="19"/>
        <v>46752</v>
      </c>
      <c r="N33" s="1072">
        <f t="shared" si="19"/>
        <v>47118</v>
      </c>
      <c r="O33" s="1072">
        <f t="shared" si="19"/>
        <v>47483</v>
      </c>
      <c r="P33" s="1072">
        <f t="shared" si="19"/>
        <v>47848</v>
      </c>
      <c r="Q33" s="1072">
        <f t="shared" si="19"/>
        <v>48213</v>
      </c>
    </row>
    <row r="34" spans="2:17" s="517" customFormat="1" ht="14.5" customHeight="1" outlineLevel="1">
      <c r="E34" s="468"/>
      <c r="H34" s="941"/>
      <c r="I34" s="747"/>
      <c r="J34" s="747"/>
      <c r="K34" s="747"/>
      <c r="L34" s="747"/>
      <c r="M34" s="747"/>
      <c r="N34" s="747"/>
      <c r="O34" s="747"/>
      <c r="P34" s="747"/>
      <c r="Q34" s="747"/>
    </row>
    <row r="35" spans="2:17" s="517" customFormat="1" ht="16" outlineLevel="1">
      <c r="B35" s="1076" t="s">
        <v>784</v>
      </c>
      <c r="C35" s="1076"/>
      <c r="D35" s="1076"/>
      <c r="E35" s="468"/>
      <c r="F35" s="6"/>
      <c r="H35" s="1076" t="s">
        <v>38</v>
      </c>
      <c r="I35" s="175"/>
      <c r="J35" s="175"/>
      <c r="K35" s="175"/>
      <c r="L35" s="175"/>
      <c r="M35" s="175"/>
      <c r="N35" s="175"/>
      <c r="O35" s="175"/>
      <c r="P35" s="175"/>
      <c r="Q35" s="175"/>
    </row>
    <row r="36" spans="2:17" s="517" customFormat="1" ht="4.5" customHeight="1" outlineLevel="1">
      <c r="B36" s="1"/>
      <c r="E36" s="468"/>
      <c r="F36" s="6"/>
      <c r="H36" s="941"/>
    </row>
    <row r="37" spans="2:17" s="517" customFormat="1" outlineLevel="1">
      <c r="B37" s="1077" t="s">
        <v>539</v>
      </c>
      <c r="C37" s="151"/>
      <c r="D37" s="1080">
        <v>15</v>
      </c>
      <c r="E37"/>
      <c r="F37"/>
    </row>
    <row r="38" spans="2:17" s="517" customFormat="1" ht="4" customHeight="1" outlineLevel="1">
      <c r="B38" s="7"/>
      <c r="C38" s="8"/>
      <c r="D38" s="8"/>
      <c r="E38"/>
      <c r="F38"/>
    </row>
    <row r="39" spans="2:17" outlineLevel="1">
      <c r="B39" s="495" t="s">
        <v>603</v>
      </c>
      <c r="C39" s="14"/>
      <c r="D39" s="483">
        <v>70</v>
      </c>
      <c r="E39"/>
      <c r="H39" s="163"/>
      <c r="I39" s="298">
        <f>$D39*HLOOKUP($D$37,$C$89:$H$111,COUNTA($H39:H39)+1+2)</f>
        <v>3.5</v>
      </c>
      <c r="J39" s="298">
        <f>$D39*HLOOKUP($D$37,$C$89:$H$111,COUNTA($H39:I39)+1+2)</f>
        <v>6.65</v>
      </c>
      <c r="K39" s="298">
        <f>$D39*HLOOKUP($D$37,$C$89:$H$111,COUNTA($H39:J39)+1+2)</f>
        <v>5.9850000000000003</v>
      </c>
      <c r="L39" s="298">
        <f>$D39*HLOOKUP($D$37,$C$89:$H$111,COUNTA($H39:K39)+1+2)</f>
        <v>5.39</v>
      </c>
      <c r="M39" s="298">
        <f>$D39*HLOOKUP($D$37,$C$89:$H$111,COUNTA($H39:L39)+1+2)</f>
        <v>4.851</v>
      </c>
      <c r="N39" s="298">
        <f>$D39*HLOOKUP($D$37,$C$89:$H$111,COUNTA($H39:M39)+1+2)</f>
        <v>4.3609999999999998</v>
      </c>
      <c r="O39" s="298">
        <f>$D39*HLOOKUP($D$37,$C$89:$H$111,COUNTA($H39:N39)+1+2)</f>
        <v>4.13</v>
      </c>
      <c r="P39" s="298">
        <f>$D39*HLOOKUP($D$37,$C$89:$H$111,COUNTA($H39:O39)+1+2)</f>
        <v>4.13</v>
      </c>
      <c r="Q39" s="298">
        <f>$D39*HLOOKUP($D$37,$C$89:$H$111,COUNTA($H39:P39)+1+2)</f>
        <v>4.1369999999999996</v>
      </c>
    </row>
    <row r="40" spans="2:17" outlineLevel="1">
      <c r="B40" s="153" t="s">
        <v>604</v>
      </c>
      <c r="D40" s="483">
        <v>32.283000000000001</v>
      </c>
      <c r="E40"/>
      <c r="H40" s="163"/>
      <c r="I40" s="298">
        <f>$D40*HLOOKUP($D$37,$C$89:$H$111,COUNTA($H40:H40)+1+2)</f>
        <v>1.6141500000000002</v>
      </c>
      <c r="J40" s="298">
        <f>$D40*HLOOKUP($D$37,$C$89:$H$111,COUNTA($H40:I40)+1+2)</f>
        <v>3.0668850000000001</v>
      </c>
      <c r="K40" s="298">
        <f>$D40*HLOOKUP($D$37,$C$89:$H$111,COUNTA($H40:J40)+1+2)</f>
        <v>2.7601965000000002</v>
      </c>
      <c r="L40" s="298">
        <f>$D40*HLOOKUP($D$37,$C$89:$H$111,COUNTA($H40:K40)+1+2)</f>
        <v>2.4857909999999999</v>
      </c>
      <c r="M40" s="298">
        <f>$D40*HLOOKUP($D$37,$C$89:$H$111,COUNTA($H40:L40)+1+2)</f>
        <v>2.2372119000000001</v>
      </c>
      <c r="N40" s="298">
        <f>$D40*HLOOKUP($D$37,$C$89:$H$111,COUNTA($H40:M40)+1+2)</f>
        <v>2.0112309000000002</v>
      </c>
      <c r="O40" s="298">
        <f>$D40*HLOOKUP($D$37,$C$89:$H$111,COUNTA($H40:N40)+1+2)</f>
        <v>1.9046970000000001</v>
      </c>
      <c r="P40" s="298">
        <f>$D40*HLOOKUP($D$37,$C$89:$H$111,COUNTA($H40:O40)+1+2)</f>
        <v>1.9046970000000001</v>
      </c>
      <c r="Q40" s="298">
        <f>$D40*HLOOKUP($D$37,$C$89:$H$111,COUNTA($H40:P40)+1+2)</f>
        <v>1.9079253</v>
      </c>
    </row>
    <row r="41" spans="2:17" outlineLevel="1">
      <c r="B41" s="153" t="s">
        <v>602</v>
      </c>
      <c r="D41" s="483">
        <v>3.6</v>
      </c>
      <c r="E41"/>
      <c r="H41" s="163"/>
      <c r="I41" s="298">
        <f>$D41*HLOOKUP($D$37,$C$89:$H$111,COUNTA($H41:H41)+1+2)</f>
        <v>0.18000000000000002</v>
      </c>
      <c r="J41" s="298">
        <f>$D41*HLOOKUP($D$37,$C$89:$H$111,COUNTA($H41:I41)+1+2)</f>
        <v>0.34200000000000003</v>
      </c>
      <c r="K41" s="298">
        <f>$D41*HLOOKUP($D$37,$C$89:$H$111,COUNTA($H41:J41)+1+2)</f>
        <v>0.30780000000000002</v>
      </c>
      <c r="L41" s="298">
        <f>$D41*HLOOKUP($D$37,$C$89:$H$111,COUNTA($H41:K41)+1+2)</f>
        <v>0.2772</v>
      </c>
      <c r="M41" s="298">
        <f>$D41*HLOOKUP($D$37,$C$89:$H$111,COUNTA($H41:L41)+1+2)</f>
        <v>0.24948000000000001</v>
      </c>
      <c r="N41" s="298">
        <f>$D41*HLOOKUP($D$37,$C$89:$H$111,COUNTA($H41:M41)+1+2)</f>
        <v>0.22428000000000001</v>
      </c>
      <c r="O41" s="298">
        <f>$D41*HLOOKUP($D$37,$C$89:$H$111,COUNTA($H41:N41)+1+2)</f>
        <v>0.21240000000000001</v>
      </c>
      <c r="P41" s="298">
        <f>$D41*HLOOKUP($D$37,$C$89:$H$111,COUNTA($H41:O41)+1+2)</f>
        <v>0.21240000000000001</v>
      </c>
      <c r="Q41" s="298">
        <f>$D41*HLOOKUP($D$37,$C$89:$H$111,COUNTA($H41:P41)+1+2)</f>
        <v>0.21276</v>
      </c>
    </row>
    <row r="42" spans="2:17" outlineLevel="1">
      <c r="B42" s="153" t="s">
        <v>605</v>
      </c>
      <c r="D42" s="483">
        <v>37</v>
      </c>
      <c r="E42"/>
      <c r="H42" s="163"/>
      <c r="I42" s="298">
        <f>$D42*HLOOKUP($D$37,$C$89:$H$111,COUNTA($H42:H42)+1+2)</f>
        <v>1.85</v>
      </c>
      <c r="J42" s="298">
        <f>$D42*HLOOKUP($D$37,$C$89:$H$111,COUNTA($H42:I42)+1+2)</f>
        <v>3.5150000000000001</v>
      </c>
      <c r="K42" s="298">
        <f>$D42*HLOOKUP($D$37,$C$89:$H$111,COUNTA($H42:J42)+1+2)</f>
        <v>3.1635000000000004</v>
      </c>
      <c r="L42" s="298">
        <f>$D42*HLOOKUP($D$37,$C$89:$H$111,COUNTA($H42:K42)+1+2)</f>
        <v>2.8489999999999998</v>
      </c>
      <c r="M42" s="298">
        <f>$D42*HLOOKUP($D$37,$C$89:$H$111,COUNTA($H42:L42)+1+2)</f>
        <v>2.5640999999999998</v>
      </c>
      <c r="N42" s="298">
        <f>$D42*HLOOKUP($D$37,$C$89:$H$111,COUNTA($H42:M42)+1+2)</f>
        <v>2.3050999999999999</v>
      </c>
      <c r="O42" s="298">
        <f>$D42*HLOOKUP($D$37,$C$89:$H$111,COUNTA($H42:N42)+1+2)</f>
        <v>2.1829999999999998</v>
      </c>
      <c r="P42" s="298">
        <f>$D42*HLOOKUP($D$37,$C$89:$H$111,COUNTA($H42:O42)+1+2)</f>
        <v>2.1829999999999998</v>
      </c>
      <c r="Q42" s="298">
        <f>$D42*HLOOKUP($D$37,$C$89:$H$111,COUNTA($H42:P42)+1+2)</f>
        <v>2.1867000000000001</v>
      </c>
    </row>
    <row r="43" spans="2:17" outlineLevel="1">
      <c r="B43" s="153" t="s">
        <v>606</v>
      </c>
      <c r="D43" s="483">
        <v>8.3000000000000007</v>
      </c>
      <c r="E43"/>
      <c r="H43" s="163"/>
      <c r="I43" s="298">
        <f>$D43*HLOOKUP($D$37,$C$89:$H$111,COUNTA($H43:H43)+1+2)</f>
        <v>0.41500000000000004</v>
      </c>
      <c r="J43" s="298">
        <f>$D43*HLOOKUP($D$37,$C$89:$H$111,COUNTA($H43:I43)+1+2)</f>
        <v>0.78850000000000009</v>
      </c>
      <c r="K43" s="298">
        <f>$D43*HLOOKUP($D$37,$C$89:$H$111,COUNTA($H43:J43)+1+2)</f>
        <v>0.70965000000000011</v>
      </c>
      <c r="L43" s="298">
        <f>$D43*HLOOKUP($D$37,$C$89:$H$111,COUNTA($H43:K43)+1+2)</f>
        <v>0.6391</v>
      </c>
      <c r="M43" s="298">
        <f>$D43*HLOOKUP($D$37,$C$89:$H$111,COUNTA($H43:L43)+1+2)</f>
        <v>0.57519000000000009</v>
      </c>
      <c r="N43" s="298">
        <f>$D43*HLOOKUP($D$37,$C$89:$H$111,COUNTA($H43:M43)+1+2)</f>
        <v>0.51709000000000005</v>
      </c>
      <c r="O43" s="298">
        <f>$D43*HLOOKUP($D$37,$C$89:$H$111,COUNTA($H43:N43)+1+2)</f>
        <v>0.48970000000000002</v>
      </c>
      <c r="P43" s="298">
        <f>$D43*HLOOKUP($D$37,$C$89:$H$111,COUNTA($H43:O43)+1+2)</f>
        <v>0.48970000000000002</v>
      </c>
      <c r="Q43" s="298">
        <f>$D43*HLOOKUP($D$37,$C$89:$H$111,COUNTA($H43:P43)+1+2)</f>
        <v>0.49053000000000002</v>
      </c>
    </row>
    <row r="44" spans="2:17" outlineLevel="1">
      <c r="B44" s="153" t="s">
        <v>608</v>
      </c>
      <c r="D44" s="483">
        <v>10.3</v>
      </c>
      <c r="E44"/>
      <c r="H44" s="163"/>
      <c r="I44" s="298">
        <f>$D44*HLOOKUP($D$37,$C$89:$H$111,COUNTA($H44:H44)+1+2)</f>
        <v>0.51500000000000001</v>
      </c>
      <c r="J44" s="298">
        <f>$D44*HLOOKUP($D$37,$C$89:$H$111,COUNTA($H44:I44)+1+2)</f>
        <v>0.97850000000000004</v>
      </c>
      <c r="K44" s="298">
        <f>$D44*HLOOKUP($D$37,$C$89:$H$111,COUNTA($H44:J44)+1+2)</f>
        <v>0.88065000000000015</v>
      </c>
      <c r="L44" s="298">
        <f>$D44*HLOOKUP($D$37,$C$89:$H$111,COUNTA($H44:K44)+1+2)</f>
        <v>0.79310000000000003</v>
      </c>
      <c r="M44" s="298">
        <f>$D44*HLOOKUP($D$37,$C$89:$H$111,COUNTA($H44:L44)+1+2)</f>
        <v>0.71379000000000004</v>
      </c>
      <c r="N44" s="298">
        <f>$D44*HLOOKUP($D$37,$C$89:$H$111,COUNTA($H44:M44)+1+2)</f>
        <v>0.64169000000000009</v>
      </c>
      <c r="O44" s="298">
        <f>$D44*HLOOKUP($D$37,$C$89:$H$111,COUNTA($H44:N44)+1+2)</f>
        <v>0.60770000000000002</v>
      </c>
      <c r="P44" s="298">
        <f>$D44*HLOOKUP($D$37,$C$89:$H$111,COUNTA($H44:O44)+1+2)</f>
        <v>0.60770000000000002</v>
      </c>
      <c r="Q44" s="298">
        <f>$D44*HLOOKUP($D$37,$C$89:$H$111,COUNTA($H44:P44)+1+2)</f>
        <v>0.60872999999999999</v>
      </c>
    </row>
    <row r="45" spans="2:17" outlineLevel="1">
      <c r="B45" s="153" t="s">
        <v>609</v>
      </c>
      <c r="D45" s="483">
        <v>11.6</v>
      </c>
      <c r="E45"/>
      <c r="H45" s="163"/>
      <c r="I45" s="298">
        <f>$D45*HLOOKUP($D$37,$C$89:$H$111,COUNTA($H45:H45)+1+2)</f>
        <v>0.57999999999999996</v>
      </c>
      <c r="J45" s="298">
        <f>$D45*HLOOKUP($D$37,$C$89:$H$111,COUNTA($H45:I45)+1+2)</f>
        <v>1.1019999999999999</v>
      </c>
      <c r="K45" s="298">
        <f>$D45*HLOOKUP($D$37,$C$89:$H$111,COUNTA($H45:J45)+1+2)</f>
        <v>0.99180000000000001</v>
      </c>
      <c r="L45" s="298">
        <f>$D45*HLOOKUP($D$37,$C$89:$H$111,COUNTA($H45:K45)+1+2)</f>
        <v>0.89319999999999999</v>
      </c>
      <c r="M45" s="298">
        <f>$D45*HLOOKUP($D$37,$C$89:$H$111,COUNTA($H45:L45)+1+2)</f>
        <v>0.80387999999999993</v>
      </c>
      <c r="N45" s="298">
        <f>$D45*HLOOKUP($D$37,$C$89:$H$111,COUNTA($H45:M45)+1+2)</f>
        <v>0.72267999999999999</v>
      </c>
      <c r="O45" s="298">
        <f>$D45*HLOOKUP($D$37,$C$89:$H$111,COUNTA($H45:N45)+1+2)</f>
        <v>0.6843999999999999</v>
      </c>
      <c r="P45" s="298">
        <f>$D45*HLOOKUP($D$37,$C$89:$H$111,COUNTA($H45:O45)+1+2)</f>
        <v>0.6843999999999999</v>
      </c>
      <c r="Q45" s="298">
        <f>$D45*HLOOKUP($D$37,$C$89:$H$111,COUNTA($H45:P45)+1+2)</f>
        <v>0.68555999999999995</v>
      </c>
    </row>
    <row r="46" spans="2:17" outlineLevel="1">
      <c r="B46" s="1397" t="s">
        <v>610</v>
      </c>
      <c r="C46" s="873"/>
      <c r="D46" s="1079">
        <v>126.5</v>
      </c>
      <c r="E46"/>
      <c r="H46" s="163"/>
      <c r="I46" s="298">
        <f>$D46*HLOOKUP($D$37,$C$89:$H$111,COUNTA($H46:H46)+1+2)</f>
        <v>6.3250000000000002</v>
      </c>
      <c r="J46" s="298">
        <f>$D46*HLOOKUP($D$37,$C$89:$H$111,COUNTA($H46:I46)+1+2)</f>
        <v>12.0175</v>
      </c>
      <c r="K46" s="298">
        <f>$D46*HLOOKUP($D$37,$C$89:$H$111,COUNTA($H46:J46)+1+2)</f>
        <v>10.815750000000001</v>
      </c>
      <c r="L46" s="298">
        <f>$D46*HLOOKUP($D$37,$C$89:$H$111,COUNTA($H46:K46)+1+2)</f>
        <v>9.740499999999999</v>
      </c>
      <c r="M46" s="298">
        <f>$D46*HLOOKUP($D$37,$C$89:$H$111,COUNTA($H46:L46)+1+2)</f>
        <v>8.7664500000000007</v>
      </c>
      <c r="N46" s="298">
        <f>$D46*HLOOKUP($D$37,$C$89:$H$111,COUNTA($H46:M46)+1+2)</f>
        <v>7.8809500000000003</v>
      </c>
      <c r="O46" s="298">
        <f>$D46*HLOOKUP($D$37,$C$89:$H$111,COUNTA($H46:N46)+1+2)</f>
        <v>7.4634999999999998</v>
      </c>
      <c r="P46" s="298">
        <f>$D46*HLOOKUP($D$37,$C$89:$H$111,COUNTA($H46:O46)+1+2)</f>
        <v>7.4634999999999998</v>
      </c>
      <c r="Q46" s="298">
        <f>$D46*HLOOKUP($D$37,$C$89:$H$111,COUNTA($H46:P46)+1+2)</f>
        <v>7.4761499999999996</v>
      </c>
    </row>
    <row r="47" spans="2:17" s="517" customFormat="1" outlineLevel="1">
      <c r="B47" s="154" t="s">
        <v>623</v>
      </c>
      <c r="C47" s="150"/>
      <c r="D47" s="1078">
        <f>SUM(D39:D46)</f>
        <v>299.58299999999997</v>
      </c>
      <c r="E47"/>
      <c r="F47"/>
      <c r="H47" s="1532"/>
      <c r="I47" s="1068">
        <f t="shared" ref="I47:Q47" si="20">SUM(I39:I46)</f>
        <v>14.979150000000001</v>
      </c>
      <c r="J47" s="1068">
        <f t="shared" si="20"/>
        <v>28.460385000000002</v>
      </c>
      <c r="K47" s="1068">
        <f t="shared" si="20"/>
        <v>25.614346500000003</v>
      </c>
      <c r="L47" s="1068">
        <f t="shared" si="20"/>
        <v>23.067890999999999</v>
      </c>
      <c r="M47" s="1068">
        <f t="shared" si="20"/>
        <v>20.7611019</v>
      </c>
      <c r="N47" s="1068">
        <f t="shared" si="20"/>
        <v>18.664020900000001</v>
      </c>
      <c r="O47" s="1068">
        <f t="shared" si="20"/>
        <v>17.675396999999997</v>
      </c>
      <c r="P47" s="1068">
        <f t="shared" si="20"/>
        <v>17.675396999999997</v>
      </c>
      <c r="Q47" s="1068">
        <f t="shared" si="20"/>
        <v>17.705355300000001</v>
      </c>
    </row>
    <row r="48" spans="2:17" s="517" customFormat="1" ht="7" customHeight="1" outlineLevel="1">
      <c r="B48" s="795"/>
      <c r="D48" s="483"/>
      <c r="E48"/>
    </row>
    <row r="49" spans="1:26" s="517" customFormat="1" outlineLevel="1">
      <c r="B49" s="1077" t="s">
        <v>539</v>
      </c>
      <c r="C49" s="151"/>
      <c r="D49" s="1080">
        <v>39</v>
      </c>
      <c r="E49"/>
      <c r="F49" s="1046" t="s">
        <v>341</v>
      </c>
    </row>
    <row r="50" spans="1:26" s="517" customFormat="1" ht="4" customHeight="1" outlineLevel="1">
      <c r="B50" s="1018"/>
      <c r="C50" s="8"/>
      <c r="D50" s="1073"/>
      <c r="E50"/>
      <c r="F50" s="918"/>
    </row>
    <row r="51" spans="1:26" s="517" customFormat="1" outlineLevel="1">
      <c r="B51" s="1397" t="s">
        <v>607</v>
      </c>
      <c r="C51" s="873"/>
      <c r="D51" s="1079">
        <v>205.22</v>
      </c>
      <c r="E51"/>
      <c r="F51" s="1070">
        <v>45078</v>
      </c>
      <c r="H51" s="163"/>
      <c r="I51" s="298">
        <f>$D51*HLOOKUP(MONTH($F$51),$K$89:$V$130,COUNTA($H51:H51)+1+2)</f>
        <v>2.8546102000000002</v>
      </c>
      <c r="J51" s="298">
        <f>$D51*HLOOKUP(MONTH($F$51),$K$89:$V$130,COUNTA($H51:I51)+1+2)</f>
        <v>5.2618407999999999</v>
      </c>
      <c r="K51" s="298">
        <f>$D51*HLOOKUP(MONTH($F$51),$K$89:$V$130,COUNTA($H51:J51)+1+2)</f>
        <v>5.2618407999999999</v>
      </c>
      <c r="L51" s="298">
        <f>$D51*HLOOKUP(MONTH($F$51),$K$89:$V$130,COUNTA($H51:K51)+1+2)</f>
        <v>5.2618407999999999</v>
      </c>
      <c r="M51" s="298">
        <f>$D51*HLOOKUP(MONTH($F$51),$K$89:$V$130,COUNTA($H51:L51)+1+2)</f>
        <v>5.2618407999999999</v>
      </c>
      <c r="N51" s="298">
        <f>$D51*HLOOKUP(MONTH($F$51),$K$89:$V$130,COUNTA($H51:M51)+1+2)</f>
        <v>5.2618407999999999</v>
      </c>
      <c r="O51" s="298">
        <f>$D51*HLOOKUP(MONTH($F$51),$K$89:$V$130,COUNTA($H51:N51)+1+2)</f>
        <v>5.2618407999999999</v>
      </c>
      <c r="P51" s="298">
        <f>$D51*HLOOKUP(MONTH($F$51),$K$89:$V$130,COUNTA($H51:O51)+1+2)</f>
        <v>5.2618407999999999</v>
      </c>
      <c r="Q51" s="298">
        <f>$D51*HLOOKUP(MONTH($F$51),$K$89:$V$130,COUNTA($H51:P51)+1+2)</f>
        <v>5.2618407999999999</v>
      </c>
    </row>
    <row r="52" spans="1:26" outlineLevel="1">
      <c r="B52" s="154" t="s">
        <v>623</v>
      </c>
      <c r="C52" s="150"/>
      <c r="D52" s="508">
        <f>SUM(D51)</f>
        <v>205.22</v>
      </c>
      <c r="E52"/>
      <c r="F52" s="380"/>
      <c r="G52"/>
      <c r="H52" s="1533"/>
      <c r="I52" s="447">
        <f t="shared" ref="I52:Q52" si="21">SUM(I51)</f>
        <v>2.8546102000000002</v>
      </c>
      <c r="J52" s="447">
        <f t="shared" si="21"/>
        <v>5.2618407999999999</v>
      </c>
      <c r="K52" s="447">
        <f t="shared" si="21"/>
        <v>5.2618407999999999</v>
      </c>
      <c r="L52" s="447">
        <f t="shared" si="21"/>
        <v>5.2618407999999999</v>
      </c>
      <c r="M52" s="447">
        <f t="shared" si="21"/>
        <v>5.2618407999999999</v>
      </c>
      <c r="N52" s="447">
        <f t="shared" si="21"/>
        <v>5.2618407999999999</v>
      </c>
      <c r="O52" s="447">
        <f t="shared" si="21"/>
        <v>5.2618407999999999</v>
      </c>
      <c r="P52" s="447">
        <f t="shared" si="21"/>
        <v>5.2618407999999999</v>
      </c>
      <c r="Q52" s="447">
        <f t="shared" si="21"/>
        <v>5.2618407999999999</v>
      </c>
    </row>
    <row r="53" spans="1:26" ht="5" customHeight="1" outlineLevel="1" thickBot="1">
      <c r="B53" s="502"/>
      <c r="C53" s="502"/>
      <c r="D53" s="502"/>
      <c r="E53"/>
      <c r="F53" s="380"/>
      <c r="G53"/>
      <c r="H53" s="502"/>
      <c r="I53" s="502"/>
      <c r="J53" s="502"/>
      <c r="K53" s="502"/>
      <c r="L53" s="502"/>
      <c r="M53" s="502"/>
      <c r="N53" s="502"/>
      <c r="O53" s="502"/>
      <c r="P53" s="502"/>
      <c r="Q53" s="502"/>
    </row>
    <row r="54" spans="1:26" s="517" customFormat="1" ht="15" outlineLevel="1" thickTop="1">
      <c r="B54" s="1" t="s">
        <v>26</v>
      </c>
      <c r="C54" s="1"/>
      <c r="D54" s="1069">
        <f>SUM(D47,D52)</f>
        <v>504.803</v>
      </c>
      <c r="E54"/>
      <c r="F54" s="380"/>
      <c r="G54"/>
      <c r="H54" s="26" t="s">
        <v>26</v>
      </c>
      <c r="I54" s="903">
        <f>SUM(I$47,I$52)</f>
        <v>17.8337602</v>
      </c>
      <c r="J54" s="903">
        <f t="shared" ref="J54:Q54" si="22">SUM(J$47,J$52)</f>
        <v>33.722225800000004</v>
      </c>
      <c r="K54" s="903">
        <f t="shared" si="22"/>
        <v>30.876187300000005</v>
      </c>
      <c r="L54" s="903">
        <f t="shared" si="22"/>
        <v>28.329731799999998</v>
      </c>
      <c r="M54" s="903">
        <f t="shared" si="22"/>
        <v>26.022942700000002</v>
      </c>
      <c r="N54" s="903">
        <f t="shared" si="22"/>
        <v>23.925861699999999</v>
      </c>
      <c r="O54" s="903">
        <f t="shared" si="22"/>
        <v>22.937237799999998</v>
      </c>
      <c r="P54" s="903">
        <f t="shared" si="22"/>
        <v>22.937237799999998</v>
      </c>
      <c r="Q54" s="903">
        <f t="shared" si="22"/>
        <v>22.967196100000002</v>
      </c>
      <c r="R54"/>
    </row>
    <row r="55" spans="1:26" s="517" customFormat="1" outlineLevel="1">
      <c r="E55" s="468"/>
      <c r="F55" s="380"/>
      <c r="G55"/>
    </row>
    <row r="56" spans="1:26" ht="5" customHeight="1"/>
    <row r="57" spans="1:26" s="57" customFormat="1">
      <c r="A57" s="52"/>
      <c r="B57" s="21" t="s">
        <v>612</v>
      </c>
      <c r="C57" s="389"/>
      <c r="D57" s="389"/>
      <c r="E57" s="470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92"/>
    </row>
    <row r="58" spans="1:26" s="517" customFormat="1" ht="6" customHeight="1" outlineLevel="1">
      <c r="E58" s="468"/>
    </row>
    <row r="59" spans="1:26" s="517" customFormat="1" outlineLevel="1">
      <c r="B59" s="962" t="str">
        <f>units</f>
        <v>($ '000)</v>
      </c>
      <c r="E59" s="468"/>
    </row>
    <row r="60" spans="1:26" s="517" customFormat="1" ht="16" outlineLevel="1">
      <c r="E60" s="468"/>
      <c r="H60" s="438" t="str">
        <f>HoldCo!$N$124</f>
        <v>4 Months</v>
      </c>
      <c r="I60" s="764" t="str">
        <f>"Projected Fiscal Years Ending "&amp;TEXT(HoldCo!$Q$16,"mmmm dd")</f>
        <v>Projected Fiscal Years Ending December 31</v>
      </c>
      <c r="J60" s="439"/>
      <c r="K60" s="439"/>
      <c r="L60" s="439"/>
      <c r="M60" s="439"/>
      <c r="N60" s="439"/>
      <c r="O60" s="439"/>
      <c r="P60" s="439"/>
      <c r="Q60" s="439"/>
    </row>
    <row r="61" spans="1:26" s="517" customFormat="1" outlineLevel="1">
      <c r="E61" s="468"/>
      <c r="H61" s="940">
        <v>1</v>
      </c>
      <c r="I61" s="441">
        <f t="shared" ref="I61" si="23">SUM(H61,1)</f>
        <v>2</v>
      </c>
      <c r="J61" s="441">
        <f t="shared" ref="J61" si="24">SUM(I61,1)</f>
        <v>3</v>
      </c>
      <c r="K61" s="441">
        <f t="shared" ref="K61" si="25">SUM(J61,1)</f>
        <v>4</v>
      </c>
      <c r="L61" s="441">
        <f t="shared" ref="L61" si="26">SUM(K61,1)</f>
        <v>5</v>
      </c>
      <c r="M61" s="441">
        <f t="shared" ref="M61" si="27">SUM(L61,1)</f>
        <v>6</v>
      </c>
      <c r="N61" s="441">
        <f t="shared" ref="N61" si="28">SUM(M61,1)</f>
        <v>7</v>
      </c>
      <c r="O61" s="441">
        <f t="shared" ref="O61" si="29">SUM(N61,1)</f>
        <v>8</v>
      </c>
      <c r="P61" s="441">
        <f t="shared" ref="P61" si="30">SUM(O61,1)</f>
        <v>9</v>
      </c>
      <c r="Q61" s="441">
        <f t="shared" ref="Q61" si="31">SUM(P61,1)</f>
        <v>10</v>
      </c>
      <c r="R61"/>
      <c r="T61"/>
      <c r="U61"/>
      <c r="V61"/>
      <c r="W61"/>
      <c r="X61"/>
      <c r="Y61"/>
      <c r="Z61"/>
    </row>
    <row r="62" spans="1:26" s="517" customFormat="1" outlineLevel="1">
      <c r="B62" s="1074" t="s">
        <v>539</v>
      </c>
      <c r="C62" s="14"/>
      <c r="D62" s="1075">
        <v>15</v>
      </c>
      <c r="E62" s="468"/>
      <c r="H62" s="1071">
        <f>Next_FYE</f>
        <v>44926</v>
      </c>
      <c r="I62" s="1072">
        <f t="shared" ref="I62:Q62" si="32">I$10</f>
        <v>45291</v>
      </c>
      <c r="J62" s="1072">
        <f t="shared" si="32"/>
        <v>45657</v>
      </c>
      <c r="K62" s="1072">
        <f t="shared" si="32"/>
        <v>46022</v>
      </c>
      <c r="L62" s="1072">
        <f t="shared" si="32"/>
        <v>46387</v>
      </c>
      <c r="M62" s="1072">
        <f t="shared" si="32"/>
        <v>46752</v>
      </c>
      <c r="N62" s="1072">
        <f t="shared" si="32"/>
        <v>47118</v>
      </c>
      <c r="O62" s="1072">
        <f t="shared" si="32"/>
        <v>47483</v>
      </c>
      <c r="P62" s="1072">
        <f t="shared" si="32"/>
        <v>47848</v>
      </c>
      <c r="Q62" s="1072">
        <f t="shared" si="32"/>
        <v>48213</v>
      </c>
      <c r="R62"/>
      <c r="T62"/>
      <c r="U62"/>
      <c r="V62"/>
      <c r="W62"/>
      <c r="X62"/>
      <c r="Y62"/>
      <c r="Z62"/>
    </row>
    <row r="63" spans="1:26" s="517" customFormat="1" ht="8.5" customHeight="1" outlineLevel="1">
      <c r="C63" s="918"/>
      <c r="E63" s="468"/>
      <c r="H63" s="14"/>
      <c r="I63" s="14"/>
      <c r="J63" s="14"/>
      <c r="K63" s="14"/>
      <c r="L63" s="14"/>
      <c r="M63" s="14"/>
      <c r="N63" s="14"/>
      <c r="O63" s="14"/>
      <c r="P63" s="14"/>
      <c r="Q63" s="14"/>
    </row>
    <row r="64" spans="1:26" s="517" customFormat="1" outlineLevel="1">
      <c r="B64" s="1049" t="s">
        <v>476</v>
      </c>
      <c r="E64" s="468"/>
      <c r="H64" s="1047">
        <v>0</v>
      </c>
      <c r="I64" s="1047">
        <v>0</v>
      </c>
      <c r="J64" s="1047">
        <v>13.5</v>
      </c>
      <c r="K64" s="1047">
        <v>32.799999999999997</v>
      </c>
      <c r="L64" s="1047">
        <v>0.8</v>
      </c>
      <c r="M64" s="1047">
        <v>12.18</v>
      </c>
      <c r="N64" s="1047">
        <v>63</v>
      </c>
      <c r="O64" s="1047">
        <v>14.25</v>
      </c>
      <c r="P64" s="1047">
        <v>0</v>
      </c>
      <c r="Q64" s="1047">
        <v>0</v>
      </c>
      <c r="R64"/>
      <c r="T64"/>
      <c r="U64"/>
      <c r="V64"/>
      <c r="W64"/>
      <c r="X64"/>
      <c r="Y64"/>
      <c r="Z64"/>
    </row>
    <row r="65" spans="1:26" s="517" customFormat="1" outlineLevel="1">
      <c r="B65" s="296"/>
      <c r="E65" s="468"/>
      <c r="R65"/>
      <c r="T65"/>
      <c r="U65"/>
      <c r="V65"/>
      <c r="W65"/>
      <c r="X65"/>
      <c r="Y65"/>
      <c r="Z65"/>
    </row>
    <row r="66" spans="1:26" s="517" customFormat="1" outlineLevel="1">
      <c r="B66" s="26" t="s">
        <v>625</v>
      </c>
      <c r="C66" s="1046"/>
      <c r="E66" s="468"/>
    </row>
    <row r="67" spans="1:26" s="517" customFormat="1" outlineLevel="1">
      <c r="B67" s="1050" cm="1">
        <f t="array" ref="B67:B76">TRANSPOSE($H$15:$Q$15)</f>
        <v>44926</v>
      </c>
      <c r="C67" s="8"/>
      <c r="D67" s="8"/>
      <c r="E67" s="468"/>
      <c r="H67" s="310">
        <f>$H$64*HLOOKUP($D$62,$C$89:$H$111,COUNTA(#REF!)+1+2)</f>
        <v>0</v>
      </c>
      <c r="I67" s="310">
        <f>$H$64*HLOOKUP($D$62,$C$89:$H$111,COUNTA($H67:H67)+1+2)</f>
        <v>0</v>
      </c>
      <c r="J67" s="310">
        <f>$H$64*HLOOKUP($D$62,$C$89:$H$111,COUNTA($H67:I67)+1+2)</f>
        <v>0</v>
      </c>
      <c r="K67" s="310">
        <f>$H$64*HLOOKUP($D$62,$C$89:$H$111,COUNTA($H67:J67)+1+2)</f>
        <v>0</v>
      </c>
      <c r="L67" s="310">
        <f>$H$64*HLOOKUP($D$62,$C$89:$H$111,COUNTA($H67:K67)+1+2)</f>
        <v>0</v>
      </c>
      <c r="M67" s="310">
        <f>$H$64*HLOOKUP($D$62,$C$89:$H$111,COUNTA($H67:L67)+1+2)</f>
        <v>0</v>
      </c>
      <c r="N67" s="310">
        <f>$H$64*HLOOKUP($D$62,$C$89:$H$111,COUNTA($H67:M67)+1+2)</f>
        <v>0</v>
      </c>
      <c r="O67" s="310">
        <f>$H$64*HLOOKUP($D$62,$C$89:$H$111,COUNTA($H67:N67)+1+2)</f>
        <v>0</v>
      </c>
      <c r="P67" s="310">
        <f>$H$64*HLOOKUP($D$62,$C$89:$H$111,COUNTA($H67:O67)+1+2)</f>
        <v>0</v>
      </c>
      <c r="Q67" s="310">
        <f>$H$64*HLOOKUP($D$62,$C$89:$H$111,COUNTA($H67:P67)+1+2)</f>
        <v>0</v>
      </c>
      <c r="R67"/>
      <c r="T67"/>
      <c r="U67"/>
      <c r="V67"/>
      <c r="W67"/>
      <c r="X67"/>
      <c r="Y67"/>
      <c r="Z67"/>
    </row>
    <row r="68" spans="1:26" s="517" customFormat="1" outlineLevel="1">
      <c r="B68" s="904">
        <v>45291</v>
      </c>
      <c r="C68"/>
      <c r="E68" s="468"/>
      <c r="H68" s="306"/>
      <c r="I68" s="298">
        <f>$I$64*HLOOKUP($D$62,$C$89:$H$111,COUNTA($H68:H68)+1+2)</f>
        <v>0</v>
      </c>
      <c r="J68" s="298">
        <f>$I$64*HLOOKUP($D$62,$C$89:$H$111,COUNTA($H68:I68)+1+2)</f>
        <v>0</v>
      </c>
      <c r="K68" s="298">
        <f>$I$64*HLOOKUP($D$62,$C$89:$H$111,COUNTA($H68:J68)+1+2)</f>
        <v>0</v>
      </c>
      <c r="L68" s="298">
        <f>$I$64*HLOOKUP($D$62,$C$89:$H$111,COUNTA($H68:K68)+1+2)</f>
        <v>0</v>
      </c>
      <c r="M68" s="298">
        <f>$I$64*HLOOKUP($D$62,$C$89:$H$111,COUNTA($H68:L68)+1+2)</f>
        <v>0</v>
      </c>
      <c r="N68" s="298">
        <f>$I$64*HLOOKUP($D$62,$C$89:$H$111,COUNTA($H68:M68)+1+2)</f>
        <v>0</v>
      </c>
      <c r="O68" s="298">
        <f>$I$64*HLOOKUP($D$62,$C$89:$H$111,COUNTA($H68:N68)+1+2)</f>
        <v>0</v>
      </c>
      <c r="P68" s="298">
        <f>$I$64*HLOOKUP($D$62,$C$89:$H$111,COUNTA($H68:O68)+1+2)</f>
        <v>0</v>
      </c>
      <c r="Q68" s="298">
        <f>$I$64*HLOOKUP($D$62,$C$89:$H$111,COUNTA($H68:P68)+1+2)</f>
        <v>0</v>
      </c>
      <c r="R68"/>
      <c r="T68"/>
      <c r="U68"/>
      <c r="V68"/>
      <c r="W68"/>
      <c r="X68"/>
      <c r="Y68"/>
      <c r="Z68"/>
    </row>
    <row r="69" spans="1:26" s="517" customFormat="1" outlineLevel="1">
      <c r="B69" s="904">
        <v>45657</v>
      </c>
      <c r="C69"/>
      <c r="E69" s="468"/>
      <c r="H69" s="306"/>
      <c r="I69" s="306"/>
      <c r="J69" s="298">
        <f>$J$64*HLOOKUP($D$62,$C$89:$H$111,COUNTA($H69:I69)+1+2)</f>
        <v>0.67500000000000004</v>
      </c>
      <c r="K69" s="298">
        <f>$J$64*HLOOKUP($D$62,$C$89:$H$111,COUNTA($H69:J69)+1+2)</f>
        <v>1.2825</v>
      </c>
      <c r="L69" s="298">
        <f>$J$64*HLOOKUP($D$62,$C$89:$H$111,COUNTA($H69:K69)+1+2)</f>
        <v>1.15425</v>
      </c>
      <c r="M69" s="298">
        <f>$J$64*HLOOKUP($D$62,$C$89:$H$111,COUNTA($H69:L69)+1+2)</f>
        <v>1.0395000000000001</v>
      </c>
      <c r="N69" s="298">
        <f>$J$64*HLOOKUP($D$62,$C$89:$H$111,COUNTA($H69:M69)+1+2)</f>
        <v>0.93554999999999999</v>
      </c>
      <c r="O69" s="298">
        <f>$J$64*HLOOKUP($D$62,$C$89:$H$111,COUNTA($H69:N69)+1+2)</f>
        <v>0.84104999999999996</v>
      </c>
      <c r="P69" s="298">
        <f>$J$64*HLOOKUP($D$62,$C$89:$H$111,COUNTA($H69:O69)+1+2)</f>
        <v>0.79649999999999999</v>
      </c>
      <c r="Q69" s="298">
        <f>$J$64*HLOOKUP($D$62,$C$89:$H$111,COUNTA($H69:P69)+1+2)</f>
        <v>0.79649999999999999</v>
      </c>
      <c r="R69"/>
      <c r="T69"/>
      <c r="U69"/>
      <c r="V69"/>
      <c r="W69"/>
      <c r="X69"/>
      <c r="Y69"/>
      <c r="Z69"/>
    </row>
    <row r="70" spans="1:26" s="517" customFormat="1" outlineLevel="1">
      <c r="B70" s="904">
        <v>46022</v>
      </c>
      <c r="C70"/>
      <c r="E70" s="468"/>
      <c r="H70" s="306"/>
      <c r="I70" s="306"/>
      <c r="J70" s="306"/>
      <c r="K70" s="298">
        <f>$K$64*HLOOKUP($D$62,$C$89:$H$111,COUNTA($H70:J70)+1+2)</f>
        <v>1.64</v>
      </c>
      <c r="L70" s="298">
        <f>$K$64*HLOOKUP($D$62,$C$89:$H$111,COUNTA($H70:K70)+1+2)</f>
        <v>3.1159999999999997</v>
      </c>
      <c r="M70" s="298">
        <f>$K$64*HLOOKUP($D$62,$C$89:$H$111,COUNTA($H70:L70)+1+2)</f>
        <v>2.8043999999999998</v>
      </c>
      <c r="N70" s="298">
        <f>$K$64*HLOOKUP($D$62,$C$89:$H$111,COUNTA($H70:M70)+1+2)</f>
        <v>2.5255999999999998</v>
      </c>
      <c r="O70" s="298">
        <f>$K$64*HLOOKUP($D$62,$C$89:$H$111,COUNTA($H70:N70)+1+2)</f>
        <v>2.2730399999999999</v>
      </c>
      <c r="P70" s="298">
        <f>$K$64*HLOOKUP($D$62,$C$89:$H$111,COUNTA($H70:O70)+1+2)</f>
        <v>2.0434399999999999</v>
      </c>
      <c r="Q70" s="298">
        <f>$K$64*HLOOKUP($D$62,$C$89:$H$111,COUNTA($H70:P70)+1+2)</f>
        <v>1.9351999999999998</v>
      </c>
      <c r="R70"/>
      <c r="T70"/>
      <c r="U70"/>
      <c r="V70"/>
      <c r="W70"/>
      <c r="X70"/>
      <c r="Y70"/>
      <c r="Z70"/>
    </row>
    <row r="71" spans="1:26" s="517" customFormat="1" outlineLevel="1">
      <c r="B71" s="904">
        <v>46387</v>
      </c>
      <c r="C71"/>
      <c r="E71" s="468"/>
      <c r="H71" s="306"/>
      <c r="I71" s="306"/>
      <c r="J71" s="306"/>
      <c r="K71" s="306"/>
      <c r="L71" s="298">
        <f>$L$64*HLOOKUP($D$62,$C$89:$H$111,COUNTA($H71:K71)+1+2)</f>
        <v>4.0000000000000008E-2</v>
      </c>
      <c r="M71" s="298">
        <f>$L$64*HLOOKUP($D$62,$C$89:$H$111,COUNTA($H71:L71)+1+2)</f>
        <v>7.6000000000000012E-2</v>
      </c>
      <c r="N71" s="298">
        <f>$L$64*HLOOKUP($D$62,$C$89:$H$111,COUNTA($H71:M71)+1+2)</f>
        <v>6.8400000000000002E-2</v>
      </c>
      <c r="O71" s="298">
        <f>$L$64*HLOOKUP($D$62,$C$89:$H$111,COUNTA($H71:N71)+1+2)</f>
        <v>6.1600000000000002E-2</v>
      </c>
      <c r="P71" s="298">
        <f>$L$64*HLOOKUP($D$62,$C$89:$H$111,COUNTA($H71:O71)+1+2)</f>
        <v>5.5440000000000003E-2</v>
      </c>
      <c r="Q71" s="298">
        <f>$L$64*HLOOKUP($D$62,$C$89:$H$111,COUNTA($H71:P71)+1+2)</f>
        <v>4.9840000000000002E-2</v>
      </c>
      <c r="R71"/>
      <c r="T71"/>
      <c r="U71"/>
      <c r="V71"/>
      <c r="W71"/>
      <c r="X71"/>
      <c r="Y71"/>
      <c r="Z71"/>
    </row>
    <row r="72" spans="1:26" s="517" customFormat="1" outlineLevel="1">
      <c r="B72" s="904">
        <v>46752</v>
      </c>
      <c r="C72"/>
      <c r="E72" s="468"/>
      <c r="H72" s="306"/>
      <c r="I72" s="306"/>
      <c r="J72" s="306"/>
      <c r="K72" s="306"/>
      <c r="L72" s="306"/>
      <c r="M72" s="298">
        <f>$M$64*HLOOKUP($D$62,$C$89:$H$111,COUNTA($H72:L72)+1+2)</f>
        <v>0.60899999999999999</v>
      </c>
      <c r="N72" s="298">
        <f>$M$64*HLOOKUP($D$62,$C$89:$H$111,COUNTA($H72:M72)+1+2)</f>
        <v>1.1571</v>
      </c>
      <c r="O72" s="298">
        <f>$M$64*HLOOKUP($D$62,$C$89:$H$111,COUNTA($H72:N72)+1+2)</f>
        <v>1.04139</v>
      </c>
      <c r="P72" s="298">
        <f>$M$64*HLOOKUP($D$62,$C$89:$H$111,COUNTA($H72:O72)+1+2)</f>
        <v>0.93785999999999992</v>
      </c>
      <c r="Q72" s="298">
        <f>$M$64*HLOOKUP($D$62,$C$89:$H$111,COUNTA($H72:P72)+1+2)</f>
        <v>0.84407399999999999</v>
      </c>
      <c r="R72"/>
      <c r="T72"/>
      <c r="U72"/>
      <c r="V72"/>
      <c r="W72"/>
      <c r="X72"/>
      <c r="Y72"/>
      <c r="Z72"/>
    </row>
    <row r="73" spans="1:26" s="517" customFormat="1" outlineLevel="1">
      <c r="B73" s="904">
        <v>47118</v>
      </c>
      <c r="C73"/>
      <c r="E73" s="468"/>
      <c r="H73" s="306"/>
      <c r="I73" s="306"/>
      <c r="J73" s="306"/>
      <c r="K73" s="306"/>
      <c r="L73" s="306"/>
      <c r="M73" s="306"/>
      <c r="N73" s="298">
        <f>$N$64*HLOOKUP($D$62,$C$89:$H$111,COUNTA($H73:M73)+1+2)</f>
        <v>3.1500000000000004</v>
      </c>
      <c r="O73" s="298">
        <f>$N$64*HLOOKUP($D$62,$C$89:$H$111,COUNTA($H73:N73)+1+2)</f>
        <v>5.9850000000000003</v>
      </c>
      <c r="P73" s="298">
        <f>$N$64*HLOOKUP($D$62,$C$89:$H$111,COUNTA($H73:O73)+1+2)</f>
        <v>5.3865000000000007</v>
      </c>
      <c r="Q73" s="298">
        <f>$N$64*HLOOKUP($D$62,$C$89:$H$111,COUNTA($H73:P73)+1+2)</f>
        <v>4.851</v>
      </c>
      <c r="R73"/>
      <c r="T73"/>
      <c r="U73"/>
      <c r="V73"/>
      <c r="W73"/>
      <c r="X73"/>
      <c r="Y73"/>
      <c r="Z73"/>
    </row>
    <row r="74" spans="1:26" s="517" customFormat="1" outlineLevel="1">
      <c r="B74" s="904">
        <v>47483</v>
      </c>
      <c r="C74"/>
      <c r="E74" s="468"/>
      <c r="H74" s="306"/>
      <c r="I74" s="306"/>
      <c r="J74" s="306"/>
      <c r="K74" s="306"/>
      <c r="L74" s="306"/>
      <c r="M74" s="306"/>
      <c r="N74" s="306"/>
      <c r="O74" s="298">
        <f>$O$64*HLOOKUP($D$62,$C$89:$H$111,COUNTA($H74:N74)+1+2)</f>
        <v>0.71250000000000002</v>
      </c>
      <c r="P74" s="298">
        <f>$O$64*HLOOKUP($D$62,$C$89:$H$111,COUNTA($H74:O74)+1+2)</f>
        <v>1.35375</v>
      </c>
      <c r="Q74" s="298">
        <f>$O$64*HLOOKUP($D$62,$C$89:$H$111,COUNTA($H74:P74)+1+2)</f>
        <v>1.218375</v>
      </c>
      <c r="R74"/>
      <c r="T74"/>
      <c r="U74"/>
      <c r="V74"/>
      <c r="W74"/>
      <c r="X74"/>
      <c r="Y74"/>
      <c r="Z74"/>
    </row>
    <row r="75" spans="1:26" s="517" customFormat="1" outlineLevel="1">
      <c r="B75" s="904">
        <v>47848</v>
      </c>
      <c r="C75"/>
      <c r="E75" s="468"/>
      <c r="H75" s="306"/>
      <c r="I75" s="306"/>
      <c r="J75" s="306"/>
      <c r="K75" s="306"/>
      <c r="L75" s="306"/>
      <c r="M75" s="306"/>
      <c r="N75" s="306"/>
      <c r="O75" s="306"/>
      <c r="P75" s="298">
        <f>$P$64*HLOOKUP($D$62,$C$89:$H$111,COUNTA($H75:O75)+1+2)</f>
        <v>0</v>
      </c>
      <c r="Q75" s="298">
        <f>$P$64*HLOOKUP($D$62,$C$89:$H$111,COUNTA($H75:P75)+1+2)</f>
        <v>0</v>
      </c>
      <c r="R75"/>
      <c r="T75"/>
      <c r="U75"/>
      <c r="V75"/>
      <c r="W75"/>
      <c r="X75"/>
      <c r="Y75"/>
      <c r="Z75"/>
    </row>
    <row r="76" spans="1:26" s="517" customFormat="1" outlineLevel="1">
      <c r="B76" s="904">
        <v>48213</v>
      </c>
      <c r="C76"/>
      <c r="E76" s="468"/>
      <c r="H76" s="306"/>
      <c r="I76" s="306"/>
      <c r="J76" s="306"/>
      <c r="K76" s="306"/>
      <c r="L76" s="306"/>
      <c r="M76" s="306"/>
      <c r="N76" s="306"/>
      <c r="O76" s="306"/>
      <c r="P76" s="306"/>
      <c r="Q76" s="298">
        <f>$Q$64*HLOOKUP($D$62,$C$89:$H$111,COUNTA($H76:P76)+1+2)</f>
        <v>0</v>
      </c>
      <c r="R76"/>
      <c r="T76"/>
      <c r="U76"/>
      <c r="V76"/>
      <c r="W76"/>
      <c r="X76"/>
      <c r="Y76"/>
      <c r="Z76"/>
    </row>
    <row r="77" spans="1:26" s="517" customFormat="1" outlineLevel="1">
      <c r="B77" s="7" t="s">
        <v>613</v>
      </c>
      <c r="C77" s="8"/>
      <c r="D77" s="8"/>
      <c r="E77" s="468"/>
      <c r="H77" s="1048">
        <f t="shared" ref="H77:Q77" si="33">SUM(H$67:H$76)</f>
        <v>0</v>
      </c>
      <c r="I77" s="1048">
        <f t="shared" si="33"/>
        <v>0</v>
      </c>
      <c r="J77" s="1048">
        <f t="shared" si="33"/>
        <v>0.67500000000000004</v>
      </c>
      <c r="K77" s="1048">
        <f t="shared" si="33"/>
        <v>2.9224999999999999</v>
      </c>
      <c r="L77" s="1048">
        <f t="shared" si="33"/>
        <v>4.3102499999999999</v>
      </c>
      <c r="M77" s="1048">
        <f t="shared" si="33"/>
        <v>4.5289000000000001</v>
      </c>
      <c r="N77" s="1048">
        <f t="shared" si="33"/>
        <v>7.8366500000000006</v>
      </c>
      <c r="O77" s="1048">
        <f t="shared" si="33"/>
        <v>10.914580000000001</v>
      </c>
      <c r="P77" s="1048">
        <f t="shared" si="33"/>
        <v>10.573490000000001</v>
      </c>
      <c r="Q77" s="1048">
        <f t="shared" si="33"/>
        <v>9.6949889999999996</v>
      </c>
      <c r="R77"/>
      <c r="T77"/>
      <c r="U77"/>
      <c r="V77"/>
      <c r="W77"/>
      <c r="X77"/>
      <c r="Y77"/>
      <c r="Z77"/>
    </row>
    <row r="78" spans="1:26" s="517" customFormat="1" outlineLevel="1">
      <c r="C78" s="468"/>
      <c r="E78" s="468"/>
      <c r="G78" s="380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/>
      <c r="S78"/>
      <c r="T78"/>
      <c r="U78"/>
      <c r="V78"/>
      <c r="W78"/>
      <c r="X78"/>
      <c r="Y78"/>
      <c r="Z78"/>
    </row>
    <row r="79" spans="1:26" ht="5" customHeight="1"/>
    <row r="80" spans="1:26" s="57" customFormat="1">
      <c r="A80" s="52"/>
      <c r="B80" s="21" t="s">
        <v>540</v>
      </c>
      <c r="C80" s="389"/>
      <c r="D80" s="389"/>
      <c r="E80" s="470"/>
      <c r="F80" s="389"/>
      <c r="G80" s="389"/>
      <c r="H80" s="389"/>
      <c r="I80" s="389"/>
      <c r="J80" s="389"/>
      <c r="K80" s="389"/>
      <c r="L80" s="389"/>
      <c r="M80" s="389"/>
      <c r="N80" s="389"/>
      <c r="O80" s="389"/>
      <c r="P80" s="389"/>
      <c r="Q80" s="389"/>
      <c r="R80" s="389"/>
      <c r="S80" s="389"/>
      <c r="T80" s="389"/>
      <c r="U80" s="389"/>
      <c r="V80" s="392"/>
    </row>
    <row r="81" spans="1:26" s="57" customFormat="1" ht="3.75" customHeight="1" outlineLevel="1">
      <c r="A81" s="52"/>
      <c r="B81" s="73"/>
      <c r="C81" s="58"/>
      <c r="D81" s="58"/>
      <c r="E81" s="68"/>
      <c r="F81" s="58"/>
      <c r="G81" s="58"/>
      <c r="H81" s="58"/>
      <c r="I81" s="58"/>
      <c r="J81" s="58"/>
      <c r="L81" s="105"/>
      <c r="M81" s="158"/>
      <c r="N81" s="158"/>
      <c r="O81" s="158"/>
      <c r="P81" s="158"/>
      <c r="Q81" s="158"/>
      <c r="R81" s="158"/>
      <c r="S81" s="158"/>
      <c r="T81" s="158"/>
      <c r="U81" s="158"/>
      <c r="V81" s="158"/>
    </row>
    <row r="82" spans="1:26" s="914" customFormat="1" outlineLevel="1">
      <c r="A82" s="911"/>
      <c r="B82" s="914" t="s">
        <v>614</v>
      </c>
      <c r="C82" s="912"/>
      <c r="D82" s="912"/>
      <c r="E82" s="1045"/>
      <c r="F82" s="912"/>
      <c r="G82" s="912"/>
      <c r="H82" s="912"/>
      <c r="I82" s="912"/>
      <c r="J82" s="912"/>
      <c r="K82" s="912"/>
      <c r="L82" s="915"/>
      <c r="M82" s="916"/>
      <c r="N82" s="1051"/>
      <c r="O82" s="912"/>
      <c r="P82" s="912"/>
      <c r="Q82" s="912"/>
      <c r="V82" s="916"/>
    </row>
    <row r="83" spans="1:26" s="914" customFormat="1" outlineLevel="1">
      <c r="A83" s="911"/>
      <c r="C83" s="912"/>
      <c r="D83" s="912"/>
      <c r="E83" s="1045"/>
      <c r="F83" s="912"/>
      <c r="G83" s="912"/>
      <c r="H83" s="912"/>
      <c r="I83" s="912"/>
      <c r="J83" s="912"/>
      <c r="L83" s="915"/>
      <c r="M83" s="916"/>
      <c r="N83" s="1051"/>
      <c r="O83" s="912"/>
      <c r="P83" s="912"/>
      <c r="Q83" s="912"/>
      <c r="V83" s="916"/>
    </row>
    <row r="84" spans="1:26" s="914" customFormat="1" outlineLevel="1">
      <c r="A84" s="911"/>
      <c r="B84" s="1083" t="s">
        <v>615</v>
      </c>
      <c r="D84" s="912"/>
      <c r="E84" s="1045"/>
      <c r="F84" s="912"/>
      <c r="G84" s="912"/>
      <c r="H84" s="912"/>
      <c r="I84" s="912"/>
      <c r="J84" s="1083" t="s">
        <v>618</v>
      </c>
      <c r="L84" s="915"/>
      <c r="M84" s="916"/>
      <c r="N84" s="1051"/>
      <c r="O84" s="912"/>
      <c r="P84" s="912"/>
      <c r="Q84" s="912"/>
      <c r="V84" s="916"/>
    </row>
    <row r="85" spans="1:26" s="914" customFormat="1" outlineLevel="1">
      <c r="A85" s="911"/>
      <c r="B85" s="1084" t="s">
        <v>616</v>
      </c>
      <c r="C85" s="1084"/>
      <c r="D85" s="1084"/>
      <c r="E85" s="1084"/>
      <c r="F85" s="1084"/>
      <c r="G85" s="1084"/>
      <c r="H85" s="1084"/>
      <c r="I85" s="1058"/>
      <c r="J85" s="1084" t="s">
        <v>622</v>
      </c>
      <c r="K85" s="1084"/>
      <c r="L85" s="1084"/>
      <c r="M85" s="1084"/>
      <c r="N85" s="1084"/>
      <c r="O85" s="1084"/>
      <c r="P85" s="1084"/>
      <c r="Q85" s="1084"/>
      <c r="R85" s="1084"/>
      <c r="S85" s="1084"/>
      <c r="T85" s="1084"/>
      <c r="U85" s="1084"/>
      <c r="V85" s="1084"/>
    </row>
    <row r="86" spans="1:26" s="914" customFormat="1" outlineLevel="1">
      <c r="A86" s="911"/>
      <c r="B86" s="1085" t="s">
        <v>617</v>
      </c>
      <c r="C86" s="1086"/>
      <c r="D86" s="1086"/>
      <c r="E86" s="1086"/>
      <c r="F86" s="1086"/>
      <c r="G86" s="1086"/>
      <c r="H86" s="1086"/>
      <c r="I86" s="1058"/>
      <c r="J86" s="1085" t="s">
        <v>621</v>
      </c>
      <c r="K86" s="1086"/>
      <c r="L86" s="1086"/>
      <c r="M86" s="1086"/>
      <c r="N86" s="1086"/>
      <c r="O86" s="1086"/>
      <c r="P86" s="1086"/>
      <c r="Q86" s="1086"/>
      <c r="R86" s="1086"/>
      <c r="S86" s="1086"/>
      <c r="T86" s="1086"/>
      <c r="U86" s="1086"/>
      <c r="V86" s="1086"/>
    </row>
    <row r="87" spans="1:26" s="914" customFormat="1" ht="10" customHeight="1" outlineLevel="1">
      <c r="A87" s="911"/>
      <c r="B87" s="912"/>
      <c r="C87" s="912"/>
      <c r="D87" s="912"/>
      <c r="E87" s="1045"/>
      <c r="F87" s="912"/>
      <c r="G87" s="912"/>
      <c r="H87" s="912"/>
      <c r="I87" s="912"/>
      <c r="J87" s="912"/>
      <c r="L87" s="915"/>
      <c r="M87" s="916"/>
      <c r="N87" s="1051"/>
      <c r="O87" s="912"/>
      <c r="P87" s="912"/>
      <c r="Q87" s="912"/>
      <c r="V87" s="916"/>
    </row>
    <row r="88" spans="1:26" s="57" customFormat="1" ht="16" outlineLevel="1">
      <c r="A88" s="52"/>
      <c r="B88" s="1594" t="s">
        <v>152</v>
      </c>
      <c r="C88" s="1025" t="s">
        <v>619</v>
      </c>
      <c r="D88" s="1026"/>
      <c r="E88" s="1026"/>
      <c r="F88" s="1026"/>
      <c r="G88" s="1026"/>
      <c r="H88" s="1056"/>
      <c r="J88" s="1594" t="s">
        <v>152</v>
      </c>
      <c r="K88" s="1026" t="s">
        <v>620</v>
      </c>
      <c r="L88" s="1026"/>
      <c r="M88" s="1026"/>
      <c r="N88" s="1026"/>
      <c r="O88" s="1026"/>
      <c r="P88" s="1027"/>
      <c r="Q88" s="1059"/>
      <c r="R88" s="1059"/>
      <c r="S88" s="1059"/>
      <c r="T88" s="1059"/>
      <c r="U88" s="1060"/>
      <c r="V88" s="1061"/>
      <c r="W88" s="58"/>
      <c r="Y88" s="58"/>
      <c r="Z88" s="58"/>
    </row>
    <row r="89" spans="1:26" s="57" customFormat="1" outlineLevel="1">
      <c r="A89" s="52"/>
      <c r="B89" s="1595"/>
      <c r="C89" s="1052">
        <v>3</v>
      </c>
      <c r="D89" s="1053">
        <v>5</v>
      </c>
      <c r="E89" s="1053">
        <v>7</v>
      </c>
      <c r="F89" s="1053">
        <v>10</v>
      </c>
      <c r="G89" s="1053">
        <v>15</v>
      </c>
      <c r="H89" s="1054">
        <v>20</v>
      </c>
      <c r="J89" s="1595"/>
      <c r="K89" s="1057">
        <v>1</v>
      </c>
      <c r="L89" s="1057">
        <v>2</v>
      </c>
      <c r="M89" s="1057">
        <v>3</v>
      </c>
      <c r="N89" s="1057">
        <v>4</v>
      </c>
      <c r="O89" s="1057">
        <v>5</v>
      </c>
      <c r="P89" s="1057">
        <v>6</v>
      </c>
      <c r="Q89" s="1057">
        <v>7</v>
      </c>
      <c r="R89" s="1057">
        <v>8</v>
      </c>
      <c r="S89" s="1057">
        <v>9</v>
      </c>
      <c r="T89" s="1057">
        <v>10</v>
      </c>
      <c r="U89" s="1057">
        <v>11</v>
      </c>
      <c r="V89" s="1062">
        <v>12</v>
      </c>
      <c r="W89" s="58"/>
      <c r="Y89" s="58"/>
      <c r="Z89" s="58"/>
    </row>
    <row r="90" spans="1:26" s="57" customFormat="1" ht="7" customHeight="1" outlineLevel="1">
      <c r="A90" s="52"/>
      <c r="B90" s="1028"/>
      <c r="C90" s="1028"/>
      <c r="D90" s="1030"/>
      <c r="E90" s="1030"/>
      <c r="F90" s="1030"/>
      <c r="G90" s="1030"/>
      <c r="H90" s="1031"/>
      <c r="J90" s="1065"/>
      <c r="K90" s="1029"/>
      <c r="L90" s="1030"/>
      <c r="M90" s="1030"/>
      <c r="N90" s="1030"/>
      <c r="O90" s="1030"/>
      <c r="P90" s="1030"/>
      <c r="Q90" s="58"/>
      <c r="R90" s="58"/>
      <c r="S90" s="58"/>
      <c r="T90" s="58"/>
      <c r="U90" s="158"/>
      <c r="V90" s="1063"/>
      <c r="W90" s="58"/>
      <c r="Y90" s="58"/>
      <c r="Z90" s="58"/>
    </row>
    <row r="91" spans="1:26" s="57" customFormat="1" outlineLevel="1">
      <c r="A91" s="52"/>
      <c r="B91" s="1032">
        <v>1</v>
      </c>
      <c r="C91" s="1043">
        <v>0.33329999999999999</v>
      </c>
      <c r="D91" s="1034">
        <v>0.2</v>
      </c>
      <c r="E91" s="1033">
        <v>0.1429</v>
      </c>
      <c r="F91" s="1033">
        <v>0.1</v>
      </c>
      <c r="G91" s="1033">
        <v>0.05</v>
      </c>
      <c r="H91" s="1035">
        <v>3.7499999999999999E-2</v>
      </c>
      <c r="J91" s="1066">
        <v>1</v>
      </c>
      <c r="K91" s="1033">
        <v>2.461E-2</v>
      </c>
      <c r="L91" s="1033">
        <v>2.247E-2</v>
      </c>
      <c r="M91" s="1033">
        <v>2.0330000000000001E-2</v>
      </c>
      <c r="N91" s="1033">
        <v>1.8190000000000001E-2</v>
      </c>
      <c r="O91" s="1033">
        <v>1.6049999999999998E-2</v>
      </c>
      <c r="P91" s="1033">
        <v>1.391E-2</v>
      </c>
      <c r="Q91" s="1033">
        <v>1.1769999999999999E-2</v>
      </c>
      <c r="R91" s="1033">
        <v>9.6299999999999997E-3</v>
      </c>
      <c r="S91" s="1033">
        <v>7.4900000000000001E-3</v>
      </c>
      <c r="T91" s="1033">
        <v>5.3499999999999997E-3</v>
      </c>
      <c r="U91" s="1033">
        <v>3.2100000000000002E-3</v>
      </c>
      <c r="V91" s="1035">
        <v>1.07E-3</v>
      </c>
      <c r="W91" s="58"/>
      <c r="Y91" s="58"/>
      <c r="Z91" s="58"/>
    </row>
    <row r="92" spans="1:26" s="57" customFormat="1" outlineLevel="1">
      <c r="A92" s="52"/>
      <c r="B92" s="1032">
        <v>2</v>
      </c>
      <c r="C92" s="1043">
        <v>0.44450000000000001</v>
      </c>
      <c r="D92" s="1033">
        <v>0.32</v>
      </c>
      <c r="E92" s="1033">
        <v>0.24490000000000001</v>
      </c>
      <c r="F92" s="1033">
        <v>0.18</v>
      </c>
      <c r="G92" s="1033">
        <v>9.5000000000000001E-2</v>
      </c>
      <c r="H92" s="1033">
        <v>7.2190000000000004E-2</v>
      </c>
      <c r="I92" s="1259"/>
      <c r="J92" s="1066">
        <v>2</v>
      </c>
      <c r="K92" s="1033">
        <v>2.564E-2</v>
      </c>
      <c r="L92" s="1033">
        <v>2.564E-2</v>
      </c>
      <c r="M92" s="1033">
        <v>2.564E-2</v>
      </c>
      <c r="N92" s="1033">
        <v>2.564E-2</v>
      </c>
      <c r="O92" s="1033">
        <v>2.564E-2</v>
      </c>
      <c r="P92" s="1033">
        <v>2.564E-2</v>
      </c>
      <c r="Q92" s="1033">
        <v>2.564E-2</v>
      </c>
      <c r="R92" s="1033">
        <v>2.564E-2</v>
      </c>
      <c r="S92" s="1033">
        <v>2.564E-2</v>
      </c>
      <c r="T92" s="1033">
        <v>2.564E-2</v>
      </c>
      <c r="U92" s="1033">
        <v>2.564E-2</v>
      </c>
      <c r="V92" s="1035">
        <v>2.564E-2</v>
      </c>
      <c r="W92" s="58"/>
      <c r="Y92" s="58"/>
      <c r="Z92" s="58"/>
    </row>
    <row r="93" spans="1:26" s="57" customFormat="1" outlineLevel="1">
      <c r="A93" s="52"/>
      <c r="B93" s="1032">
        <v>3</v>
      </c>
      <c r="C93" s="1043">
        <v>0.14810000000000001</v>
      </c>
      <c r="D93" s="1033">
        <v>0.192</v>
      </c>
      <c r="E93" s="1033">
        <v>0.1749</v>
      </c>
      <c r="F93" s="1033">
        <v>0.14399999999999999</v>
      </c>
      <c r="G93" s="1033">
        <v>8.5500000000000007E-2</v>
      </c>
      <c r="H93" s="1033">
        <v>6.6769999999999996E-2</v>
      </c>
      <c r="I93" s="1259"/>
      <c r="J93" s="1066">
        <v>3</v>
      </c>
      <c r="K93" s="1033">
        <v>2.564E-2</v>
      </c>
      <c r="L93" s="1033">
        <v>2.564E-2</v>
      </c>
      <c r="M93" s="1033">
        <v>2.564E-2</v>
      </c>
      <c r="N93" s="1033">
        <v>2.564E-2</v>
      </c>
      <c r="O93" s="1033">
        <v>2.564E-2</v>
      </c>
      <c r="P93" s="1033">
        <v>2.564E-2</v>
      </c>
      <c r="Q93" s="1033">
        <v>2.564E-2</v>
      </c>
      <c r="R93" s="1033">
        <v>2.564E-2</v>
      </c>
      <c r="S93" s="1033">
        <v>2.564E-2</v>
      </c>
      <c r="T93" s="1033">
        <v>2.564E-2</v>
      </c>
      <c r="U93" s="1033">
        <v>2.564E-2</v>
      </c>
      <c r="V93" s="1035">
        <v>2.564E-2</v>
      </c>
      <c r="W93" s="58"/>
      <c r="Y93" s="58"/>
      <c r="Z93" s="58"/>
    </row>
    <row r="94" spans="1:26" s="57" customFormat="1" outlineLevel="1">
      <c r="A94" s="52"/>
      <c r="B94" s="1032">
        <v>4</v>
      </c>
      <c r="C94" s="1043">
        <v>7.4099999999999999E-2</v>
      </c>
      <c r="D94" s="1033">
        <v>0.1152</v>
      </c>
      <c r="E94" s="1033">
        <v>0.1249</v>
      </c>
      <c r="F94" s="1033">
        <v>0.1152</v>
      </c>
      <c r="G94" s="1033">
        <v>7.6999999999999999E-2</v>
      </c>
      <c r="H94" s="1033">
        <v>6.1769999999999999E-2</v>
      </c>
      <c r="I94" s="1259"/>
      <c r="J94" s="1066">
        <v>4</v>
      </c>
      <c r="K94" s="1033">
        <v>2.564E-2</v>
      </c>
      <c r="L94" s="1033">
        <v>2.564E-2</v>
      </c>
      <c r="M94" s="1033">
        <v>2.564E-2</v>
      </c>
      <c r="N94" s="1033">
        <v>2.564E-2</v>
      </c>
      <c r="O94" s="1033">
        <v>2.564E-2</v>
      </c>
      <c r="P94" s="1033">
        <v>2.564E-2</v>
      </c>
      <c r="Q94" s="1033">
        <v>2.564E-2</v>
      </c>
      <c r="R94" s="1033">
        <v>2.564E-2</v>
      </c>
      <c r="S94" s="1033">
        <v>2.564E-2</v>
      </c>
      <c r="T94" s="1033">
        <v>2.564E-2</v>
      </c>
      <c r="U94" s="1033">
        <v>2.564E-2</v>
      </c>
      <c r="V94" s="1035">
        <v>2.564E-2</v>
      </c>
      <c r="W94"/>
      <c r="X94"/>
      <c r="Y94"/>
      <c r="Z94" s="58"/>
    </row>
    <row r="95" spans="1:26" s="57" customFormat="1" outlineLevel="1">
      <c r="A95" s="52"/>
      <c r="B95" s="1032">
        <v>5</v>
      </c>
      <c r="C95" s="1044">
        <v>0</v>
      </c>
      <c r="D95" s="1033">
        <v>0.1152</v>
      </c>
      <c r="E95" s="1033">
        <v>8.9300000000000004E-2</v>
      </c>
      <c r="F95" s="1033">
        <v>9.2200000000000004E-2</v>
      </c>
      <c r="G95" s="1033">
        <v>6.93E-2</v>
      </c>
      <c r="H95" s="1033">
        <v>5.713E-2</v>
      </c>
      <c r="I95" s="1259"/>
      <c r="J95" s="1066">
        <v>5</v>
      </c>
      <c r="K95" s="1033">
        <v>2.564E-2</v>
      </c>
      <c r="L95" s="1033">
        <v>2.564E-2</v>
      </c>
      <c r="M95" s="1033">
        <v>2.564E-2</v>
      </c>
      <c r="N95" s="1033">
        <v>2.564E-2</v>
      </c>
      <c r="O95" s="1033">
        <v>2.564E-2</v>
      </c>
      <c r="P95" s="1033">
        <v>2.564E-2</v>
      </c>
      <c r="Q95" s="1033">
        <v>2.564E-2</v>
      </c>
      <c r="R95" s="1033">
        <v>2.564E-2</v>
      </c>
      <c r="S95" s="1033">
        <v>2.564E-2</v>
      </c>
      <c r="T95" s="1033">
        <v>2.564E-2</v>
      </c>
      <c r="U95" s="1033">
        <v>2.564E-2</v>
      </c>
      <c r="V95" s="1035">
        <v>2.564E-2</v>
      </c>
      <c r="W95"/>
      <c r="X95"/>
      <c r="Y95"/>
      <c r="Z95" s="58"/>
    </row>
    <row r="96" spans="1:26" s="57" customFormat="1" outlineLevel="1">
      <c r="A96" s="52"/>
      <c r="B96" s="1032">
        <v>6</v>
      </c>
      <c r="C96" s="1044">
        <v>0</v>
      </c>
      <c r="D96" s="1038">
        <v>5.7599999999999998E-2</v>
      </c>
      <c r="E96" s="1038">
        <v>8.9200000000000002E-2</v>
      </c>
      <c r="F96" s="1038">
        <v>7.3700000000000002E-2</v>
      </c>
      <c r="G96" s="1038">
        <v>6.2300000000000001E-2</v>
      </c>
      <c r="H96" s="1038">
        <v>5.2850000000000001E-2</v>
      </c>
      <c r="I96" s="1259"/>
      <c r="J96" s="1066">
        <v>6</v>
      </c>
      <c r="K96" s="1033">
        <v>2.564E-2</v>
      </c>
      <c r="L96" s="1033">
        <v>2.564E-2</v>
      </c>
      <c r="M96" s="1033">
        <v>2.564E-2</v>
      </c>
      <c r="N96" s="1033">
        <v>2.564E-2</v>
      </c>
      <c r="O96" s="1033">
        <v>2.564E-2</v>
      </c>
      <c r="P96" s="1033">
        <v>2.564E-2</v>
      </c>
      <c r="Q96" s="1033">
        <v>2.564E-2</v>
      </c>
      <c r="R96" s="1033">
        <v>2.564E-2</v>
      </c>
      <c r="S96" s="1033">
        <v>2.564E-2</v>
      </c>
      <c r="T96" s="1033">
        <v>2.564E-2</v>
      </c>
      <c r="U96" s="1033">
        <v>2.564E-2</v>
      </c>
      <c r="V96" s="1035">
        <v>2.564E-2</v>
      </c>
      <c r="W96"/>
      <c r="X96"/>
      <c r="Y96"/>
      <c r="Z96" s="58"/>
    </row>
    <row r="97" spans="1:26" s="57" customFormat="1" outlineLevel="1">
      <c r="A97" s="52"/>
      <c r="B97" s="1032">
        <v>7</v>
      </c>
      <c r="C97" s="1044">
        <v>0</v>
      </c>
      <c r="D97" s="1036">
        <v>0</v>
      </c>
      <c r="E97" s="1038">
        <v>8.9300000000000004E-2</v>
      </c>
      <c r="F97" s="1038">
        <v>6.5500000000000003E-2</v>
      </c>
      <c r="G97" s="1038">
        <v>5.8999999999999997E-2</v>
      </c>
      <c r="H97" s="1038">
        <v>4.888E-2</v>
      </c>
      <c r="I97" s="1259"/>
      <c r="J97" s="1066">
        <v>7</v>
      </c>
      <c r="K97" s="1033">
        <v>2.564E-2</v>
      </c>
      <c r="L97" s="1033">
        <v>2.564E-2</v>
      </c>
      <c r="M97" s="1033">
        <v>2.564E-2</v>
      </c>
      <c r="N97" s="1033">
        <v>2.564E-2</v>
      </c>
      <c r="O97" s="1033">
        <v>2.564E-2</v>
      </c>
      <c r="P97" s="1033">
        <v>2.564E-2</v>
      </c>
      <c r="Q97" s="1033">
        <v>2.564E-2</v>
      </c>
      <c r="R97" s="1033">
        <v>2.564E-2</v>
      </c>
      <c r="S97" s="1033">
        <v>2.564E-2</v>
      </c>
      <c r="T97" s="1033">
        <v>2.564E-2</v>
      </c>
      <c r="U97" s="1033">
        <v>2.564E-2</v>
      </c>
      <c r="V97" s="1035">
        <v>2.564E-2</v>
      </c>
      <c r="W97" s="58"/>
      <c r="Y97" s="58"/>
      <c r="Z97" s="58"/>
    </row>
    <row r="98" spans="1:26" s="57" customFormat="1" outlineLevel="1">
      <c r="A98" s="52"/>
      <c r="B98" s="1032">
        <v>8</v>
      </c>
      <c r="C98" s="1044">
        <v>0</v>
      </c>
      <c r="D98" s="1036">
        <v>0</v>
      </c>
      <c r="E98" s="1038">
        <v>4.4600000000000001E-2</v>
      </c>
      <c r="F98" s="1038">
        <v>6.5500000000000003E-2</v>
      </c>
      <c r="G98" s="1038">
        <v>5.8999999999999997E-2</v>
      </c>
      <c r="H98" s="1038">
        <v>4.5220000000000003E-2</v>
      </c>
      <c r="I98" s="1259"/>
      <c r="J98" s="1066">
        <v>8</v>
      </c>
      <c r="K98" s="1033">
        <v>2.564E-2</v>
      </c>
      <c r="L98" s="1033">
        <v>2.564E-2</v>
      </c>
      <c r="M98" s="1033">
        <v>2.564E-2</v>
      </c>
      <c r="N98" s="1033">
        <v>2.564E-2</v>
      </c>
      <c r="O98" s="1033">
        <v>2.564E-2</v>
      </c>
      <c r="P98" s="1033">
        <v>2.564E-2</v>
      </c>
      <c r="Q98" s="1033">
        <v>2.564E-2</v>
      </c>
      <c r="R98" s="1033">
        <v>2.564E-2</v>
      </c>
      <c r="S98" s="1033">
        <v>2.564E-2</v>
      </c>
      <c r="T98" s="1033">
        <v>2.564E-2</v>
      </c>
      <c r="U98" s="1033">
        <v>2.564E-2</v>
      </c>
      <c r="V98" s="1035">
        <v>2.564E-2</v>
      </c>
      <c r="W98" s="58"/>
      <c r="Y98" s="58"/>
      <c r="Z98" s="58"/>
    </row>
    <row r="99" spans="1:26" s="57" customFormat="1" outlineLevel="1">
      <c r="A99" s="52"/>
      <c r="B99" s="1032">
        <v>9</v>
      </c>
      <c r="C99" s="1044">
        <v>0</v>
      </c>
      <c r="D99" s="1036">
        <v>0</v>
      </c>
      <c r="E99" s="1036">
        <v>0</v>
      </c>
      <c r="F99" s="1038">
        <v>6.5600000000000006E-2</v>
      </c>
      <c r="G99" s="1038">
        <v>5.91E-2</v>
      </c>
      <c r="H99" s="1038">
        <v>4.462E-2</v>
      </c>
      <c r="I99" s="1259"/>
      <c r="J99" s="1066">
        <v>9</v>
      </c>
      <c r="K99" s="1033">
        <v>2.564E-2</v>
      </c>
      <c r="L99" s="1033">
        <v>2.564E-2</v>
      </c>
      <c r="M99" s="1033">
        <v>2.564E-2</v>
      </c>
      <c r="N99" s="1033">
        <v>2.564E-2</v>
      </c>
      <c r="O99" s="1033">
        <v>2.564E-2</v>
      </c>
      <c r="P99" s="1033">
        <v>2.564E-2</v>
      </c>
      <c r="Q99" s="1033">
        <v>2.564E-2</v>
      </c>
      <c r="R99" s="1033">
        <v>2.564E-2</v>
      </c>
      <c r="S99" s="1033">
        <v>2.564E-2</v>
      </c>
      <c r="T99" s="1033">
        <v>2.564E-2</v>
      </c>
      <c r="U99" s="1033">
        <v>2.564E-2</v>
      </c>
      <c r="V99" s="1035">
        <v>2.564E-2</v>
      </c>
      <c r="W99" s="58"/>
      <c r="Y99" s="58"/>
      <c r="Z99" s="58"/>
    </row>
    <row r="100" spans="1:26" s="57" customFormat="1" outlineLevel="1">
      <c r="A100" s="52"/>
      <c r="B100" s="1032">
        <v>10</v>
      </c>
      <c r="C100" s="1044">
        <v>0</v>
      </c>
      <c r="D100" s="1036">
        <v>0</v>
      </c>
      <c r="E100" s="1036">
        <v>0</v>
      </c>
      <c r="F100" s="1038">
        <v>6.5500000000000003E-2</v>
      </c>
      <c r="G100" s="1038">
        <v>5.8999999999999997E-2</v>
      </c>
      <c r="H100" s="1038">
        <v>4.4609999999999997E-2</v>
      </c>
      <c r="I100" s="1259"/>
      <c r="J100" s="1066">
        <v>10</v>
      </c>
      <c r="K100" s="1033">
        <v>2.564E-2</v>
      </c>
      <c r="L100" s="1033">
        <v>2.564E-2</v>
      </c>
      <c r="M100" s="1033">
        <v>2.564E-2</v>
      </c>
      <c r="N100" s="1033">
        <v>2.564E-2</v>
      </c>
      <c r="O100" s="1033">
        <v>2.564E-2</v>
      </c>
      <c r="P100" s="1033">
        <v>2.564E-2</v>
      </c>
      <c r="Q100" s="1033">
        <v>2.564E-2</v>
      </c>
      <c r="R100" s="1033">
        <v>2.564E-2</v>
      </c>
      <c r="S100" s="1033">
        <v>2.564E-2</v>
      </c>
      <c r="T100" s="1033">
        <v>2.564E-2</v>
      </c>
      <c r="U100" s="1033">
        <v>2.564E-2</v>
      </c>
      <c r="V100" s="1035">
        <v>2.564E-2</v>
      </c>
      <c r="W100" s="58"/>
      <c r="Y100" s="58"/>
      <c r="Z100" s="58"/>
    </row>
    <row r="101" spans="1:26" s="57" customFormat="1" outlineLevel="1">
      <c r="A101" s="52"/>
      <c r="B101" s="1032">
        <v>11</v>
      </c>
      <c r="C101" s="1044">
        <v>0</v>
      </c>
      <c r="D101" s="1036">
        <v>0</v>
      </c>
      <c r="E101" s="1036">
        <v>0</v>
      </c>
      <c r="F101" s="1038">
        <v>3.2800000000000003E-2</v>
      </c>
      <c r="G101" s="1038">
        <v>5.91E-2</v>
      </c>
      <c r="H101" s="1038">
        <v>4.462E-2</v>
      </c>
      <c r="I101" s="1259"/>
      <c r="J101" s="1066">
        <v>11</v>
      </c>
      <c r="K101" s="1033">
        <v>2.564E-2</v>
      </c>
      <c r="L101" s="1033">
        <v>2.564E-2</v>
      </c>
      <c r="M101" s="1033">
        <v>2.564E-2</v>
      </c>
      <c r="N101" s="1033">
        <v>2.564E-2</v>
      </c>
      <c r="O101" s="1033">
        <v>2.564E-2</v>
      </c>
      <c r="P101" s="1033">
        <v>2.564E-2</v>
      </c>
      <c r="Q101" s="1033">
        <v>2.564E-2</v>
      </c>
      <c r="R101" s="1033">
        <v>2.564E-2</v>
      </c>
      <c r="S101" s="1033">
        <v>2.564E-2</v>
      </c>
      <c r="T101" s="1033">
        <v>2.564E-2</v>
      </c>
      <c r="U101" s="1033">
        <v>2.564E-2</v>
      </c>
      <c r="V101" s="1035">
        <v>2.564E-2</v>
      </c>
      <c r="W101" s="58"/>
      <c r="Y101" s="58"/>
      <c r="Z101" s="58"/>
    </row>
    <row r="102" spans="1:26" s="57" customFormat="1" outlineLevel="1">
      <c r="A102" s="52"/>
      <c r="B102" s="1032">
        <v>12</v>
      </c>
      <c r="C102" s="1044">
        <v>0</v>
      </c>
      <c r="D102" s="1036">
        <v>0</v>
      </c>
      <c r="E102" s="1036">
        <v>0</v>
      </c>
      <c r="F102" s="1036">
        <v>0</v>
      </c>
      <c r="G102" s="1038">
        <v>5.8999999999999997E-2</v>
      </c>
      <c r="H102" s="1038">
        <v>4.4609999999999997E-2</v>
      </c>
      <c r="I102" s="1259"/>
      <c r="J102" s="1066">
        <v>12</v>
      </c>
      <c r="K102" s="1033">
        <v>2.564E-2</v>
      </c>
      <c r="L102" s="1033">
        <v>2.564E-2</v>
      </c>
      <c r="M102" s="1033">
        <v>2.564E-2</v>
      </c>
      <c r="N102" s="1033">
        <v>2.564E-2</v>
      </c>
      <c r="O102" s="1033">
        <v>2.564E-2</v>
      </c>
      <c r="P102" s="1033">
        <v>2.564E-2</v>
      </c>
      <c r="Q102" s="1033">
        <v>2.564E-2</v>
      </c>
      <c r="R102" s="1033">
        <v>2.564E-2</v>
      </c>
      <c r="S102" s="1033">
        <v>2.564E-2</v>
      </c>
      <c r="T102" s="1033">
        <v>2.564E-2</v>
      </c>
      <c r="U102" s="1033">
        <v>2.564E-2</v>
      </c>
      <c r="V102" s="1035">
        <v>2.564E-2</v>
      </c>
      <c r="W102" s="58"/>
      <c r="Y102" s="58"/>
      <c r="Z102" s="58"/>
    </row>
    <row r="103" spans="1:26" s="57" customFormat="1" outlineLevel="1">
      <c r="A103" s="52"/>
      <c r="B103" s="1032">
        <v>13</v>
      </c>
      <c r="C103" s="1044">
        <v>0</v>
      </c>
      <c r="D103" s="1036">
        <v>0</v>
      </c>
      <c r="E103" s="1036">
        <v>0</v>
      </c>
      <c r="F103" s="1036">
        <v>0</v>
      </c>
      <c r="G103" s="1038">
        <v>5.91E-2</v>
      </c>
      <c r="H103" s="1038">
        <v>4.462E-2</v>
      </c>
      <c r="I103" s="1259"/>
      <c r="J103" s="1066">
        <v>13</v>
      </c>
      <c r="K103" s="1033">
        <v>2.564E-2</v>
      </c>
      <c r="L103" s="1033">
        <v>2.564E-2</v>
      </c>
      <c r="M103" s="1033">
        <v>2.564E-2</v>
      </c>
      <c r="N103" s="1033">
        <v>2.564E-2</v>
      </c>
      <c r="O103" s="1033">
        <v>2.564E-2</v>
      </c>
      <c r="P103" s="1033">
        <v>2.564E-2</v>
      </c>
      <c r="Q103" s="1033">
        <v>2.564E-2</v>
      </c>
      <c r="R103" s="1033">
        <v>2.564E-2</v>
      </c>
      <c r="S103" s="1033">
        <v>2.564E-2</v>
      </c>
      <c r="T103" s="1033">
        <v>2.564E-2</v>
      </c>
      <c r="U103" s="1033">
        <v>2.564E-2</v>
      </c>
      <c r="V103" s="1035">
        <v>2.564E-2</v>
      </c>
    </row>
    <row r="104" spans="1:26" s="57" customFormat="1" outlineLevel="1">
      <c r="A104" s="52"/>
      <c r="B104" s="1032">
        <v>14</v>
      </c>
      <c r="C104" s="1044">
        <v>0</v>
      </c>
      <c r="D104" s="1036">
        <v>0</v>
      </c>
      <c r="E104" s="1036">
        <v>0</v>
      </c>
      <c r="F104" s="1036">
        <v>0</v>
      </c>
      <c r="G104" s="1038">
        <v>5.8999999999999997E-2</v>
      </c>
      <c r="H104" s="1038">
        <v>4.4609999999999997E-2</v>
      </c>
      <c r="I104" s="1259"/>
      <c r="J104" s="1066">
        <v>14</v>
      </c>
      <c r="K104" s="1033">
        <v>2.564E-2</v>
      </c>
      <c r="L104" s="1033">
        <v>2.564E-2</v>
      </c>
      <c r="M104" s="1033">
        <v>2.564E-2</v>
      </c>
      <c r="N104" s="1033">
        <v>2.564E-2</v>
      </c>
      <c r="O104" s="1033">
        <v>2.564E-2</v>
      </c>
      <c r="P104" s="1033">
        <v>2.564E-2</v>
      </c>
      <c r="Q104" s="1033">
        <v>2.564E-2</v>
      </c>
      <c r="R104" s="1033">
        <v>2.564E-2</v>
      </c>
      <c r="S104" s="1033">
        <v>2.564E-2</v>
      </c>
      <c r="T104" s="1033">
        <v>2.564E-2</v>
      </c>
      <c r="U104" s="1033">
        <v>2.564E-2</v>
      </c>
      <c r="V104" s="1035">
        <v>2.564E-2</v>
      </c>
    </row>
    <row r="105" spans="1:26" s="57" customFormat="1" outlineLevel="1">
      <c r="A105" s="52"/>
      <c r="B105" s="1032">
        <v>15</v>
      </c>
      <c r="C105" s="1044">
        <v>0</v>
      </c>
      <c r="D105" s="1036">
        <v>0</v>
      </c>
      <c r="E105" s="1036">
        <v>0</v>
      </c>
      <c r="F105" s="1036">
        <v>0</v>
      </c>
      <c r="G105" s="1038">
        <v>5.91E-2</v>
      </c>
      <c r="H105" s="1038">
        <v>4.462E-2</v>
      </c>
      <c r="I105" s="1259"/>
      <c r="J105" s="1066">
        <v>15</v>
      </c>
      <c r="K105" s="1033">
        <v>2.564E-2</v>
      </c>
      <c r="L105" s="1033">
        <v>2.564E-2</v>
      </c>
      <c r="M105" s="1033">
        <v>2.564E-2</v>
      </c>
      <c r="N105" s="1033">
        <v>2.564E-2</v>
      </c>
      <c r="O105" s="1033">
        <v>2.564E-2</v>
      </c>
      <c r="P105" s="1033">
        <v>2.564E-2</v>
      </c>
      <c r="Q105" s="1033">
        <v>2.564E-2</v>
      </c>
      <c r="R105" s="1033">
        <v>2.564E-2</v>
      </c>
      <c r="S105" s="1033">
        <v>2.564E-2</v>
      </c>
      <c r="T105" s="1033">
        <v>2.564E-2</v>
      </c>
      <c r="U105" s="1033">
        <v>2.564E-2</v>
      </c>
      <c r="V105" s="1035">
        <v>2.564E-2</v>
      </c>
    </row>
    <row r="106" spans="1:26" s="57" customFormat="1" outlineLevel="1">
      <c r="A106" s="52"/>
      <c r="B106" s="1032">
        <v>16</v>
      </c>
      <c r="C106" s="1044">
        <v>0</v>
      </c>
      <c r="D106" s="1036">
        <v>0</v>
      </c>
      <c r="E106" s="1036">
        <v>0</v>
      </c>
      <c r="F106" s="1036">
        <v>0</v>
      </c>
      <c r="G106" s="1038">
        <v>2.9499999999999998E-2</v>
      </c>
      <c r="H106" s="1038">
        <v>4.4609999999999997E-2</v>
      </c>
      <c r="I106" s="1259"/>
      <c r="J106" s="1066">
        <v>16</v>
      </c>
      <c r="K106" s="1033">
        <v>2.564E-2</v>
      </c>
      <c r="L106" s="1033">
        <v>2.564E-2</v>
      </c>
      <c r="M106" s="1033">
        <v>2.564E-2</v>
      </c>
      <c r="N106" s="1033">
        <v>2.564E-2</v>
      </c>
      <c r="O106" s="1033">
        <v>2.564E-2</v>
      </c>
      <c r="P106" s="1033">
        <v>2.564E-2</v>
      </c>
      <c r="Q106" s="1033">
        <v>2.564E-2</v>
      </c>
      <c r="R106" s="1033">
        <v>2.564E-2</v>
      </c>
      <c r="S106" s="1033">
        <v>2.564E-2</v>
      </c>
      <c r="T106" s="1033">
        <v>2.564E-2</v>
      </c>
      <c r="U106" s="1033">
        <v>2.564E-2</v>
      </c>
      <c r="V106" s="1035">
        <v>2.564E-2</v>
      </c>
    </row>
    <row r="107" spans="1:26" s="57" customFormat="1" outlineLevel="1">
      <c r="A107" s="52"/>
      <c r="B107" s="1032">
        <v>17</v>
      </c>
      <c r="C107" s="1044">
        <v>0</v>
      </c>
      <c r="D107" s="1036">
        <v>0</v>
      </c>
      <c r="E107" s="1036">
        <v>0</v>
      </c>
      <c r="F107" s="1036">
        <v>0</v>
      </c>
      <c r="G107" s="1036">
        <v>0</v>
      </c>
      <c r="H107" s="1038">
        <v>4.462E-2</v>
      </c>
      <c r="I107" s="1259"/>
      <c r="J107" s="1066">
        <v>17</v>
      </c>
      <c r="K107" s="1033">
        <v>2.564E-2</v>
      </c>
      <c r="L107" s="1033">
        <v>2.564E-2</v>
      </c>
      <c r="M107" s="1033">
        <v>2.564E-2</v>
      </c>
      <c r="N107" s="1033">
        <v>2.564E-2</v>
      </c>
      <c r="O107" s="1033">
        <v>2.564E-2</v>
      </c>
      <c r="P107" s="1033">
        <v>2.564E-2</v>
      </c>
      <c r="Q107" s="1033">
        <v>2.564E-2</v>
      </c>
      <c r="R107" s="1033">
        <v>2.564E-2</v>
      </c>
      <c r="S107" s="1033">
        <v>2.564E-2</v>
      </c>
      <c r="T107" s="1033">
        <v>2.564E-2</v>
      </c>
      <c r="U107" s="1033">
        <v>2.564E-2</v>
      </c>
      <c r="V107" s="1035">
        <v>2.564E-2</v>
      </c>
    </row>
    <row r="108" spans="1:26" s="57" customFormat="1" outlineLevel="1">
      <c r="A108" s="52"/>
      <c r="B108" s="1032">
        <v>18</v>
      </c>
      <c r="C108" s="1044">
        <v>0</v>
      </c>
      <c r="D108" s="1036">
        <v>0</v>
      </c>
      <c r="E108" s="1036">
        <v>0</v>
      </c>
      <c r="F108" s="1036">
        <v>0</v>
      </c>
      <c r="G108" s="1036">
        <v>0</v>
      </c>
      <c r="H108" s="1038">
        <v>4.4609999999999997E-2</v>
      </c>
      <c r="I108" s="1259"/>
      <c r="J108" s="1066">
        <v>18</v>
      </c>
      <c r="K108" s="1033">
        <v>2.564E-2</v>
      </c>
      <c r="L108" s="1033">
        <v>2.564E-2</v>
      </c>
      <c r="M108" s="1033">
        <v>2.564E-2</v>
      </c>
      <c r="N108" s="1033">
        <v>2.564E-2</v>
      </c>
      <c r="O108" s="1033">
        <v>2.564E-2</v>
      </c>
      <c r="P108" s="1033">
        <v>2.564E-2</v>
      </c>
      <c r="Q108" s="1033">
        <v>2.564E-2</v>
      </c>
      <c r="R108" s="1033">
        <v>2.564E-2</v>
      </c>
      <c r="S108" s="1033">
        <v>2.564E-2</v>
      </c>
      <c r="T108" s="1033">
        <v>2.564E-2</v>
      </c>
      <c r="U108" s="1033">
        <v>2.564E-2</v>
      </c>
      <c r="V108" s="1035">
        <v>2.564E-2</v>
      </c>
    </row>
    <row r="109" spans="1:26" s="57" customFormat="1" outlineLevel="1">
      <c r="A109" s="52"/>
      <c r="B109" s="1032">
        <v>19</v>
      </c>
      <c r="C109" s="1044">
        <v>0</v>
      </c>
      <c r="D109" s="1036">
        <v>0</v>
      </c>
      <c r="E109" s="1036">
        <v>0</v>
      </c>
      <c r="F109" s="1036">
        <v>0</v>
      </c>
      <c r="G109" s="1036">
        <v>0</v>
      </c>
      <c r="H109" s="1038">
        <v>4.462E-2</v>
      </c>
      <c r="I109" s="1259"/>
      <c r="J109" s="1066">
        <v>19</v>
      </c>
      <c r="K109" s="1033">
        <v>2.564E-2</v>
      </c>
      <c r="L109" s="1033">
        <v>2.564E-2</v>
      </c>
      <c r="M109" s="1033">
        <v>2.564E-2</v>
      </c>
      <c r="N109" s="1033">
        <v>2.564E-2</v>
      </c>
      <c r="O109" s="1033">
        <v>2.564E-2</v>
      </c>
      <c r="P109" s="1033">
        <v>2.564E-2</v>
      </c>
      <c r="Q109" s="1033">
        <v>2.564E-2</v>
      </c>
      <c r="R109" s="1033">
        <v>2.564E-2</v>
      </c>
      <c r="S109" s="1033">
        <v>2.564E-2</v>
      </c>
      <c r="T109" s="1033">
        <v>2.564E-2</v>
      </c>
      <c r="U109" s="1033">
        <v>2.564E-2</v>
      </c>
      <c r="V109" s="1035">
        <v>2.564E-2</v>
      </c>
    </row>
    <row r="110" spans="1:26" s="57" customFormat="1" outlineLevel="1">
      <c r="A110" s="52"/>
      <c r="B110" s="1032">
        <v>20</v>
      </c>
      <c r="C110" s="1044">
        <v>0</v>
      </c>
      <c r="D110" s="1036">
        <v>0</v>
      </c>
      <c r="E110" s="1036">
        <v>0</v>
      </c>
      <c r="F110" s="1036">
        <v>0</v>
      </c>
      <c r="G110" s="1036">
        <v>0</v>
      </c>
      <c r="H110" s="1038">
        <v>4.4609999999999997E-2</v>
      </c>
      <c r="I110" s="1259"/>
      <c r="J110" s="1066">
        <v>20</v>
      </c>
      <c r="K110" s="1033">
        <v>2.564E-2</v>
      </c>
      <c r="L110" s="1033">
        <v>2.564E-2</v>
      </c>
      <c r="M110" s="1033">
        <v>2.564E-2</v>
      </c>
      <c r="N110" s="1033">
        <v>2.564E-2</v>
      </c>
      <c r="O110" s="1033">
        <v>2.564E-2</v>
      </c>
      <c r="P110" s="1033">
        <v>2.564E-2</v>
      </c>
      <c r="Q110" s="1033">
        <v>2.564E-2</v>
      </c>
      <c r="R110" s="1033">
        <v>2.564E-2</v>
      </c>
      <c r="S110" s="1033">
        <v>2.564E-2</v>
      </c>
      <c r="T110" s="1033">
        <v>2.564E-2</v>
      </c>
      <c r="U110" s="1033">
        <v>2.564E-2</v>
      </c>
      <c r="V110" s="1035">
        <v>2.564E-2</v>
      </c>
    </row>
    <row r="111" spans="1:26" outlineLevel="1">
      <c r="B111" s="1032">
        <v>21</v>
      </c>
      <c r="C111" s="1044">
        <v>0</v>
      </c>
      <c r="D111" s="1036">
        <v>0</v>
      </c>
      <c r="E111" s="1036">
        <v>0</v>
      </c>
      <c r="F111" s="1036">
        <v>0</v>
      </c>
      <c r="G111" s="1036">
        <v>0</v>
      </c>
      <c r="H111" s="1038">
        <v>2.231E-2</v>
      </c>
      <c r="I111" s="1260"/>
      <c r="J111" s="1066">
        <v>21</v>
      </c>
      <c r="K111" s="1033">
        <v>2.564E-2</v>
      </c>
      <c r="L111" s="1033">
        <v>2.564E-2</v>
      </c>
      <c r="M111" s="1033">
        <v>2.564E-2</v>
      </c>
      <c r="N111" s="1033">
        <v>2.564E-2</v>
      </c>
      <c r="O111" s="1033">
        <v>2.564E-2</v>
      </c>
      <c r="P111" s="1033">
        <v>2.564E-2</v>
      </c>
      <c r="Q111" s="1033">
        <v>2.564E-2</v>
      </c>
      <c r="R111" s="1033">
        <v>2.564E-2</v>
      </c>
      <c r="S111" s="1033">
        <v>2.564E-2</v>
      </c>
      <c r="T111" s="1033">
        <v>2.564E-2</v>
      </c>
      <c r="U111" s="1033">
        <v>2.564E-2</v>
      </c>
      <c r="V111" s="1035">
        <v>2.564E-2</v>
      </c>
    </row>
    <row r="112" spans="1:26" outlineLevel="1">
      <c r="B112" s="1055" t="s">
        <v>26</v>
      </c>
      <c r="C112" s="1261">
        <f t="shared" ref="C112:H112" si="34">SUM(C91:C111)</f>
        <v>1</v>
      </c>
      <c r="D112" s="1040">
        <f t="shared" si="34"/>
        <v>0.99999999999999989</v>
      </c>
      <c r="E112" s="1040">
        <f t="shared" si="34"/>
        <v>1.0000000000000002</v>
      </c>
      <c r="F112" s="1040">
        <f t="shared" si="34"/>
        <v>1</v>
      </c>
      <c r="G112" s="1040">
        <f t="shared" si="34"/>
        <v>1.0000000000000002</v>
      </c>
      <c r="H112" s="1041">
        <f t="shared" si="34"/>
        <v>1.0000000000000002</v>
      </c>
      <c r="I112" s="1260"/>
      <c r="J112" s="1066">
        <v>22</v>
      </c>
      <c r="K112" s="1033">
        <v>2.564E-2</v>
      </c>
      <c r="L112" s="1033">
        <v>2.564E-2</v>
      </c>
      <c r="M112" s="1033">
        <v>2.564E-2</v>
      </c>
      <c r="N112" s="1033">
        <v>2.564E-2</v>
      </c>
      <c r="O112" s="1033">
        <v>2.564E-2</v>
      </c>
      <c r="P112" s="1033">
        <v>2.564E-2</v>
      </c>
      <c r="Q112" s="1033">
        <v>2.564E-2</v>
      </c>
      <c r="R112" s="1033">
        <v>2.564E-2</v>
      </c>
      <c r="S112" s="1033">
        <v>2.564E-2</v>
      </c>
      <c r="T112" s="1033">
        <v>2.564E-2</v>
      </c>
      <c r="U112" s="1033">
        <v>2.564E-2</v>
      </c>
      <c r="V112" s="1035">
        <v>2.564E-2</v>
      </c>
    </row>
    <row r="113" spans="2:22" outlineLevel="1">
      <c r="B113" s="517"/>
      <c r="C113" s="517"/>
      <c r="D113" s="468"/>
      <c r="E113" s="517"/>
      <c r="F113" s="380"/>
      <c r="G113" s="517"/>
      <c r="H113" s="517"/>
      <c r="I113" s="517"/>
      <c r="J113" s="1066">
        <v>23</v>
      </c>
      <c r="K113" s="1033">
        <v>2.564E-2</v>
      </c>
      <c r="L113" s="1033">
        <v>2.564E-2</v>
      </c>
      <c r="M113" s="1033">
        <v>2.564E-2</v>
      </c>
      <c r="N113" s="1033">
        <v>2.564E-2</v>
      </c>
      <c r="O113" s="1033">
        <v>2.564E-2</v>
      </c>
      <c r="P113" s="1033">
        <v>2.564E-2</v>
      </c>
      <c r="Q113" s="1033">
        <v>2.564E-2</v>
      </c>
      <c r="R113" s="1033">
        <v>2.564E-2</v>
      </c>
      <c r="S113" s="1033">
        <v>2.564E-2</v>
      </c>
      <c r="T113" s="1033">
        <v>2.564E-2</v>
      </c>
      <c r="U113" s="1033">
        <v>2.564E-2</v>
      </c>
      <c r="V113" s="1035">
        <v>2.564E-2</v>
      </c>
    </row>
    <row r="114" spans="2:22" outlineLevel="1">
      <c r="B114" s="913"/>
      <c r="C114" s="517"/>
      <c r="D114" s="468"/>
      <c r="E114" s="517"/>
      <c r="F114" s="380"/>
      <c r="G114" s="517"/>
      <c r="H114" s="517"/>
      <c r="I114" s="517"/>
      <c r="J114" s="1066">
        <v>24</v>
      </c>
      <c r="K114" s="1033">
        <v>2.564E-2</v>
      </c>
      <c r="L114" s="1033">
        <v>2.564E-2</v>
      </c>
      <c r="M114" s="1033">
        <v>2.564E-2</v>
      </c>
      <c r="N114" s="1033">
        <v>2.564E-2</v>
      </c>
      <c r="O114" s="1033">
        <v>2.564E-2</v>
      </c>
      <c r="P114" s="1033">
        <v>2.564E-2</v>
      </c>
      <c r="Q114" s="1033">
        <v>2.564E-2</v>
      </c>
      <c r="R114" s="1033">
        <v>2.564E-2</v>
      </c>
      <c r="S114" s="1033">
        <v>2.564E-2</v>
      </c>
      <c r="T114" s="1033">
        <v>2.564E-2</v>
      </c>
      <c r="U114" s="1033">
        <v>2.564E-2</v>
      </c>
      <c r="V114" s="1035">
        <v>2.564E-2</v>
      </c>
    </row>
    <row r="115" spans="2:22" outlineLevel="1">
      <c r="B115" s="517"/>
      <c r="C115" s="517"/>
      <c r="D115" s="468"/>
      <c r="E115" s="517"/>
      <c r="F115" s="380"/>
      <c r="G115" s="517"/>
      <c r="H115" s="517"/>
      <c r="I115" s="517"/>
      <c r="J115" s="1066">
        <v>25</v>
      </c>
      <c r="K115" s="1033">
        <v>2.564E-2</v>
      </c>
      <c r="L115" s="1033">
        <v>2.564E-2</v>
      </c>
      <c r="M115" s="1033">
        <v>2.564E-2</v>
      </c>
      <c r="N115" s="1033">
        <v>2.564E-2</v>
      </c>
      <c r="O115" s="1033">
        <v>2.564E-2</v>
      </c>
      <c r="P115" s="1033">
        <v>2.564E-2</v>
      </c>
      <c r="Q115" s="1033">
        <v>2.564E-2</v>
      </c>
      <c r="R115" s="1033">
        <v>2.564E-2</v>
      </c>
      <c r="S115" s="1033">
        <v>2.564E-2</v>
      </c>
      <c r="T115" s="1033">
        <v>2.564E-2</v>
      </c>
      <c r="U115" s="1033">
        <v>2.564E-2</v>
      </c>
      <c r="V115" s="1035">
        <v>2.564E-2</v>
      </c>
    </row>
    <row r="116" spans="2:22" outlineLevel="1">
      <c r="J116" s="1066">
        <v>26</v>
      </c>
      <c r="K116" s="1033">
        <v>2.564E-2</v>
      </c>
      <c r="L116" s="1033">
        <v>2.564E-2</v>
      </c>
      <c r="M116" s="1033">
        <v>2.564E-2</v>
      </c>
      <c r="N116" s="1033">
        <v>2.564E-2</v>
      </c>
      <c r="O116" s="1033">
        <v>2.564E-2</v>
      </c>
      <c r="P116" s="1033">
        <v>2.564E-2</v>
      </c>
      <c r="Q116" s="1033">
        <v>2.564E-2</v>
      </c>
      <c r="R116" s="1033">
        <v>2.564E-2</v>
      </c>
      <c r="S116" s="1033">
        <v>2.564E-2</v>
      </c>
      <c r="T116" s="1033">
        <v>2.564E-2</v>
      </c>
      <c r="U116" s="1033">
        <v>2.564E-2</v>
      </c>
      <c r="V116" s="1035">
        <v>2.564E-2</v>
      </c>
    </row>
    <row r="117" spans="2:22" outlineLevel="1">
      <c r="J117" s="1066">
        <v>27</v>
      </c>
      <c r="K117" s="1033">
        <v>2.564E-2</v>
      </c>
      <c r="L117" s="1033">
        <v>2.564E-2</v>
      </c>
      <c r="M117" s="1033">
        <v>2.564E-2</v>
      </c>
      <c r="N117" s="1033">
        <v>2.564E-2</v>
      </c>
      <c r="O117" s="1033">
        <v>2.564E-2</v>
      </c>
      <c r="P117" s="1033">
        <v>2.564E-2</v>
      </c>
      <c r="Q117" s="1033">
        <v>2.564E-2</v>
      </c>
      <c r="R117" s="1033">
        <v>2.564E-2</v>
      </c>
      <c r="S117" s="1033">
        <v>2.564E-2</v>
      </c>
      <c r="T117" s="1033">
        <v>2.564E-2</v>
      </c>
      <c r="U117" s="1033">
        <v>2.564E-2</v>
      </c>
      <c r="V117" s="1035">
        <v>2.564E-2</v>
      </c>
    </row>
    <row r="118" spans="2:22" outlineLevel="1">
      <c r="J118" s="1066">
        <v>28</v>
      </c>
      <c r="K118" s="1033">
        <v>2.564E-2</v>
      </c>
      <c r="L118" s="1033">
        <v>2.564E-2</v>
      </c>
      <c r="M118" s="1033">
        <v>2.564E-2</v>
      </c>
      <c r="N118" s="1033">
        <v>2.564E-2</v>
      </c>
      <c r="O118" s="1033">
        <v>2.564E-2</v>
      </c>
      <c r="P118" s="1033">
        <v>2.564E-2</v>
      </c>
      <c r="Q118" s="1033">
        <v>2.564E-2</v>
      </c>
      <c r="R118" s="1033">
        <v>2.564E-2</v>
      </c>
      <c r="S118" s="1033">
        <v>2.564E-2</v>
      </c>
      <c r="T118" s="1033">
        <v>2.564E-2</v>
      </c>
      <c r="U118" s="1033">
        <v>2.564E-2</v>
      </c>
      <c r="V118" s="1035">
        <v>2.564E-2</v>
      </c>
    </row>
    <row r="119" spans="2:22" outlineLevel="1">
      <c r="J119" s="1066">
        <v>29</v>
      </c>
      <c r="K119" s="1033">
        <v>2.564E-2</v>
      </c>
      <c r="L119" s="1033">
        <v>2.564E-2</v>
      </c>
      <c r="M119" s="1033">
        <v>2.564E-2</v>
      </c>
      <c r="N119" s="1033">
        <v>2.564E-2</v>
      </c>
      <c r="O119" s="1033">
        <v>2.564E-2</v>
      </c>
      <c r="P119" s="1033">
        <v>2.564E-2</v>
      </c>
      <c r="Q119" s="1033">
        <v>2.564E-2</v>
      </c>
      <c r="R119" s="1033">
        <v>2.564E-2</v>
      </c>
      <c r="S119" s="1033">
        <v>2.564E-2</v>
      </c>
      <c r="T119" s="1033">
        <v>2.564E-2</v>
      </c>
      <c r="U119" s="1033">
        <v>2.564E-2</v>
      </c>
      <c r="V119" s="1035">
        <v>2.564E-2</v>
      </c>
    </row>
    <row r="120" spans="2:22" outlineLevel="1">
      <c r="J120" s="1066">
        <v>30</v>
      </c>
      <c r="K120" s="1033">
        <v>2.564E-2</v>
      </c>
      <c r="L120" s="1033">
        <v>2.564E-2</v>
      </c>
      <c r="M120" s="1033">
        <v>2.564E-2</v>
      </c>
      <c r="N120" s="1033">
        <v>2.564E-2</v>
      </c>
      <c r="O120" s="1033">
        <v>2.564E-2</v>
      </c>
      <c r="P120" s="1033">
        <v>2.564E-2</v>
      </c>
      <c r="Q120" s="1033">
        <v>2.564E-2</v>
      </c>
      <c r="R120" s="1033">
        <v>2.564E-2</v>
      </c>
      <c r="S120" s="1033">
        <v>2.564E-2</v>
      </c>
      <c r="T120" s="1033">
        <v>2.564E-2</v>
      </c>
      <c r="U120" s="1033">
        <v>2.564E-2</v>
      </c>
      <c r="V120" s="1035">
        <v>2.564E-2</v>
      </c>
    </row>
    <row r="121" spans="2:22" outlineLevel="1">
      <c r="J121" s="1066">
        <v>31</v>
      </c>
      <c r="K121" s="1033">
        <v>2.564E-2</v>
      </c>
      <c r="L121" s="1033">
        <v>2.564E-2</v>
      </c>
      <c r="M121" s="1033">
        <v>2.564E-2</v>
      </c>
      <c r="N121" s="1033">
        <v>2.564E-2</v>
      </c>
      <c r="O121" s="1033">
        <v>2.564E-2</v>
      </c>
      <c r="P121" s="1033">
        <v>2.564E-2</v>
      </c>
      <c r="Q121" s="1033">
        <v>2.564E-2</v>
      </c>
      <c r="R121" s="1033">
        <v>2.564E-2</v>
      </c>
      <c r="S121" s="1033">
        <v>2.564E-2</v>
      </c>
      <c r="T121" s="1033">
        <v>2.564E-2</v>
      </c>
      <c r="U121" s="1033">
        <v>2.564E-2</v>
      </c>
      <c r="V121" s="1035">
        <v>2.564E-2</v>
      </c>
    </row>
    <row r="122" spans="2:22" outlineLevel="1">
      <c r="J122" s="1066">
        <v>32</v>
      </c>
      <c r="K122" s="1033">
        <v>2.564E-2</v>
      </c>
      <c r="L122" s="1033">
        <v>2.564E-2</v>
      </c>
      <c r="M122" s="1033">
        <v>2.564E-2</v>
      </c>
      <c r="N122" s="1033">
        <v>2.564E-2</v>
      </c>
      <c r="O122" s="1033">
        <v>2.564E-2</v>
      </c>
      <c r="P122" s="1033">
        <v>2.564E-2</v>
      </c>
      <c r="Q122" s="1033">
        <v>2.564E-2</v>
      </c>
      <c r="R122" s="1033">
        <v>2.564E-2</v>
      </c>
      <c r="S122" s="1033">
        <v>2.564E-2</v>
      </c>
      <c r="T122" s="1033">
        <v>2.564E-2</v>
      </c>
      <c r="U122" s="1033">
        <v>2.564E-2</v>
      </c>
      <c r="V122" s="1035">
        <v>2.564E-2</v>
      </c>
    </row>
    <row r="123" spans="2:22" outlineLevel="1">
      <c r="J123" s="1066">
        <v>33</v>
      </c>
      <c r="K123" s="1033">
        <v>2.564E-2</v>
      </c>
      <c r="L123" s="1033">
        <v>2.564E-2</v>
      </c>
      <c r="M123" s="1033">
        <v>2.564E-2</v>
      </c>
      <c r="N123" s="1033">
        <v>2.564E-2</v>
      </c>
      <c r="O123" s="1033">
        <v>2.564E-2</v>
      </c>
      <c r="P123" s="1033">
        <v>2.564E-2</v>
      </c>
      <c r="Q123" s="1033">
        <v>2.564E-2</v>
      </c>
      <c r="R123" s="1033">
        <v>2.564E-2</v>
      </c>
      <c r="S123" s="1033">
        <v>2.564E-2</v>
      </c>
      <c r="T123" s="1033">
        <v>2.564E-2</v>
      </c>
      <c r="U123" s="1033">
        <v>2.564E-2</v>
      </c>
      <c r="V123" s="1035">
        <v>2.564E-2</v>
      </c>
    </row>
    <row r="124" spans="2:22" outlineLevel="1">
      <c r="J124" s="1066">
        <v>34</v>
      </c>
      <c r="K124" s="1033">
        <v>2.564E-2</v>
      </c>
      <c r="L124" s="1033">
        <v>2.564E-2</v>
      </c>
      <c r="M124" s="1033">
        <v>2.564E-2</v>
      </c>
      <c r="N124" s="1033">
        <v>2.564E-2</v>
      </c>
      <c r="O124" s="1033">
        <v>2.564E-2</v>
      </c>
      <c r="P124" s="1033">
        <v>2.564E-2</v>
      </c>
      <c r="Q124" s="1033">
        <v>2.564E-2</v>
      </c>
      <c r="R124" s="1033">
        <v>2.564E-2</v>
      </c>
      <c r="S124" s="1033">
        <v>2.564E-2</v>
      </c>
      <c r="T124" s="1033">
        <v>2.564E-2</v>
      </c>
      <c r="U124" s="1033">
        <v>2.564E-2</v>
      </c>
      <c r="V124" s="1035">
        <v>2.564E-2</v>
      </c>
    </row>
    <row r="125" spans="2:22" outlineLevel="1">
      <c r="J125" s="1066">
        <v>35</v>
      </c>
      <c r="K125" s="1033">
        <v>2.564E-2</v>
      </c>
      <c r="L125" s="1033">
        <v>2.564E-2</v>
      </c>
      <c r="M125" s="1033">
        <v>2.564E-2</v>
      </c>
      <c r="N125" s="1033">
        <v>2.564E-2</v>
      </c>
      <c r="O125" s="1033">
        <v>2.564E-2</v>
      </c>
      <c r="P125" s="1033">
        <v>2.564E-2</v>
      </c>
      <c r="Q125" s="1033">
        <v>2.564E-2</v>
      </c>
      <c r="R125" s="1033">
        <v>2.564E-2</v>
      </c>
      <c r="S125" s="1033">
        <v>2.564E-2</v>
      </c>
      <c r="T125" s="1033">
        <v>2.564E-2</v>
      </c>
      <c r="U125" s="1033">
        <v>2.564E-2</v>
      </c>
      <c r="V125" s="1035">
        <v>2.564E-2</v>
      </c>
    </row>
    <row r="126" spans="2:22" outlineLevel="1">
      <c r="J126" s="1066">
        <v>36</v>
      </c>
      <c r="K126" s="1033">
        <v>2.564E-2</v>
      </c>
      <c r="L126" s="1033">
        <v>2.564E-2</v>
      </c>
      <c r="M126" s="1033">
        <v>2.564E-2</v>
      </c>
      <c r="N126" s="1033">
        <v>2.564E-2</v>
      </c>
      <c r="O126" s="1033">
        <v>2.564E-2</v>
      </c>
      <c r="P126" s="1033">
        <v>2.564E-2</v>
      </c>
      <c r="Q126" s="1033">
        <v>2.564E-2</v>
      </c>
      <c r="R126" s="1033">
        <v>2.564E-2</v>
      </c>
      <c r="S126" s="1033">
        <v>2.564E-2</v>
      </c>
      <c r="T126" s="1033">
        <v>2.564E-2</v>
      </c>
      <c r="U126" s="1033">
        <v>2.564E-2</v>
      </c>
      <c r="V126" s="1035">
        <v>2.564E-2</v>
      </c>
    </row>
    <row r="127" spans="2:22" outlineLevel="1">
      <c r="J127" s="1066">
        <v>37</v>
      </c>
      <c r="K127" s="1033">
        <v>2.564E-2</v>
      </c>
      <c r="L127" s="1033">
        <v>2.564E-2</v>
      </c>
      <c r="M127" s="1033">
        <v>2.564E-2</v>
      </c>
      <c r="N127" s="1033">
        <v>2.564E-2</v>
      </c>
      <c r="O127" s="1033">
        <v>2.564E-2</v>
      </c>
      <c r="P127" s="1033">
        <v>2.564E-2</v>
      </c>
      <c r="Q127" s="1033">
        <v>2.564E-2</v>
      </c>
      <c r="R127" s="1033">
        <v>2.564E-2</v>
      </c>
      <c r="S127" s="1033">
        <v>2.564E-2</v>
      </c>
      <c r="T127" s="1033">
        <v>2.564E-2</v>
      </c>
      <c r="U127" s="1033">
        <v>2.564E-2</v>
      </c>
      <c r="V127" s="1035">
        <v>2.564E-2</v>
      </c>
    </row>
    <row r="128" spans="2:22" outlineLevel="1">
      <c r="J128" s="1066">
        <v>38</v>
      </c>
      <c r="K128" s="1033">
        <v>2.564E-2</v>
      </c>
      <c r="L128" s="1033">
        <v>2.564E-2</v>
      </c>
      <c r="M128" s="1033">
        <v>2.564E-2</v>
      </c>
      <c r="N128" s="1033">
        <v>2.564E-2</v>
      </c>
      <c r="O128" s="1033">
        <v>2.564E-2</v>
      </c>
      <c r="P128" s="1033">
        <v>2.564E-2</v>
      </c>
      <c r="Q128" s="1033">
        <v>2.564E-2</v>
      </c>
      <c r="R128" s="1033">
        <v>2.564E-2</v>
      </c>
      <c r="S128" s="1033">
        <v>2.564E-2</v>
      </c>
      <c r="T128" s="1033">
        <v>2.564E-2</v>
      </c>
      <c r="U128" s="1033">
        <v>2.564E-2</v>
      </c>
      <c r="V128" s="1035">
        <v>2.564E-2</v>
      </c>
    </row>
    <row r="129" spans="10:22" outlineLevel="1">
      <c r="J129" s="1066">
        <v>39</v>
      </c>
      <c r="K129" s="1033">
        <v>2.564E-2</v>
      </c>
      <c r="L129" s="1033">
        <v>2.564E-2</v>
      </c>
      <c r="M129" s="1033">
        <v>2.564E-2</v>
      </c>
      <c r="N129" s="1033">
        <v>2.564E-2</v>
      </c>
      <c r="O129" s="1033">
        <v>2.564E-2</v>
      </c>
      <c r="P129" s="1033">
        <v>2.564E-2</v>
      </c>
      <c r="Q129" s="1033">
        <v>2.564E-2</v>
      </c>
      <c r="R129" s="1033">
        <v>2.564E-2</v>
      </c>
      <c r="S129" s="1033">
        <v>2.564E-2</v>
      </c>
      <c r="T129" s="1033">
        <v>2.564E-2</v>
      </c>
      <c r="U129" s="1033">
        <v>2.564E-2</v>
      </c>
      <c r="V129" s="1035">
        <v>2.564E-2</v>
      </c>
    </row>
    <row r="130" spans="10:22" outlineLevel="1">
      <c r="J130" s="1067">
        <v>40</v>
      </c>
      <c r="K130" s="1064">
        <v>1.07E-3</v>
      </c>
      <c r="L130" s="1064">
        <v>3.2100000000000002E-3</v>
      </c>
      <c r="M130" s="1064">
        <v>5.3500000000000006E-3</v>
      </c>
      <c r="N130" s="1064">
        <v>7.4900000000000001E-3</v>
      </c>
      <c r="O130" s="1064">
        <v>9.6299999999999997E-3</v>
      </c>
      <c r="P130" s="1064">
        <v>1.1770000000000001E-2</v>
      </c>
      <c r="Q130" s="1064">
        <v>1.391E-2</v>
      </c>
      <c r="R130" s="1064">
        <v>1.6049999999999998E-2</v>
      </c>
      <c r="S130" s="1064">
        <v>1.8189999999999998E-2</v>
      </c>
      <c r="T130" s="1064">
        <v>2.0330000000000001E-2</v>
      </c>
      <c r="U130" s="1064">
        <v>2.247E-2</v>
      </c>
      <c r="V130" s="1037">
        <v>2.461E-2</v>
      </c>
    </row>
    <row r="131" spans="10:22" outlineLevel="1">
      <c r="J131" s="1055" t="s">
        <v>26</v>
      </c>
      <c r="K131" s="1040">
        <f>SUM(K91:K130)</f>
        <v>0.99999999999999989</v>
      </c>
      <c r="L131" s="1040">
        <f t="shared" ref="L131:V131" si="35">SUM(L91:L130)</f>
        <v>1</v>
      </c>
      <c r="M131" s="1040">
        <f t="shared" si="35"/>
        <v>0.99999999999999989</v>
      </c>
      <c r="N131" s="1040">
        <f t="shared" si="35"/>
        <v>0.99999999999999989</v>
      </c>
      <c r="O131" s="1040">
        <f t="shared" si="35"/>
        <v>0.99999999999999989</v>
      </c>
      <c r="P131" s="1040">
        <f t="shared" si="35"/>
        <v>0.99999999999999989</v>
      </c>
      <c r="Q131" s="1040">
        <f t="shared" si="35"/>
        <v>0.99999999999999989</v>
      </c>
      <c r="R131" s="1040">
        <f t="shared" si="35"/>
        <v>0.99999999999999989</v>
      </c>
      <c r="S131" s="1040">
        <f t="shared" si="35"/>
        <v>1</v>
      </c>
      <c r="T131" s="1040">
        <f t="shared" si="35"/>
        <v>0.99999999999999989</v>
      </c>
      <c r="U131" s="1040">
        <f t="shared" si="35"/>
        <v>0.99999999999999989</v>
      </c>
      <c r="V131" s="1040">
        <f t="shared" si="35"/>
        <v>0.99999999999999989</v>
      </c>
    </row>
    <row r="132" spans="10:22" outlineLevel="1"/>
    <row r="133" spans="10:22" outlineLevel="1"/>
    <row r="134" spans="10:22" outlineLevel="1"/>
  </sheetData>
  <sheetProtection algorithmName="SHA-512" hashValue="LFgr9dGVW4K+3WkVO4aRZ6V/pxgGPu+iScDTJnPsyE/1+7TReH9fSAdbJ3hnm6QS+bsnID+ww8OLTwrUAYeWEA==" saltValue="jhkEssblM9Jk8LRxcpcQdw==" spinCount="100000" sheet="1" objects="1" scenarios="1"/>
  <mergeCells count="2">
    <mergeCell ref="B88:B89"/>
    <mergeCell ref="J88:J89"/>
  </mergeCells>
  <conditionalFormatting sqref="H14">
    <cfRule type="cellIs" dxfId="4" priority="3" operator="equal">
      <formula>1</formula>
    </cfRule>
  </conditionalFormatting>
  <conditionalFormatting sqref="H61">
    <cfRule type="cellIs" dxfId="3" priority="2" operator="equal">
      <formula>1</formula>
    </cfRule>
  </conditionalFormatting>
  <conditionalFormatting sqref="H32">
    <cfRule type="cellIs" dxfId="2" priority="1" operator="equal">
      <formula>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4B160-2FA3-4D8A-9F62-13235A6C8A06}">
  <sheetPr>
    <outlinePr summaryBelow="0"/>
    <pageSetUpPr autoPageBreaks="0"/>
  </sheetPr>
  <dimension ref="B1:AU40"/>
  <sheetViews>
    <sheetView showGridLines="0" zoomScale="80" zoomScaleNormal="80" workbookViewId="0">
      <pane ySplit="5" topLeftCell="A6" activePane="bottomLeft" state="frozen"/>
      <selection pane="bottomLeft" activeCell="L31" sqref="L31"/>
    </sheetView>
  </sheetViews>
  <sheetFormatPr defaultColWidth="8.7265625" defaultRowHeight="14.5"/>
  <cols>
    <col min="1" max="1" width="1.54296875" style="3" customWidth="1"/>
    <col min="2" max="2" width="21.54296875" style="3" customWidth="1"/>
    <col min="3" max="3" width="29.08984375" style="3" customWidth="1"/>
    <col min="4" max="4" width="35.36328125" style="3" customWidth="1"/>
    <col min="5" max="5" width="15.81640625" style="3" customWidth="1"/>
    <col min="6" max="6" width="15.81640625" style="1215" customWidth="1"/>
    <col min="7" max="8" width="15.81640625" style="168" customWidth="1"/>
    <col min="9" max="9" width="14.08984375" style="514" customWidth="1"/>
    <col min="10" max="18" width="12.81640625" style="3" customWidth="1"/>
    <col min="19" max="21" width="11.54296875" style="3" customWidth="1"/>
    <col min="22" max="22" width="5.1796875" style="3" customWidth="1"/>
    <col min="23" max="23" width="12.453125" style="3" customWidth="1"/>
    <col min="24" max="32" width="11.54296875" style="3" customWidth="1"/>
    <col min="33" max="33" width="4.7265625" style="3" customWidth="1"/>
    <col min="34" max="47" width="8.7265625" style="150"/>
    <col min="48" max="16384" width="8.7265625" style="3"/>
  </cols>
  <sheetData>
    <row r="1" spans="2:47" ht="5.25" customHeight="1"/>
    <row r="2" spans="2:47" ht="17">
      <c r="B2" s="270" t="s">
        <v>769</v>
      </c>
    </row>
    <row r="3" spans="2:47" ht="5.15" customHeight="1" thickBot="1">
      <c r="B3" s="1"/>
    </row>
    <row r="4" spans="2:47" ht="12.5" customHeight="1">
      <c r="B4" s="272"/>
      <c r="C4" s="272"/>
      <c r="D4" s="249"/>
      <c r="E4" s="249"/>
      <c r="F4" s="1216"/>
      <c r="G4" s="271"/>
      <c r="H4" s="271"/>
      <c r="I4" s="1232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</row>
    <row r="5" spans="2:47">
      <c r="B5" s="458" t="s">
        <v>362</v>
      </c>
      <c r="C5" s="458" t="s">
        <v>647</v>
      </c>
      <c r="D5" s="458" t="s">
        <v>648</v>
      </c>
      <c r="E5" s="459" t="s">
        <v>678</v>
      </c>
      <c r="F5" s="1217" t="s">
        <v>152</v>
      </c>
      <c r="G5" s="459" t="s">
        <v>361</v>
      </c>
      <c r="H5" s="457" t="s">
        <v>679</v>
      </c>
      <c r="I5" s="6" t="s">
        <v>709</v>
      </c>
    </row>
    <row r="6" spans="2:47">
      <c r="B6" s="3" t="s">
        <v>510</v>
      </c>
      <c r="C6" s="1135" t="s">
        <v>656</v>
      </c>
      <c r="D6" s="1133" t="s">
        <v>719</v>
      </c>
      <c r="E6" s="1214">
        <v>44865</v>
      </c>
      <c r="F6" s="1218">
        <f t="shared" ref="F6:F40" si="0">IFERROR(YEAR(E6),0)</f>
        <v>2022</v>
      </c>
      <c r="G6" s="1136">
        <v>5</v>
      </c>
      <c r="H6" s="1210">
        <v>5000</v>
      </c>
    </row>
    <row r="7" spans="2:47">
      <c r="B7" s="3" t="s">
        <v>510</v>
      </c>
      <c r="C7" s="1135" t="s">
        <v>656</v>
      </c>
      <c r="D7" s="1133" t="s">
        <v>720</v>
      </c>
      <c r="E7" s="1214">
        <v>44865</v>
      </c>
      <c r="F7" s="1218">
        <f t="shared" si="0"/>
        <v>2022</v>
      </c>
      <c r="G7" s="1136">
        <v>5</v>
      </c>
      <c r="H7" s="1210">
        <v>15000</v>
      </c>
    </row>
    <row r="8" spans="2:47">
      <c r="B8" s="3" t="s">
        <v>510</v>
      </c>
      <c r="C8" s="1135" t="s">
        <v>68</v>
      </c>
      <c r="D8" s="1132" t="s">
        <v>710</v>
      </c>
      <c r="E8" s="1214">
        <v>44866</v>
      </c>
      <c r="F8" s="1218">
        <f t="shared" si="0"/>
        <v>2022</v>
      </c>
      <c r="G8" s="1136">
        <v>7</v>
      </c>
      <c r="H8" s="1210">
        <v>10000</v>
      </c>
    </row>
    <row r="9" spans="2:47">
      <c r="B9" s="207" t="s">
        <v>510</v>
      </c>
      <c r="C9" s="1135" t="s">
        <v>335</v>
      </c>
      <c r="D9" s="1133" t="s">
        <v>336</v>
      </c>
      <c r="E9" s="1214">
        <v>45107</v>
      </c>
      <c r="F9" s="1218">
        <f t="shared" si="0"/>
        <v>2023</v>
      </c>
      <c r="G9" s="1136">
        <v>3</v>
      </c>
      <c r="H9" s="1210">
        <v>12300</v>
      </c>
    </row>
    <row r="10" spans="2:47">
      <c r="B10" s="207" t="s">
        <v>510</v>
      </c>
      <c r="C10" s="1135" t="s">
        <v>335</v>
      </c>
      <c r="D10" s="1132" t="s">
        <v>697</v>
      </c>
      <c r="E10" s="1214">
        <v>45170</v>
      </c>
      <c r="F10" s="1218">
        <f t="shared" si="0"/>
        <v>2023</v>
      </c>
      <c r="G10" s="1136">
        <v>3</v>
      </c>
      <c r="H10" s="1210">
        <v>42500</v>
      </c>
    </row>
    <row r="11" spans="2:47">
      <c r="B11" s="3" t="s">
        <v>510</v>
      </c>
      <c r="C11" s="1135" t="s">
        <v>68</v>
      </c>
      <c r="D11" s="1131" t="s">
        <v>365</v>
      </c>
      <c r="E11" s="1214">
        <v>45260</v>
      </c>
      <c r="F11" s="1218">
        <f t="shared" si="0"/>
        <v>2023</v>
      </c>
      <c r="G11" s="1136">
        <v>7</v>
      </c>
      <c r="H11" s="1210">
        <v>136000</v>
      </c>
    </row>
    <row r="12" spans="2:47">
      <c r="B12" s="3" t="s">
        <v>510</v>
      </c>
      <c r="C12" s="1135" t="s">
        <v>69</v>
      </c>
      <c r="D12" s="1133" t="s">
        <v>699</v>
      </c>
      <c r="E12" s="1214">
        <v>45292</v>
      </c>
      <c r="F12" s="1218">
        <f t="shared" si="0"/>
        <v>2024</v>
      </c>
      <c r="G12" s="1136">
        <v>5</v>
      </c>
      <c r="H12" s="1210">
        <v>45000</v>
      </c>
    </row>
    <row r="13" spans="2:47">
      <c r="B13" s="3" t="s">
        <v>510</v>
      </c>
      <c r="C13" s="1135" t="s">
        <v>68</v>
      </c>
      <c r="D13" s="1133" t="s">
        <v>367</v>
      </c>
      <c r="E13" s="1214">
        <v>45658</v>
      </c>
      <c r="F13" s="1218">
        <f t="shared" si="0"/>
        <v>2025</v>
      </c>
      <c r="G13" s="1136">
        <v>7</v>
      </c>
      <c r="H13" s="1210">
        <v>20000</v>
      </c>
    </row>
    <row r="14" spans="2:47">
      <c r="B14" s="3" t="s">
        <v>696</v>
      </c>
      <c r="C14" s="1135" t="s">
        <v>68</v>
      </c>
      <c r="D14" s="1133" t="s">
        <v>368</v>
      </c>
      <c r="E14" s="1214">
        <v>46023</v>
      </c>
      <c r="F14" s="1218">
        <f t="shared" si="0"/>
        <v>2026</v>
      </c>
      <c r="G14" s="1136">
        <v>7</v>
      </c>
      <c r="H14" s="1210">
        <v>170000</v>
      </c>
      <c r="I14" s="1233" t="s">
        <v>708</v>
      </c>
    </row>
    <row r="15" spans="2:47">
      <c r="B15" s="3" t="s">
        <v>696</v>
      </c>
      <c r="C15" s="1135" t="s">
        <v>69</v>
      </c>
      <c r="D15" s="1133" t="s">
        <v>698</v>
      </c>
      <c r="E15" s="1214">
        <v>46388</v>
      </c>
      <c r="F15" s="1218">
        <f t="shared" si="0"/>
        <v>2027</v>
      </c>
      <c r="G15" s="1136">
        <v>5</v>
      </c>
      <c r="H15" s="1210">
        <v>45000</v>
      </c>
    </row>
    <row r="16" spans="2:47">
      <c r="B16" s="3" t="s">
        <v>364</v>
      </c>
      <c r="C16" s="1135" t="s">
        <v>363</v>
      </c>
      <c r="E16" s="1214" t="s">
        <v>282</v>
      </c>
      <c r="F16" s="1218">
        <f t="shared" si="0"/>
        <v>0</v>
      </c>
      <c r="G16" s="1136" t="s">
        <v>364</v>
      </c>
      <c r="H16" s="1210">
        <v>0</v>
      </c>
    </row>
    <row r="17" spans="2:8">
      <c r="B17" s="3" t="s">
        <v>364</v>
      </c>
      <c r="C17" s="1135" t="s">
        <v>363</v>
      </c>
      <c r="E17" s="1214" t="s">
        <v>282</v>
      </c>
      <c r="F17" s="1218">
        <f t="shared" si="0"/>
        <v>0</v>
      </c>
      <c r="G17" s="1136" t="s">
        <v>364</v>
      </c>
      <c r="H17" s="1210">
        <v>0</v>
      </c>
    </row>
    <row r="18" spans="2:8">
      <c r="B18" s="3" t="s">
        <v>364</v>
      </c>
      <c r="C18" s="1135" t="s">
        <v>363</v>
      </c>
      <c r="E18" s="1214" t="s">
        <v>282</v>
      </c>
      <c r="F18" s="1218">
        <f t="shared" si="0"/>
        <v>0</v>
      </c>
      <c r="G18" s="1136" t="s">
        <v>364</v>
      </c>
      <c r="H18" s="1210">
        <v>0</v>
      </c>
    </row>
    <row r="19" spans="2:8">
      <c r="B19" s="3" t="s">
        <v>364</v>
      </c>
      <c r="C19" s="1135" t="s">
        <v>363</v>
      </c>
      <c r="E19" s="1214" t="s">
        <v>282</v>
      </c>
      <c r="F19" s="1218">
        <f t="shared" si="0"/>
        <v>0</v>
      </c>
      <c r="G19" s="1136" t="s">
        <v>364</v>
      </c>
      <c r="H19" s="1210">
        <v>0</v>
      </c>
    </row>
    <row r="20" spans="2:8">
      <c r="B20" s="3" t="s">
        <v>364</v>
      </c>
      <c r="C20" s="1135" t="s">
        <v>363</v>
      </c>
      <c r="E20" s="1214" t="s">
        <v>282</v>
      </c>
      <c r="F20" s="1218">
        <f t="shared" si="0"/>
        <v>0</v>
      </c>
      <c r="G20" s="1136" t="s">
        <v>364</v>
      </c>
      <c r="H20" s="1210">
        <v>0</v>
      </c>
    </row>
    <row r="21" spans="2:8">
      <c r="B21" s="3" t="s">
        <v>364</v>
      </c>
      <c r="C21" s="1135" t="s">
        <v>363</v>
      </c>
      <c r="E21" s="1214" t="s">
        <v>282</v>
      </c>
      <c r="F21" s="1218">
        <f t="shared" si="0"/>
        <v>0</v>
      </c>
      <c r="G21" s="1136" t="s">
        <v>364</v>
      </c>
      <c r="H21" s="1210">
        <v>0</v>
      </c>
    </row>
    <row r="22" spans="2:8">
      <c r="B22" s="3" t="s">
        <v>364</v>
      </c>
      <c r="C22" s="1135" t="s">
        <v>363</v>
      </c>
      <c r="E22" s="1214" t="s">
        <v>282</v>
      </c>
      <c r="F22" s="1218">
        <f t="shared" si="0"/>
        <v>0</v>
      </c>
      <c r="G22" s="1136" t="s">
        <v>364</v>
      </c>
      <c r="H22" s="1210">
        <v>0</v>
      </c>
    </row>
    <row r="23" spans="2:8">
      <c r="B23" s="3" t="s">
        <v>364</v>
      </c>
      <c r="C23" s="1135" t="s">
        <v>363</v>
      </c>
      <c r="E23" s="1214" t="s">
        <v>282</v>
      </c>
      <c r="F23" s="1218">
        <f t="shared" si="0"/>
        <v>0</v>
      </c>
      <c r="G23" s="1136" t="s">
        <v>364</v>
      </c>
      <c r="H23" s="1210">
        <v>0</v>
      </c>
    </row>
    <row r="24" spans="2:8">
      <c r="B24" s="3" t="s">
        <v>364</v>
      </c>
      <c r="C24" s="1135" t="s">
        <v>363</v>
      </c>
      <c r="E24" s="1214" t="s">
        <v>282</v>
      </c>
      <c r="F24" s="1218">
        <f t="shared" si="0"/>
        <v>0</v>
      </c>
      <c r="G24" s="1136" t="s">
        <v>364</v>
      </c>
      <c r="H24" s="1210">
        <v>0</v>
      </c>
    </row>
    <row r="25" spans="2:8">
      <c r="B25" s="3" t="s">
        <v>364</v>
      </c>
      <c r="C25" s="1135" t="s">
        <v>363</v>
      </c>
      <c r="E25" s="1214" t="s">
        <v>282</v>
      </c>
      <c r="F25" s="1218">
        <f t="shared" si="0"/>
        <v>0</v>
      </c>
      <c r="G25" s="1136" t="s">
        <v>364</v>
      </c>
      <c r="H25" s="1210">
        <v>0</v>
      </c>
    </row>
    <row r="26" spans="2:8">
      <c r="B26" s="3" t="s">
        <v>364</v>
      </c>
      <c r="C26" s="1135" t="s">
        <v>363</v>
      </c>
      <c r="E26" s="1214" t="s">
        <v>282</v>
      </c>
      <c r="F26" s="1218">
        <f t="shared" si="0"/>
        <v>0</v>
      </c>
      <c r="G26" s="1136" t="s">
        <v>364</v>
      </c>
      <c r="H26" s="1210">
        <v>0</v>
      </c>
    </row>
    <row r="27" spans="2:8">
      <c r="B27" s="3" t="s">
        <v>364</v>
      </c>
      <c r="C27" s="1135" t="s">
        <v>363</v>
      </c>
      <c r="E27" s="1214" t="s">
        <v>282</v>
      </c>
      <c r="F27" s="1218">
        <f t="shared" si="0"/>
        <v>0</v>
      </c>
      <c r="G27" s="1136" t="s">
        <v>364</v>
      </c>
      <c r="H27" s="1210">
        <v>0</v>
      </c>
    </row>
    <row r="28" spans="2:8">
      <c r="B28" s="3" t="s">
        <v>364</v>
      </c>
      <c r="C28" s="1135" t="s">
        <v>363</v>
      </c>
      <c r="E28" s="1214" t="s">
        <v>282</v>
      </c>
      <c r="F28" s="1218">
        <f t="shared" si="0"/>
        <v>0</v>
      </c>
      <c r="G28" s="1136" t="s">
        <v>364</v>
      </c>
      <c r="H28" s="1210">
        <v>0</v>
      </c>
    </row>
    <row r="29" spans="2:8">
      <c r="B29" s="3" t="s">
        <v>364</v>
      </c>
      <c r="C29" s="1135" t="s">
        <v>363</v>
      </c>
      <c r="E29" s="1214" t="s">
        <v>282</v>
      </c>
      <c r="F29" s="1218">
        <f t="shared" si="0"/>
        <v>0</v>
      </c>
      <c r="G29" s="1136" t="s">
        <v>364</v>
      </c>
      <c r="H29" s="1210">
        <v>0</v>
      </c>
    </row>
    <row r="30" spans="2:8">
      <c r="B30" s="3" t="s">
        <v>364</v>
      </c>
      <c r="C30" s="1135" t="s">
        <v>363</v>
      </c>
      <c r="E30" s="1214" t="s">
        <v>282</v>
      </c>
      <c r="F30" s="1218">
        <f t="shared" si="0"/>
        <v>0</v>
      </c>
      <c r="G30" s="1136" t="s">
        <v>364</v>
      </c>
      <c r="H30" s="1210">
        <v>0</v>
      </c>
    </row>
    <row r="31" spans="2:8">
      <c r="B31" s="3" t="s">
        <v>364</v>
      </c>
      <c r="C31" s="1135" t="s">
        <v>363</v>
      </c>
      <c r="E31" s="1214" t="s">
        <v>282</v>
      </c>
      <c r="F31" s="1218">
        <f t="shared" si="0"/>
        <v>0</v>
      </c>
      <c r="G31" s="1136" t="s">
        <v>364</v>
      </c>
      <c r="H31" s="1210">
        <v>0</v>
      </c>
    </row>
    <row r="32" spans="2:8">
      <c r="B32" s="3" t="s">
        <v>364</v>
      </c>
      <c r="C32" s="1135" t="s">
        <v>363</v>
      </c>
      <c r="E32" s="1214" t="s">
        <v>282</v>
      </c>
      <c r="F32" s="1218">
        <f t="shared" si="0"/>
        <v>0</v>
      </c>
      <c r="G32" s="1136" t="s">
        <v>364</v>
      </c>
      <c r="H32" s="1210">
        <v>0</v>
      </c>
    </row>
    <row r="33" spans="2:8">
      <c r="B33" s="3" t="s">
        <v>364</v>
      </c>
      <c r="C33" s="1135" t="s">
        <v>363</v>
      </c>
      <c r="E33" s="1214" t="s">
        <v>282</v>
      </c>
      <c r="F33" s="1218">
        <f t="shared" si="0"/>
        <v>0</v>
      </c>
      <c r="G33" s="1136" t="s">
        <v>364</v>
      </c>
      <c r="H33" s="1210">
        <v>0</v>
      </c>
    </row>
    <row r="34" spans="2:8">
      <c r="B34" s="3" t="s">
        <v>364</v>
      </c>
      <c r="C34" s="1135" t="s">
        <v>363</v>
      </c>
      <c r="E34" s="1214" t="s">
        <v>282</v>
      </c>
      <c r="F34" s="1218">
        <f t="shared" si="0"/>
        <v>0</v>
      </c>
      <c r="G34" s="1136" t="s">
        <v>364</v>
      </c>
      <c r="H34" s="1210">
        <v>0</v>
      </c>
    </row>
    <row r="35" spans="2:8">
      <c r="B35" s="3" t="s">
        <v>364</v>
      </c>
      <c r="C35" s="1135" t="s">
        <v>363</v>
      </c>
      <c r="E35" s="1214" t="s">
        <v>282</v>
      </c>
      <c r="F35" s="1218">
        <f t="shared" si="0"/>
        <v>0</v>
      </c>
      <c r="G35" s="1136" t="s">
        <v>364</v>
      </c>
      <c r="H35" s="1210">
        <v>0</v>
      </c>
    </row>
    <row r="36" spans="2:8">
      <c r="B36" s="3" t="s">
        <v>364</v>
      </c>
      <c r="C36" s="1135" t="s">
        <v>363</v>
      </c>
      <c r="E36" s="1214" t="s">
        <v>282</v>
      </c>
      <c r="F36" s="1218">
        <f t="shared" si="0"/>
        <v>0</v>
      </c>
      <c r="G36" s="1136" t="s">
        <v>364</v>
      </c>
      <c r="H36" s="1210">
        <v>0</v>
      </c>
    </row>
    <row r="37" spans="2:8">
      <c r="B37" s="3" t="s">
        <v>364</v>
      </c>
      <c r="C37" s="1135" t="s">
        <v>363</v>
      </c>
      <c r="E37" s="1214" t="s">
        <v>282</v>
      </c>
      <c r="F37" s="1218">
        <f t="shared" si="0"/>
        <v>0</v>
      </c>
      <c r="G37" s="1136" t="s">
        <v>364</v>
      </c>
      <c r="H37" s="1210">
        <v>0</v>
      </c>
    </row>
    <row r="38" spans="2:8">
      <c r="B38" s="3" t="s">
        <v>364</v>
      </c>
      <c r="C38" s="1135" t="s">
        <v>363</v>
      </c>
      <c r="E38" s="1214" t="s">
        <v>282</v>
      </c>
      <c r="F38" s="1218">
        <f t="shared" si="0"/>
        <v>0</v>
      </c>
      <c r="G38" s="1136" t="s">
        <v>364</v>
      </c>
      <c r="H38" s="1210">
        <v>0</v>
      </c>
    </row>
    <row r="39" spans="2:8">
      <c r="B39" s="3" t="s">
        <v>364</v>
      </c>
      <c r="C39" s="1135" t="s">
        <v>363</v>
      </c>
      <c r="E39" s="1214" t="s">
        <v>282</v>
      </c>
      <c r="F39" s="1218">
        <f t="shared" si="0"/>
        <v>0</v>
      </c>
      <c r="G39" s="1136" t="s">
        <v>364</v>
      </c>
      <c r="H39" s="1210">
        <v>0</v>
      </c>
    </row>
    <row r="40" spans="2:8">
      <c r="B40" s="3" t="s">
        <v>364</v>
      </c>
      <c r="C40" s="1135" t="s">
        <v>363</v>
      </c>
      <c r="E40" s="1214" t="s">
        <v>282</v>
      </c>
      <c r="F40" s="1218">
        <f t="shared" si="0"/>
        <v>0</v>
      </c>
      <c r="G40" s="1136" t="s">
        <v>364</v>
      </c>
      <c r="H40" s="1210">
        <v>0</v>
      </c>
    </row>
  </sheetData>
  <sheetProtection algorithmName="SHA-512" hashValue="HMXH81CzZHapfWtruz3jdSuF2tc8NF9aTA2GOqNkaWCdWKWrqQs2x2aU5pFgP6+re/V+k2UezN5+wPJNHPtXvw==" saltValue="BB+h3EVGDr0G7n/mxBGOkQ==" spinCount="100000" sheet="1" objects="1" scenarios="1"/>
  <autoFilter ref="B5:I5" xr:uid="{9544B160-2FA3-4D8A-9F62-13235A6C8A06}">
    <sortState xmlns:xlrd2="http://schemas.microsoft.com/office/spreadsheetml/2017/richdata2" ref="B6:I16">
      <sortCondition ref="E5"/>
    </sortState>
  </autoFilter>
  <hyperlinks>
    <hyperlink ref="I14" r:id="rId1" xr:uid="{1DE78700-B37A-4D76-B163-A0FA92FEF33A}"/>
  </hyperlinks>
  <pageMargins left="0.7" right="0.7" top="0.75" bottom="0.75" header="0.3" footer="0.3"/>
  <pageSetup orientation="portrait" horizontalDpi="300" verticalDpi="300"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817522D-BB24-4409-B5F3-197EFBB37A5F}">
          <x14:formula1>
            <xm:f>'Data Validation'!$N$9:$N$16</xm:f>
          </x14:formula1>
          <xm:sqref>G6:G40</xm:sqref>
        </x14:dataValidation>
        <x14:dataValidation type="list" allowBlank="1" showInputMessage="1" showErrorMessage="1" xr:uid="{BC0100A8-9A8A-4418-A93C-29290C0FC9C7}">
          <x14:formula1>
            <xm:f>'Data Validation'!$S$9:$S$11</xm:f>
          </x14:formula1>
          <xm:sqref>B6:B40</xm:sqref>
        </x14:dataValidation>
        <x14:dataValidation type="list" allowBlank="1" showInputMessage="1" showErrorMessage="1" xr:uid="{D214F863-AD15-4097-A0A7-C542CA29DF70}">
          <x14:formula1>
            <xm:f>'Data Validation'!$I$9:$I$17</xm:f>
          </x14:formula1>
          <xm:sqref>C6:C40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01BCC-1C6D-4677-9360-47A2771926AF}">
  <sheetPr>
    <outlinePr summaryBelow="0"/>
  </sheetPr>
  <dimension ref="A1:W219"/>
  <sheetViews>
    <sheetView showGridLines="0" zoomScale="80" zoomScaleNormal="80" workbookViewId="0">
      <selection activeCell="V21" sqref="V21"/>
    </sheetView>
  </sheetViews>
  <sheetFormatPr defaultRowHeight="14.5" outlineLevelRow="1"/>
  <cols>
    <col min="1" max="1" width="2.26953125" style="3" customWidth="1"/>
    <col min="2" max="16" width="14" style="3" customWidth="1"/>
    <col min="17" max="18" width="14.6328125" style="3" customWidth="1"/>
    <col min="19" max="16384" width="8.7265625" style="3"/>
  </cols>
  <sheetData>
    <row r="1" spans="1:23" ht="6.75" customHeight="1"/>
    <row r="2" spans="1:23" ht="17">
      <c r="B2" s="270" t="s">
        <v>631</v>
      </c>
    </row>
    <row r="3" spans="1:23" ht="5.15" customHeight="1" thickBot="1">
      <c r="B3" s="1"/>
      <c r="C3" s="1"/>
    </row>
    <row r="4" spans="1:23" ht="5.25" customHeight="1">
      <c r="B4" s="272"/>
      <c r="C4" s="272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</row>
    <row r="5" spans="1:23">
      <c r="A5" s="168"/>
      <c r="B5" s="670" t="s">
        <v>781</v>
      </c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</row>
    <row r="6" spans="1:23" ht="6.75" customHeight="1" outlineLevel="1">
      <c r="N6" s="990"/>
    </row>
    <row r="7" spans="1:23" outlineLevel="1">
      <c r="B7" s="1" t="s">
        <v>511</v>
      </c>
      <c r="C7" s="863">
        <f>closing_date</f>
        <v>44775</v>
      </c>
    </row>
    <row r="8" spans="1:23" ht="6" customHeight="1" outlineLevel="1">
      <c r="C8" s="991"/>
    </row>
    <row r="9" spans="1:23" outlineLevel="1">
      <c r="A9" s="6"/>
      <c r="B9" s="26"/>
      <c r="C9" s="6"/>
      <c r="D9" s="6"/>
      <c r="E9" s="6"/>
      <c r="G9" s="893">
        <f>Next_FYE</f>
        <v>44926</v>
      </c>
      <c r="H9" s="893">
        <f>EDATE(G9,12)</f>
        <v>45291</v>
      </c>
      <c r="I9" s="893">
        <f t="shared" ref="I9:P9" si="0">EDATE(H9,12)</f>
        <v>45657</v>
      </c>
      <c r="J9" s="893">
        <f t="shared" si="0"/>
        <v>46022</v>
      </c>
      <c r="K9" s="893">
        <f t="shared" si="0"/>
        <v>46387</v>
      </c>
      <c r="L9" s="893">
        <f t="shared" si="0"/>
        <v>46752</v>
      </c>
      <c r="M9" s="893">
        <f t="shared" si="0"/>
        <v>47118</v>
      </c>
      <c r="N9" s="893">
        <f t="shared" si="0"/>
        <v>47483</v>
      </c>
      <c r="O9" s="893">
        <f t="shared" si="0"/>
        <v>47848</v>
      </c>
      <c r="P9" s="893">
        <f t="shared" si="0"/>
        <v>48213</v>
      </c>
    </row>
    <row r="10" spans="1:23" ht="4.5" customHeight="1" outlineLevel="1">
      <c r="B10" s="187"/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</row>
    <row r="11" spans="1:23" outlineLevel="1">
      <c r="B11" s="810" t="s">
        <v>443</v>
      </c>
      <c r="C11" s="379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</row>
    <row r="12" spans="1:23" outlineLevel="1">
      <c r="B12" s="992"/>
      <c r="C12" s="379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</row>
    <row r="13" spans="1:23" outlineLevel="1">
      <c r="B13" s="790" t="s">
        <v>871</v>
      </c>
      <c r="C13" s="379"/>
      <c r="D13" s="444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</row>
    <row r="14" spans="1:23" outlineLevel="1">
      <c r="B14" s="153" t="s">
        <v>568</v>
      </c>
      <c r="C14" s="379"/>
      <c r="D14" s="444"/>
      <c r="E14" s="150"/>
      <c r="F14" s="150"/>
      <c r="G14" s="632">
        <f>G$66</f>
        <v>7704</v>
      </c>
      <c r="H14" s="632">
        <f t="shared" ref="H14:P14" si="1">H$66</f>
        <v>25192</v>
      </c>
      <c r="I14" s="632">
        <f t="shared" si="1"/>
        <v>27783</v>
      </c>
      <c r="J14" s="632">
        <f t="shared" si="1"/>
        <v>27783</v>
      </c>
      <c r="K14" s="632">
        <f t="shared" si="1"/>
        <v>28477.575000000004</v>
      </c>
      <c r="L14" s="632">
        <f t="shared" si="1"/>
        <v>29172.150000000005</v>
      </c>
      <c r="M14" s="632">
        <f t="shared" si="1"/>
        <v>29172.150000000005</v>
      </c>
      <c r="N14" s="632">
        <f t="shared" si="1"/>
        <v>29779.903125000004</v>
      </c>
      <c r="O14" s="632">
        <f t="shared" si="1"/>
        <v>30630.757500000007</v>
      </c>
      <c r="P14" s="632">
        <f t="shared" si="1"/>
        <v>30630.757500000007</v>
      </c>
    </row>
    <row r="15" spans="1:23" outlineLevel="1">
      <c r="B15" s="153" t="s">
        <v>523</v>
      </c>
      <c r="C15" s="379"/>
      <c r="D15" s="889"/>
      <c r="G15" s="993">
        <f>G$46</f>
        <v>2955</v>
      </c>
      <c r="H15" s="993">
        <f t="shared" ref="H15:P15" si="2">H$46</f>
        <v>11820</v>
      </c>
      <c r="I15" s="993">
        <f t="shared" si="2"/>
        <v>8865</v>
      </c>
      <c r="J15" s="993">
        <f t="shared" si="2"/>
        <v>0</v>
      </c>
      <c r="K15" s="993">
        <f t="shared" si="2"/>
        <v>0</v>
      </c>
      <c r="L15" s="993">
        <f t="shared" si="2"/>
        <v>0</v>
      </c>
      <c r="M15" s="993">
        <f t="shared" si="2"/>
        <v>0</v>
      </c>
      <c r="N15" s="993">
        <f t="shared" si="2"/>
        <v>0</v>
      </c>
      <c r="O15" s="993">
        <f t="shared" si="2"/>
        <v>0</v>
      </c>
      <c r="P15" s="993">
        <f t="shared" si="2"/>
        <v>0</v>
      </c>
      <c r="W15" s="798" t="s">
        <v>564</v>
      </c>
    </row>
    <row r="16" spans="1:23" ht="8.5" customHeight="1" outlineLevel="1">
      <c r="C16" s="379"/>
      <c r="D16" s="889"/>
      <c r="E16" s="150"/>
      <c r="F16" s="150"/>
      <c r="G16" s="993"/>
      <c r="H16" s="993"/>
      <c r="I16" s="993"/>
      <c r="J16" s="993"/>
      <c r="K16" s="993"/>
      <c r="L16" s="993"/>
      <c r="M16" s="993"/>
      <c r="N16" s="993"/>
      <c r="O16" s="993"/>
      <c r="P16" s="993"/>
    </row>
    <row r="17" spans="1:16" outlineLevel="1">
      <c r="B17" s="1100" t="s">
        <v>524</v>
      </c>
      <c r="C17" s="379"/>
      <c r="D17" s="889"/>
      <c r="G17" s="993">
        <v>0</v>
      </c>
      <c r="H17" s="1534">
        <f>$D$38</f>
        <v>50000</v>
      </c>
      <c r="I17" s="632">
        <v>0</v>
      </c>
      <c r="J17" s="632">
        <v>0</v>
      </c>
      <c r="K17" s="632">
        <f>PRODUCT($H17,(1+_xlfn.XLOOKUP(YEAR(K$9),$I$36:$K$36,$I$37:$K$37,0)))</f>
        <v>55000.000000000007</v>
      </c>
      <c r="L17" s="632">
        <v>0</v>
      </c>
      <c r="M17" s="632">
        <v>0</v>
      </c>
      <c r="N17" s="632">
        <f>PRODUCT($K17,(1+_xlfn.XLOOKUP(YEAR(N$9),$I$36:$N$36,$I$37:$N$37,0)))</f>
        <v>57750.000000000007</v>
      </c>
      <c r="O17" s="632">
        <v>0</v>
      </c>
      <c r="P17" s="632">
        <v>0</v>
      </c>
    </row>
    <row r="18" spans="1:16" outlineLevel="1">
      <c r="B18" s="989" t="s">
        <v>26</v>
      </c>
      <c r="C18" s="7"/>
      <c r="D18" s="7"/>
      <c r="E18" s="7"/>
      <c r="F18" s="7"/>
      <c r="G18" s="886">
        <f>SUM(G$14:G$17)</f>
        <v>10659</v>
      </c>
      <c r="H18" s="886">
        <f t="shared" ref="H18:P18" si="3">SUM(H$14:H$17)</f>
        <v>87012</v>
      </c>
      <c r="I18" s="886">
        <f t="shared" si="3"/>
        <v>36648</v>
      </c>
      <c r="J18" s="886">
        <f t="shared" si="3"/>
        <v>27783</v>
      </c>
      <c r="K18" s="886">
        <f t="shared" si="3"/>
        <v>83477.575000000012</v>
      </c>
      <c r="L18" s="886">
        <f t="shared" si="3"/>
        <v>29172.150000000005</v>
      </c>
      <c r="M18" s="886">
        <f t="shared" si="3"/>
        <v>29172.150000000005</v>
      </c>
      <c r="N18" s="886">
        <f t="shared" si="3"/>
        <v>87529.903125000012</v>
      </c>
      <c r="O18" s="886">
        <f t="shared" si="3"/>
        <v>30630.757500000007</v>
      </c>
      <c r="P18" s="886">
        <f t="shared" si="3"/>
        <v>30630.757500000007</v>
      </c>
    </row>
    <row r="19" spans="1:16" ht="7.5" customHeight="1">
      <c r="B19" s="992"/>
      <c r="C19" s="379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</row>
    <row r="20" spans="1:16">
      <c r="A20" s="168"/>
      <c r="B20" s="670" t="s">
        <v>883</v>
      </c>
      <c r="C20" s="670"/>
      <c r="D20" s="670"/>
      <c r="E20" s="670"/>
      <c r="F20" s="670"/>
      <c r="G20" s="670"/>
      <c r="H20" s="670"/>
      <c r="I20" s="670"/>
      <c r="J20" s="670"/>
      <c r="K20" s="670"/>
      <c r="L20" s="670"/>
      <c r="M20" s="670"/>
      <c r="N20" s="670"/>
      <c r="O20" s="670"/>
      <c r="P20" s="670"/>
    </row>
    <row r="21" spans="1:16" ht="3.75" customHeight="1" outlineLevel="1"/>
    <row r="22" spans="1:16" outlineLevel="1">
      <c r="B22" s="992" t="s">
        <v>443</v>
      </c>
      <c r="E22"/>
    </row>
    <row r="23" spans="1:16" ht="4.5" customHeight="1" outlineLevel="1">
      <c r="D23" s="168"/>
      <c r="E23" s="168"/>
    </row>
    <row r="24" spans="1:16" outlineLevel="1">
      <c r="B24" s="1538" t="s">
        <v>820</v>
      </c>
      <c r="C24" s="150"/>
      <c r="D24" s="150"/>
      <c r="E24" s="150"/>
      <c r="F24" s="150"/>
      <c r="G24" s="150"/>
      <c r="H24" s="150"/>
      <c r="I24" s="150"/>
      <c r="J24" s="150"/>
      <c r="K24" s="150"/>
      <c r="L24" s="150"/>
    </row>
    <row r="25" spans="1:16" ht="5" customHeight="1" outlineLevel="1"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</row>
    <row r="26" spans="1:16" outlineLevel="1">
      <c r="B26" s="379" t="s">
        <v>523</v>
      </c>
      <c r="C26" s="150"/>
      <c r="D26" s="1477">
        <v>22479.335999999999</v>
      </c>
      <c r="E26" s="1313" t="s">
        <v>549</v>
      </c>
      <c r="F26" s="150"/>
      <c r="G26" s="150"/>
      <c r="H26" s="150"/>
      <c r="I26" s="150"/>
      <c r="J26" s="150"/>
      <c r="K26" s="150"/>
      <c r="L26" s="150"/>
    </row>
    <row r="27" spans="1:16" outlineLevel="1">
      <c r="B27" s="475" t="s">
        <v>530</v>
      </c>
      <c r="C27" s="150"/>
      <c r="D27" s="1477">
        <v>26214</v>
      </c>
      <c r="E27" s="1313" t="s">
        <v>550</v>
      </c>
      <c r="F27" s="150"/>
      <c r="G27" s="150"/>
      <c r="H27" s="150"/>
      <c r="I27" s="150"/>
      <c r="J27" s="150"/>
      <c r="K27" s="150"/>
      <c r="L27" s="150"/>
    </row>
    <row r="28" spans="1:16" outlineLevel="1">
      <c r="B28" s="379" t="s">
        <v>533</v>
      </c>
      <c r="C28" s="150"/>
      <c r="D28" s="1477">
        <v>41666</v>
      </c>
      <c r="E28" s="1313" t="s">
        <v>534</v>
      </c>
      <c r="F28" s="150"/>
      <c r="G28" s="150"/>
      <c r="H28" s="150"/>
      <c r="I28" s="150"/>
      <c r="J28" s="150"/>
      <c r="K28" s="150"/>
      <c r="L28" s="150"/>
    </row>
    <row r="29" spans="1:16" outlineLevel="1">
      <c r="B29" s="475" t="s">
        <v>524</v>
      </c>
      <c r="C29" s="150"/>
      <c r="D29" s="1477">
        <v>28616.240000000002</v>
      </c>
      <c r="E29" s="1313" t="s">
        <v>532</v>
      </c>
      <c r="F29" s="150"/>
      <c r="G29" s="150"/>
      <c r="H29" s="150"/>
      <c r="I29" s="150"/>
      <c r="J29" s="150"/>
      <c r="K29" s="150"/>
      <c r="L29" s="150"/>
    </row>
    <row r="30" spans="1:16" outlineLevel="1">
      <c r="E30" s="481"/>
    </row>
    <row r="31" spans="1:16" ht="6.5" customHeight="1">
      <c r="N31" s="990"/>
    </row>
    <row r="32" spans="1:16">
      <c r="A32" s="168"/>
      <c r="B32" s="670" t="s">
        <v>884</v>
      </c>
      <c r="C32" s="670"/>
      <c r="D32" s="670"/>
      <c r="E32" s="670"/>
      <c r="F32" s="670"/>
      <c r="G32" s="670"/>
      <c r="H32" s="670"/>
      <c r="I32" s="670"/>
      <c r="J32" s="670"/>
      <c r="K32" s="670"/>
      <c r="L32" s="670"/>
      <c r="M32" s="670"/>
      <c r="N32" s="670"/>
      <c r="O32" s="670"/>
      <c r="P32" s="670"/>
    </row>
    <row r="33" spans="1:16" ht="4.5" customHeight="1" outlineLevel="1"/>
    <row r="34" spans="1:16" outlineLevel="1">
      <c r="B34" s="1" t="s">
        <v>595</v>
      </c>
    </row>
    <row r="35" spans="1:16" ht="4.5" customHeight="1" outlineLevel="1"/>
    <row r="36" spans="1:16" outlineLevel="1">
      <c r="D36" s="6" t="s">
        <v>525</v>
      </c>
      <c r="E36" s="6" t="s">
        <v>526</v>
      </c>
      <c r="F36" s="6" t="s">
        <v>531</v>
      </c>
      <c r="I36" s="1535">
        <v>2023</v>
      </c>
      <c r="J36" s="1535">
        <v>2026</v>
      </c>
      <c r="K36" s="1535">
        <v>2029</v>
      </c>
      <c r="L36" s="1536"/>
      <c r="M36"/>
      <c r="N36"/>
      <c r="O36"/>
    </row>
    <row r="37" spans="1:16" outlineLevel="1">
      <c r="B37" s="207" t="s">
        <v>874</v>
      </c>
      <c r="D37" s="890">
        <v>28000</v>
      </c>
      <c r="E37" s="890">
        <v>50000</v>
      </c>
      <c r="F37" s="891">
        <f>AVERAGE(D37:E37)</f>
        <v>39000</v>
      </c>
      <c r="H37" s="951" t="s">
        <v>535</v>
      </c>
      <c r="I37" s="1124">
        <v>0</v>
      </c>
      <c r="J37" s="1125">
        <v>0.1</v>
      </c>
      <c r="K37" s="1125">
        <v>0.05</v>
      </c>
      <c r="L37"/>
      <c r="M37"/>
      <c r="N37"/>
      <c r="O37"/>
    </row>
    <row r="38" spans="1:16" outlineLevel="1">
      <c r="B38" s="3" t="s">
        <v>875</v>
      </c>
      <c r="D38" s="944">
        <v>50000</v>
      </c>
      <c r="E38" s="944">
        <v>60000</v>
      </c>
      <c r="F38" s="957">
        <f>AVERAGE(D38:E38)</f>
        <v>55000</v>
      </c>
      <c r="L38"/>
      <c r="M38"/>
      <c r="N38"/>
      <c r="O38"/>
    </row>
    <row r="39" spans="1:16" outlineLevel="1">
      <c r="N39" s="990"/>
    </row>
    <row r="40" spans="1:16" ht="5" customHeight="1">
      <c r="B40" s="790"/>
      <c r="C40" s="892"/>
      <c r="D40" s="892"/>
      <c r="E40" s="892"/>
      <c r="F40" s="150"/>
      <c r="G40" s="949"/>
      <c r="H40" s="478"/>
      <c r="I40" s="478"/>
      <c r="J40" s="478"/>
      <c r="K40" s="478"/>
      <c r="L40" s="478"/>
      <c r="M40" s="478"/>
      <c r="N40" s="478"/>
      <c r="O40" s="478"/>
    </row>
    <row r="41" spans="1:16">
      <c r="A41" s="168"/>
      <c r="B41" s="670" t="s">
        <v>871</v>
      </c>
      <c r="C41" s="670"/>
      <c r="D41" s="670"/>
      <c r="E41" s="670"/>
      <c r="F41" s="670"/>
      <c r="G41" s="670"/>
      <c r="H41" s="670"/>
      <c r="I41" s="670"/>
      <c r="J41" s="670"/>
      <c r="K41" s="670"/>
      <c r="L41" s="670"/>
      <c r="M41" s="670"/>
      <c r="N41" s="670"/>
      <c r="O41" s="670"/>
      <c r="P41" s="670"/>
    </row>
    <row r="42" spans="1:16" ht="6.5" customHeight="1" outlineLevel="1"/>
    <row r="43" spans="1:16" outlineLevel="1">
      <c r="A43" s="168"/>
      <c r="B43" s="868" t="s">
        <v>872</v>
      </c>
      <c r="C43" s="869"/>
      <c r="D43" s="869"/>
      <c r="E43" s="869"/>
      <c r="F43" s="869"/>
      <c r="G43" s="869"/>
      <c r="H43" s="869"/>
      <c r="I43" s="870"/>
      <c r="J43" s="870"/>
      <c r="K43" s="870"/>
      <c r="L43" s="870"/>
      <c r="M43" s="870"/>
      <c r="N43" s="870"/>
      <c r="O43" s="870"/>
      <c r="P43" s="870"/>
    </row>
    <row r="44" spans="1:16" ht="10" customHeight="1" outlineLevel="1"/>
    <row r="45" spans="1:16" outlineLevel="1">
      <c r="G45" s="946">
        <f>G$9</f>
        <v>44926</v>
      </c>
      <c r="H45" s="946">
        <f t="shared" ref="H45:P45" si="4">H$9</f>
        <v>45291</v>
      </c>
      <c r="I45" s="946">
        <f t="shared" si="4"/>
        <v>45657</v>
      </c>
      <c r="J45" s="946">
        <f t="shared" si="4"/>
        <v>46022</v>
      </c>
      <c r="K45" s="946">
        <f t="shared" si="4"/>
        <v>46387</v>
      </c>
      <c r="L45" s="946">
        <f t="shared" si="4"/>
        <v>46752</v>
      </c>
      <c r="M45" s="946">
        <f t="shared" si="4"/>
        <v>47118</v>
      </c>
      <c r="N45" s="946">
        <f t="shared" si="4"/>
        <v>47483</v>
      </c>
      <c r="O45" s="946">
        <f t="shared" si="4"/>
        <v>47848</v>
      </c>
      <c r="P45" s="946">
        <f t="shared" si="4"/>
        <v>48213</v>
      </c>
    </row>
    <row r="46" spans="1:16" outlineLevel="1">
      <c r="G46" s="632">
        <f t="shared" ref="G46:P46" si="5">SUMIF($C$92:$C$205,YEAR(G$45),$D$92:$D$205)</f>
        <v>2955</v>
      </c>
      <c r="H46" s="632">
        <f t="shared" si="5"/>
        <v>11820</v>
      </c>
      <c r="I46" s="632">
        <f t="shared" si="5"/>
        <v>8865</v>
      </c>
      <c r="J46" s="632">
        <f t="shared" si="5"/>
        <v>0</v>
      </c>
      <c r="K46" s="632">
        <f t="shared" si="5"/>
        <v>0</v>
      </c>
      <c r="L46" s="632">
        <f t="shared" si="5"/>
        <v>0</v>
      </c>
      <c r="M46" s="632">
        <f t="shared" si="5"/>
        <v>0</v>
      </c>
      <c r="N46" s="632">
        <f t="shared" si="5"/>
        <v>0</v>
      </c>
      <c r="O46" s="632">
        <f t="shared" si="5"/>
        <v>0</v>
      </c>
      <c r="P46" s="632">
        <f t="shared" si="5"/>
        <v>0</v>
      </c>
    </row>
    <row r="47" spans="1:16" outlineLevel="1">
      <c r="B47" s="1108" t="s">
        <v>634</v>
      </c>
      <c r="C47" s="944"/>
      <c r="E47" s="1106">
        <v>2</v>
      </c>
      <c r="G47" s="632"/>
      <c r="H47" s="632"/>
      <c r="I47" s="632"/>
      <c r="J47" s="632"/>
      <c r="K47" s="632"/>
      <c r="L47" s="632"/>
      <c r="M47" s="632"/>
      <c r="N47" s="632"/>
      <c r="O47" s="632"/>
      <c r="P47" s="632"/>
    </row>
    <row r="48" spans="1:16" outlineLevel="1">
      <c r="B48" s="1102" t="s">
        <v>249</v>
      </c>
      <c r="C48" s="944"/>
      <c r="E48" s="948">
        <f>EDATE($C$7,$E$47)</f>
        <v>44836</v>
      </c>
      <c r="G48" s="632"/>
      <c r="H48" s="632"/>
      <c r="I48" s="632"/>
      <c r="J48" s="632"/>
      <c r="K48" s="632"/>
      <c r="L48" s="632"/>
      <c r="M48" s="632"/>
      <c r="N48" s="632"/>
      <c r="O48" s="632"/>
      <c r="P48" s="632"/>
    </row>
    <row r="49" spans="1:16" outlineLevel="1">
      <c r="B49" s="1102" t="s">
        <v>248</v>
      </c>
      <c r="C49" s="944"/>
      <c r="E49" s="948">
        <f>EDATE(E48,$E$51)</f>
        <v>45567</v>
      </c>
      <c r="G49" s="632"/>
      <c r="H49" s="632"/>
      <c r="I49" s="632"/>
      <c r="J49" s="632"/>
      <c r="K49" s="632"/>
      <c r="L49" s="632"/>
      <c r="M49" s="632"/>
      <c r="N49" s="632"/>
      <c r="O49" s="632"/>
      <c r="P49" s="632"/>
    </row>
    <row r="50" spans="1:16" ht="7.5" customHeight="1" outlineLevel="1">
      <c r="G50" s="632"/>
      <c r="H50" s="632"/>
      <c r="I50" s="632"/>
      <c r="J50" s="632"/>
      <c r="K50" s="632"/>
      <c r="L50" s="632"/>
      <c r="M50" s="632"/>
      <c r="N50" s="632"/>
      <c r="O50" s="632"/>
      <c r="P50" s="632"/>
    </row>
    <row r="51" spans="1:16" outlineLevel="1">
      <c r="B51" s="553" t="s">
        <v>633</v>
      </c>
      <c r="C51" s="944"/>
      <c r="E51" s="944">
        <v>24</v>
      </c>
      <c r="G51" s="632"/>
      <c r="H51" s="632"/>
      <c r="I51" s="632"/>
      <c r="J51" s="632"/>
      <c r="K51" s="632"/>
      <c r="L51" s="632"/>
      <c r="M51" s="632"/>
      <c r="N51" s="632"/>
      <c r="O51" s="632"/>
      <c r="P51" s="632"/>
    </row>
    <row r="52" spans="1:16" outlineLevel="1">
      <c r="B52" s="1102" t="s">
        <v>632</v>
      </c>
      <c r="C52" s="944"/>
      <c r="E52" s="944">
        <v>985</v>
      </c>
      <c r="G52" s="632"/>
      <c r="H52" s="632"/>
      <c r="I52" s="632"/>
      <c r="J52" s="632"/>
      <c r="K52" s="632"/>
      <c r="L52" s="632"/>
      <c r="M52" s="632"/>
      <c r="N52" s="632"/>
      <c r="O52" s="632"/>
      <c r="P52" s="632"/>
    </row>
    <row r="53" spans="1:16" outlineLevel="1">
      <c r="B53" s="1109" t="s">
        <v>26</v>
      </c>
      <c r="C53" s="7"/>
      <c r="D53" s="7"/>
      <c r="E53" s="1110">
        <f>PRODUCT(E51:E52)</f>
        <v>23640</v>
      </c>
      <c r="G53" s="632"/>
      <c r="H53" s="632"/>
      <c r="I53" s="632"/>
      <c r="J53" s="632"/>
      <c r="K53" s="632"/>
      <c r="L53" s="632"/>
      <c r="M53" s="632"/>
      <c r="N53" s="632"/>
      <c r="O53" s="632"/>
      <c r="P53" s="632"/>
    </row>
    <row r="54" spans="1:16" outlineLevel="1">
      <c r="G54" s="632"/>
      <c r="H54" s="632"/>
      <c r="I54" s="632"/>
      <c r="J54" s="632"/>
      <c r="K54" s="632"/>
      <c r="L54" s="632"/>
      <c r="M54" s="632"/>
      <c r="N54" s="632"/>
      <c r="O54" s="632"/>
      <c r="P54" s="632"/>
    </row>
    <row r="55" spans="1:16" ht="6.5" customHeight="1" outlineLevel="1">
      <c r="B55" s="444"/>
      <c r="C55" s="947"/>
      <c r="E55" s="949"/>
      <c r="F55" s="444"/>
    </row>
    <row r="56" spans="1:16" outlineLevel="1">
      <c r="A56" s="168"/>
      <c r="B56" s="868" t="s">
        <v>873</v>
      </c>
      <c r="C56" s="869"/>
      <c r="D56" s="869"/>
      <c r="E56" s="869"/>
      <c r="F56" s="869"/>
      <c r="G56" s="869"/>
      <c r="H56" s="869"/>
      <c r="I56" s="870"/>
      <c r="J56" s="870"/>
      <c r="K56" s="870"/>
      <c r="L56" s="870"/>
      <c r="M56" s="870"/>
      <c r="N56" s="870"/>
      <c r="O56" s="870"/>
      <c r="P56" s="870"/>
    </row>
    <row r="57" spans="1:16" ht="14.5" customHeight="1" outlineLevel="1">
      <c r="B57" s="6"/>
      <c r="C57" s="948"/>
      <c r="D57" s="948"/>
      <c r="E57" s="6"/>
      <c r="F57" s="6"/>
    </row>
    <row r="58" spans="1:16" outlineLevel="1">
      <c r="E58" s="6"/>
      <c r="F58" s="6"/>
      <c r="G58" s="946">
        <f>G$9</f>
        <v>44926</v>
      </c>
      <c r="H58" s="946">
        <f t="shared" ref="H58:P58" si="6">H$9</f>
        <v>45291</v>
      </c>
      <c r="I58" s="946">
        <f t="shared" si="6"/>
        <v>45657</v>
      </c>
      <c r="J58" s="946">
        <f t="shared" si="6"/>
        <v>46022</v>
      </c>
      <c r="K58" s="946">
        <f t="shared" si="6"/>
        <v>46387</v>
      </c>
      <c r="L58" s="946">
        <f t="shared" si="6"/>
        <v>46752</v>
      </c>
      <c r="M58" s="946">
        <f t="shared" si="6"/>
        <v>47118</v>
      </c>
      <c r="N58" s="946">
        <f t="shared" si="6"/>
        <v>47483</v>
      </c>
      <c r="O58" s="946">
        <f t="shared" si="6"/>
        <v>47848</v>
      </c>
      <c r="P58" s="946">
        <f t="shared" si="6"/>
        <v>48213</v>
      </c>
    </row>
    <row r="59" spans="1:16" outlineLevel="1">
      <c r="B59" s="26" t="s">
        <v>567</v>
      </c>
      <c r="E59" s="6"/>
      <c r="F59" s="6"/>
      <c r="G59" s="632"/>
      <c r="H59" s="632"/>
      <c r="I59" s="632"/>
      <c r="J59" s="632"/>
      <c r="K59" s="632"/>
      <c r="L59" s="632"/>
      <c r="M59" s="632"/>
      <c r="N59" s="632"/>
      <c r="O59" s="632"/>
      <c r="P59" s="632"/>
    </row>
    <row r="60" spans="1:16" outlineLevel="1">
      <c r="B60" s="514" t="s">
        <v>630</v>
      </c>
      <c r="E60" s="6"/>
      <c r="F60" s="6"/>
      <c r="G60" s="632">
        <f t="shared" ref="G60:P60" si="7">$D$77*(YEAR($D$74)=YEAR(G$58))</f>
        <v>3702</v>
      </c>
      <c r="H60" s="632">
        <f t="shared" si="7"/>
        <v>0</v>
      </c>
      <c r="I60" s="632">
        <f t="shared" si="7"/>
        <v>0</v>
      </c>
      <c r="J60" s="632">
        <f t="shared" si="7"/>
        <v>0</v>
      </c>
      <c r="K60" s="632">
        <f t="shared" si="7"/>
        <v>0</v>
      </c>
      <c r="L60" s="632">
        <f t="shared" si="7"/>
        <v>0</v>
      </c>
      <c r="M60" s="632">
        <f t="shared" si="7"/>
        <v>0</v>
      </c>
      <c r="N60" s="632">
        <f t="shared" si="7"/>
        <v>0</v>
      </c>
      <c r="O60" s="632">
        <f t="shared" si="7"/>
        <v>0</v>
      </c>
      <c r="P60" s="632">
        <f t="shared" si="7"/>
        <v>0</v>
      </c>
    </row>
    <row r="61" spans="1:16" outlineLevel="1">
      <c r="B61" s="514" t="s">
        <v>635</v>
      </c>
      <c r="E61" s="6"/>
      <c r="F61" s="6"/>
      <c r="G61" s="632">
        <f t="shared" ref="G61:P61" si="8">SUMIF($C$92:$C$205,YEAR(G$58),$E$92:$E$205)</f>
        <v>4002</v>
      </c>
      <c r="H61" s="632">
        <f t="shared" si="8"/>
        <v>6670</v>
      </c>
      <c r="I61" s="632">
        <f t="shared" si="8"/>
        <v>0</v>
      </c>
      <c r="J61" s="632">
        <f t="shared" si="8"/>
        <v>0</v>
      </c>
      <c r="K61" s="632">
        <f t="shared" si="8"/>
        <v>0</v>
      </c>
      <c r="L61" s="632">
        <f t="shared" si="8"/>
        <v>0</v>
      </c>
      <c r="M61" s="632">
        <f t="shared" si="8"/>
        <v>0</v>
      </c>
      <c r="N61" s="632">
        <f t="shared" si="8"/>
        <v>0</v>
      </c>
      <c r="O61" s="632">
        <f t="shared" si="8"/>
        <v>0</v>
      </c>
      <c r="P61" s="632">
        <f t="shared" si="8"/>
        <v>0</v>
      </c>
    </row>
    <row r="62" spans="1:16" ht="7" customHeight="1" outlineLevel="1">
      <c r="E62"/>
      <c r="F62" s="6"/>
      <c r="G62" s="950"/>
      <c r="H62" s="632"/>
      <c r="I62" s="950"/>
      <c r="J62" s="950"/>
      <c r="K62" s="950"/>
      <c r="L62" s="950"/>
      <c r="M62" s="950"/>
      <c r="N62" s="950"/>
      <c r="O62" s="950"/>
      <c r="P62" s="950"/>
    </row>
    <row r="63" spans="1:16" outlineLevel="1">
      <c r="B63" s="26" t="s">
        <v>629</v>
      </c>
      <c r="E63"/>
      <c r="F63" s="6"/>
    </row>
    <row r="64" spans="1:16" outlineLevel="1">
      <c r="B64" s="514" t="s">
        <v>630</v>
      </c>
      <c r="E64"/>
      <c r="F64" s="6"/>
      <c r="G64" s="632">
        <f t="shared" ref="G64:P64" si="9">$I$77*(YEAR($I$74)=YEAR(G$58))</f>
        <v>0</v>
      </c>
      <c r="H64" s="632">
        <f t="shared" si="9"/>
        <v>2315.25</v>
      </c>
      <c r="I64" s="632">
        <f t="shared" si="9"/>
        <v>0</v>
      </c>
      <c r="J64" s="632">
        <f t="shared" si="9"/>
        <v>0</v>
      </c>
      <c r="K64" s="632">
        <f t="shared" si="9"/>
        <v>0</v>
      </c>
      <c r="L64" s="632">
        <f t="shared" si="9"/>
        <v>0</v>
      </c>
      <c r="M64" s="632">
        <f t="shared" si="9"/>
        <v>0</v>
      </c>
      <c r="N64" s="632">
        <f t="shared" si="9"/>
        <v>0</v>
      </c>
      <c r="O64" s="632">
        <f t="shared" si="9"/>
        <v>0</v>
      </c>
      <c r="P64" s="632">
        <f t="shared" si="9"/>
        <v>0</v>
      </c>
    </row>
    <row r="65" spans="2:16" outlineLevel="1">
      <c r="B65" s="514" t="s">
        <v>635</v>
      </c>
      <c r="E65"/>
      <c r="F65" s="6"/>
      <c r="G65" s="632">
        <f t="shared" ref="G65:P65" si="10">SUMIF($C$92:$C$205,YEAR(G$58),$F$92:$F$205)</f>
        <v>0</v>
      </c>
      <c r="H65" s="632">
        <f t="shared" si="10"/>
        <v>16206.75</v>
      </c>
      <c r="I65" s="632">
        <f t="shared" si="10"/>
        <v>27783</v>
      </c>
      <c r="J65" s="632">
        <f t="shared" si="10"/>
        <v>27783</v>
      </c>
      <c r="K65" s="632">
        <f t="shared" si="10"/>
        <v>28477.575000000004</v>
      </c>
      <c r="L65" s="632">
        <f t="shared" si="10"/>
        <v>29172.150000000005</v>
      </c>
      <c r="M65" s="632">
        <f t="shared" si="10"/>
        <v>29172.150000000005</v>
      </c>
      <c r="N65" s="632">
        <f t="shared" si="10"/>
        <v>29779.903125000004</v>
      </c>
      <c r="O65" s="632">
        <f t="shared" si="10"/>
        <v>30630.757500000007</v>
      </c>
      <c r="P65" s="632">
        <f t="shared" si="10"/>
        <v>30630.757500000007</v>
      </c>
    </row>
    <row r="66" spans="2:16" outlineLevel="1">
      <c r="B66" s="464" t="s">
        <v>26</v>
      </c>
      <c r="C66" s="187"/>
      <c r="D66" s="187"/>
      <c r="E66"/>
      <c r="F66" s="6"/>
      <c r="G66" s="886">
        <f>SUM(G$59:G$65)</f>
        <v>7704</v>
      </c>
      <c r="H66" s="886">
        <f>SUM(H$59:H$65)</f>
        <v>25192</v>
      </c>
      <c r="I66" s="886">
        <f t="shared" ref="I66:P66" si="11">SUM(I$59:I$65)</f>
        <v>27783</v>
      </c>
      <c r="J66" s="886">
        <f t="shared" si="11"/>
        <v>27783</v>
      </c>
      <c r="K66" s="886">
        <f t="shared" si="11"/>
        <v>28477.575000000004</v>
      </c>
      <c r="L66" s="886">
        <f t="shared" si="11"/>
        <v>29172.150000000005</v>
      </c>
      <c r="M66" s="886">
        <f t="shared" si="11"/>
        <v>29172.150000000005</v>
      </c>
      <c r="N66" s="886">
        <f t="shared" si="11"/>
        <v>29779.903125000004</v>
      </c>
      <c r="O66" s="886">
        <f t="shared" si="11"/>
        <v>30630.757500000007</v>
      </c>
      <c r="P66" s="886">
        <f t="shared" si="11"/>
        <v>30630.757500000007</v>
      </c>
    </row>
    <row r="67" spans="2:16" outlineLevel="1">
      <c r="E67"/>
      <c r="F67" s="6"/>
    </row>
    <row r="68" spans="2:16" outlineLevel="1">
      <c r="B68"/>
      <c r="C68"/>
      <c r="D68"/>
      <c r="E68"/>
    </row>
    <row r="69" spans="2:16" outlineLevel="1">
      <c r="B69" s="1112" t="s">
        <v>567</v>
      </c>
      <c r="C69" s="330"/>
      <c r="D69" s="330"/>
      <c r="E69"/>
      <c r="G69" s="1112" t="s">
        <v>629</v>
      </c>
      <c r="H69" s="330"/>
      <c r="I69" s="330"/>
      <c r="J69" s="330"/>
      <c r="K69" s="330"/>
    </row>
    <row r="70" spans="2:16" ht="4.5" customHeight="1" outlineLevel="1">
      <c r="E70"/>
    </row>
    <row r="71" spans="2:16" outlineLevel="1">
      <c r="B71" s="1108" t="s">
        <v>634</v>
      </c>
      <c r="C71" s="944"/>
      <c r="D71" s="1106">
        <v>2</v>
      </c>
      <c r="E71"/>
      <c r="G71" s="1108" t="s">
        <v>634</v>
      </c>
      <c r="H71" s="944"/>
      <c r="I71" s="1106">
        <v>10</v>
      </c>
    </row>
    <row r="72" spans="2:16" ht="4.5" customHeight="1" outlineLevel="1">
      <c r="B72" s="1108"/>
      <c r="C72" s="944"/>
      <c r="D72" s="1106"/>
      <c r="E72" s="517"/>
      <c r="G72" s="1108"/>
      <c r="H72" s="944"/>
      <c r="I72" s="1106"/>
    </row>
    <row r="73" spans="2:16" outlineLevel="1">
      <c r="B73" s="1120" t="s">
        <v>637</v>
      </c>
      <c r="C73" s="1118"/>
      <c r="D73" s="957">
        <v>1</v>
      </c>
      <c r="E73" s="517"/>
      <c r="G73" s="1120" t="s">
        <v>637</v>
      </c>
      <c r="H73" s="1118"/>
      <c r="I73" s="957">
        <v>1</v>
      </c>
      <c r="J73" s="957">
        <v>2</v>
      </c>
      <c r="K73" s="957">
        <v>3</v>
      </c>
    </row>
    <row r="74" spans="2:16" outlineLevel="1">
      <c r="B74" s="1107" t="s">
        <v>249</v>
      </c>
      <c r="C74" s="944"/>
      <c r="D74" s="948">
        <f>EDATE($C$7,$D$71)</f>
        <v>44836</v>
      </c>
      <c r="G74" s="1107" t="s">
        <v>249</v>
      </c>
      <c r="H74" s="944"/>
      <c r="I74" s="948">
        <f>EDATE($C$7,$I$71)</f>
        <v>45079</v>
      </c>
      <c r="J74" s="948">
        <f>EDATE(I$74,$I$82+1)</f>
        <v>46205</v>
      </c>
      <c r="K74" s="948">
        <f>EDATE(J$74,$I$82+1)</f>
        <v>47332</v>
      </c>
    </row>
    <row r="75" spans="2:16" outlineLevel="1">
      <c r="B75" s="1107" t="s">
        <v>248</v>
      </c>
      <c r="C75" s="944"/>
      <c r="D75" s="948">
        <f>EDATE($D$74,$D$82)</f>
        <v>45932</v>
      </c>
      <c r="G75" s="1107" t="s">
        <v>248</v>
      </c>
      <c r="H75" s="944"/>
      <c r="I75" s="948">
        <f>EDATE(I$74,$I$82)</f>
        <v>46175</v>
      </c>
      <c r="J75" s="948">
        <f>EDATE(J$74,$I$82)</f>
        <v>47301</v>
      </c>
      <c r="K75" s="948">
        <f>EDATE(K$74,$I$82)</f>
        <v>48428</v>
      </c>
    </row>
    <row r="76" spans="2:16" ht="7" customHeight="1" outlineLevel="1">
      <c r="G76" s="6"/>
      <c r="H76" s="6"/>
      <c r="I76" s="168"/>
    </row>
    <row r="77" spans="2:16" outlineLevel="1">
      <c r="B77" s="1119" t="s">
        <v>630</v>
      </c>
      <c r="D77" s="944">
        <v>3702</v>
      </c>
      <c r="G77" s="1119" t="s">
        <v>630</v>
      </c>
      <c r="H77" s="6"/>
      <c r="I77" s="944">
        <v>2315.25</v>
      </c>
      <c r="J77" s="944">
        <v>0</v>
      </c>
      <c r="K77" s="944">
        <v>0</v>
      </c>
    </row>
    <row r="78" spans="2:16" ht="9" customHeight="1" outlineLevel="1">
      <c r="D78" s="944"/>
      <c r="H78" s="6"/>
      <c r="I78" s="944"/>
      <c r="J78" s="944"/>
      <c r="K78" s="944"/>
    </row>
    <row r="79" spans="2:16" outlineLevel="1">
      <c r="B79" s="1119" t="s">
        <v>635</v>
      </c>
      <c r="D79" s="944"/>
      <c r="G79" s="1119" t="s">
        <v>635</v>
      </c>
      <c r="H79" s="6"/>
      <c r="I79" s="944"/>
      <c r="J79" s="944"/>
      <c r="K79" s="944"/>
    </row>
    <row r="80" spans="2:16" outlineLevel="1">
      <c r="B80" s="1104" t="s">
        <v>638</v>
      </c>
      <c r="C80" s="6"/>
      <c r="D80" s="1116" t="s">
        <v>563</v>
      </c>
      <c r="G80" s="1104" t="s">
        <v>638</v>
      </c>
      <c r="H80" s="6"/>
      <c r="I80" s="1116" t="s">
        <v>563</v>
      </c>
      <c r="J80" s="1115">
        <v>0.05</v>
      </c>
      <c r="K80" s="1115">
        <v>0.05</v>
      </c>
    </row>
    <row r="81" spans="1:16" ht="9" customHeight="1" outlineLevel="1">
      <c r="D81" s="944"/>
      <c r="G81" s="6"/>
      <c r="H81" s="6"/>
      <c r="I81" s="1105"/>
      <c r="J81" s="1114"/>
      <c r="K81" s="1114"/>
    </row>
    <row r="82" spans="1:16" outlineLevel="1">
      <c r="B82" s="1107" t="s">
        <v>633</v>
      </c>
      <c r="C82" s="944"/>
      <c r="D82" s="944">
        <v>36</v>
      </c>
      <c r="G82" s="1107" t="s">
        <v>633</v>
      </c>
      <c r="H82" s="944"/>
      <c r="I82" s="944">
        <v>36</v>
      </c>
      <c r="J82" s="1113">
        <f>I82</f>
        <v>36</v>
      </c>
      <c r="K82" s="1113">
        <f>J82</f>
        <v>36</v>
      </c>
    </row>
    <row r="83" spans="1:16" outlineLevel="1">
      <c r="B83" s="1107" t="s">
        <v>632</v>
      </c>
      <c r="C83" s="944"/>
      <c r="D83" s="1111">
        <v>1334</v>
      </c>
      <c r="G83" s="1107" t="s">
        <v>632</v>
      </c>
      <c r="H83" s="944"/>
      <c r="I83" s="960">
        <v>2315.25</v>
      </c>
      <c r="J83" s="1117">
        <f>I$83*(1+J$80)</f>
        <v>2431.0125000000003</v>
      </c>
      <c r="K83" s="1117">
        <f>J$83*(1+K$80)</f>
        <v>2552.5631250000006</v>
      </c>
    </row>
    <row r="84" spans="1:16" outlineLevel="1">
      <c r="B84" s="1121" t="s">
        <v>26</v>
      </c>
      <c r="C84" s="7"/>
      <c r="D84" s="1110">
        <f>PRODUCT(D82:D83)</f>
        <v>48024</v>
      </c>
      <c r="G84" s="1121" t="s">
        <v>26</v>
      </c>
      <c r="H84" s="7"/>
      <c r="I84" s="1110">
        <f>PRODUCT(I82:I83)</f>
        <v>83349</v>
      </c>
      <c r="J84" s="1110">
        <f t="shared" ref="J84:K84" si="12">PRODUCT(J82:J83)</f>
        <v>87516.450000000012</v>
      </c>
      <c r="K84" s="1110">
        <f t="shared" si="12"/>
        <v>91892.272500000021</v>
      </c>
    </row>
    <row r="85" spans="1:16" outlineLevel="1">
      <c r="B85" s="1000" t="s">
        <v>636</v>
      </c>
      <c r="D85" s="1103">
        <f>D84/3</f>
        <v>16008</v>
      </c>
      <c r="G85" s="1000" t="s">
        <v>636</v>
      </c>
      <c r="I85" s="1103">
        <f>I$84/3</f>
        <v>27783</v>
      </c>
      <c r="J85" s="1103">
        <f>J$84/3</f>
        <v>29172.150000000005</v>
      </c>
      <c r="K85" s="1103">
        <f>K$84/3</f>
        <v>30630.757500000007</v>
      </c>
    </row>
    <row r="86" spans="1:16" ht="6.5" customHeight="1">
      <c r="E86" s="6"/>
      <c r="F86" s="6"/>
    </row>
    <row r="87" spans="1:16">
      <c r="A87" s="168"/>
      <c r="B87" s="670" t="s">
        <v>569</v>
      </c>
      <c r="C87" s="670"/>
      <c r="D87" s="670"/>
      <c r="E87" s="670"/>
      <c r="F87" s="670"/>
      <c r="G87" s="670"/>
      <c r="H87" s="670"/>
      <c r="I87" s="670"/>
      <c r="J87" s="670"/>
      <c r="K87" s="670"/>
      <c r="L87" s="670"/>
      <c r="M87" s="670"/>
      <c r="N87" s="670"/>
      <c r="O87" s="670"/>
      <c r="P87" s="670"/>
    </row>
    <row r="88" spans="1:16" ht="7.5" customHeight="1" outlineLevel="1">
      <c r="B88" s="1"/>
      <c r="C88" s="1"/>
      <c r="E88" s="6"/>
      <c r="F88" s="6"/>
    </row>
    <row r="89" spans="1:16" outlineLevel="1">
      <c r="B89" s="1"/>
      <c r="C89" s="1"/>
      <c r="D89" s="958" t="s">
        <v>871</v>
      </c>
      <c r="E89" s="958"/>
      <c r="F89" s="958"/>
      <c r="G89"/>
      <c r="I89"/>
      <c r="J89"/>
    </row>
    <row r="90" spans="1:16" ht="16" outlineLevel="1">
      <c r="B90" s="1596" t="s">
        <v>151</v>
      </c>
      <c r="C90" s="1596" t="s">
        <v>152</v>
      </c>
      <c r="D90" s="6" t="s">
        <v>560</v>
      </c>
      <c r="E90" s="160" t="s">
        <v>568</v>
      </c>
      <c r="F90" s="175"/>
      <c r="I90"/>
      <c r="J90"/>
    </row>
    <row r="91" spans="1:16" ht="14.5" customHeight="1" outlineLevel="1">
      <c r="B91" s="1597"/>
      <c r="C91" s="1597" t="s">
        <v>152</v>
      </c>
      <c r="D91" s="444" t="s">
        <v>559</v>
      </c>
      <c r="E91" s="6" t="s">
        <v>561</v>
      </c>
      <c r="F91" s="6" t="s">
        <v>562</v>
      </c>
      <c r="I91"/>
      <c r="J91"/>
    </row>
    <row r="92" spans="1:16" outlineLevel="1">
      <c r="B92" s="1122">
        <f>$C$7</f>
        <v>44775</v>
      </c>
      <c r="C92" s="1123">
        <f>YEAR(B92)</f>
        <v>2022</v>
      </c>
      <c r="D92" s="994">
        <f t="shared" ref="D92:D123" si="13">IF(AND(E$48&lt;=$B92,$B92&lt;E$49),$E$52,0)</f>
        <v>0</v>
      </c>
      <c r="E92" s="994">
        <f t="shared" ref="E92:E123" si="14">IF(OR($B92&lt;$D$74,$B92&gt;$I$74,$B92=$I$74),0,$D$83)</f>
        <v>0</v>
      </c>
      <c r="F92" s="994" cm="1">
        <f t="array" ref="F92">_xlfn.IFS($B92&lt;$I$74,0,AND($B92&amp;"&gt;="&amp;I$74,$B92&lt;J$74),$I$83,AND($B92&amp;"&gt;="&amp;J$74,$B92&lt;K$74),$J$83,OR($B92=K$74,$B92&gt;$K$74),$K$83)</f>
        <v>0</v>
      </c>
      <c r="G92" s="150"/>
      <c r="H92" s="150"/>
      <c r="I92"/>
      <c r="J92"/>
      <c r="K92" s="150"/>
      <c r="L92" s="150"/>
    </row>
    <row r="93" spans="1:16" outlineLevel="1">
      <c r="B93" s="995">
        <f>EDATE(B92,1)</f>
        <v>44806</v>
      </c>
      <c r="C93" s="198">
        <f>YEAR(B93)</f>
        <v>2022</v>
      </c>
      <c r="D93" s="994">
        <f t="shared" si="13"/>
        <v>0</v>
      </c>
      <c r="E93" s="994">
        <f t="shared" si="14"/>
        <v>0</v>
      </c>
      <c r="F93" s="994" cm="1">
        <f t="array" ref="F93">_xlfn.IFS($B93&lt;$I$74,0,AND($B93&amp;"&gt;="&amp;I$74,$B93&lt;J$74),$I$83,AND($B93&amp;"&gt;="&amp;J$74,$B93&lt;K$74),$J$83,OR($B93=K$74,$B93&gt;$K$74),$K$83)</f>
        <v>0</v>
      </c>
      <c r="I93"/>
      <c r="J93"/>
      <c r="K93" s="150"/>
      <c r="L93" s="150"/>
    </row>
    <row r="94" spans="1:16" outlineLevel="1">
      <c r="B94" s="995">
        <f t="shared" ref="B94:B157" si="15">EDATE(B93,1)</f>
        <v>44836</v>
      </c>
      <c r="C94" s="198">
        <f t="shared" ref="C94:C157" si="16">YEAR(B94)</f>
        <v>2022</v>
      </c>
      <c r="D94" s="994">
        <f t="shared" si="13"/>
        <v>985</v>
      </c>
      <c r="E94" s="994">
        <f t="shared" si="14"/>
        <v>1334</v>
      </c>
      <c r="F94" s="994" cm="1">
        <f t="array" ref="F94">_xlfn.IFS($B94&lt;$I$74,0,AND($B94&amp;"&gt;="&amp;I$74,$B94&lt;J$74),$I$83,AND($B94&amp;"&gt;="&amp;J$74,$B94&lt;K$74),$J$83,OR($B94=K$74,$B94&gt;$K$74),$K$83)</f>
        <v>0</v>
      </c>
      <c r="I94"/>
      <c r="J94"/>
      <c r="K94" s="150"/>
      <c r="L94" s="150"/>
    </row>
    <row r="95" spans="1:16" outlineLevel="1">
      <c r="B95" s="995">
        <f t="shared" si="15"/>
        <v>44867</v>
      </c>
      <c r="C95" s="198">
        <f t="shared" si="16"/>
        <v>2022</v>
      </c>
      <c r="D95" s="994">
        <f t="shared" si="13"/>
        <v>985</v>
      </c>
      <c r="E95" s="994">
        <f t="shared" si="14"/>
        <v>1334</v>
      </c>
      <c r="F95" s="994" cm="1">
        <f t="array" ref="F95">_xlfn.IFS($B95&lt;$I$74,0,AND($B95&amp;"&gt;="&amp;I$74,$B95&lt;J$74),$I$83,AND($B95&amp;"&gt;="&amp;J$74,$B95&lt;K$74),$J$83,OR($B95=K$74,$B95&gt;$K$74),$K$83)</f>
        <v>0</v>
      </c>
      <c r="I95"/>
      <c r="J95"/>
      <c r="K95" s="959"/>
      <c r="L95" s="959"/>
      <c r="M95" s="945"/>
      <c r="N95" s="945"/>
      <c r="O95" s="945"/>
      <c r="P95" s="945"/>
    </row>
    <row r="96" spans="1:16" outlineLevel="1">
      <c r="B96" s="995">
        <f t="shared" si="15"/>
        <v>44897</v>
      </c>
      <c r="C96" s="198">
        <f t="shared" si="16"/>
        <v>2022</v>
      </c>
      <c r="D96" s="994">
        <f t="shared" si="13"/>
        <v>985</v>
      </c>
      <c r="E96" s="994">
        <f t="shared" si="14"/>
        <v>1334</v>
      </c>
      <c r="F96" s="994" cm="1">
        <f t="array" ref="F96">_xlfn.IFS($B96&lt;$I$74,0,AND($B96&amp;"&gt;="&amp;I$74,$B96&lt;J$74),$I$83,AND($B96&amp;"&gt;="&amp;J$74,$B96&lt;K$74),$J$83,OR($B96=K$74,$B96&gt;$K$74),$K$83)</f>
        <v>0</v>
      </c>
      <c r="I96"/>
      <c r="J96"/>
      <c r="K96" s="150"/>
      <c r="L96" s="150"/>
    </row>
    <row r="97" spans="2:16" outlineLevel="1">
      <c r="B97" s="995">
        <f t="shared" si="15"/>
        <v>44928</v>
      </c>
      <c r="C97" s="198">
        <f t="shared" si="16"/>
        <v>2023</v>
      </c>
      <c r="D97" s="994">
        <f t="shared" si="13"/>
        <v>985</v>
      </c>
      <c r="E97" s="994">
        <f t="shared" si="14"/>
        <v>1334</v>
      </c>
      <c r="F97" s="994" cm="1">
        <f t="array" ref="F97">_xlfn.IFS($B97&lt;$I$74,0,AND($B97&amp;"&gt;="&amp;I$74,$B97&lt;J$74),$I$83,AND($B97&amp;"&gt;="&amp;J$74,$B97&lt;K$74),$J$83,OR($B97=K$74,$B97&gt;$K$74),$K$83)</f>
        <v>0</v>
      </c>
      <c r="I97"/>
      <c r="J97"/>
      <c r="K97" s="632"/>
      <c r="L97" s="632"/>
      <c r="M97" s="632"/>
      <c r="N97" s="632"/>
      <c r="O97" s="632"/>
      <c r="P97" s="632"/>
    </row>
    <row r="98" spans="2:16" outlineLevel="1">
      <c r="B98" s="995">
        <f t="shared" si="15"/>
        <v>44959</v>
      </c>
      <c r="C98" s="198">
        <f t="shared" si="16"/>
        <v>2023</v>
      </c>
      <c r="D98" s="994">
        <f t="shared" si="13"/>
        <v>985</v>
      </c>
      <c r="E98" s="994">
        <f t="shared" si="14"/>
        <v>1334</v>
      </c>
      <c r="F98" s="994" cm="1">
        <f t="array" ref="F98">_xlfn.IFS($B98&lt;$I$74,0,AND($B98&amp;"&gt;="&amp;I$74,$B98&lt;J$74),$I$83,AND($B98&amp;"&gt;="&amp;J$74,$B98&lt;K$74),$J$83,OR($B98=K$74,$B98&gt;$K$74),$K$83)</f>
        <v>0</v>
      </c>
      <c r="I98"/>
      <c r="J98"/>
      <c r="K98" s="632"/>
      <c r="L98" s="632"/>
      <c r="M98" s="632"/>
      <c r="N98" s="632"/>
      <c r="O98" s="632"/>
      <c r="P98" s="632"/>
    </row>
    <row r="99" spans="2:16" outlineLevel="1">
      <c r="B99" s="995">
        <f t="shared" si="15"/>
        <v>44987</v>
      </c>
      <c r="C99" s="198">
        <f t="shared" si="16"/>
        <v>2023</v>
      </c>
      <c r="D99" s="994">
        <f t="shared" si="13"/>
        <v>985</v>
      </c>
      <c r="E99" s="994">
        <f t="shared" si="14"/>
        <v>1334</v>
      </c>
      <c r="F99" s="994" cm="1">
        <f t="array" ref="F99">_xlfn.IFS($B99&lt;$I$74,0,AND($B99&amp;"&gt;="&amp;I$74,$B99&lt;J$74),$I$83,AND($B99&amp;"&gt;="&amp;J$74,$B99&lt;K$74),$J$83,OR($B99=K$74,$B99&gt;$K$74),$K$83)</f>
        <v>0</v>
      </c>
      <c r="I99"/>
      <c r="J99"/>
      <c r="K99" s="632"/>
      <c r="L99" s="632"/>
      <c r="M99" s="632"/>
      <c r="N99" s="632"/>
      <c r="O99" s="632"/>
      <c r="P99" s="632"/>
    </row>
    <row r="100" spans="2:16" outlineLevel="1">
      <c r="B100" s="995">
        <f t="shared" si="15"/>
        <v>45018</v>
      </c>
      <c r="C100" s="198">
        <f t="shared" si="16"/>
        <v>2023</v>
      </c>
      <c r="D100" s="994">
        <f t="shared" si="13"/>
        <v>985</v>
      </c>
      <c r="E100" s="994">
        <f t="shared" si="14"/>
        <v>1334</v>
      </c>
      <c r="F100" s="994" cm="1">
        <f t="array" ref="F100">_xlfn.IFS($B100&lt;$I$74,0,AND($B100&amp;"&gt;="&amp;I$74,$B100&lt;J$74),$I$83,AND($B100&amp;"&gt;="&amp;J$74,$B100&lt;K$74),$J$83,OR($B100=K$74,$B100&gt;$K$74),$K$83)</f>
        <v>0</v>
      </c>
      <c r="I100"/>
      <c r="J100"/>
      <c r="K100" s="632"/>
      <c r="L100" s="632"/>
      <c r="M100" s="632"/>
      <c r="N100" s="632"/>
      <c r="O100" s="632"/>
      <c r="P100" s="632"/>
    </row>
    <row r="101" spans="2:16" outlineLevel="1">
      <c r="B101" s="995">
        <f t="shared" si="15"/>
        <v>45048</v>
      </c>
      <c r="C101" s="198">
        <f t="shared" si="16"/>
        <v>2023</v>
      </c>
      <c r="D101" s="994">
        <f t="shared" si="13"/>
        <v>985</v>
      </c>
      <c r="E101" s="994">
        <f t="shared" si="14"/>
        <v>1334</v>
      </c>
      <c r="F101" s="994" cm="1">
        <f t="array" ref="F101">_xlfn.IFS($B101&lt;$I$74,0,AND($B101&amp;"&gt;="&amp;I$74,$B101&lt;J$74),$I$83,AND($B101&amp;"&gt;="&amp;J$74,$B101&lt;K$74),$J$83,OR($B101=K$74,$B101&gt;$K$74),$K$83)</f>
        <v>0</v>
      </c>
      <c r="I101"/>
      <c r="J101"/>
    </row>
    <row r="102" spans="2:16" outlineLevel="1">
      <c r="B102" s="995">
        <f t="shared" si="15"/>
        <v>45079</v>
      </c>
      <c r="C102" s="198">
        <f t="shared" si="16"/>
        <v>2023</v>
      </c>
      <c r="D102" s="994">
        <f t="shared" si="13"/>
        <v>985</v>
      </c>
      <c r="E102" s="994">
        <f t="shared" si="14"/>
        <v>0</v>
      </c>
      <c r="F102" s="994" cm="1">
        <f t="array" ref="F102">_xlfn.IFS($B102&lt;$I$74,0,AND($B102&amp;"&gt;="&amp;I$74,$B102&lt;J$74),$I$83,AND($B102&amp;"&gt;="&amp;J$74,$B102&lt;K$74),$J$83,OR($B102=K$74,$B102&gt;$K$74),$K$83)</f>
        <v>2315.25</v>
      </c>
      <c r="I102"/>
      <c r="J102"/>
    </row>
    <row r="103" spans="2:16" outlineLevel="1">
      <c r="B103" s="995">
        <f t="shared" si="15"/>
        <v>45109</v>
      </c>
      <c r="C103" s="198">
        <f t="shared" si="16"/>
        <v>2023</v>
      </c>
      <c r="D103" s="994">
        <f t="shared" si="13"/>
        <v>985</v>
      </c>
      <c r="E103" s="994">
        <f t="shared" si="14"/>
        <v>0</v>
      </c>
      <c r="F103" s="994" cm="1">
        <f t="array" ref="F103">_xlfn.IFS($B103&lt;$I$74,0,AND($B103&amp;"&gt;="&amp;I$74,$B103&lt;J$74),$I$83,AND($B103&amp;"&gt;="&amp;J$74,$B103&lt;K$74),$J$83,OR($B103=K$74,$B103&gt;$K$74),$K$83)</f>
        <v>2315.25</v>
      </c>
      <c r="I103"/>
      <c r="J103"/>
    </row>
    <row r="104" spans="2:16" outlineLevel="1">
      <c r="B104" s="995">
        <f t="shared" si="15"/>
        <v>45140</v>
      </c>
      <c r="C104" s="198">
        <f t="shared" si="16"/>
        <v>2023</v>
      </c>
      <c r="D104" s="994">
        <f t="shared" si="13"/>
        <v>985</v>
      </c>
      <c r="E104" s="994">
        <f t="shared" si="14"/>
        <v>0</v>
      </c>
      <c r="F104" s="994" cm="1">
        <f t="array" ref="F104">_xlfn.IFS($B104&lt;$I$74,0,AND($B104&amp;"&gt;="&amp;I$74,$B104&lt;J$74),$I$83,AND($B104&amp;"&gt;="&amp;J$74,$B104&lt;K$74),$J$83,OR($B104=K$74,$B104&gt;$K$74),$K$83)</f>
        <v>2315.25</v>
      </c>
      <c r="I104"/>
      <c r="J104"/>
    </row>
    <row r="105" spans="2:16" outlineLevel="1">
      <c r="B105" s="995">
        <f t="shared" si="15"/>
        <v>45171</v>
      </c>
      <c r="C105" s="198">
        <f t="shared" si="16"/>
        <v>2023</v>
      </c>
      <c r="D105" s="994">
        <f t="shared" si="13"/>
        <v>985</v>
      </c>
      <c r="E105" s="994">
        <f t="shared" si="14"/>
        <v>0</v>
      </c>
      <c r="F105" s="994" cm="1">
        <f t="array" ref="F105">_xlfn.IFS($B105&lt;$I$74,0,AND($B105&amp;"&gt;="&amp;I$74,$B105&lt;J$74),$I$83,AND($B105&amp;"&gt;="&amp;J$74,$B105&lt;K$74),$J$83,OR($B105=K$74,$B105&gt;$K$74),$K$83)</f>
        <v>2315.25</v>
      </c>
      <c r="I105"/>
      <c r="J105"/>
    </row>
    <row r="106" spans="2:16" outlineLevel="1">
      <c r="B106" s="995">
        <f t="shared" si="15"/>
        <v>45201</v>
      </c>
      <c r="C106" s="198">
        <f t="shared" si="16"/>
        <v>2023</v>
      </c>
      <c r="D106" s="994">
        <f t="shared" si="13"/>
        <v>985</v>
      </c>
      <c r="E106" s="994">
        <f t="shared" si="14"/>
        <v>0</v>
      </c>
      <c r="F106" s="994" cm="1">
        <f t="array" ref="F106">_xlfn.IFS($B106&lt;$I$74,0,AND($B106&amp;"&gt;="&amp;I$74,$B106&lt;J$74),$I$83,AND($B106&amp;"&gt;="&amp;J$74,$B106&lt;K$74),$J$83,OR($B106=K$74,$B106&gt;$K$74),$K$83)</f>
        <v>2315.25</v>
      </c>
      <c r="I106"/>
      <c r="J106"/>
    </row>
    <row r="107" spans="2:16" outlineLevel="1">
      <c r="B107" s="995">
        <f t="shared" si="15"/>
        <v>45232</v>
      </c>
      <c r="C107" s="198">
        <f t="shared" si="16"/>
        <v>2023</v>
      </c>
      <c r="D107" s="994">
        <f t="shared" si="13"/>
        <v>985</v>
      </c>
      <c r="E107" s="994">
        <f t="shared" si="14"/>
        <v>0</v>
      </c>
      <c r="F107" s="994" cm="1">
        <f t="array" ref="F107">_xlfn.IFS($B107&lt;$I$74,0,AND($B107&amp;"&gt;="&amp;I$74,$B107&lt;J$74),$I$83,AND($B107&amp;"&gt;="&amp;J$74,$B107&lt;K$74),$J$83,OR($B107=K$74,$B107&gt;$K$74),$K$83)</f>
        <v>2315.25</v>
      </c>
      <c r="I107"/>
      <c r="J107"/>
    </row>
    <row r="108" spans="2:16" outlineLevel="1">
      <c r="B108" s="995">
        <f t="shared" si="15"/>
        <v>45262</v>
      </c>
      <c r="C108" s="198">
        <f t="shared" si="16"/>
        <v>2023</v>
      </c>
      <c r="D108" s="994">
        <f t="shared" si="13"/>
        <v>985</v>
      </c>
      <c r="E108" s="994">
        <f t="shared" si="14"/>
        <v>0</v>
      </c>
      <c r="F108" s="994" cm="1">
        <f t="array" ref="F108">_xlfn.IFS($B108&lt;$I$74,0,AND($B108&amp;"&gt;="&amp;I$74,$B108&lt;J$74),$I$83,AND($B108&amp;"&gt;="&amp;J$74,$B108&lt;K$74),$J$83,OR($B108=K$74,$B108&gt;$K$74),$K$83)</f>
        <v>2315.25</v>
      </c>
      <c r="I108"/>
      <c r="J108"/>
    </row>
    <row r="109" spans="2:16" outlineLevel="1">
      <c r="B109" s="995">
        <f t="shared" si="15"/>
        <v>45293</v>
      </c>
      <c r="C109" s="198">
        <f t="shared" si="16"/>
        <v>2024</v>
      </c>
      <c r="D109" s="994">
        <f t="shared" si="13"/>
        <v>985</v>
      </c>
      <c r="E109" s="994">
        <f t="shared" si="14"/>
        <v>0</v>
      </c>
      <c r="F109" s="994" cm="1">
        <f t="array" ref="F109">_xlfn.IFS($B109&lt;$I$74,0,AND($B109&amp;"&gt;="&amp;I$74,$B109&lt;J$74),$I$83,AND($B109&amp;"&gt;="&amp;J$74,$B109&lt;K$74),$J$83,OR($B109=K$74,$B109&gt;$K$74),$K$83)</f>
        <v>2315.25</v>
      </c>
      <c r="I109"/>
      <c r="J109"/>
    </row>
    <row r="110" spans="2:16" outlineLevel="1">
      <c r="B110" s="995">
        <f t="shared" si="15"/>
        <v>45324</v>
      </c>
      <c r="C110" s="198">
        <f t="shared" si="16"/>
        <v>2024</v>
      </c>
      <c r="D110" s="994">
        <f t="shared" si="13"/>
        <v>985</v>
      </c>
      <c r="E110" s="994">
        <f t="shared" si="14"/>
        <v>0</v>
      </c>
      <c r="F110" s="994" cm="1">
        <f t="array" ref="F110">_xlfn.IFS($B110&lt;$I$74,0,AND($B110&amp;"&gt;="&amp;I$74,$B110&lt;J$74),$I$83,AND($B110&amp;"&gt;="&amp;J$74,$B110&lt;K$74),$J$83,OR($B110=K$74,$B110&gt;$K$74),$K$83)</f>
        <v>2315.25</v>
      </c>
      <c r="I110"/>
      <c r="J110"/>
    </row>
    <row r="111" spans="2:16" outlineLevel="1">
      <c r="B111" s="995">
        <f t="shared" si="15"/>
        <v>45353</v>
      </c>
      <c r="C111" s="198">
        <f t="shared" si="16"/>
        <v>2024</v>
      </c>
      <c r="D111" s="994">
        <f t="shared" si="13"/>
        <v>985</v>
      </c>
      <c r="E111" s="994">
        <f t="shared" si="14"/>
        <v>0</v>
      </c>
      <c r="F111" s="994" cm="1">
        <f t="array" ref="F111">_xlfn.IFS($B111&lt;$I$74,0,AND($B111&amp;"&gt;="&amp;I$74,$B111&lt;J$74),$I$83,AND($B111&amp;"&gt;="&amp;J$74,$B111&lt;K$74),$J$83,OR($B111=K$74,$B111&gt;$K$74),$K$83)</f>
        <v>2315.25</v>
      </c>
      <c r="I111"/>
      <c r="J111"/>
    </row>
    <row r="112" spans="2:16" outlineLevel="1">
      <c r="B112" s="995">
        <f t="shared" si="15"/>
        <v>45384</v>
      </c>
      <c r="C112" s="198">
        <f t="shared" si="16"/>
        <v>2024</v>
      </c>
      <c r="D112" s="994">
        <f t="shared" si="13"/>
        <v>985</v>
      </c>
      <c r="E112" s="994">
        <f t="shared" si="14"/>
        <v>0</v>
      </c>
      <c r="F112" s="994" cm="1">
        <f t="array" ref="F112">_xlfn.IFS($B112&lt;$I$74,0,AND($B112&amp;"&gt;="&amp;I$74,$B112&lt;J$74),$I$83,AND($B112&amp;"&gt;="&amp;J$74,$B112&lt;K$74),$J$83,OR($B112=K$74,$B112&gt;$K$74),$K$83)</f>
        <v>2315.25</v>
      </c>
      <c r="I112"/>
      <c r="J112"/>
    </row>
    <row r="113" spans="2:10" outlineLevel="1">
      <c r="B113" s="995">
        <f t="shared" si="15"/>
        <v>45414</v>
      </c>
      <c r="C113" s="198">
        <f t="shared" si="16"/>
        <v>2024</v>
      </c>
      <c r="D113" s="994">
        <f t="shared" si="13"/>
        <v>985</v>
      </c>
      <c r="E113" s="994">
        <f t="shared" si="14"/>
        <v>0</v>
      </c>
      <c r="F113" s="994" cm="1">
        <f t="array" ref="F113">_xlfn.IFS($B113&lt;$I$74,0,AND($B113&amp;"&gt;="&amp;I$74,$B113&lt;J$74),$I$83,AND($B113&amp;"&gt;="&amp;J$74,$B113&lt;K$74),$J$83,OR($B113=K$74,$B113&gt;$K$74),$K$83)</f>
        <v>2315.25</v>
      </c>
      <c r="I113"/>
      <c r="J113"/>
    </row>
    <row r="114" spans="2:10" outlineLevel="1">
      <c r="B114" s="995">
        <f t="shared" si="15"/>
        <v>45445</v>
      </c>
      <c r="C114" s="198">
        <f t="shared" si="16"/>
        <v>2024</v>
      </c>
      <c r="D114" s="994">
        <f t="shared" si="13"/>
        <v>985</v>
      </c>
      <c r="E114" s="994">
        <f t="shared" si="14"/>
        <v>0</v>
      </c>
      <c r="F114" s="994" cm="1">
        <f t="array" ref="F114">_xlfn.IFS($B114&lt;$I$74,0,AND($B114&amp;"&gt;="&amp;I$74,$B114&lt;J$74),$I$83,AND($B114&amp;"&gt;="&amp;J$74,$B114&lt;K$74),$J$83,OR($B114=K$74,$B114&gt;$K$74),$K$83)</f>
        <v>2315.25</v>
      </c>
      <c r="I114"/>
      <c r="J114"/>
    </row>
    <row r="115" spans="2:10" outlineLevel="1">
      <c r="B115" s="995">
        <f t="shared" si="15"/>
        <v>45475</v>
      </c>
      <c r="C115" s="198">
        <f t="shared" si="16"/>
        <v>2024</v>
      </c>
      <c r="D115" s="994">
        <f t="shared" si="13"/>
        <v>985</v>
      </c>
      <c r="E115" s="994">
        <f t="shared" si="14"/>
        <v>0</v>
      </c>
      <c r="F115" s="994" cm="1">
        <f t="array" ref="F115">_xlfn.IFS($B115&lt;$I$74,0,AND($B115&amp;"&gt;="&amp;I$74,$B115&lt;J$74),$I$83,AND($B115&amp;"&gt;="&amp;J$74,$B115&lt;K$74),$J$83,OR($B115=K$74,$B115&gt;$K$74),$K$83)</f>
        <v>2315.25</v>
      </c>
      <c r="I115"/>
      <c r="J115"/>
    </row>
    <row r="116" spans="2:10" outlineLevel="1">
      <c r="B116" s="995">
        <f t="shared" si="15"/>
        <v>45506</v>
      </c>
      <c r="C116" s="198">
        <f t="shared" si="16"/>
        <v>2024</v>
      </c>
      <c r="D116" s="994">
        <f t="shared" si="13"/>
        <v>985</v>
      </c>
      <c r="E116" s="994">
        <f t="shared" si="14"/>
        <v>0</v>
      </c>
      <c r="F116" s="994" cm="1">
        <f t="array" ref="F116">_xlfn.IFS($B116&lt;$I$74,0,AND($B116&amp;"&gt;="&amp;I$74,$B116&lt;J$74),$I$83,AND($B116&amp;"&gt;="&amp;J$74,$B116&lt;K$74),$J$83,OR($B116=K$74,$B116&gt;$K$74),$K$83)</f>
        <v>2315.25</v>
      </c>
      <c r="I116"/>
      <c r="J116"/>
    </row>
    <row r="117" spans="2:10" outlineLevel="1">
      <c r="B117" s="995">
        <f t="shared" si="15"/>
        <v>45537</v>
      </c>
      <c r="C117" s="198">
        <f t="shared" si="16"/>
        <v>2024</v>
      </c>
      <c r="D117" s="994">
        <f t="shared" si="13"/>
        <v>985</v>
      </c>
      <c r="E117" s="994">
        <f t="shared" si="14"/>
        <v>0</v>
      </c>
      <c r="F117" s="994" cm="1">
        <f t="array" ref="F117">_xlfn.IFS($B117&lt;$I$74,0,AND($B117&amp;"&gt;="&amp;I$74,$B117&lt;J$74),$I$83,AND($B117&amp;"&gt;="&amp;J$74,$B117&lt;K$74),$J$83,OR($B117=K$74,$B117&gt;$K$74),$K$83)</f>
        <v>2315.25</v>
      </c>
      <c r="I117"/>
      <c r="J117"/>
    </row>
    <row r="118" spans="2:10" outlineLevel="1">
      <c r="B118" s="995">
        <f t="shared" si="15"/>
        <v>45567</v>
      </c>
      <c r="C118" s="198">
        <f t="shared" si="16"/>
        <v>2024</v>
      </c>
      <c r="D118" s="994">
        <f t="shared" si="13"/>
        <v>0</v>
      </c>
      <c r="E118" s="994">
        <f t="shared" si="14"/>
        <v>0</v>
      </c>
      <c r="F118" s="994" cm="1">
        <f t="array" ref="F118">_xlfn.IFS($B118&lt;$I$74,0,AND($B118&amp;"&gt;="&amp;I$74,$B118&lt;J$74),$I$83,AND($B118&amp;"&gt;="&amp;J$74,$B118&lt;K$74),$J$83,OR($B118=K$74,$B118&gt;$K$74),$K$83)</f>
        <v>2315.25</v>
      </c>
      <c r="I118"/>
      <c r="J118"/>
    </row>
    <row r="119" spans="2:10" outlineLevel="1">
      <c r="B119" s="995">
        <f t="shared" si="15"/>
        <v>45598</v>
      </c>
      <c r="C119" s="198">
        <f t="shared" si="16"/>
        <v>2024</v>
      </c>
      <c r="D119" s="994">
        <f t="shared" si="13"/>
        <v>0</v>
      </c>
      <c r="E119" s="994">
        <f t="shared" si="14"/>
        <v>0</v>
      </c>
      <c r="F119" s="994" cm="1">
        <f t="array" ref="F119">_xlfn.IFS($B119&lt;$I$74,0,AND($B119&amp;"&gt;="&amp;I$74,$B119&lt;J$74),$I$83,AND($B119&amp;"&gt;="&amp;J$74,$B119&lt;K$74),$J$83,OR($B119=K$74,$B119&gt;$K$74),$K$83)</f>
        <v>2315.25</v>
      </c>
      <c r="I119"/>
      <c r="J119"/>
    </row>
    <row r="120" spans="2:10" outlineLevel="1">
      <c r="B120" s="995">
        <f t="shared" si="15"/>
        <v>45628</v>
      </c>
      <c r="C120" s="198">
        <f t="shared" si="16"/>
        <v>2024</v>
      </c>
      <c r="D120" s="994">
        <f t="shared" si="13"/>
        <v>0</v>
      </c>
      <c r="E120" s="994">
        <f t="shared" si="14"/>
        <v>0</v>
      </c>
      <c r="F120" s="994" cm="1">
        <f t="array" ref="F120">_xlfn.IFS($B120&lt;$I$74,0,AND($B120&amp;"&gt;="&amp;I$74,$B120&lt;J$74),$I$83,AND($B120&amp;"&gt;="&amp;J$74,$B120&lt;K$74),$J$83,OR($B120=K$74,$B120&gt;$K$74),$K$83)</f>
        <v>2315.25</v>
      </c>
      <c r="I120"/>
      <c r="J120"/>
    </row>
    <row r="121" spans="2:10" outlineLevel="1">
      <c r="B121" s="995">
        <f t="shared" si="15"/>
        <v>45659</v>
      </c>
      <c r="C121" s="198">
        <f t="shared" si="16"/>
        <v>2025</v>
      </c>
      <c r="D121" s="994">
        <f t="shared" si="13"/>
        <v>0</v>
      </c>
      <c r="E121" s="994">
        <f t="shared" si="14"/>
        <v>0</v>
      </c>
      <c r="F121" s="994" cm="1">
        <f t="array" ref="F121">_xlfn.IFS($B121&lt;$I$74,0,AND($B121&amp;"&gt;="&amp;I$74,$B121&lt;J$74),$I$83,AND($B121&amp;"&gt;="&amp;J$74,$B121&lt;K$74),$J$83,OR($B121=K$74,$B121&gt;$K$74),$K$83)</f>
        <v>2315.25</v>
      </c>
      <c r="I121"/>
      <c r="J121"/>
    </row>
    <row r="122" spans="2:10" outlineLevel="1">
      <c r="B122" s="995">
        <f t="shared" si="15"/>
        <v>45690</v>
      </c>
      <c r="C122" s="198">
        <f t="shared" si="16"/>
        <v>2025</v>
      </c>
      <c r="D122" s="994">
        <f t="shared" si="13"/>
        <v>0</v>
      </c>
      <c r="E122" s="994">
        <f t="shared" si="14"/>
        <v>0</v>
      </c>
      <c r="F122" s="994" cm="1">
        <f t="array" ref="F122">_xlfn.IFS($B122&lt;$I$74,0,AND($B122&amp;"&gt;="&amp;I$74,$B122&lt;J$74),$I$83,AND($B122&amp;"&gt;="&amp;J$74,$B122&lt;K$74),$J$83,OR($B122=K$74,$B122&gt;$K$74),$K$83)</f>
        <v>2315.25</v>
      </c>
      <c r="I122"/>
      <c r="J122"/>
    </row>
    <row r="123" spans="2:10" outlineLevel="1">
      <c r="B123" s="995">
        <f t="shared" si="15"/>
        <v>45718</v>
      </c>
      <c r="C123" s="198">
        <f t="shared" si="16"/>
        <v>2025</v>
      </c>
      <c r="D123" s="994">
        <f t="shared" si="13"/>
        <v>0</v>
      </c>
      <c r="E123" s="994">
        <f t="shared" si="14"/>
        <v>0</v>
      </c>
      <c r="F123" s="994" cm="1">
        <f t="array" ref="F123">_xlfn.IFS($B123&lt;$I$74,0,AND($B123&amp;"&gt;="&amp;I$74,$B123&lt;J$74),$I$83,AND($B123&amp;"&gt;="&amp;J$74,$B123&lt;K$74),$J$83,OR($B123=K$74,$B123&gt;$K$74),$K$83)</f>
        <v>2315.25</v>
      </c>
      <c r="I123"/>
      <c r="J123"/>
    </row>
    <row r="124" spans="2:10" outlineLevel="1">
      <c r="B124" s="995">
        <f t="shared" si="15"/>
        <v>45749</v>
      </c>
      <c r="C124" s="198">
        <f t="shared" si="16"/>
        <v>2025</v>
      </c>
      <c r="D124" s="994">
        <f t="shared" ref="D124:D155" si="17">IF(AND(E$48&lt;=$B124,$B124&lt;E$49),$E$52,0)</f>
        <v>0</v>
      </c>
      <c r="E124" s="994">
        <f t="shared" ref="E124:E155" si="18">IF(OR($B124&lt;$D$74,$B124&gt;$I$74,$B124=$I$74),0,$D$83)</f>
        <v>0</v>
      </c>
      <c r="F124" s="994" cm="1">
        <f t="array" ref="F124">_xlfn.IFS($B124&lt;$I$74,0,AND($B124&amp;"&gt;="&amp;I$74,$B124&lt;J$74),$I$83,AND($B124&amp;"&gt;="&amp;J$74,$B124&lt;K$74),$J$83,OR($B124=K$74,$B124&gt;$K$74),$K$83)</f>
        <v>2315.25</v>
      </c>
      <c r="I124"/>
      <c r="J124"/>
    </row>
    <row r="125" spans="2:10" outlineLevel="1">
      <c r="B125" s="995">
        <f t="shared" si="15"/>
        <v>45779</v>
      </c>
      <c r="C125" s="198">
        <f t="shared" si="16"/>
        <v>2025</v>
      </c>
      <c r="D125" s="994">
        <f t="shared" si="17"/>
        <v>0</v>
      </c>
      <c r="E125" s="994">
        <f t="shared" si="18"/>
        <v>0</v>
      </c>
      <c r="F125" s="994" cm="1">
        <f t="array" ref="F125">_xlfn.IFS($B125&lt;$I$74,0,AND($B125&amp;"&gt;="&amp;I$74,$B125&lt;J$74),$I$83,AND($B125&amp;"&gt;="&amp;J$74,$B125&lt;K$74),$J$83,OR($B125=K$74,$B125&gt;$K$74),$K$83)</f>
        <v>2315.25</v>
      </c>
      <c r="I125"/>
      <c r="J125"/>
    </row>
    <row r="126" spans="2:10" outlineLevel="1">
      <c r="B126" s="995">
        <f t="shared" si="15"/>
        <v>45810</v>
      </c>
      <c r="C126" s="198">
        <f t="shared" si="16"/>
        <v>2025</v>
      </c>
      <c r="D126" s="994">
        <f t="shared" si="17"/>
        <v>0</v>
      </c>
      <c r="E126" s="994">
        <f t="shared" si="18"/>
        <v>0</v>
      </c>
      <c r="F126" s="994" cm="1">
        <f t="array" ref="F126">_xlfn.IFS($B126&lt;$I$74,0,AND($B126&amp;"&gt;="&amp;I$74,$B126&lt;J$74),$I$83,AND($B126&amp;"&gt;="&amp;J$74,$B126&lt;K$74),$J$83,OR($B126=K$74,$B126&gt;$K$74),$K$83)</f>
        <v>2315.25</v>
      </c>
      <c r="I126"/>
      <c r="J126"/>
    </row>
    <row r="127" spans="2:10" outlineLevel="1">
      <c r="B127" s="995">
        <f t="shared" si="15"/>
        <v>45840</v>
      </c>
      <c r="C127" s="198">
        <f t="shared" si="16"/>
        <v>2025</v>
      </c>
      <c r="D127" s="994">
        <f t="shared" si="17"/>
        <v>0</v>
      </c>
      <c r="E127" s="994">
        <f t="shared" si="18"/>
        <v>0</v>
      </c>
      <c r="F127" s="994" cm="1">
        <f t="array" ref="F127">_xlfn.IFS($B127&lt;$I$74,0,AND($B127&amp;"&gt;="&amp;I$74,$B127&lt;J$74),$I$83,AND($B127&amp;"&gt;="&amp;J$74,$B127&lt;K$74),$J$83,OR($B127=K$74,$B127&gt;$K$74),$K$83)</f>
        <v>2315.25</v>
      </c>
      <c r="I127"/>
      <c r="J127"/>
    </row>
    <row r="128" spans="2:10" outlineLevel="1">
      <c r="B128" s="995">
        <f t="shared" si="15"/>
        <v>45871</v>
      </c>
      <c r="C128" s="198">
        <f t="shared" si="16"/>
        <v>2025</v>
      </c>
      <c r="D128" s="994">
        <f t="shared" si="17"/>
        <v>0</v>
      </c>
      <c r="E128" s="994">
        <f t="shared" si="18"/>
        <v>0</v>
      </c>
      <c r="F128" s="994" cm="1">
        <f t="array" ref="F128">_xlfn.IFS($B128&lt;$I$74,0,AND($B128&amp;"&gt;="&amp;I$74,$B128&lt;J$74),$I$83,AND($B128&amp;"&gt;="&amp;J$74,$B128&lt;K$74),$J$83,OR($B128=K$74,$B128&gt;$K$74),$K$83)</f>
        <v>2315.25</v>
      </c>
      <c r="I128"/>
      <c r="J128"/>
    </row>
    <row r="129" spans="2:10" outlineLevel="1">
      <c r="B129" s="995">
        <f t="shared" si="15"/>
        <v>45902</v>
      </c>
      <c r="C129" s="198">
        <f t="shared" si="16"/>
        <v>2025</v>
      </c>
      <c r="D129" s="994">
        <f t="shared" si="17"/>
        <v>0</v>
      </c>
      <c r="E129" s="994">
        <f t="shared" si="18"/>
        <v>0</v>
      </c>
      <c r="F129" s="994" cm="1">
        <f t="array" ref="F129">_xlfn.IFS($B129&lt;$I$74,0,AND($B129&amp;"&gt;="&amp;I$74,$B129&lt;J$74),$I$83,AND($B129&amp;"&gt;="&amp;J$74,$B129&lt;K$74),$J$83,OR($B129=K$74,$B129&gt;$K$74),$K$83)</f>
        <v>2315.25</v>
      </c>
      <c r="I129"/>
      <c r="J129"/>
    </row>
    <row r="130" spans="2:10" outlineLevel="1">
      <c r="B130" s="995">
        <f t="shared" si="15"/>
        <v>45932</v>
      </c>
      <c r="C130" s="198">
        <f t="shared" si="16"/>
        <v>2025</v>
      </c>
      <c r="D130" s="994">
        <f t="shared" si="17"/>
        <v>0</v>
      </c>
      <c r="E130" s="994">
        <f t="shared" si="18"/>
        <v>0</v>
      </c>
      <c r="F130" s="994" cm="1">
        <f t="array" ref="F130">_xlfn.IFS($B130&lt;$I$74,0,AND($B130&amp;"&gt;="&amp;I$74,$B130&lt;J$74),$I$83,AND($B130&amp;"&gt;="&amp;J$74,$B130&lt;K$74),$J$83,OR($B130=K$74,$B130&gt;$K$74),$K$83)</f>
        <v>2315.25</v>
      </c>
      <c r="I130"/>
      <c r="J130"/>
    </row>
    <row r="131" spans="2:10" outlineLevel="1">
      <c r="B131" s="995">
        <f t="shared" si="15"/>
        <v>45963</v>
      </c>
      <c r="C131" s="198">
        <f t="shared" si="16"/>
        <v>2025</v>
      </c>
      <c r="D131" s="994">
        <f t="shared" si="17"/>
        <v>0</v>
      </c>
      <c r="E131" s="994">
        <f t="shared" si="18"/>
        <v>0</v>
      </c>
      <c r="F131" s="994" cm="1">
        <f t="array" ref="F131">_xlfn.IFS($B131&lt;$I$74,0,AND($B131&amp;"&gt;="&amp;I$74,$B131&lt;J$74),$I$83,AND($B131&amp;"&gt;="&amp;J$74,$B131&lt;K$74),$J$83,OR($B131=K$74,$B131&gt;$K$74),$K$83)</f>
        <v>2315.25</v>
      </c>
      <c r="I131"/>
      <c r="J131"/>
    </row>
    <row r="132" spans="2:10" outlineLevel="1">
      <c r="B132" s="995">
        <f t="shared" si="15"/>
        <v>45993</v>
      </c>
      <c r="C132" s="198">
        <f t="shared" si="16"/>
        <v>2025</v>
      </c>
      <c r="D132" s="994">
        <f t="shared" si="17"/>
        <v>0</v>
      </c>
      <c r="E132" s="994">
        <f t="shared" si="18"/>
        <v>0</v>
      </c>
      <c r="F132" s="994" cm="1">
        <f t="array" ref="F132">_xlfn.IFS($B132&lt;$I$74,0,AND($B132&amp;"&gt;="&amp;I$74,$B132&lt;J$74),$I$83,AND($B132&amp;"&gt;="&amp;J$74,$B132&lt;K$74),$J$83,OR($B132=K$74,$B132&gt;$K$74),$K$83)</f>
        <v>2315.25</v>
      </c>
      <c r="I132"/>
      <c r="J132"/>
    </row>
    <row r="133" spans="2:10" outlineLevel="1">
      <c r="B133" s="995">
        <f t="shared" si="15"/>
        <v>46024</v>
      </c>
      <c r="C133" s="198">
        <f t="shared" si="16"/>
        <v>2026</v>
      </c>
      <c r="D133" s="994">
        <f t="shared" si="17"/>
        <v>0</v>
      </c>
      <c r="E133" s="994">
        <f t="shared" si="18"/>
        <v>0</v>
      </c>
      <c r="F133" s="994" cm="1">
        <f t="array" ref="F133">_xlfn.IFS($B133&lt;$I$74,0,AND($B133&amp;"&gt;="&amp;I$74,$B133&lt;J$74),$I$83,AND($B133&amp;"&gt;="&amp;J$74,$B133&lt;K$74),$J$83,OR($B133=K$74,$B133&gt;$K$74),$K$83)</f>
        <v>2315.25</v>
      </c>
      <c r="I133"/>
      <c r="J133"/>
    </row>
    <row r="134" spans="2:10" outlineLevel="1">
      <c r="B134" s="995">
        <f t="shared" si="15"/>
        <v>46055</v>
      </c>
      <c r="C134" s="198">
        <f t="shared" si="16"/>
        <v>2026</v>
      </c>
      <c r="D134" s="994">
        <f t="shared" si="17"/>
        <v>0</v>
      </c>
      <c r="E134" s="994">
        <f t="shared" si="18"/>
        <v>0</v>
      </c>
      <c r="F134" s="994" cm="1">
        <f t="array" ref="F134">_xlfn.IFS($B134&lt;$I$74,0,AND($B134&amp;"&gt;="&amp;I$74,$B134&lt;J$74),$I$83,AND($B134&amp;"&gt;="&amp;J$74,$B134&lt;K$74),$J$83,OR($B134=K$74,$B134&gt;$K$74),$K$83)</f>
        <v>2315.25</v>
      </c>
      <c r="I134"/>
      <c r="J134"/>
    </row>
    <row r="135" spans="2:10" outlineLevel="1">
      <c r="B135" s="995">
        <f t="shared" si="15"/>
        <v>46083</v>
      </c>
      <c r="C135" s="198">
        <f t="shared" si="16"/>
        <v>2026</v>
      </c>
      <c r="D135" s="994">
        <f t="shared" si="17"/>
        <v>0</v>
      </c>
      <c r="E135" s="994">
        <f t="shared" si="18"/>
        <v>0</v>
      </c>
      <c r="F135" s="994" cm="1">
        <f t="array" ref="F135">_xlfn.IFS($B135&lt;$I$74,0,AND($B135&amp;"&gt;="&amp;I$74,$B135&lt;J$74),$I$83,AND($B135&amp;"&gt;="&amp;J$74,$B135&lt;K$74),$J$83,OR($B135=K$74,$B135&gt;$K$74),$K$83)</f>
        <v>2315.25</v>
      </c>
      <c r="I135"/>
      <c r="J135"/>
    </row>
    <row r="136" spans="2:10" outlineLevel="1">
      <c r="B136" s="995">
        <f t="shared" si="15"/>
        <v>46114</v>
      </c>
      <c r="C136" s="198">
        <f t="shared" si="16"/>
        <v>2026</v>
      </c>
      <c r="D136" s="994">
        <f t="shared" si="17"/>
        <v>0</v>
      </c>
      <c r="E136" s="994">
        <f t="shared" si="18"/>
        <v>0</v>
      </c>
      <c r="F136" s="994" cm="1">
        <f t="array" ref="F136">_xlfn.IFS($B136&lt;$I$74,0,AND($B136&amp;"&gt;="&amp;I$74,$B136&lt;J$74),$I$83,AND($B136&amp;"&gt;="&amp;J$74,$B136&lt;K$74),$J$83,OR($B136=K$74,$B136&gt;$K$74),$K$83)</f>
        <v>2315.25</v>
      </c>
      <c r="I136"/>
      <c r="J136"/>
    </row>
    <row r="137" spans="2:10" outlineLevel="1">
      <c r="B137" s="995">
        <f t="shared" si="15"/>
        <v>46144</v>
      </c>
      <c r="C137" s="198">
        <f t="shared" si="16"/>
        <v>2026</v>
      </c>
      <c r="D137" s="994">
        <f t="shared" si="17"/>
        <v>0</v>
      </c>
      <c r="E137" s="994">
        <f t="shared" si="18"/>
        <v>0</v>
      </c>
      <c r="F137" s="994" cm="1">
        <f t="array" ref="F137">_xlfn.IFS($B137&lt;$I$74,0,AND($B137&amp;"&gt;="&amp;I$74,$B137&lt;J$74),$I$83,AND($B137&amp;"&gt;="&amp;J$74,$B137&lt;K$74),$J$83,OR($B137=K$74,$B137&gt;$K$74),$K$83)</f>
        <v>2315.25</v>
      </c>
      <c r="I137"/>
      <c r="J137"/>
    </row>
    <row r="138" spans="2:10" outlineLevel="1">
      <c r="B138" s="995">
        <f t="shared" si="15"/>
        <v>46175</v>
      </c>
      <c r="C138" s="198">
        <f t="shared" si="16"/>
        <v>2026</v>
      </c>
      <c r="D138" s="994">
        <f t="shared" si="17"/>
        <v>0</v>
      </c>
      <c r="E138" s="994">
        <f t="shared" si="18"/>
        <v>0</v>
      </c>
      <c r="F138" s="994" cm="1">
        <f t="array" ref="F138">_xlfn.IFS($B138&lt;$I$74,0,AND($B138&amp;"&gt;="&amp;I$74,$B138&lt;J$74),$I$83,AND($B138&amp;"&gt;="&amp;J$74,$B138&lt;K$74),$J$83,OR($B138=K$74,$B138&gt;$K$74),$K$83)</f>
        <v>2315.25</v>
      </c>
      <c r="I138"/>
      <c r="J138"/>
    </row>
    <row r="139" spans="2:10" outlineLevel="1">
      <c r="B139" s="995">
        <f t="shared" si="15"/>
        <v>46205</v>
      </c>
      <c r="C139" s="198">
        <f t="shared" si="16"/>
        <v>2026</v>
      </c>
      <c r="D139" s="994">
        <f t="shared" si="17"/>
        <v>0</v>
      </c>
      <c r="E139" s="994">
        <f t="shared" si="18"/>
        <v>0</v>
      </c>
      <c r="F139" s="994" cm="1">
        <f t="array" ref="F139">_xlfn.IFS($B139&lt;$I$74,0,AND($B139&amp;"&gt;="&amp;I$74,$B139&lt;J$74),$I$83,AND($B139&amp;"&gt;="&amp;J$74,$B139&lt;K$74),$J$83,OR($B139=K$74,$B139&gt;$K$74),$K$83)</f>
        <v>2431.0125000000003</v>
      </c>
      <c r="I139"/>
      <c r="J139"/>
    </row>
    <row r="140" spans="2:10" outlineLevel="1">
      <c r="B140" s="995">
        <f t="shared" si="15"/>
        <v>46236</v>
      </c>
      <c r="C140" s="198">
        <f t="shared" si="16"/>
        <v>2026</v>
      </c>
      <c r="D140" s="994">
        <f t="shared" si="17"/>
        <v>0</v>
      </c>
      <c r="E140" s="994">
        <f t="shared" si="18"/>
        <v>0</v>
      </c>
      <c r="F140" s="994" cm="1">
        <f t="array" ref="F140">_xlfn.IFS($B140&lt;$I$74,0,AND($B140&amp;"&gt;="&amp;I$74,$B140&lt;J$74),$I$83,AND($B140&amp;"&gt;="&amp;J$74,$B140&lt;K$74),$J$83,OR($B140=K$74,$B140&gt;$K$74),$K$83)</f>
        <v>2431.0125000000003</v>
      </c>
      <c r="I140"/>
      <c r="J140"/>
    </row>
    <row r="141" spans="2:10" outlineLevel="1">
      <c r="B141" s="995">
        <f t="shared" si="15"/>
        <v>46267</v>
      </c>
      <c r="C141" s="198">
        <f t="shared" si="16"/>
        <v>2026</v>
      </c>
      <c r="D141" s="994">
        <f t="shared" si="17"/>
        <v>0</v>
      </c>
      <c r="E141" s="994">
        <f t="shared" si="18"/>
        <v>0</v>
      </c>
      <c r="F141" s="994" cm="1">
        <f t="array" ref="F141">_xlfn.IFS($B141&lt;$I$74,0,AND($B141&amp;"&gt;="&amp;I$74,$B141&lt;J$74),$I$83,AND($B141&amp;"&gt;="&amp;J$74,$B141&lt;K$74),$J$83,OR($B141=K$74,$B141&gt;$K$74),$K$83)</f>
        <v>2431.0125000000003</v>
      </c>
      <c r="I141"/>
      <c r="J141"/>
    </row>
    <row r="142" spans="2:10" outlineLevel="1">
      <c r="B142" s="995">
        <f t="shared" si="15"/>
        <v>46297</v>
      </c>
      <c r="C142" s="198">
        <f t="shared" si="16"/>
        <v>2026</v>
      </c>
      <c r="D142" s="994">
        <f t="shared" si="17"/>
        <v>0</v>
      </c>
      <c r="E142" s="994">
        <f t="shared" si="18"/>
        <v>0</v>
      </c>
      <c r="F142" s="994" cm="1">
        <f t="array" ref="F142">_xlfn.IFS($B142&lt;$I$74,0,AND($B142&amp;"&gt;="&amp;I$74,$B142&lt;J$74),$I$83,AND($B142&amp;"&gt;="&amp;J$74,$B142&lt;K$74),$J$83,OR($B142=K$74,$B142&gt;$K$74),$K$83)</f>
        <v>2431.0125000000003</v>
      </c>
      <c r="I142"/>
      <c r="J142"/>
    </row>
    <row r="143" spans="2:10" outlineLevel="1">
      <c r="B143" s="995">
        <f t="shared" si="15"/>
        <v>46328</v>
      </c>
      <c r="C143" s="198">
        <f t="shared" si="16"/>
        <v>2026</v>
      </c>
      <c r="D143" s="994">
        <f t="shared" si="17"/>
        <v>0</v>
      </c>
      <c r="E143" s="994">
        <f t="shared" si="18"/>
        <v>0</v>
      </c>
      <c r="F143" s="994" cm="1">
        <f t="array" ref="F143">_xlfn.IFS($B143&lt;$I$74,0,AND($B143&amp;"&gt;="&amp;I$74,$B143&lt;J$74),$I$83,AND($B143&amp;"&gt;="&amp;J$74,$B143&lt;K$74),$J$83,OR($B143=K$74,$B143&gt;$K$74),$K$83)</f>
        <v>2431.0125000000003</v>
      </c>
      <c r="I143"/>
      <c r="J143"/>
    </row>
    <row r="144" spans="2:10" outlineLevel="1">
      <c r="B144" s="995">
        <f t="shared" si="15"/>
        <v>46358</v>
      </c>
      <c r="C144" s="198">
        <f t="shared" si="16"/>
        <v>2026</v>
      </c>
      <c r="D144" s="994">
        <f t="shared" si="17"/>
        <v>0</v>
      </c>
      <c r="E144" s="994">
        <f t="shared" si="18"/>
        <v>0</v>
      </c>
      <c r="F144" s="994" cm="1">
        <f t="array" ref="F144">_xlfn.IFS($B144&lt;$I$74,0,AND($B144&amp;"&gt;="&amp;I$74,$B144&lt;J$74),$I$83,AND($B144&amp;"&gt;="&amp;J$74,$B144&lt;K$74),$J$83,OR($B144=K$74,$B144&gt;$K$74),$K$83)</f>
        <v>2431.0125000000003</v>
      </c>
      <c r="I144"/>
      <c r="J144"/>
    </row>
    <row r="145" spans="2:10" outlineLevel="1">
      <c r="B145" s="995">
        <f t="shared" si="15"/>
        <v>46389</v>
      </c>
      <c r="C145" s="198">
        <f t="shared" si="16"/>
        <v>2027</v>
      </c>
      <c r="D145" s="994">
        <f t="shared" si="17"/>
        <v>0</v>
      </c>
      <c r="E145" s="994">
        <f t="shared" si="18"/>
        <v>0</v>
      </c>
      <c r="F145" s="994" cm="1">
        <f t="array" ref="F145">_xlfn.IFS($B145&lt;$I$74,0,AND($B145&amp;"&gt;="&amp;I$74,$B145&lt;J$74),$I$83,AND($B145&amp;"&gt;="&amp;J$74,$B145&lt;K$74),$J$83,OR($B145=K$74,$B145&gt;$K$74),$K$83)</f>
        <v>2431.0125000000003</v>
      </c>
      <c r="I145"/>
      <c r="J145"/>
    </row>
    <row r="146" spans="2:10" outlineLevel="1">
      <c r="B146" s="995">
        <f t="shared" si="15"/>
        <v>46420</v>
      </c>
      <c r="C146" s="198">
        <f t="shared" si="16"/>
        <v>2027</v>
      </c>
      <c r="D146" s="994">
        <f t="shared" si="17"/>
        <v>0</v>
      </c>
      <c r="E146" s="994">
        <f t="shared" si="18"/>
        <v>0</v>
      </c>
      <c r="F146" s="994" cm="1">
        <f t="array" ref="F146">_xlfn.IFS($B146&lt;$I$74,0,AND($B146&amp;"&gt;="&amp;I$74,$B146&lt;J$74),$I$83,AND($B146&amp;"&gt;="&amp;J$74,$B146&lt;K$74),$J$83,OR($B146=K$74,$B146&gt;$K$74),$K$83)</f>
        <v>2431.0125000000003</v>
      </c>
      <c r="I146"/>
      <c r="J146"/>
    </row>
    <row r="147" spans="2:10" outlineLevel="1">
      <c r="B147" s="995">
        <f t="shared" si="15"/>
        <v>46448</v>
      </c>
      <c r="C147" s="198">
        <f t="shared" si="16"/>
        <v>2027</v>
      </c>
      <c r="D147" s="994">
        <f t="shared" si="17"/>
        <v>0</v>
      </c>
      <c r="E147" s="994">
        <f t="shared" si="18"/>
        <v>0</v>
      </c>
      <c r="F147" s="994" cm="1">
        <f t="array" ref="F147">_xlfn.IFS($B147&lt;$I$74,0,AND($B147&amp;"&gt;="&amp;I$74,$B147&lt;J$74),$I$83,AND($B147&amp;"&gt;="&amp;J$74,$B147&lt;K$74),$J$83,OR($B147=K$74,$B147&gt;$K$74),$K$83)</f>
        <v>2431.0125000000003</v>
      </c>
      <c r="I147"/>
      <c r="J147"/>
    </row>
    <row r="148" spans="2:10" outlineLevel="1">
      <c r="B148" s="995">
        <f t="shared" si="15"/>
        <v>46479</v>
      </c>
      <c r="C148" s="198">
        <f t="shared" si="16"/>
        <v>2027</v>
      </c>
      <c r="D148" s="994">
        <f t="shared" si="17"/>
        <v>0</v>
      </c>
      <c r="E148" s="994">
        <f t="shared" si="18"/>
        <v>0</v>
      </c>
      <c r="F148" s="994" cm="1">
        <f t="array" ref="F148">_xlfn.IFS($B148&lt;$I$74,0,AND($B148&amp;"&gt;="&amp;I$74,$B148&lt;J$74),$I$83,AND($B148&amp;"&gt;="&amp;J$74,$B148&lt;K$74),$J$83,OR($B148=K$74,$B148&gt;$K$74),$K$83)</f>
        <v>2431.0125000000003</v>
      </c>
      <c r="I148"/>
      <c r="J148"/>
    </row>
    <row r="149" spans="2:10" outlineLevel="1">
      <c r="B149" s="995">
        <f t="shared" si="15"/>
        <v>46509</v>
      </c>
      <c r="C149" s="198">
        <f t="shared" si="16"/>
        <v>2027</v>
      </c>
      <c r="D149" s="994">
        <f t="shared" si="17"/>
        <v>0</v>
      </c>
      <c r="E149" s="994">
        <f t="shared" si="18"/>
        <v>0</v>
      </c>
      <c r="F149" s="994" cm="1">
        <f t="array" ref="F149">_xlfn.IFS($B149&lt;$I$74,0,AND($B149&amp;"&gt;="&amp;I$74,$B149&lt;J$74),$I$83,AND($B149&amp;"&gt;="&amp;J$74,$B149&lt;K$74),$J$83,OR($B149=K$74,$B149&gt;$K$74),$K$83)</f>
        <v>2431.0125000000003</v>
      </c>
      <c r="I149"/>
      <c r="J149"/>
    </row>
    <row r="150" spans="2:10" outlineLevel="1">
      <c r="B150" s="995">
        <f t="shared" si="15"/>
        <v>46540</v>
      </c>
      <c r="C150" s="198">
        <f t="shared" si="16"/>
        <v>2027</v>
      </c>
      <c r="D150" s="994">
        <f t="shared" si="17"/>
        <v>0</v>
      </c>
      <c r="E150" s="994">
        <f t="shared" si="18"/>
        <v>0</v>
      </c>
      <c r="F150" s="994" cm="1">
        <f t="array" ref="F150">_xlfn.IFS($B150&lt;$I$74,0,AND($B150&amp;"&gt;="&amp;I$74,$B150&lt;J$74),$I$83,AND($B150&amp;"&gt;="&amp;J$74,$B150&lt;K$74),$J$83,OR($B150=K$74,$B150&gt;$K$74),$K$83)</f>
        <v>2431.0125000000003</v>
      </c>
      <c r="I150"/>
      <c r="J150"/>
    </row>
    <row r="151" spans="2:10" outlineLevel="1">
      <c r="B151" s="995">
        <f t="shared" si="15"/>
        <v>46570</v>
      </c>
      <c r="C151" s="198">
        <f t="shared" si="16"/>
        <v>2027</v>
      </c>
      <c r="D151" s="994">
        <f t="shared" si="17"/>
        <v>0</v>
      </c>
      <c r="E151" s="994">
        <f t="shared" si="18"/>
        <v>0</v>
      </c>
      <c r="F151" s="994" cm="1">
        <f t="array" ref="F151">_xlfn.IFS($B151&lt;$I$74,0,AND($B151&amp;"&gt;="&amp;I$74,$B151&lt;J$74),$I$83,AND($B151&amp;"&gt;="&amp;J$74,$B151&lt;K$74),$J$83,OR($B151=K$74,$B151&gt;$K$74),$K$83)</f>
        <v>2431.0125000000003</v>
      </c>
      <c r="I151"/>
      <c r="J151"/>
    </row>
    <row r="152" spans="2:10" outlineLevel="1">
      <c r="B152" s="995">
        <f t="shared" si="15"/>
        <v>46601</v>
      </c>
      <c r="C152" s="198">
        <f t="shared" si="16"/>
        <v>2027</v>
      </c>
      <c r="D152" s="994">
        <f t="shared" si="17"/>
        <v>0</v>
      </c>
      <c r="E152" s="994">
        <f t="shared" si="18"/>
        <v>0</v>
      </c>
      <c r="F152" s="994" cm="1">
        <f t="array" ref="F152">_xlfn.IFS($B152&lt;$I$74,0,AND($B152&amp;"&gt;="&amp;I$74,$B152&lt;J$74),$I$83,AND($B152&amp;"&gt;="&amp;J$74,$B152&lt;K$74),$J$83,OR($B152=K$74,$B152&gt;$K$74),$K$83)</f>
        <v>2431.0125000000003</v>
      </c>
      <c r="I152"/>
      <c r="J152"/>
    </row>
    <row r="153" spans="2:10" outlineLevel="1">
      <c r="B153" s="995">
        <f t="shared" si="15"/>
        <v>46632</v>
      </c>
      <c r="C153" s="198">
        <f t="shared" si="16"/>
        <v>2027</v>
      </c>
      <c r="D153" s="994">
        <f t="shared" si="17"/>
        <v>0</v>
      </c>
      <c r="E153" s="994">
        <f t="shared" si="18"/>
        <v>0</v>
      </c>
      <c r="F153" s="994" cm="1">
        <f t="array" ref="F153">_xlfn.IFS($B153&lt;$I$74,0,AND($B153&amp;"&gt;="&amp;I$74,$B153&lt;J$74),$I$83,AND($B153&amp;"&gt;="&amp;J$74,$B153&lt;K$74),$J$83,OR($B153=K$74,$B153&gt;$K$74),$K$83)</f>
        <v>2431.0125000000003</v>
      </c>
      <c r="I153"/>
      <c r="J153"/>
    </row>
    <row r="154" spans="2:10" outlineLevel="1">
      <c r="B154" s="995">
        <f t="shared" si="15"/>
        <v>46662</v>
      </c>
      <c r="C154" s="198">
        <f t="shared" si="16"/>
        <v>2027</v>
      </c>
      <c r="D154" s="994">
        <f t="shared" si="17"/>
        <v>0</v>
      </c>
      <c r="E154" s="994">
        <f t="shared" si="18"/>
        <v>0</v>
      </c>
      <c r="F154" s="994" cm="1">
        <f t="array" ref="F154">_xlfn.IFS($B154&lt;$I$74,0,AND($B154&amp;"&gt;="&amp;I$74,$B154&lt;J$74),$I$83,AND($B154&amp;"&gt;="&amp;J$74,$B154&lt;K$74),$J$83,OR($B154=K$74,$B154&gt;$K$74),$K$83)</f>
        <v>2431.0125000000003</v>
      </c>
      <c r="I154"/>
      <c r="J154"/>
    </row>
    <row r="155" spans="2:10" outlineLevel="1">
      <c r="B155" s="995">
        <f t="shared" si="15"/>
        <v>46693</v>
      </c>
      <c r="C155" s="198">
        <f t="shared" si="16"/>
        <v>2027</v>
      </c>
      <c r="D155" s="994">
        <f t="shared" si="17"/>
        <v>0</v>
      </c>
      <c r="E155" s="994">
        <f t="shared" si="18"/>
        <v>0</v>
      </c>
      <c r="F155" s="994" cm="1">
        <f t="array" ref="F155">_xlfn.IFS($B155&lt;$I$74,0,AND($B155&amp;"&gt;="&amp;I$74,$B155&lt;J$74),$I$83,AND($B155&amp;"&gt;="&amp;J$74,$B155&lt;K$74),$J$83,OR($B155=K$74,$B155&gt;$K$74),$K$83)</f>
        <v>2431.0125000000003</v>
      </c>
      <c r="I155"/>
      <c r="J155"/>
    </row>
    <row r="156" spans="2:10" outlineLevel="1">
      <c r="B156" s="995">
        <f t="shared" si="15"/>
        <v>46723</v>
      </c>
      <c r="C156" s="198">
        <f t="shared" si="16"/>
        <v>2027</v>
      </c>
      <c r="D156" s="994">
        <f t="shared" ref="D156:D187" si="19">IF(AND(E$48&lt;=$B156,$B156&lt;E$49),$E$52,0)</f>
        <v>0</v>
      </c>
      <c r="E156" s="994">
        <f t="shared" ref="E156:E187" si="20">IF(OR($B156&lt;$D$74,$B156&gt;$I$74,$B156=$I$74),0,$D$83)</f>
        <v>0</v>
      </c>
      <c r="F156" s="994" cm="1">
        <f t="array" ref="F156">_xlfn.IFS($B156&lt;$I$74,0,AND($B156&amp;"&gt;="&amp;I$74,$B156&lt;J$74),$I$83,AND($B156&amp;"&gt;="&amp;J$74,$B156&lt;K$74),$J$83,OR($B156=K$74,$B156&gt;$K$74),$K$83)</f>
        <v>2431.0125000000003</v>
      </c>
      <c r="I156"/>
      <c r="J156"/>
    </row>
    <row r="157" spans="2:10" outlineLevel="1">
      <c r="B157" s="995">
        <f t="shared" si="15"/>
        <v>46754</v>
      </c>
      <c r="C157" s="198">
        <f t="shared" si="16"/>
        <v>2028</v>
      </c>
      <c r="D157" s="994">
        <f t="shared" si="19"/>
        <v>0</v>
      </c>
      <c r="E157" s="994">
        <f t="shared" si="20"/>
        <v>0</v>
      </c>
      <c r="F157" s="994" cm="1">
        <f t="array" ref="F157">_xlfn.IFS($B157&lt;$I$74,0,AND($B157&amp;"&gt;="&amp;I$74,$B157&lt;J$74),$I$83,AND($B157&amp;"&gt;="&amp;J$74,$B157&lt;K$74),$J$83,OR($B157=K$74,$B157&gt;$K$74),$K$83)</f>
        <v>2431.0125000000003</v>
      </c>
      <c r="I157"/>
      <c r="J157"/>
    </row>
    <row r="158" spans="2:10" outlineLevel="1">
      <c r="B158" s="995">
        <f t="shared" ref="B158:B205" si="21">EDATE(B157,1)</f>
        <v>46785</v>
      </c>
      <c r="C158" s="198">
        <f t="shared" ref="C158:C205" si="22">YEAR(B158)</f>
        <v>2028</v>
      </c>
      <c r="D158" s="994">
        <f t="shared" si="19"/>
        <v>0</v>
      </c>
      <c r="E158" s="994">
        <f t="shared" si="20"/>
        <v>0</v>
      </c>
      <c r="F158" s="994" cm="1">
        <f t="array" ref="F158">_xlfn.IFS($B158&lt;$I$74,0,AND($B158&amp;"&gt;="&amp;I$74,$B158&lt;J$74),$I$83,AND($B158&amp;"&gt;="&amp;J$74,$B158&lt;K$74),$J$83,OR($B158=K$74,$B158&gt;$K$74),$K$83)</f>
        <v>2431.0125000000003</v>
      </c>
      <c r="I158"/>
      <c r="J158"/>
    </row>
    <row r="159" spans="2:10" outlineLevel="1">
      <c r="B159" s="995">
        <f t="shared" si="21"/>
        <v>46814</v>
      </c>
      <c r="C159" s="198">
        <f t="shared" si="22"/>
        <v>2028</v>
      </c>
      <c r="D159" s="994">
        <f t="shared" si="19"/>
        <v>0</v>
      </c>
      <c r="E159" s="994">
        <f t="shared" si="20"/>
        <v>0</v>
      </c>
      <c r="F159" s="994" cm="1">
        <f t="array" ref="F159">_xlfn.IFS($B159&lt;$I$74,0,AND($B159&amp;"&gt;="&amp;I$74,$B159&lt;J$74),$I$83,AND($B159&amp;"&gt;="&amp;J$74,$B159&lt;K$74),$J$83,OR($B159=K$74,$B159&gt;$K$74),$K$83)</f>
        <v>2431.0125000000003</v>
      </c>
      <c r="I159"/>
      <c r="J159"/>
    </row>
    <row r="160" spans="2:10" outlineLevel="1">
      <c r="B160" s="995">
        <f t="shared" si="21"/>
        <v>46845</v>
      </c>
      <c r="C160" s="198">
        <f t="shared" si="22"/>
        <v>2028</v>
      </c>
      <c r="D160" s="994">
        <f t="shared" si="19"/>
        <v>0</v>
      </c>
      <c r="E160" s="994">
        <f t="shared" si="20"/>
        <v>0</v>
      </c>
      <c r="F160" s="994" cm="1">
        <f t="array" ref="F160">_xlfn.IFS($B160&lt;$I$74,0,AND($B160&amp;"&gt;="&amp;I$74,$B160&lt;J$74),$I$83,AND($B160&amp;"&gt;="&amp;J$74,$B160&lt;K$74),$J$83,OR($B160=K$74,$B160&gt;$K$74),$K$83)</f>
        <v>2431.0125000000003</v>
      </c>
      <c r="I160"/>
      <c r="J160"/>
    </row>
    <row r="161" spans="2:10" outlineLevel="1">
      <c r="B161" s="995">
        <f t="shared" si="21"/>
        <v>46875</v>
      </c>
      <c r="C161" s="198">
        <f t="shared" si="22"/>
        <v>2028</v>
      </c>
      <c r="D161" s="994">
        <f t="shared" si="19"/>
        <v>0</v>
      </c>
      <c r="E161" s="994">
        <f t="shared" si="20"/>
        <v>0</v>
      </c>
      <c r="F161" s="994" cm="1">
        <f t="array" ref="F161">_xlfn.IFS($B161&lt;$I$74,0,AND($B161&amp;"&gt;="&amp;I$74,$B161&lt;J$74),$I$83,AND($B161&amp;"&gt;="&amp;J$74,$B161&lt;K$74),$J$83,OR($B161=K$74,$B161&gt;$K$74),$K$83)</f>
        <v>2431.0125000000003</v>
      </c>
      <c r="I161"/>
      <c r="J161"/>
    </row>
    <row r="162" spans="2:10" outlineLevel="1">
      <c r="B162" s="995">
        <f t="shared" si="21"/>
        <v>46906</v>
      </c>
      <c r="C162" s="198">
        <f t="shared" si="22"/>
        <v>2028</v>
      </c>
      <c r="D162" s="994">
        <f t="shared" si="19"/>
        <v>0</v>
      </c>
      <c r="E162" s="994">
        <f t="shared" si="20"/>
        <v>0</v>
      </c>
      <c r="F162" s="994" cm="1">
        <f t="array" ref="F162">_xlfn.IFS($B162&lt;$I$74,0,AND($B162&amp;"&gt;="&amp;I$74,$B162&lt;J$74),$I$83,AND($B162&amp;"&gt;="&amp;J$74,$B162&lt;K$74),$J$83,OR($B162=K$74,$B162&gt;$K$74),$K$83)</f>
        <v>2431.0125000000003</v>
      </c>
      <c r="I162"/>
      <c r="J162"/>
    </row>
    <row r="163" spans="2:10" outlineLevel="1">
      <c r="B163" s="995">
        <f t="shared" si="21"/>
        <v>46936</v>
      </c>
      <c r="C163" s="198">
        <f t="shared" si="22"/>
        <v>2028</v>
      </c>
      <c r="D163" s="994">
        <f t="shared" si="19"/>
        <v>0</v>
      </c>
      <c r="E163" s="994">
        <f t="shared" si="20"/>
        <v>0</v>
      </c>
      <c r="F163" s="994" cm="1">
        <f t="array" ref="F163">_xlfn.IFS($B163&lt;$I$74,0,AND($B163&amp;"&gt;="&amp;I$74,$B163&lt;J$74),$I$83,AND($B163&amp;"&gt;="&amp;J$74,$B163&lt;K$74),$J$83,OR($B163=K$74,$B163&gt;$K$74),$K$83)</f>
        <v>2431.0125000000003</v>
      </c>
      <c r="I163"/>
      <c r="J163"/>
    </row>
    <row r="164" spans="2:10" outlineLevel="1">
      <c r="B164" s="995">
        <f t="shared" si="21"/>
        <v>46967</v>
      </c>
      <c r="C164" s="198">
        <f t="shared" si="22"/>
        <v>2028</v>
      </c>
      <c r="D164" s="994">
        <f t="shared" si="19"/>
        <v>0</v>
      </c>
      <c r="E164" s="994">
        <f t="shared" si="20"/>
        <v>0</v>
      </c>
      <c r="F164" s="994" cm="1">
        <f t="array" ref="F164">_xlfn.IFS($B164&lt;$I$74,0,AND($B164&amp;"&gt;="&amp;I$74,$B164&lt;J$74),$I$83,AND($B164&amp;"&gt;="&amp;J$74,$B164&lt;K$74),$J$83,OR($B164=K$74,$B164&gt;$K$74),$K$83)</f>
        <v>2431.0125000000003</v>
      </c>
      <c r="I164"/>
      <c r="J164"/>
    </row>
    <row r="165" spans="2:10" outlineLevel="1">
      <c r="B165" s="995">
        <f t="shared" si="21"/>
        <v>46998</v>
      </c>
      <c r="C165" s="198">
        <f t="shared" si="22"/>
        <v>2028</v>
      </c>
      <c r="D165" s="994">
        <f t="shared" si="19"/>
        <v>0</v>
      </c>
      <c r="E165" s="994">
        <f t="shared" si="20"/>
        <v>0</v>
      </c>
      <c r="F165" s="994" cm="1">
        <f t="array" ref="F165">_xlfn.IFS($B165&lt;$I$74,0,AND($B165&amp;"&gt;="&amp;I$74,$B165&lt;J$74),$I$83,AND($B165&amp;"&gt;="&amp;J$74,$B165&lt;K$74),$J$83,OR($B165=K$74,$B165&gt;$K$74),$K$83)</f>
        <v>2431.0125000000003</v>
      </c>
      <c r="I165"/>
      <c r="J165"/>
    </row>
    <row r="166" spans="2:10" outlineLevel="1">
      <c r="B166" s="995">
        <f t="shared" si="21"/>
        <v>47028</v>
      </c>
      <c r="C166" s="198">
        <f t="shared" si="22"/>
        <v>2028</v>
      </c>
      <c r="D166" s="994">
        <f t="shared" si="19"/>
        <v>0</v>
      </c>
      <c r="E166" s="994">
        <f t="shared" si="20"/>
        <v>0</v>
      </c>
      <c r="F166" s="994" cm="1">
        <f t="array" ref="F166">_xlfn.IFS($B166&lt;$I$74,0,AND($B166&amp;"&gt;="&amp;I$74,$B166&lt;J$74),$I$83,AND($B166&amp;"&gt;="&amp;J$74,$B166&lt;K$74),$J$83,OR($B166=K$74,$B166&gt;$K$74),$K$83)</f>
        <v>2431.0125000000003</v>
      </c>
      <c r="I166"/>
      <c r="J166"/>
    </row>
    <row r="167" spans="2:10" outlineLevel="1">
      <c r="B167" s="995">
        <f t="shared" si="21"/>
        <v>47059</v>
      </c>
      <c r="C167" s="198">
        <f t="shared" si="22"/>
        <v>2028</v>
      </c>
      <c r="D167" s="994">
        <f t="shared" si="19"/>
        <v>0</v>
      </c>
      <c r="E167" s="994">
        <f t="shared" si="20"/>
        <v>0</v>
      </c>
      <c r="F167" s="994" cm="1">
        <f t="array" ref="F167">_xlfn.IFS($B167&lt;$I$74,0,AND($B167&amp;"&gt;="&amp;I$74,$B167&lt;J$74),$I$83,AND($B167&amp;"&gt;="&amp;J$74,$B167&lt;K$74),$J$83,OR($B167=K$74,$B167&gt;$K$74),$K$83)</f>
        <v>2431.0125000000003</v>
      </c>
      <c r="I167"/>
      <c r="J167"/>
    </row>
    <row r="168" spans="2:10" outlineLevel="1">
      <c r="B168" s="995">
        <f t="shared" si="21"/>
        <v>47089</v>
      </c>
      <c r="C168" s="198">
        <f t="shared" si="22"/>
        <v>2028</v>
      </c>
      <c r="D168" s="994">
        <f t="shared" si="19"/>
        <v>0</v>
      </c>
      <c r="E168" s="994">
        <f t="shared" si="20"/>
        <v>0</v>
      </c>
      <c r="F168" s="994" cm="1">
        <f t="array" ref="F168">_xlfn.IFS($B168&lt;$I$74,0,AND($B168&amp;"&gt;="&amp;I$74,$B168&lt;J$74),$I$83,AND($B168&amp;"&gt;="&amp;J$74,$B168&lt;K$74),$J$83,OR($B168=K$74,$B168&gt;$K$74),$K$83)</f>
        <v>2431.0125000000003</v>
      </c>
      <c r="I168"/>
      <c r="J168"/>
    </row>
    <row r="169" spans="2:10" outlineLevel="1">
      <c r="B169" s="995">
        <f t="shared" si="21"/>
        <v>47120</v>
      </c>
      <c r="C169" s="198">
        <f t="shared" si="22"/>
        <v>2029</v>
      </c>
      <c r="D169" s="994">
        <f t="shared" si="19"/>
        <v>0</v>
      </c>
      <c r="E169" s="994">
        <f t="shared" si="20"/>
        <v>0</v>
      </c>
      <c r="F169" s="994" cm="1">
        <f t="array" ref="F169">_xlfn.IFS($B169&lt;$I$74,0,AND($B169&amp;"&gt;="&amp;I$74,$B169&lt;J$74),$I$83,AND($B169&amp;"&gt;="&amp;J$74,$B169&lt;K$74),$J$83,OR($B169=K$74,$B169&gt;$K$74),$K$83)</f>
        <v>2431.0125000000003</v>
      </c>
      <c r="I169"/>
      <c r="J169"/>
    </row>
    <row r="170" spans="2:10" outlineLevel="1">
      <c r="B170" s="995">
        <f t="shared" si="21"/>
        <v>47151</v>
      </c>
      <c r="C170" s="198">
        <f t="shared" si="22"/>
        <v>2029</v>
      </c>
      <c r="D170" s="994">
        <f t="shared" si="19"/>
        <v>0</v>
      </c>
      <c r="E170" s="994">
        <f t="shared" si="20"/>
        <v>0</v>
      </c>
      <c r="F170" s="994" cm="1">
        <f t="array" ref="F170">_xlfn.IFS($B170&lt;$I$74,0,AND($B170&amp;"&gt;="&amp;I$74,$B170&lt;J$74),$I$83,AND($B170&amp;"&gt;="&amp;J$74,$B170&lt;K$74),$J$83,OR($B170=K$74,$B170&gt;$K$74),$K$83)</f>
        <v>2431.0125000000003</v>
      </c>
      <c r="I170"/>
      <c r="J170"/>
    </row>
    <row r="171" spans="2:10" outlineLevel="1">
      <c r="B171" s="995">
        <f t="shared" si="21"/>
        <v>47179</v>
      </c>
      <c r="C171" s="198">
        <f t="shared" si="22"/>
        <v>2029</v>
      </c>
      <c r="D171" s="994">
        <f t="shared" si="19"/>
        <v>0</v>
      </c>
      <c r="E171" s="994">
        <f t="shared" si="20"/>
        <v>0</v>
      </c>
      <c r="F171" s="994" cm="1">
        <f t="array" ref="F171">_xlfn.IFS($B171&lt;$I$74,0,AND($B171&amp;"&gt;="&amp;I$74,$B171&lt;J$74),$I$83,AND($B171&amp;"&gt;="&amp;J$74,$B171&lt;K$74),$J$83,OR($B171=K$74,$B171&gt;$K$74),$K$83)</f>
        <v>2431.0125000000003</v>
      </c>
      <c r="I171"/>
      <c r="J171"/>
    </row>
    <row r="172" spans="2:10" outlineLevel="1">
      <c r="B172" s="995">
        <f t="shared" si="21"/>
        <v>47210</v>
      </c>
      <c r="C172" s="198">
        <f t="shared" si="22"/>
        <v>2029</v>
      </c>
      <c r="D172" s="994">
        <f t="shared" si="19"/>
        <v>0</v>
      </c>
      <c r="E172" s="994">
        <f t="shared" si="20"/>
        <v>0</v>
      </c>
      <c r="F172" s="994" cm="1">
        <f t="array" ref="F172">_xlfn.IFS($B172&lt;$I$74,0,AND($B172&amp;"&gt;="&amp;I$74,$B172&lt;J$74),$I$83,AND($B172&amp;"&gt;="&amp;J$74,$B172&lt;K$74),$J$83,OR($B172=K$74,$B172&gt;$K$74),$K$83)</f>
        <v>2431.0125000000003</v>
      </c>
      <c r="I172"/>
      <c r="J172"/>
    </row>
    <row r="173" spans="2:10" outlineLevel="1">
      <c r="B173" s="995">
        <f t="shared" si="21"/>
        <v>47240</v>
      </c>
      <c r="C173" s="198">
        <f t="shared" si="22"/>
        <v>2029</v>
      </c>
      <c r="D173" s="994">
        <f t="shared" si="19"/>
        <v>0</v>
      </c>
      <c r="E173" s="994">
        <f t="shared" si="20"/>
        <v>0</v>
      </c>
      <c r="F173" s="994" cm="1">
        <f t="array" ref="F173">_xlfn.IFS($B173&lt;$I$74,0,AND($B173&amp;"&gt;="&amp;I$74,$B173&lt;J$74),$I$83,AND($B173&amp;"&gt;="&amp;J$74,$B173&lt;K$74),$J$83,OR($B173=K$74,$B173&gt;$K$74),$K$83)</f>
        <v>2431.0125000000003</v>
      </c>
      <c r="I173"/>
      <c r="J173"/>
    </row>
    <row r="174" spans="2:10" outlineLevel="1">
      <c r="B174" s="995">
        <f t="shared" si="21"/>
        <v>47271</v>
      </c>
      <c r="C174" s="198">
        <f t="shared" si="22"/>
        <v>2029</v>
      </c>
      <c r="D174" s="994">
        <f t="shared" si="19"/>
        <v>0</v>
      </c>
      <c r="E174" s="994">
        <f t="shared" si="20"/>
        <v>0</v>
      </c>
      <c r="F174" s="994" cm="1">
        <f t="array" ref="F174">_xlfn.IFS($B174&lt;$I$74,0,AND($B174&amp;"&gt;="&amp;I$74,$B174&lt;J$74),$I$83,AND($B174&amp;"&gt;="&amp;J$74,$B174&lt;K$74),$J$83,OR($B174=K$74,$B174&gt;$K$74),$K$83)</f>
        <v>2431.0125000000003</v>
      </c>
      <c r="I174"/>
      <c r="J174"/>
    </row>
    <row r="175" spans="2:10" outlineLevel="1">
      <c r="B175" s="995">
        <f t="shared" si="21"/>
        <v>47301</v>
      </c>
      <c r="C175" s="198">
        <f t="shared" si="22"/>
        <v>2029</v>
      </c>
      <c r="D175" s="994">
        <f t="shared" si="19"/>
        <v>0</v>
      </c>
      <c r="E175" s="994">
        <f t="shared" si="20"/>
        <v>0</v>
      </c>
      <c r="F175" s="994" cm="1">
        <f t="array" ref="F175">_xlfn.IFS($B175&lt;$I$74,0,AND($B175&amp;"&gt;="&amp;I$74,$B175&lt;J$74),$I$83,AND($B175&amp;"&gt;="&amp;J$74,$B175&lt;K$74),$J$83,OR($B175=K$74,$B175&gt;$K$74),$K$83)</f>
        <v>2431.0125000000003</v>
      </c>
      <c r="I175"/>
      <c r="J175"/>
    </row>
    <row r="176" spans="2:10" outlineLevel="1">
      <c r="B176" s="995">
        <f t="shared" si="21"/>
        <v>47332</v>
      </c>
      <c r="C176" s="198">
        <f t="shared" si="22"/>
        <v>2029</v>
      </c>
      <c r="D176" s="994">
        <f t="shared" si="19"/>
        <v>0</v>
      </c>
      <c r="E176" s="994">
        <f t="shared" si="20"/>
        <v>0</v>
      </c>
      <c r="F176" s="994" cm="1">
        <f t="array" ref="F176">_xlfn.IFS($B176&lt;$I$74,0,AND($B176&amp;"&gt;="&amp;I$74,$B176&lt;J$74),$I$83,AND($B176&amp;"&gt;="&amp;J$74,$B176&lt;K$74),$J$83,OR($B176=K$74,$B176&gt;$K$74),$K$83)</f>
        <v>2552.5631250000006</v>
      </c>
      <c r="I176"/>
      <c r="J176"/>
    </row>
    <row r="177" spans="2:10" outlineLevel="1">
      <c r="B177" s="995">
        <f t="shared" si="21"/>
        <v>47363</v>
      </c>
      <c r="C177" s="198">
        <f t="shared" si="22"/>
        <v>2029</v>
      </c>
      <c r="D177" s="994">
        <f t="shared" si="19"/>
        <v>0</v>
      </c>
      <c r="E177" s="994">
        <f t="shared" si="20"/>
        <v>0</v>
      </c>
      <c r="F177" s="994" cm="1">
        <f t="array" ref="F177">_xlfn.IFS($B177&lt;$I$74,0,AND($B177&amp;"&gt;="&amp;I$74,$B177&lt;J$74),$I$83,AND($B177&amp;"&gt;="&amp;J$74,$B177&lt;K$74),$J$83,OR($B177=K$74,$B177&gt;$K$74),$K$83)</f>
        <v>2552.5631250000006</v>
      </c>
      <c r="I177"/>
      <c r="J177"/>
    </row>
    <row r="178" spans="2:10" outlineLevel="1">
      <c r="B178" s="995">
        <f t="shared" si="21"/>
        <v>47393</v>
      </c>
      <c r="C178" s="198">
        <f t="shared" si="22"/>
        <v>2029</v>
      </c>
      <c r="D178" s="994">
        <f t="shared" si="19"/>
        <v>0</v>
      </c>
      <c r="E178" s="994">
        <f t="shared" si="20"/>
        <v>0</v>
      </c>
      <c r="F178" s="994" cm="1">
        <f t="array" ref="F178">_xlfn.IFS($B178&lt;$I$74,0,AND($B178&amp;"&gt;="&amp;I$74,$B178&lt;J$74),$I$83,AND($B178&amp;"&gt;="&amp;J$74,$B178&lt;K$74),$J$83,OR($B178=K$74,$B178&gt;$K$74),$K$83)</f>
        <v>2552.5631250000006</v>
      </c>
      <c r="I178"/>
      <c r="J178"/>
    </row>
    <row r="179" spans="2:10" outlineLevel="1">
      <c r="B179" s="995">
        <f t="shared" si="21"/>
        <v>47424</v>
      </c>
      <c r="C179" s="198">
        <f t="shared" si="22"/>
        <v>2029</v>
      </c>
      <c r="D179" s="994">
        <f t="shared" si="19"/>
        <v>0</v>
      </c>
      <c r="E179" s="994">
        <f t="shared" si="20"/>
        <v>0</v>
      </c>
      <c r="F179" s="994" cm="1">
        <f t="array" ref="F179">_xlfn.IFS($B179&lt;$I$74,0,AND($B179&amp;"&gt;="&amp;I$74,$B179&lt;J$74),$I$83,AND($B179&amp;"&gt;="&amp;J$74,$B179&lt;K$74),$J$83,OR($B179=K$74,$B179&gt;$K$74),$K$83)</f>
        <v>2552.5631250000006</v>
      </c>
      <c r="I179"/>
      <c r="J179"/>
    </row>
    <row r="180" spans="2:10" outlineLevel="1">
      <c r="B180" s="995">
        <f t="shared" si="21"/>
        <v>47454</v>
      </c>
      <c r="C180" s="198">
        <f t="shared" si="22"/>
        <v>2029</v>
      </c>
      <c r="D180" s="994">
        <f t="shared" si="19"/>
        <v>0</v>
      </c>
      <c r="E180" s="994">
        <f t="shared" si="20"/>
        <v>0</v>
      </c>
      <c r="F180" s="994" cm="1">
        <f t="array" ref="F180">_xlfn.IFS($B180&lt;$I$74,0,AND($B180&amp;"&gt;="&amp;I$74,$B180&lt;J$74),$I$83,AND($B180&amp;"&gt;="&amp;J$74,$B180&lt;K$74),$J$83,OR($B180=K$74,$B180&gt;$K$74),$K$83)</f>
        <v>2552.5631250000006</v>
      </c>
      <c r="I180"/>
      <c r="J180"/>
    </row>
    <row r="181" spans="2:10" outlineLevel="1">
      <c r="B181" s="995">
        <f t="shared" si="21"/>
        <v>47485</v>
      </c>
      <c r="C181" s="198">
        <f t="shared" si="22"/>
        <v>2030</v>
      </c>
      <c r="D181" s="994">
        <f t="shared" si="19"/>
        <v>0</v>
      </c>
      <c r="E181" s="994">
        <f t="shared" si="20"/>
        <v>0</v>
      </c>
      <c r="F181" s="994" cm="1">
        <f t="array" ref="F181">_xlfn.IFS($B181&lt;$I$74,0,AND($B181&amp;"&gt;="&amp;I$74,$B181&lt;J$74),$I$83,AND($B181&amp;"&gt;="&amp;J$74,$B181&lt;K$74),$J$83,OR($B181=K$74,$B181&gt;$K$74),$K$83)</f>
        <v>2552.5631250000006</v>
      </c>
      <c r="I181"/>
      <c r="J181"/>
    </row>
    <row r="182" spans="2:10" outlineLevel="1">
      <c r="B182" s="995">
        <f t="shared" si="21"/>
        <v>47516</v>
      </c>
      <c r="C182" s="198">
        <f t="shared" si="22"/>
        <v>2030</v>
      </c>
      <c r="D182" s="994">
        <f t="shared" si="19"/>
        <v>0</v>
      </c>
      <c r="E182" s="994">
        <f t="shared" si="20"/>
        <v>0</v>
      </c>
      <c r="F182" s="994" cm="1">
        <f t="array" ref="F182">_xlfn.IFS($B182&lt;$I$74,0,AND($B182&amp;"&gt;="&amp;I$74,$B182&lt;J$74),$I$83,AND($B182&amp;"&gt;="&amp;J$74,$B182&lt;K$74),$J$83,OR($B182=K$74,$B182&gt;$K$74),$K$83)</f>
        <v>2552.5631250000006</v>
      </c>
      <c r="I182"/>
      <c r="J182"/>
    </row>
    <row r="183" spans="2:10" outlineLevel="1">
      <c r="B183" s="995">
        <f t="shared" si="21"/>
        <v>47544</v>
      </c>
      <c r="C183" s="198">
        <f t="shared" si="22"/>
        <v>2030</v>
      </c>
      <c r="D183" s="994">
        <f t="shared" si="19"/>
        <v>0</v>
      </c>
      <c r="E183" s="994">
        <f t="shared" si="20"/>
        <v>0</v>
      </c>
      <c r="F183" s="994" cm="1">
        <f t="array" ref="F183">_xlfn.IFS($B183&lt;$I$74,0,AND($B183&amp;"&gt;="&amp;I$74,$B183&lt;J$74),$I$83,AND($B183&amp;"&gt;="&amp;J$74,$B183&lt;K$74),$J$83,OR($B183=K$74,$B183&gt;$K$74),$K$83)</f>
        <v>2552.5631250000006</v>
      </c>
      <c r="I183"/>
      <c r="J183"/>
    </row>
    <row r="184" spans="2:10" outlineLevel="1">
      <c r="B184" s="995">
        <f t="shared" si="21"/>
        <v>47575</v>
      </c>
      <c r="C184" s="198">
        <f t="shared" si="22"/>
        <v>2030</v>
      </c>
      <c r="D184" s="994">
        <f t="shared" si="19"/>
        <v>0</v>
      </c>
      <c r="E184" s="994">
        <f t="shared" si="20"/>
        <v>0</v>
      </c>
      <c r="F184" s="994" cm="1">
        <f t="array" ref="F184">_xlfn.IFS($B184&lt;$I$74,0,AND($B184&amp;"&gt;="&amp;I$74,$B184&lt;J$74),$I$83,AND($B184&amp;"&gt;="&amp;J$74,$B184&lt;K$74),$J$83,OR($B184=K$74,$B184&gt;$K$74),$K$83)</f>
        <v>2552.5631250000006</v>
      </c>
      <c r="I184"/>
      <c r="J184"/>
    </row>
    <row r="185" spans="2:10" outlineLevel="1">
      <c r="B185" s="995">
        <f t="shared" si="21"/>
        <v>47605</v>
      </c>
      <c r="C185" s="198">
        <f t="shared" si="22"/>
        <v>2030</v>
      </c>
      <c r="D185" s="994">
        <f t="shared" si="19"/>
        <v>0</v>
      </c>
      <c r="E185" s="994">
        <f t="shared" si="20"/>
        <v>0</v>
      </c>
      <c r="F185" s="994" cm="1">
        <f t="array" ref="F185">_xlfn.IFS($B185&lt;$I$74,0,AND($B185&amp;"&gt;="&amp;I$74,$B185&lt;J$74),$I$83,AND($B185&amp;"&gt;="&amp;J$74,$B185&lt;K$74),$J$83,OR($B185=K$74,$B185&gt;$K$74),$K$83)</f>
        <v>2552.5631250000006</v>
      </c>
      <c r="I185"/>
      <c r="J185"/>
    </row>
    <row r="186" spans="2:10" outlineLevel="1">
      <c r="B186" s="995">
        <f t="shared" si="21"/>
        <v>47636</v>
      </c>
      <c r="C186" s="198">
        <f t="shared" si="22"/>
        <v>2030</v>
      </c>
      <c r="D186" s="994">
        <f t="shared" si="19"/>
        <v>0</v>
      </c>
      <c r="E186" s="994">
        <f t="shared" si="20"/>
        <v>0</v>
      </c>
      <c r="F186" s="994" cm="1">
        <f t="array" ref="F186">_xlfn.IFS($B186&lt;$I$74,0,AND($B186&amp;"&gt;="&amp;I$74,$B186&lt;J$74),$I$83,AND($B186&amp;"&gt;="&amp;J$74,$B186&lt;K$74),$J$83,OR($B186=K$74,$B186&gt;$K$74),$K$83)</f>
        <v>2552.5631250000006</v>
      </c>
      <c r="I186"/>
      <c r="J186"/>
    </row>
    <row r="187" spans="2:10" outlineLevel="1">
      <c r="B187" s="995">
        <f t="shared" si="21"/>
        <v>47666</v>
      </c>
      <c r="C187" s="198">
        <f t="shared" si="22"/>
        <v>2030</v>
      </c>
      <c r="D187" s="994">
        <f t="shared" si="19"/>
        <v>0</v>
      </c>
      <c r="E187" s="994">
        <f t="shared" si="20"/>
        <v>0</v>
      </c>
      <c r="F187" s="994" cm="1">
        <f t="array" ref="F187">_xlfn.IFS($B187&lt;$I$74,0,AND($B187&amp;"&gt;="&amp;I$74,$B187&lt;J$74),$I$83,AND($B187&amp;"&gt;="&amp;J$74,$B187&lt;K$74),$J$83,OR($B187=K$74,$B187&gt;$K$74),$K$83)</f>
        <v>2552.5631250000006</v>
      </c>
      <c r="I187"/>
      <c r="J187"/>
    </row>
    <row r="188" spans="2:10" outlineLevel="1">
      <c r="B188" s="995">
        <f t="shared" si="21"/>
        <v>47697</v>
      </c>
      <c r="C188" s="198">
        <f t="shared" si="22"/>
        <v>2030</v>
      </c>
      <c r="D188" s="994">
        <f t="shared" ref="D188:D205" si="23">IF(AND(E$48&lt;=$B188,$B188&lt;E$49),$E$52,0)</f>
        <v>0</v>
      </c>
      <c r="E188" s="994">
        <f t="shared" ref="E188:E205" si="24">IF(OR($B188&lt;$D$74,$B188&gt;$I$74,$B188=$I$74),0,$D$83)</f>
        <v>0</v>
      </c>
      <c r="F188" s="994" cm="1">
        <f t="array" ref="F188">_xlfn.IFS($B188&lt;$I$74,0,AND($B188&amp;"&gt;="&amp;I$74,$B188&lt;J$74),$I$83,AND($B188&amp;"&gt;="&amp;J$74,$B188&lt;K$74),$J$83,OR($B188=K$74,$B188&gt;$K$74),$K$83)</f>
        <v>2552.5631250000006</v>
      </c>
      <c r="I188"/>
      <c r="J188"/>
    </row>
    <row r="189" spans="2:10" outlineLevel="1">
      <c r="B189" s="995">
        <f t="shared" si="21"/>
        <v>47728</v>
      </c>
      <c r="C189" s="198">
        <f t="shared" si="22"/>
        <v>2030</v>
      </c>
      <c r="D189" s="994">
        <f t="shared" si="23"/>
        <v>0</v>
      </c>
      <c r="E189" s="994">
        <f t="shared" si="24"/>
        <v>0</v>
      </c>
      <c r="F189" s="994" cm="1">
        <f t="array" ref="F189">_xlfn.IFS($B189&lt;$I$74,0,AND($B189&amp;"&gt;="&amp;I$74,$B189&lt;J$74),$I$83,AND($B189&amp;"&gt;="&amp;J$74,$B189&lt;K$74),$J$83,OR($B189=K$74,$B189&gt;$K$74),$K$83)</f>
        <v>2552.5631250000006</v>
      </c>
      <c r="I189"/>
      <c r="J189"/>
    </row>
    <row r="190" spans="2:10" outlineLevel="1">
      <c r="B190" s="995">
        <f t="shared" si="21"/>
        <v>47758</v>
      </c>
      <c r="C190" s="198">
        <f t="shared" si="22"/>
        <v>2030</v>
      </c>
      <c r="D190" s="994">
        <f t="shared" si="23"/>
        <v>0</v>
      </c>
      <c r="E190" s="994">
        <f t="shared" si="24"/>
        <v>0</v>
      </c>
      <c r="F190" s="994" cm="1">
        <f t="array" ref="F190">_xlfn.IFS($B190&lt;$I$74,0,AND($B190&amp;"&gt;="&amp;I$74,$B190&lt;J$74),$I$83,AND($B190&amp;"&gt;="&amp;J$74,$B190&lt;K$74),$J$83,OR($B190=K$74,$B190&gt;$K$74),$K$83)</f>
        <v>2552.5631250000006</v>
      </c>
      <c r="I190"/>
      <c r="J190"/>
    </row>
    <row r="191" spans="2:10" outlineLevel="1">
      <c r="B191" s="995">
        <f t="shared" si="21"/>
        <v>47789</v>
      </c>
      <c r="C191" s="198">
        <f t="shared" si="22"/>
        <v>2030</v>
      </c>
      <c r="D191" s="994">
        <f t="shared" si="23"/>
        <v>0</v>
      </c>
      <c r="E191" s="994">
        <f t="shared" si="24"/>
        <v>0</v>
      </c>
      <c r="F191" s="994" cm="1">
        <f t="array" ref="F191">_xlfn.IFS($B191&lt;$I$74,0,AND($B191&amp;"&gt;="&amp;I$74,$B191&lt;J$74),$I$83,AND($B191&amp;"&gt;="&amp;J$74,$B191&lt;K$74),$J$83,OR($B191=K$74,$B191&gt;$K$74),$K$83)</f>
        <v>2552.5631250000006</v>
      </c>
      <c r="I191"/>
      <c r="J191"/>
    </row>
    <row r="192" spans="2:10" outlineLevel="1">
      <c r="B192" s="995">
        <f t="shared" si="21"/>
        <v>47819</v>
      </c>
      <c r="C192" s="198">
        <f t="shared" si="22"/>
        <v>2030</v>
      </c>
      <c r="D192" s="994">
        <f t="shared" si="23"/>
        <v>0</v>
      </c>
      <c r="E192" s="994">
        <f t="shared" si="24"/>
        <v>0</v>
      </c>
      <c r="F192" s="994" cm="1">
        <f t="array" ref="F192">_xlfn.IFS($B192&lt;$I$74,0,AND($B192&amp;"&gt;="&amp;I$74,$B192&lt;J$74),$I$83,AND($B192&amp;"&gt;="&amp;J$74,$B192&lt;K$74),$J$83,OR($B192=K$74,$B192&gt;$K$74),$K$83)</f>
        <v>2552.5631250000006</v>
      </c>
      <c r="I192"/>
      <c r="J192"/>
    </row>
    <row r="193" spans="1:10" outlineLevel="1">
      <c r="B193" s="995">
        <f t="shared" si="21"/>
        <v>47850</v>
      </c>
      <c r="C193" s="198">
        <f t="shared" si="22"/>
        <v>2031</v>
      </c>
      <c r="D193" s="994">
        <f t="shared" si="23"/>
        <v>0</v>
      </c>
      <c r="E193" s="994">
        <f t="shared" si="24"/>
        <v>0</v>
      </c>
      <c r="F193" s="994" cm="1">
        <f t="array" ref="F193">_xlfn.IFS($B193&lt;$I$74,0,AND($B193&amp;"&gt;="&amp;I$74,$B193&lt;J$74),$I$83,AND($B193&amp;"&gt;="&amp;J$74,$B193&lt;K$74),$J$83,OR($B193=K$74,$B193&gt;$K$74),$K$83)</f>
        <v>2552.5631250000006</v>
      </c>
      <c r="I193"/>
      <c r="J193"/>
    </row>
    <row r="194" spans="1:10" outlineLevel="1">
      <c r="B194" s="995">
        <f t="shared" si="21"/>
        <v>47881</v>
      </c>
      <c r="C194" s="198">
        <f t="shared" si="22"/>
        <v>2031</v>
      </c>
      <c r="D194" s="994">
        <f t="shared" si="23"/>
        <v>0</v>
      </c>
      <c r="E194" s="994">
        <f t="shared" si="24"/>
        <v>0</v>
      </c>
      <c r="F194" s="994" cm="1">
        <f t="array" ref="F194">_xlfn.IFS($B194&lt;$I$74,0,AND($B194&amp;"&gt;="&amp;I$74,$B194&lt;J$74),$I$83,AND($B194&amp;"&gt;="&amp;J$74,$B194&lt;K$74),$J$83,OR($B194=K$74,$B194&gt;$K$74),$K$83)</f>
        <v>2552.5631250000006</v>
      </c>
      <c r="I194"/>
      <c r="J194"/>
    </row>
    <row r="195" spans="1:10" outlineLevel="1">
      <c r="B195" s="995">
        <f t="shared" si="21"/>
        <v>47909</v>
      </c>
      <c r="C195" s="198">
        <f t="shared" si="22"/>
        <v>2031</v>
      </c>
      <c r="D195" s="994">
        <f t="shared" si="23"/>
        <v>0</v>
      </c>
      <c r="E195" s="994">
        <f t="shared" si="24"/>
        <v>0</v>
      </c>
      <c r="F195" s="994" cm="1">
        <f t="array" ref="F195">_xlfn.IFS($B195&lt;$I$74,0,AND($B195&amp;"&gt;="&amp;I$74,$B195&lt;J$74),$I$83,AND($B195&amp;"&gt;="&amp;J$74,$B195&lt;K$74),$J$83,OR($B195=K$74,$B195&gt;$K$74),$K$83)</f>
        <v>2552.5631250000006</v>
      </c>
      <c r="I195"/>
      <c r="J195"/>
    </row>
    <row r="196" spans="1:10" outlineLevel="1">
      <c r="B196" s="995">
        <f t="shared" si="21"/>
        <v>47940</v>
      </c>
      <c r="C196" s="198">
        <f t="shared" si="22"/>
        <v>2031</v>
      </c>
      <c r="D196" s="994">
        <f t="shared" si="23"/>
        <v>0</v>
      </c>
      <c r="E196" s="994">
        <f t="shared" si="24"/>
        <v>0</v>
      </c>
      <c r="F196" s="994" cm="1">
        <f t="array" ref="F196">_xlfn.IFS($B196&lt;$I$74,0,AND($B196&amp;"&gt;="&amp;I$74,$B196&lt;J$74),$I$83,AND($B196&amp;"&gt;="&amp;J$74,$B196&lt;K$74),$J$83,OR($B196=K$74,$B196&gt;$K$74),$K$83)</f>
        <v>2552.5631250000006</v>
      </c>
      <c r="I196"/>
      <c r="J196"/>
    </row>
    <row r="197" spans="1:10" outlineLevel="1">
      <c r="B197" s="995">
        <f t="shared" si="21"/>
        <v>47970</v>
      </c>
      <c r="C197" s="198">
        <f t="shared" si="22"/>
        <v>2031</v>
      </c>
      <c r="D197" s="994">
        <f t="shared" si="23"/>
        <v>0</v>
      </c>
      <c r="E197" s="994">
        <f t="shared" si="24"/>
        <v>0</v>
      </c>
      <c r="F197" s="994" cm="1">
        <f t="array" ref="F197">_xlfn.IFS($B197&lt;$I$74,0,AND($B197&amp;"&gt;="&amp;I$74,$B197&lt;J$74),$I$83,AND($B197&amp;"&gt;="&amp;J$74,$B197&lt;K$74),$J$83,OR($B197=K$74,$B197&gt;$K$74),$K$83)</f>
        <v>2552.5631250000006</v>
      </c>
      <c r="I197"/>
      <c r="J197"/>
    </row>
    <row r="198" spans="1:10" outlineLevel="1">
      <c r="B198" s="995">
        <f t="shared" si="21"/>
        <v>48001</v>
      </c>
      <c r="C198" s="198">
        <f t="shared" si="22"/>
        <v>2031</v>
      </c>
      <c r="D198" s="994">
        <f t="shared" si="23"/>
        <v>0</v>
      </c>
      <c r="E198" s="994">
        <f t="shared" si="24"/>
        <v>0</v>
      </c>
      <c r="F198" s="994" cm="1">
        <f t="array" ref="F198">_xlfn.IFS($B198&lt;$I$74,0,AND($B198&amp;"&gt;="&amp;I$74,$B198&lt;J$74),$I$83,AND($B198&amp;"&gt;="&amp;J$74,$B198&lt;K$74),$J$83,OR($B198=K$74,$B198&gt;$K$74),$K$83)</f>
        <v>2552.5631250000006</v>
      </c>
      <c r="I198"/>
      <c r="J198"/>
    </row>
    <row r="199" spans="1:10" outlineLevel="1">
      <c r="B199" s="995">
        <f t="shared" si="21"/>
        <v>48031</v>
      </c>
      <c r="C199" s="198">
        <f t="shared" si="22"/>
        <v>2031</v>
      </c>
      <c r="D199" s="994">
        <f t="shared" si="23"/>
        <v>0</v>
      </c>
      <c r="E199" s="994">
        <f t="shared" si="24"/>
        <v>0</v>
      </c>
      <c r="F199" s="994" cm="1">
        <f t="array" ref="F199">_xlfn.IFS($B199&lt;$I$74,0,AND($B199&amp;"&gt;="&amp;I$74,$B199&lt;J$74),$I$83,AND($B199&amp;"&gt;="&amp;J$74,$B199&lt;K$74),$J$83,OR($B199=K$74,$B199&gt;$K$74),$K$83)</f>
        <v>2552.5631250000006</v>
      </c>
      <c r="I199"/>
      <c r="J199"/>
    </row>
    <row r="200" spans="1:10" outlineLevel="1">
      <c r="B200" s="995">
        <f t="shared" si="21"/>
        <v>48062</v>
      </c>
      <c r="C200" s="198">
        <f t="shared" si="22"/>
        <v>2031</v>
      </c>
      <c r="D200" s="994">
        <f t="shared" si="23"/>
        <v>0</v>
      </c>
      <c r="E200" s="994">
        <f t="shared" si="24"/>
        <v>0</v>
      </c>
      <c r="F200" s="994" cm="1">
        <f t="array" ref="F200">_xlfn.IFS($B200&lt;$I$74,0,AND($B200&amp;"&gt;="&amp;I$74,$B200&lt;J$74),$I$83,AND($B200&amp;"&gt;="&amp;J$74,$B200&lt;K$74),$J$83,OR($B200=K$74,$B200&gt;$K$74),$K$83)</f>
        <v>2552.5631250000006</v>
      </c>
      <c r="I200"/>
      <c r="J200"/>
    </row>
    <row r="201" spans="1:10" outlineLevel="1">
      <c r="B201" s="995">
        <f t="shared" si="21"/>
        <v>48093</v>
      </c>
      <c r="C201" s="198">
        <f t="shared" si="22"/>
        <v>2031</v>
      </c>
      <c r="D201" s="994">
        <f t="shared" si="23"/>
        <v>0</v>
      </c>
      <c r="E201" s="994">
        <f t="shared" si="24"/>
        <v>0</v>
      </c>
      <c r="F201" s="994" cm="1">
        <f t="array" ref="F201">_xlfn.IFS($B201&lt;$I$74,0,AND($B201&amp;"&gt;="&amp;I$74,$B201&lt;J$74),$I$83,AND($B201&amp;"&gt;="&amp;J$74,$B201&lt;K$74),$J$83,OR($B201=K$74,$B201&gt;$K$74),$K$83)</f>
        <v>2552.5631250000006</v>
      </c>
      <c r="I201"/>
      <c r="J201"/>
    </row>
    <row r="202" spans="1:10" outlineLevel="1">
      <c r="B202" s="995">
        <f t="shared" si="21"/>
        <v>48123</v>
      </c>
      <c r="C202" s="198">
        <f t="shared" si="22"/>
        <v>2031</v>
      </c>
      <c r="D202" s="994">
        <f t="shared" si="23"/>
        <v>0</v>
      </c>
      <c r="E202" s="994">
        <f t="shared" si="24"/>
        <v>0</v>
      </c>
      <c r="F202" s="994" cm="1">
        <f t="array" ref="F202">_xlfn.IFS($B202&lt;$I$74,0,AND($B202&amp;"&gt;="&amp;I$74,$B202&lt;J$74),$I$83,AND($B202&amp;"&gt;="&amp;J$74,$B202&lt;K$74),$J$83,OR($B202=K$74,$B202&gt;$K$74),$K$83)</f>
        <v>2552.5631250000006</v>
      </c>
      <c r="I202"/>
      <c r="J202"/>
    </row>
    <row r="203" spans="1:10" outlineLevel="1">
      <c r="B203" s="995">
        <f t="shared" si="21"/>
        <v>48154</v>
      </c>
      <c r="C203" s="198">
        <f t="shared" si="22"/>
        <v>2031</v>
      </c>
      <c r="D203" s="994">
        <f t="shared" si="23"/>
        <v>0</v>
      </c>
      <c r="E203" s="994">
        <f t="shared" si="24"/>
        <v>0</v>
      </c>
      <c r="F203" s="994" cm="1">
        <f t="array" ref="F203">_xlfn.IFS($B203&lt;$I$74,0,AND($B203&amp;"&gt;="&amp;I$74,$B203&lt;J$74),$I$83,AND($B203&amp;"&gt;="&amp;J$74,$B203&lt;K$74),$J$83,OR($B203=K$74,$B203&gt;$K$74),$K$83)</f>
        <v>2552.5631250000006</v>
      </c>
      <c r="I203"/>
      <c r="J203"/>
    </row>
    <row r="204" spans="1:10" outlineLevel="1">
      <c r="B204" s="995">
        <f t="shared" si="21"/>
        <v>48184</v>
      </c>
      <c r="C204" s="198">
        <f t="shared" si="22"/>
        <v>2031</v>
      </c>
      <c r="D204" s="994">
        <f t="shared" si="23"/>
        <v>0</v>
      </c>
      <c r="E204" s="994">
        <f t="shared" si="24"/>
        <v>0</v>
      </c>
      <c r="F204" s="994" cm="1">
        <f t="array" ref="F204">_xlfn.IFS($B204&lt;$I$74,0,AND($B204&amp;"&gt;="&amp;I$74,$B204&lt;J$74),$I$83,AND($B204&amp;"&gt;="&amp;J$74,$B204&lt;K$74),$J$83,OR($B204=K$74,$B204&gt;$K$74),$K$83)</f>
        <v>2552.5631250000006</v>
      </c>
      <c r="I204"/>
      <c r="J204"/>
    </row>
    <row r="205" spans="1:10" outlineLevel="1">
      <c r="B205" s="995">
        <f t="shared" si="21"/>
        <v>48215</v>
      </c>
      <c r="C205" s="198">
        <f t="shared" si="22"/>
        <v>2032</v>
      </c>
      <c r="D205" s="994">
        <f t="shared" si="23"/>
        <v>0</v>
      </c>
      <c r="E205" s="994">
        <f t="shared" si="24"/>
        <v>0</v>
      </c>
      <c r="F205" s="994" cm="1">
        <f t="array" ref="F205">_xlfn.IFS($B205&lt;$I$74,0,AND($B205&amp;"&gt;="&amp;I$74,$B205&lt;J$74),$I$83,AND($B205&amp;"&gt;="&amp;J$74,$B205&lt;K$74),$J$83,OR($B205=K$74,$B205&gt;$K$74),$K$83)</f>
        <v>2552.5631250000006</v>
      </c>
      <c r="I205"/>
      <c r="J205"/>
    </row>
    <row r="206" spans="1:10" outlineLevel="1">
      <c r="B206" s="996"/>
      <c r="C206" s="192"/>
      <c r="D206" s="168"/>
      <c r="E206" s="168"/>
    </row>
    <row r="207" spans="1:10">
      <c r="D207" s="168"/>
      <c r="E207" s="168"/>
    </row>
    <row r="208" spans="1:10">
      <c r="A208" s="168"/>
      <c r="D208" s="168"/>
      <c r="E208" s="168"/>
    </row>
    <row r="209" spans="4:5" ht="4.5" customHeight="1">
      <c r="D209" s="168"/>
      <c r="E209" s="168"/>
    </row>
    <row r="219" spans="4:5">
      <c r="E219" s="481"/>
    </row>
  </sheetData>
  <sheetProtection algorithmName="SHA-512" hashValue="SRMkqPRiQP4L725cgklluVE3Wmvwb9lI4KgR7s0r/NONMXwzu3JjqUE1GXBE/CmB6thzhYvjFIMENGgSiE+QfQ==" saltValue="r0n0iiOdjNRtBDi6tW1viA==" spinCount="100000" sheet="1" objects="1" scenarios="1"/>
  <mergeCells count="2">
    <mergeCell ref="B90:B91"/>
    <mergeCell ref="C90:C91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33BC0-01BB-4638-8382-92C4029536A8}">
  <sheetPr>
    <outlinePr summaryBelow="0"/>
    <pageSetUpPr autoPageBreaks="0"/>
  </sheetPr>
  <dimension ref="A1:AO113"/>
  <sheetViews>
    <sheetView showGridLines="0" zoomScale="80" zoomScaleNormal="80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N111" sqref="N111"/>
    </sheetView>
  </sheetViews>
  <sheetFormatPr defaultColWidth="8.7265625" defaultRowHeight="14.5" outlineLevelRow="3"/>
  <cols>
    <col min="1" max="1" width="1.54296875" style="517" customWidth="1"/>
    <col min="2" max="6" width="14.7265625" style="517" customWidth="1"/>
    <col min="7" max="7" width="5.7265625" style="468" customWidth="1"/>
    <col min="8" max="37" width="11" style="517" customWidth="1"/>
    <col min="38" max="38" width="3.54296875" style="517" customWidth="1"/>
    <col min="39" max="41" width="10.1796875" style="517" customWidth="1"/>
    <col min="42" max="16384" width="8.7265625" style="517"/>
  </cols>
  <sheetData>
    <row r="1" spans="1:41" ht="5.25" customHeight="1"/>
    <row r="2" spans="1:41" ht="17">
      <c r="B2" s="270" t="s">
        <v>335</v>
      </c>
    </row>
    <row r="3" spans="1:41" ht="5.15" customHeight="1" thickBot="1">
      <c r="B3" s="1"/>
      <c r="C3" s="1"/>
    </row>
    <row r="4" spans="1:41" ht="5.25" customHeight="1">
      <c r="B4" s="272"/>
      <c r="C4" s="272"/>
      <c r="D4" s="276"/>
      <c r="E4" s="276"/>
      <c r="F4" s="276"/>
      <c r="G4" s="469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6"/>
      <c r="T4" s="276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6"/>
      <c r="AL4" s="276"/>
      <c r="AM4" s="276"/>
      <c r="AN4" s="276"/>
      <c r="AO4" s="276"/>
    </row>
    <row r="5" spans="1:41">
      <c r="B5" s="1" t="s">
        <v>511</v>
      </c>
      <c r="C5" s="925">
        <f>closing_date</f>
        <v>44775</v>
      </c>
      <c r="G5" s="517"/>
    </row>
    <row r="6" spans="1:41" ht="6" customHeight="1" outlineLevel="1">
      <c r="C6" s="860"/>
      <c r="G6" s="517"/>
    </row>
    <row r="7" spans="1:41" outlineLevel="1">
      <c r="B7" s="517" t="s">
        <v>152</v>
      </c>
      <c r="C7" s="860"/>
      <c r="G7" s="517"/>
      <c r="H7" s="468">
        <f>YEAR(H$9)</f>
        <v>2022</v>
      </c>
      <c r="I7" s="468">
        <f t="shared" ref="I7:AK7" si="0">YEAR(I$9)</f>
        <v>2022</v>
      </c>
      <c r="J7" s="468">
        <f t="shared" si="0"/>
        <v>2022</v>
      </c>
      <c r="K7" s="468">
        <f t="shared" si="0"/>
        <v>2022</v>
      </c>
      <c r="L7" s="468">
        <f t="shared" si="0"/>
        <v>2023</v>
      </c>
      <c r="M7" s="468">
        <f t="shared" si="0"/>
        <v>2023</v>
      </c>
      <c r="N7" s="468">
        <f t="shared" si="0"/>
        <v>2023</v>
      </c>
      <c r="O7" s="468">
        <f t="shared" si="0"/>
        <v>2023</v>
      </c>
      <c r="P7" s="468">
        <f t="shared" si="0"/>
        <v>2023</v>
      </c>
      <c r="Q7" s="468">
        <f t="shared" si="0"/>
        <v>2023</v>
      </c>
      <c r="R7" s="468">
        <f t="shared" si="0"/>
        <v>2023</v>
      </c>
      <c r="S7" s="468">
        <f t="shared" si="0"/>
        <v>2023</v>
      </c>
      <c r="T7" s="468">
        <f t="shared" si="0"/>
        <v>2023</v>
      </c>
      <c r="U7" s="468">
        <f t="shared" si="0"/>
        <v>2023</v>
      </c>
      <c r="V7" s="468">
        <f t="shared" si="0"/>
        <v>2023</v>
      </c>
      <c r="W7" s="468">
        <f t="shared" si="0"/>
        <v>2023</v>
      </c>
      <c r="X7" s="468">
        <f t="shared" si="0"/>
        <v>2024</v>
      </c>
      <c r="Y7" s="468">
        <f t="shared" si="0"/>
        <v>2024</v>
      </c>
      <c r="Z7" s="468">
        <f t="shared" si="0"/>
        <v>2024</v>
      </c>
      <c r="AA7" s="468">
        <f t="shared" si="0"/>
        <v>2024</v>
      </c>
      <c r="AB7" s="468">
        <f t="shared" si="0"/>
        <v>2024</v>
      </c>
      <c r="AC7" s="468">
        <f t="shared" si="0"/>
        <v>2024</v>
      </c>
      <c r="AD7" s="468">
        <f t="shared" si="0"/>
        <v>2024</v>
      </c>
      <c r="AE7" s="468">
        <f t="shared" si="0"/>
        <v>2024</v>
      </c>
      <c r="AF7" s="468">
        <f t="shared" si="0"/>
        <v>2024</v>
      </c>
      <c r="AG7" s="468">
        <f t="shared" si="0"/>
        <v>2024</v>
      </c>
      <c r="AH7" s="468">
        <f t="shared" si="0"/>
        <v>2024</v>
      </c>
      <c r="AI7" s="468">
        <f t="shared" si="0"/>
        <v>2024</v>
      </c>
      <c r="AJ7" s="468">
        <f t="shared" si="0"/>
        <v>2025</v>
      </c>
      <c r="AK7" s="468">
        <f t="shared" si="0"/>
        <v>2025</v>
      </c>
    </row>
    <row r="8" spans="1:41" ht="16" outlineLevel="1">
      <c r="A8" s="380"/>
      <c r="B8" s="296" t="s">
        <v>515</v>
      </c>
      <c r="C8" s="380"/>
      <c r="D8" s="380"/>
      <c r="E8" s="380"/>
      <c r="F8" s="380"/>
      <c r="G8" s="380"/>
      <c r="H8" s="865">
        <v>1</v>
      </c>
      <c r="I8" s="468">
        <f>H8+1</f>
        <v>2</v>
      </c>
      <c r="J8" s="468">
        <f t="shared" ref="J8:AK8" si="1">I8+1</f>
        <v>3</v>
      </c>
      <c r="K8" s="468">
        <f t="shared" si="1"/>
        <v>4</v>
      </c>
      <c r="L8" s="468">
        <f t="shared" si="1"/>
        <v>5</v>
      </c>
      <c r="M8" s="468">
        <f t="shared" si="1"/>
        <v>6</v>
      </c>
      <c r="N8" s="468">
        <f t="shared" si="1"/>
        <v>7</v>
      </c>
      <c r="O8" s="468">
        <f t="shared" si="1"/>
        <v>8</v>
      </c>
      <c r="P8" s="468">
        <f t="shared" si="1"/>
        <v>9</v>
      </c>
      <c r="Q8" s="468">
        <f t="shared" si="1"/>
        <v>10</v>
      </c>
      <c r="R8" s="468">
        <f t="shared" si="1"/>
        <v>11</v>
      </c>
      <c r="S8" s="468">
        <f t="shared" si="1"/>
        <v>12</v>
      </c>
      <c r="T8" s="468">
        <f t="shared" si="1"/>
        <v>13</v>
      </c>
      <c r="U8" s="468">
        <f t="shared" si="1"/>
        <v>14</v>
      </c>
      <c r="V8" s="468">
        <f t="shared" si="1"/>
        <v>15</v>
      </c>
      <c r="W8" s="468">
        <f t="shared" si="1"/>
        <v>16</v>
      </c>
      <c r="X8" s="468">
        <f t="shared" si="1"/>
        <v>17</v>
      </c>
      <c r="Y8" s="468">
        <f t="shared" si="1"/>
        <v>18</v>
      </c>
      <c r="Z8" s="468">
        <f t="shared" si="1"/>
        <v>19</v>
      </c>
      <c r="AA8" s="468">
        <f t="shared" si="1"/>
        <v>20</v>
      </c>
      <c r="AB8" s="468">
        <f t="shared" si="1"/>
        <v>21</v>
      </c>
      <c r="AC8" s="468">
        <f t="shared" si="1"/>
        <v>22</v>
      </c>
      <c r="AD8" s="468">
        <f t="shared" si="1"/>
        <v>23</v>
      </c>
      <c r="AE8" s="468">
        <f t="shared" si="1"/>
        <v>24</v>
      </c>
      <c r="AF8" s="468">
        <f t="shared" si="1"/>
        <v>25</v>
      </c>
      <c r="AG8" s="468">
        <f t="shared" si="1"/>
        <v>26</v>
      </c>
      <c r="AH8" s="468">
        <f t="shared" si="1"/>
        <v>27</v>
      </c>
      <c r="AI8" s="468">
        <f t="shared" si="1"/>
        <v>28</v>
      </c>
      <c r="AJ8" s="468">
        <f t="shared" si="1"/>
        <v>29</v>
      </c>
      <c r="AK8" s="468">
        <f t="shared" si="1"/>
        <v>30</v>
      </c>
      <c r="AL8" s="380"/>
      <c r="AM8" s="160" t="s">
        <v>844</v>
      </c>
      <c r="AN8" s="160"/>
      <c r="AO8" s="160"/>
    </row>
    <row r="9" spans="1:41">
      <c r="A9" s="6"/>
      <c r="B9" s="26"/>
      <c r="C9" s="6"/>
      <c r="D9" s="6"/>
      <c r="E9" s="6"/>
      <c r="F9" s="6"/>
      <c r="G9" s="6"/>
      <c r="H9" s="866">
        <f>EDATE($C$5,H$8)</f>
        <v>44806</v>
      </c>
      <c r="I9" s="866">
        <f t="shared" ref="I9:AK9" si="2">EDATE($C$5,I$8)</f>
        <v>44836</v>
      </c>
      <c r="J9" s="866">
        <f t="shared" si="2"/>
        <v>44867</v>
      </c>
      <c r="K9" s="866">
        <f t="shared" si="2"/>
        <v>44897</v>
      </c>
      <c r="L9" s="866">
        <f t="shared" si="2"/>
        <v>44928</v>
      </c>
      <c r="M9" s="866">
        <f t="shared" si="2"/>
        <v>44959</v>
      </c>
      <c r="N9" s="866">
        <f t="shared" si="2"/>
        <v>44987</v>
      </c>
      <c r="O9" s="866">
        <f t="shared" si="2"/>
        <v>45018</v>
      </c>
      <c r="P9" s="866">
        <f t="shared" si="2"/>
        <v>45048</v>
      </c>
      <c r="Q9" s="866">
        <f t="shared" si="2"/>
        <v>45079</v>
      </c>
      <c r="R9" s="866">
        <f t="shared" si="2"/>
        <v>45109</v>
      </c>
      <c r="S9" s="866">
        <f t="shared" si="2"/>
        <v>45140</v>
      </c>
      <c r="T9" s="866">
        <f t="shared" si="2"/>
        <v>45171</v>
      </c>
      <c r="U9" s="866">
        <f t="shared" si="2"/>
        <v>45201</v>
      </c>
      <c r="V9" s="866">
        <f t="shared" si="2"/>
        <v>45232</v>
      </c>
      <c r="W9" s="866">
        <f t="shared" si="2"/>
        <v>45262</v>
      </c>
      <c r="X9" s="866">
        <f t="shared" si="2"/>
        <v>45293</v>
      </c>
      <c r="Y9" s="866">
        <f t="shared" si="2"/>
        <v>45324</v>
      </c>
      <c r="Z9" s="866">
        <f t="shared" si="2"/>
        <v>45353</v>
      </c>
      <c r="AA9" s="866">
        <f t="shared" si="2"/>
        <v>45384</v>
      </c>
      <c r="AB9" s="866">
        <f t="shared" si="2"/>
        <v>45414</v>
      </c>
      <c r="AC9" s="866">
        <f t="shared" si="2"/>
        <v>45445</v>
      </c>
      <c r="AD9" s="866">
        <f t="shared" si="2"/>
        <v>45475</v>
      </c>
      <c r="AE9" s="866">
        <f t="shared" si="2"/>
        <v>45506</v>
      </c>
      <c r="AF9" s="866">
        <f t="shared" si="2"/>
        <v>45537</v>
      </c>
      <c r="AG9" s="866">
        <f t="shared" si="2"/>
        <v>45567</v>
      </c>
      <c r="AH9" s="866">
        <f t="shared" si="2"/>
        <v>45598</v>
      </c>
      <c r="AI9" s="866">
        <f t="shared" si="2"/>
        <v>45628</v>
      </c>
      <c r="AJ9" s="866">
        <f t="shared" si="2"/>
        <v>45659</v>
      </c>
      <c r="AK9" s="866">
        <f t="shared" si="2"/>
        <v>45690</v>
      </c>
      <c r="AL9" s="6"/>
      <c r="AM9" s="6">
        <f>YEAR($C$5)</f>
        <v>2022</v>
      </c>
      <c r="AN9" s="6">
        <f>AM9+1</f>
        <v>2023</v>
      </c>
      <c r="AO9" s="6">
        <f>AN9+1</f>
        <v>2024</v>
      </c>
    </row>
    <row r="10" spans="1:41" ht="4.5" customHeight="1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</row>
    <row r="11" spans="1:41">
      <c r="G11" s="517"/>
    </row>
    <row r="12" spans="1:41" ht="5.25" customHeight="1">
      <c r="B12" s="867"/>
      <c r="G12" s="517"/>
    </row>
    <row r="13" spans="1:41" ht="15.5">
      <c r="A13" s="380"/>
      <c r="B13" s="243" t="s">
        <v>782</v>
      </c>
      <c r="C13" s="670"/>
      <c r="D13" s="670"/>
      <c r="E13" s="670"/>
      <c r="F13" s="670"/>
      <c r="G13" s="670"/>
      <c r="H13" s="670"/>
      <c r="I13" s="670"/>
      <c r="J13" s="670"/>
      <c r="K13" s="670"/>
      <c r="L13" s="670"/>
      <c r="M13" s="670"/>
      <c r="N13" s="670"/>
      <c r="O13" s="670"/>
      <c r="P13" s="670"/>
      <c r="Q13" s="670"/>
      <c r="R13" s="670"/>
      <c r="S13" s="670"/>
      <c r="T13" s="670"/>
      <c r="U13" s="670"/>
      <c r="V13" s="670"/>
      <c r="W13" s="670"/>
      <c r="X13" s="670"/>
      <c r="Y13" s="670"/>
      <c r="Z13" s="670"/>
      <c r="AA13" s="670"/>
      <c r="AB13" s="670"/>
      <c r="AC13" s="670"/>
      <c r="AD13" s="670"/>
      <c r="AE13" s="670"/>
      <c r="AF13" s="670"/>
      <c r="AG13" s="670"/>
      <c r="AH13" s="670"/>
      <c r="AI13" s="670"/>
      <c r="AJ13" s="670"/>
      <c r="AK13" s="670"/>
      <c r="AM13" s="670"/>
      <c r="AN13" s="670"/>
      <c r="AO13" s="670"/>
    </row>
    <row r="14" spans="1:41" ht="1.5" customHeight="1" outlineLevel="1">
      <c r="B14" s="293"/>
      <c r="C14" s="1"/>
      <c r="D14" s="1"/>
      <c r="E14" s="461"/>
    </row>
    <row r="15" spans="1:41" outlineLevel="1">
      <c r="B15" s="867" t="s">
        <v>443</v>
      </c>
      <c r="C15" s="1"/>
      <c r="D15" s="1"/>
      <c r="E15" s="461"/>
    </row>
    <row r="16" spans="1:41" ht="3.75" customHeight="1" outlineLevel="1">
      <c r="B16" s="867"/>
      <c r="C16" s="1"/>
      <c r="D16" s="1"/>
      <c r="E16" s="461"/>
    </row>
    <row r="17" spans="1:41" outlineLevel="1">
      <c r="B17" s="544" t="s">
        <v>527</v>
      </c>
      <c r="C17" s="1"/>
      <c r="D17" s="1"/>
      <c r="E17" s="461"/>
    </row>
    <row r="18" spans="1:41" outlineLevel="1">
      <c r="B18" s="934" t="s">
        <v>334</v>
      </c>
      <c r="C18" s="163"/>
      <c r="D18" s="163"/>
      <c r="E18"/>
      <c r="F18"/>
      <c r="G18" s="517"/>
      <c r="H18" s="935">
        <f>H$47</f>
        <v>7500</v>
      </c>
      <c r="I18" s="935">
        <f t="shared" ref="I18:AK18" si="3">I$47</f>
        <v>0</v>
      </c>
      <c r="J18" s="935">
        <f t="shared" si="3"/>
        <v>760</v>
      </c>
      <c r="K18" s="935">
        <f t="shared" si="3"/>
        <v>760</v>
      </c>
      <c r="L18" s="935">
        <f t="shared" si="3"/>
        <v>760</v>
      </c>
      <c r="M18" s="935">
        <f t="shared" si="3"/>
        <v>760</v>
      </c>
      <c r="N18" s="935">
        <f t="shared" si="3"/>
        <v>760</v>
      </c>
      <c r="O18" s="935">
        <f t="shared" si="3"/>
        <v>760</v>
      </c>
      <c r="P18" s="935">
        <f t="shared" si="3"/>
        <v>760</v>
      </c>
      <c r="Q18" s="935">
        <f t="shared" si="3"/>
        <v>5760</v>
      </c>
      <c r="R18" s="935">
        <f t="shared" si="3"/>
        <v>860</v>
      </c>
      <c r="S18" s="935">
        <f t="shared" si="3"/>
        <v>860</v>
      </c>
      <c r="T18" s="935">
        <f t="shared" si="3"/>
        <v>1110</v>
      </c>
      <c r="U18" s="935">
        <f t="shared" si="3"/>
        <v>1110</v>
      </c>
      <c r="V18" s="935">
        <f t="shared" si="3"/>
        <v>1110</v>
      </c>
      <c r="W18" s="935">
        <f t="shared" si="3"/>
        <v>1110</v>
      </c>
      <c r="X18" s="935">
        <f t="shared" si="3"/>
        <v>1110</v>
      </c>
      <c r="Y18" s="935">
        <f t="shared" si="3"/>
        <v>1110</v>
      </c>
      <c r="Z18" s="935">
        <f t="shared" si="3"/>
        <v>1110</v>
      </c>
      <c r="AA18" s="935">
        <f t="shared" si="3"/>
        <v>1110</v>
      </c>
      <c r="AB18" s="935">
        <f t="shared" si="3"/>
        <v>1110</v>
      </c>
      <c r="AC18" s="935">
        <f t="shared" si="3"/>
        <v>1110</v>
      </c>
      <c r="AD18" s="935">
        <f t="shared" si="3"/>
        <v>1110</v>
      </c>
      <c r="AE18" s="935">
        <f t="shared" si="3"/>
        <v>1110</v>
      </c>
      <c r="AF18" s="935">
        <f t="shared" si="3"/>
        <v>1110</v>
      </c>
      <c r="AG18" s="935">
        <f t="shared" si="3"/>
        <v>1110</v>
      </c>
      <c r="AH18" s="935">
        <f t="shared" si="3"/>
        <v>1110</v>
      </c>
      <c r="AI18" s="935">
        <f t="shared" si="3"/>
        <v>1110</v>
      </c>
      <c r="AJ18" s="935">
        <f t="shared" si="3"/>
        <v>1110</v>
      </c>
      <c r="AK18" s="935">
        <f t="shared" si="3"/>
        <v>1110</v>
      </c>
      <c r="AM18" s="935">
        <f>SUMIF($H$7:$AK$7,AM$9,$H18:$AK18)</f>
        <v>9020</v>
      </c>
      <c r="AN18" s="935">
        <f t="shared" ref="AN18:AO18" si="4">SUMIF($H$7:$AK$7,AN$9,$H18:$AK18)</f>
        <v>15720</v>
      </c>
      <c r="AO18" s="935">
        <f t="shared" si="4"/>
        <v>13320</v>
      </c>
    </row>
    <row r="19" spans="1:41" outlineLevel="1">
      <c r="B19" s="888" t="s">
        <v>336</v>
      </c>
      <c r="E19"/>
      <c r="F19"/>
      <c r="G19" s="517"/>
      <c r="H19" s="493">
        <f t="shared" ref="H19:AK19" si="5">H$59</f>
        <v>0</v>
      </c>
      <c r="I19" s="493">
        <f t="shared" si="5"/>
        <v>0</v>
      </c>
      <c r="J19" s="493">
        <f t="shared" si="5"/>
        <v>0</v>
      </c>
      <c r="K19" s="493">
        <f t="shared" si="5"/>
        <v>0</v>
      </c>
      <c r="L19" s="493">
        <f t="shared" si="5"/>
        <v>0</v>
      </c>
      <c r="M19" s="493">
        <f t="shared" si="5"/>
        <v>0</v>
      </c>
      <c r="N19" s="493">
        <f t="shared" si="5"/>
        <v>0</v>
      </c>
      <c r="O19" s="493">
        <f t="shared" si="5"/>
        <v>0</v>
      </c>
      <c r="P19" s="493">
        <f t="shared" si="5"/>
        <v>0</v>
      </c>
      <c r="Q19" s="493">
        <f t="shared" si="5"/>
        <v>13500</v>
      </c>
      <c r="R19" s="493">
        <f t="shared" si="5"/>
        <v>0</v>
      </c>
      <c r="S19" s="493">
        <f t="shared" si="5"/>
        <v>0</v>
      </c>
      <c r="T19" s="493">
        <f t="shared" si="5"/>
        <v>0</v>
      </c>
      <c r="U19" s="493">
        <f t="shared" si="5"/>
        <v>0</v>
      </c>
      <c r="V19" s="493">
        <f t="shared" si="5"/>
        <v>0</v>
      </c>
      <c r="W19" s="493">
        <f t="shared" si="5"/>
        <v>266.66666666666669</v>
      </c>
      <c r="X19" s="493">
        <f t="shared" si="5"/>
        <v>266.66666666666669</v>
      </c>
      <c r="Y19" s="493">
        <f t="shared" si="5"/>
        <v>266.66666666666669</v>
      </c>
      <c r="Z19" s="493">
        <f t="shared" si="5"/>
        <v>266.66666666666669</v>
      </c>
      <c r="AA19" s="493">
        <f t="shared" si="5"/>
        <v>266.66666666666669</v>
      </c>
      <c r="AB19" s="493">
        <f t="shared" si="5"/>
        <v>266.66666666666669</v>
      </c>
      <c r="AC19" s="493">
        <f t="shared" si="5"/>
        <v>266.66666666666669</v>
      </c>
      <c r="AD19" s="493">
        <f t="shared" si="5"/>
        <v>266.66666666666669</v>
      </c>
      <c r="AE19" s="493">
        <f t="shared" si="5"/>
        <v>266.66666666666669</v>
      </c>
      <c r="AF19" s="493">
        <f t="shared" si="5"/>
        <v>266.66666666666669</v>
      </c>
      <c r="AG19" s="493">
        <f t="shared" si="5"/>
        <v>266.66666666666669</v>
      </c>
      <c r="AH19" s="493">
        <f t="shared" si="5"/>
        <v>266.66666666666669</v>
      </c>
      <c r="AI19" s="493">
        <f t="shared" si="5"/>
        <v>266.66666666666669</v>
      </c>
      <c r="AJ19" s="493">
        <f t="shared" si="5"/>
        <v>266.66666666666669</v>
      </c>
      <c r="AK19" s="493">
        <f t="shared" si="5"/>
        <v>266.66666666666669</v>
      </c>
      <c r="AM19" s="493">
        <f t="shared" ref="AM19:AO24" si="6">SUMIF($H$7:$AK$7,AM$9,$H19:$AK19)</f>
        <v>0</v>
      </c>
      <c r="AN19" s="493">
        <f t="shared" si="6"/>
        <v>13766.666666666666</v>
      </c>
      <c r="AO19" s="493">
        <f t="shared" si="6"/>
        <v>3199.9999999999995</v>
      </c>
    </row>
    <row r="20" spans="1:41" outlineLevel="1">
      <c r="B20" s="934" t="s">
        <v>548</v>
      </c>
      <c r="C20" s="163"/>
      <c r="D20" s="163"/>
      <c r="G20" s="517"/>
      <c r="H20" s="935">
        <f>H$67</f>
        <v>0</v>
      </c>
      <c r="I20" s="935">
        <f t="shared" ref="I20:AK20" si="7">I$67</f>
        <v>0</v>
      </c>
      <c r="J20" s="935">
        <f t="shared" si="7"/>
        <v>0</v>
      </c>
      <c r="K20" s="935">
        <f t="shared" si="7"/>
        <v>0</v>
      </c>
      <c r="L20" s="935">
        <f t="shared" si="7"/>
        <v>0</v>
      </c>
      <c r="M20" s="935">
        <f t="shared" si="7"/>
        <v>0</v>
      </c>
      <c r="N20" s="935">
        <f t="shared" si="7"/>
        <v>0</v>
      </c>
      <c r="O20" s="935">
        <f t="shared" si="7"/>
        <v>0</v>
      </c>
      <c r="P20" s="935">
        <f t="shared" si="7"/>
        <v>0</v>
      </c>
      <c r="Q20" s="935">
        <f t="shared" si="7"/>
        <v>0</v>
      </c>
      <c r="R20" s="935">
        <f t="shared" si="7"/>
        <v>0</v>
      </c>
      <c r="S20" s="935">
        <f t="shared" si="7"/>
        <v>0</v>
      </c>
      <c r="T20" s="935">
        <f t="shared" si="7"/>
        <v>0</v>
      </c>
      <c r="U20" s="935">
        <f t="shared" si="7"/>
        <v>0</v>
      </c>
      <c r="V20" s="935">
        <f t="shared" si="7"/>
        <v>0</v>
      </c>
      <c r="W20" s="935">
        <f t="shared" si="7"/>
        <v>0</v>
      </c>
      <c r="X20" s="935">
        <f t="shared" si="7"/>
        <v>0</v>
      </c>
      <c r="Y20" s="935">
        <f t="shared" si="7"/>
        <v>0</v>
      </c>
      <c r="Z20" s="935">
        <f t="shared" si="7"/>
        <v>0</v>
      </c>
      <c r="AA20" s="935">
        <f t="shared" si="7"/>
        <v>0</v>
      </c>
      <c r="AB20" s="935">
        <f t="shared" si="7"/>
        <v>0</v>
      </c>
      <c r="AC20" s="935">
        <f t="shared" si="7"/>
        <v>0</v>
      </c>
      <c r="AD20" s="935">
        <f t="shared" si="7"/>
        <v>5000</v>
      </c>
      <c r="AE20" s="935">
        <f t="shared" si="7"/>
        <v>0</v>
      </c>
      <c r="AF20" s="935">
        <f t="shared" si="7"/>
        <v>0</v>
      </c>
      <c r="AG20" s="935">
        <f t="shared" si="7"/>
        <v>0</v>
      </c>
      <c r="AH20" s="935">
        <f t="shared" si="7"/>
        <v>0</v>
      </c>
      <c r="AI20" s="935">
        <f t="shared" si="7"/>
        <v>0</v>
      </c>
      <c r="AJ20" s="935">
        <f t="shared" si="7"/>
        <v>0</v>
      </c>
      <c r="AK20" s="935">
        <f t="shared" si="7"/>
        <v>0</v>
      </c>
      <c r="AM20" s="935">
        <f t="shared" si="6"/>
        <v>0</v>
      </c>
      <c r="AN20" s="935">
        <f t="shared" si="6"/>
        <v>0</v>
      </c>
      <c r="AO20" s="935">
        <f t="shared" si="6"/>
        <v>5000</v>
      </c>
    </row>
    <row r="21" spans="1:41" outlineLevel="1">
      <c r="B21" s="888" t="s">
        <v>498</v>
      </c>
      <c r="E21"/>
      <c r="F21"/>
      <c r="G21" s="517"/>
      <c r="H21" s="493">
        <f t="shared" ref="H21:AK21" si="8">H$73</f>
        <v>1380.79</v>
      </c>
      <c r="I21" s="493">
        <f t="shared" si="8"/>
        <v>0</v>
      </c>
      <c r="J21" s="493">
        <f t="shared" si="8"/>
        <v>0</v>
      </c>
      <c r="K21" s="493">
        <f t="shared" si="8"/>
        <v>0</v>
      </c>
      <c r="L21" s="493">
        <f t="shared" si="8"/>
        <v>0</v>
      </c>
      <c r="M21" s="493">
        <f t="shared" si="8"/>
        <v>0</v>
      </c>
      <c r="N21" s="493">
        <f t="shared" si="8"/>
        <v>0</v>
      </c>
      <c r="O21" s="493">
        <f t="shared" si="8"/>
        <v>0</v>
      </c>
      <c r="P21" s="493">
        <f t="shared" si="8"/>
        <v>0</v>
      </c>
      <c r="Q21" s="493">
        <f t="shared" si="8"/>
        <v>0</v>
      </c>
      <c r="R21" s="493">
        <f t="shared" si="8"/>
        <v>0</v>
      </c>
      <c r="S21" s="493">
        <f t="shared" si="8"/>
        <v>0</v>
      </c>
      <c r="T21" s="493">
        <f t="shared" si="8"/>
        <v>1380.79</v>
      </c>
      <c r="U21" s="493">
        <f t="shared" si="8"/>
        <v>0</v>
      </c>
      <c r="V21" s="493">
        <f t="shared" si="8"/>
        <v>0</v>
      </c>
      <c r="W21" s="493">
        <f t="shared" si="8"/>
        <v>0</v>
      </c>
      <c r="X21" s="493">
        <f t="shared" si="8"/>
        <v>0</v>
      </c>
      <c r="Y21" s="493">
        <f t="shared" si="8"/>
        <v>0</v>
      </c>
      <c r="Z21" s="493">
        <f t="shared" si="8"/>
        <v>0</v>
      </c>
      <c r="AA21" s="493">
        <f t="shared" si="8"/>
        <v>0</v>
      </c>
      <c r="AB21" s="493">
        <f t="shared" si="8"/>
        <v>0</v>
      </c>
      <c r="AC21" s="493">
        <f t="shared" si="8"/>
        <v>0</v>
      </c>
      <c r="AD21" s="493">
        <f t="shared" si="8"/>
        <v>0</v>
      </c>
      <c r="AE21" s="493">
        <f t="shared" si="8"/>
        <v>0</v>
      </c>
      <c r="AF21" s="493">
        <f t="shared" si="8"/>
        <v>1380.79</v>
      </c>
      <c r="AG21" s="493">
        <f t="shared" si="8"/>
        <v>0</v>
      </c>
      <c r="AH21" s="493">
        <f t="shared" si="8"/>
        <v>0</v>
      </c>
      <c r="AI21" s="493">
        <f t="shared" si="8"/>
        <v>0</v>
      </c>
      <c r="AJ21" s="493">
        <f t="shared" si="8"/>
        <v>0</v>
      </c>
      <c r="AK21" s="493">
        <f t="shared" si="8"/>
        <v>0</v>
      </c>
      <c r="AM21" s="493">
        <f t="shared" si="6"/>
        <v>1380.79</v>
      </c>
      <c r="AN21" s="493">
        <f t="shared" si="6"/>
        <v>1380.79</v>
      </c>
      <c r="AO21" s="493">
        <f t="shared" si="6"/>
        <v>1380.79</v>
      </c>
    </row>
    <row r="22" spans="1:41" outlineLevel="1">
      <c r="B22" s="934" t="s">
        <v>339</v>
      </c>
      <c r="C22" s="163"/>
      <c r="D22" s="163"/>
      <c r="E22"/>
      <c r="F22"/>
      <c r="G22" s="517"/>
      <c r="H22" s="935">
        <f>H$86</f>
        <v>3400</v>
      </c>
      <c r="I22" s="935">
        <f t="shared" ref="I22:AK22" si="9">I$86</f>
        <v>0</v>
      </c>
      <c r="J22" s="935">
        <f t="shared" si="9"/>
        <v>0</v>
      </c>
      <c r="K22" s="935">
        <f t="shared" si="9"/>
        <v>0</v>
      </c>
      <c r="L22" s="935">
        <f t="shared" si="9"/>
        <v>0</v>
      </c>
      <c r="M22" s="935">
        <f t="shared" si="9"/>
        <v>0</v>
      </c>
      <c r="N22" s="935">
        <f t="shared" si="9"/>
        <v>0</v>
      </c>
      <c r="O22" s="935">
        <f t="shared" si="9"/>
        <v>0</v>
      </c>
      <c r="P22" s="935">
        <f t="shared" si="9"/>
        <v>0</v>
      </c>
      <c r="Q22" s="935">
        <f t="shared" si="9"/>
        <v>0</v>
      </c>
      <c r="R22" s="935">
        <f t="shared" si="9"/>
        <v>0</v>
      </c>
      <c r="S22" s="935">
        <f t="shared" si="9"/>
        <v>0</v>
      </c>
      <c r="T22" s="935">
        <f t="shared" si="9"/>
        <v>2400</v>
      </c>
      <c r="U22" s="935">
        <f t="shared" si="9"/>
        <v>0</v>
      </c>
      <c r="V22" s="935">
        <f t="shared" si="9"/>
        <v>0</v>
      </c>
      <c r="W22" s="935">
        <f t="shared" si="9"/>
        <v>0</v>
      </c>
      <c r="X22" s="935">
        <f t="shared" si="9"/>
        <v>0</v>
      </c>
      <c r="Y22" s="935">
        <f t="shared" si="9"/>
        <v>0</v>
      </c>
      <c r="Z22" s="935">
        <f t="shared" si="9"/>
        <v>0</v>
      </c>
      <c r="AA22" s="935">
        <f t="shared" si="9"/>
        <v>0</v>
      </c>
      <c r="AB22" s="935">
        <f t="shared" si="9"/>
        <v>0</v>
      </c>
      <c r="AC22" s="935">
        <f t="shared" si="9"/>
        <v>0</v>
      </c>
      <c r="AD22" s="935">
        <f t="shared" si="9"/>
        <v>0</v>
      </c>
      <c r="AE22" s="935">
        <f t="shared" si="9"/>
        <v>0</v>
      </c>
      <c r="AF22" s="935">
        <f t="shared" si="9"/>
        <v>2400</v>
      </c>
      <c r="AG22" s="935">
        <f t="shared" si="9"/>
        <v>0</v>
      </c>
      <c r="AH22" s="935">
        <f t="shared" si="9"/>
        <v>0</v>
      </c>
      <c r="AI22" s="935">
        <f t="shared" si="9"/>
        <v>0</v>
      </c>
      <c r="AJ22" s="935">
        <f t="shared" si="9"/>
        <v>0</v>
      </c>
      <c r="AK22" s="935">
        <f t="shared" si="9"/>
        <v>0</v>
      </c>
      <c r="AM22" s="935">
        <f t="shared" si="6"/>
        <v>3400</v>
      </c>
      <c r="AN22" s="935">
        <f t="shared" si="6"/>
        <v>2400</v>
      </c>
      <c r="AO22" s="935">
        <f t="shared" si="6"/>
        <v>2400</v>
      </c>
    </row>
    <row r="23" spans="1:41" outlineLevel="1">
      <c r="B23" s="888" t="s">
        <v>497</v>
      </c>
      <c r="E23"/>
      <c r="F23"/>
      <c r="G23" s="517"/>
      <c r="H23" s="493">
        <f t="shared" ref="H23:AK23" si="10">H$91</f>
        <v>180</v>
      </c>
      <c r="I23" s="493">
        <f t="shared" si="10"/>
        <v>180</v>
      </c>
      <c r="J23" s="493">
        <f t="shared" si="10"/>
        <v>180</v>
      </c>
      <c r="K23" s="493">
        <f t="shared" si="10"/>
        <v>180</v>
      </c>
      <c r="L23" s="493">
        <f t="shared" si="10"/>
        <v>180</v>
      </c>
      <c r="M23" s="493">
        <f t="shared" si="10"/>
        <v>180</v>
      </c>
      <c r="N23" s="493">
        <f t="shared" si="10"/>
        <v>180</v>
      </c>
      <c r="O23" s="493">
        <f t="shared" si="10"/>
        <v>180</v>
      </c>
      <c r="P23" s="493">
        <f t="shared" si="10"/>
        <v>180</v>
      </c>
      <c r="Q23" s="493">
        <f t="shared" si="10"/>
        <v>180</v>
      </c>
      <c r="R23" s="493">
        <f t="shared" si="10"/>
        <v>180</v>
      </c>
      <c r="S23" s="493">
        <f t="shared" si="10"/>
        <v>180</v>
      </c>
      <c r="T23" s="493">
        <f t="shared" si="10"/>
        <v>180</v>
      </c>
      <c r="U23" s="493">
        <f t="shared" si="10"/>
        <v>180</v>
      </c>
      <c r="V23" s="493">
        <f t="shared" si="10"/>
        <v>180</v>
      </c>
      <c r="W23" s="493">
        <f t="shared" si="10"/>
        <v>180</v>
      </c>
      <c r="X23" s="493">
        <f t="shared" si="10"/>
        <v>180</v>
      </c>
      <c r="Y23" s="493">
        <f t="shared" si="10"/>
        <v>180</v>
      </c>
      <c r="Z23" s="493">
        <f t="shared" si="10"/>
        <v>180</v>
      </c>
      <c r="AA23" s="493">
        <f t="shared" si="10"/>
        <v>180</v>
      </c>
      <c r="AB23" s="493">
        <f t="shared" si="10"/>
        <v>180</v>
      </c>
      <c r="AC23" s="493">
        <f t="shared" si="10"/>
        <v>180</v>
      </c>
      <c r="AD23" s="493">
        <f t="shared" si="10"/>
        <v>180</v>
      </c>
      <c r="AE23" s="493">
        <f t="shared" si="10"/>
        <v>180</v>
      </c>
      <c r="AF23" s="493">
        <f t="shared" si="10"/>
        <v>180</v>
      </c>
      <c r="AG23" s="493">
        <f t="shared" si="10"/>
        <v>180</v>
      </c>
      <c r="AH23" s="493">
        <f t="shared" si="10"/>
        <v>180</v>
      </c>
      <c r="AI23" s="493">
        <f t="shared" si="10"/>
        <v>180</v>
      </c>
      <c r="AJ23" s="493">
        <f t="shared" si="10"/>
        <v>180</v>
      </c>
      <c r="AK23" s="493">
        <f t="shared" si="10"/>
        <v>180</v>
      </c>
      <c r="AM23" s="493">
        <f t="shared" si="6"/>
        <v>720</v>
      </c>
      <c r="AN23" s="493">
        <f t="shared" si="6"/>
        <v>2160</v>
      </c>
      <c r="AO23" s="493">
        <f t="shared" si="6"/>
        <v>2160</v>
      </c>
    </row>
    <row r="24" spans="1:41" outlineLevel="1">
      <c r="B24" s="934" t="s">
        <v>519</v>
      </c>
      <c r="C24" s="163"/>
      <c r="D24" s="163"/>
      <c r="E24"/>
      <c r="F24"/>
      <c r="G24" s="517"/>
      <c r="H24" s="935">
        <f>H$96</f>
        <v>231</v>
      </c>
      <c r="I24" s="935">
        <f t="shared" ref="I24:AK24" si="11">I$96</f>
        <v>231</v>
      </c>
      <c r="J24" s="935">
        <f t="shared" si="11"/>
        <v>231</v>
      </c>
      <c r="K24" s="935">
        <f t="shared" si="11"/>
        <v>231</v>
      </c>
      <c r="L24" s="935">
        <f t="shared" si="11"/>
        <v>231</v>
      </c>
      <c r="M24" s="935">
        <f t="shared" si="11"/>
        <v>231</v>
      </c>
      <c r="N24" s="935">
        <f t="shared" si="11"/>
        <v>231</v>
      </c>
      <c r="O24" s="935">
        <f t="shared" si="11"/>
        <v>231</v>
      </c>
      <c r="P24" s="935">
        <f t="shared" si="11"/>
        <v>231</v>
      </c>
      <c r="Q24" s="935">
        <f t="shared" si="11"/>
        <v>231</v>
      </c>
      <c r="R24" s="935">
        <f t="shared" si="11"/>
        <v>231</v>
      </c>
      <c r="S24" s="935">
        <f t="shared" si="11"/>
        <v>231</v>
      </c>
      <c r="T24" s="935">
        <f t="shared" si="11"/>
        <v>231</v>
      </c>
      <c r="U24" s="935">
        <f t="shared" si="11"/>
        <v>231</v>
      </c>
      <c r="V24" s="935">
        <f t="shared" si="11"/>
        <v>231</v>
      </c>
      <c r="W24" s="935">
        <f t="shared" si="11"/>
        <v>231</v>
      </c>
      <c r="X24" s="935">
        <f t="shared" si="11"/>
        <v>231</v>
      </c>
      <c r="Y24" s="935">
        <f t="shared" si="11"/>
        <v>231</v>
      </c>
      <c r="Z24" s="935">
        <f t="shared" si="11"/>
        <v>231</v>
      </c>
      <c r="AA24" s="935">
        <f t="shared" si="11"/>
        <v>231</v>
      </c>
      <c r="AB24" s="935">
        <f t="shared" si="11"/>
        <v>231</v>
      </c>
      <c r="AC24" s="935">
        <f t="shared" si="11"/>
        <v>231</v>
      </c>
      <c r="AD24" s="935">
        <f t="shared" si="11"/>
        <v>231</v>
      </c>
      <c r="AE24" s="935">
        <f t="shared" si="11"/>
        <v>231</v>
      </c>
      <c r="AF24" s="935">
        <f t="shared" si="11"/>
        <v>231</v>
      </c>
      <c r="AG24" s="935">
        <f t="shared" si="11"/>
        <v>231</v>
      </c>
      <c r="AH24" s="935">
        <f t="shared" si="11"/>
        <v>231</v>
      </c>
      <c r="AI24" s="935">
        <f t="shared" si="11"/>
        <v>231</v>
      </c>
      <c r="AJ24" s="935">
        <f t="shared" si="11"/>
        <v>231</v>
      </c>
      <c r="AK24" s="935">
        <f t="shared" si="11"/>
        <v>231</v>
      </c>
      <c r="AM24" s="935">
        <f t="shared" si="6"/>
        <v>924</v>
      </c>
      <c r="AN24" s="935">
        <f t="shared" si="6"/>
        <v>2772</v>
      </c>
      <c r="AO24" s="935">
        <f t="shared" si="6"/>
        <v>2772</v>
      </c>
    </row>
    <row r="25" spans="1:41" outlineLevel="1">
      <c r="A25" s="1"/>
      <c r="B25" s="899" t="s">
        <v>26</v>
      </c>
      <c r="C25" s="7"/>
      <c r="D25" s="7"/>
      <c r="E25"/>
      <c r="F25"/>
      <c r="G25" s="1"/>
      <c r="H25" s="540">
        <f>SUM(H$18:H$24)</f>
        <v>12691.79</v>
      </c>
      <c r="I25" s="540">
        <f t="shared" ref="I25:AK25" si="12">SUM(I$18:I$24)</f>
        <v>411</v>
      </c>
      <c r="J25" s="540">
        <f t="shared" si="12"/>
        <v>1171</v>
      </c>
      <c r="K25" s="540">
        <f t="shared" si="12"/>
        <v>1171</v>
      </c>
      <c r="L25" s="540">
        <f t="shared" si="12"/>
        <v>1171</v>
      </c>
      <c r="M25" s="540">
        <f t="shared" si="12"/>
        <v>1171</v>
      </c>
      <c r="N25" s="540">
        <f t="shared" si="12"/>
        <v>1171</v>
      </c>
      <c r="O25" s="540">
        <f t="shared" si="12"/>
        <v>1171</v>
      </c>
      <c r="P25" s="540">
        <f t="shared" si="12"/>
        <v>1171</v>
      </c>
      <c r="Q25" s="540">
        <f t="shared" si="12"/>
        <v>19671</v>
      </c>
      <c r="R25" s="540">
        <f t="shared" si="12"/>
        <v>1271</v>
      </c>
      <c r="S25" s="540">
        <f t="shared" si="12"/>
        <v>1271</v>
      </c>
      <c r="T25" s="540">
        <f t="shared" si="12"/>
        <v>5301.79</v>
      </c>
      <c r="U25" s="540">
        <f t="shared" si="12"/>
        <v>1521</v>
      </c>
      <c r="V25" s="540">
        <f t="shared" si="12"/>
        <v>1521</v>
      </c>
      <c r="W25" s="540">
        <f t="shared" si="12"/>
        <v>1787.6666666666667</v>
      </c>
      <c r="X25" s="540">
        <f t="shared" si="12"/>
        <v>1787.6666666666667</v>
      </c>
      <c r="Y25" s="540">
        <f t="shared" si="12"/>
        <v>1787.6666666666667</v>
      </c>
      <c r="Z25" s="540">
        <f t="shared" si="12"/>
        <v>1787.6666666666667</v>
      </c>
      <c r="AA25" s="540">
        <f t="shared" si="12"/>
        <v>1787.6666666666667</v>
      </c>
      <c r="AB25" s="540">
        <f t="shared" si="12"/>
        <v>1787.6666666666667</v>
      </c>
      <c r="AC25" s="540">
        <f t="shared" si="12"/>
        <v>1787.6666666666667</v>
      </c>
      <c r="AD25" s="540">
        <f t="shared" si="12"/>
        <v>6787.666666666667</v>
      </c>
      <c r="AE25" s="540">
        <f t="shared" si="12"/>
        <v>1787.6666666666667</v>
      </c>
      <c r="AF25" s="540">
        <f t="shared" si="12"/>
        <v>5568.4566666666669</v>
      </c>
      <c r="AG25" s="540">
        <f>SUM(AG$18:AG$24)</f>
        <v>1787.6666666666667</v>
      </c>
      <c r="AH25" s="540">
        <f t="shared" si="12"/>
        <v>1787.6666666666667</v>
      </c>
      <c r="AI25" s="540">
        <f t="shared" si="12"/>
        <v>1787.6666666666667</v>
      </c>
      <c r="AJ25" s="540">
        <f t="shared" si="12"/>
        <v>1787.6666666666667</v>
      </c>
      <c r="AK25" s="540">
        <f t="shared" si="12"/>
        <v>1787.6666666666667</v>
      </c>
      <c r="AL25" s="1"/>
      <c r="AM25" s="540">
        <f>SUM(AM$18:AM$24)</f>
        <v>15444.79</v>
      </c>
      <c r="AN25" s="540">
        <f t="shared" ref="AN25" si="13">SUM(AN$18:AN$24)</f>
        <v>38199.456666666665</v>
      </c>
      <c r="AO25" s="540">
        <f>SUM(AO$18:AO$24)</f>
        <v>30232.79</v>
      </c>
    </row>
    <row r="26" spans="1:41" ht="6.75" customHeight="1">
      <c r="B26" s="867"/>
      <c r="G26" s="517"/>
    </row>
    <row r="27" spans="1:41" ht="15.5">
      <c r="A27" s="380"/>
      <c r="B27" s="243" t="s">
        <v>513</v>
      </c>
      <c r="C27" s="670"/>
      <c r="D27" s="670"/>
      <c r="E27" s="670"/>
      <c r="F27" s="670"/>
      <c r="G27" s="670"/>
      <c r="H27" s="670"/>
      <c r="I27" s="670"/>
      <c r="J27" s="670"/>
      <c r="K27" s="670"/>
      <c r="L27" s="670"/>
      <c r="M27" s="670"/>
      <c r="N27" s="670"/>
      <c r="O27" s="670"/>
      <c r="P27" s="670"/>
      <c r="Q27" s="670"/>
      <c r="R27" s="670"/>
      <c r="S27" s="670"/>
      <c r="T27" s="670"/>
      <c r="U27" s="670"/>
      <c r="V27" s="670"/>
      <c r="W27" s="670"/>
      <c r="X27" s="670"/>
      <c r="Y27" s="670"/>
      <c r="Z27" s="670"/>
      <c r="AA27" s="670"/>
      <c r="AB27" s="670"/>
      <c r="AC27" s="670"/>
      <c r="AD27" s="670"/>
      <c r="AE27" s="670"/>
      <c r="AF27" s="670"/>
      <c r="AG27" s="670"/>
      <c r="AH27" s="670"/>
      <c r="AI27" s="670"/>
      <c r="AJ27" s="670"/>
      <c r="AK27" s="670"/>
    </row>
    <row r="28" spans="1:41" ht="7.5" customHeight="1" outlineLevel="1">
      <c r="B28" s="867"/>
      <c r="G28" s="517"/>
    </row>
    <row r="29" spans="1:41" outlineLevel="1">
      <c r="A29" s="380"/>
      <c r="B29" s="868" t="s">
        <v>334</v>
      </c>
      <c r="C29" s="869"/>
      <c r="D29" s="869"/>
      <c r="E29" s="869"/>
      <c r="F29" s="869"/>
      <c r="G29" s="869"/>
      <c r="H29" s="869"/>
      <c r="I29" s="869"/>
      <c r="J29" s="870"/>
      <c r="K29" s="870"/>
      <c r="L29" s="870"/>
      <c r="M29" s="870"/>
      <c r="N29" s="870"/>
      <c r="O29" s="870"/>
      <c r="P29" s="870"/>
      <c r="Q29" s="870"/>
      <c r="R29" s="870"/>
      <c r="S29" s="870"/>
      <c r="T29" s="870"/>
      <c r="U29" s="870"/>
      <c r="V29" s="870"/>
      <c r="W29" s="870"/>
      <c r="X29" s="870"/>
      <c r="Y29" s="870"/>
      <c r="Z29" s="870"/>
      <c r="AA29" s="870"/>
      <c r="AB29" s="870"/>
      <c r="AC29" s="870"/>
      <c r="AD29" s="870"/>
      <c r="AE29" s="870"/>
      <c r="AF29" s="870"/>
      <c r="AG29" s="870"/>
      <c r="AH29" s="870"/>
      <c r="AI29" s="870"/>
      <c r="AJ29" s="870"/>
      <c r="AK29" s="870"/>
    </row>
    <row r="30" spans="1:41" ht="5.25" customHeight="1" outlineLevel="2">
      <c r="B30" s="293"/>
      <c r="C30" s="1"/>
      <c r="D30" s="1"/>
      <c r="E30" s="461"/>
    </row>
    <row r="31" spans="1:41" outlineLevel="2">
      <c r="B31" s="517" t="s">
        <v>500</v>
      </c>
      <c r="G31" s="517"/>
    </row>
    <row r="32" spans="1:41" outlineLevel="2">
      <c r="B32" s="871" t="s">
        <v>512</v>
      </c>
      <c r="C32" s="871" t="s">
        <v>341</v>
      </c>
      <c r="D32" s="871" t="s">
        <v>502</v>
      </c>
      <c r="E32" s="693"/>
      <c r="F32" s="693"/>
      <c r="G32" s="517"/>
    </row>
    <row r="33" spans="1:41" outlineLevel="2">
      <c r="B33" s="855">
        <v>1</v>
      </c>
      <c r="C33" s="859">
        <f>_xlfn.XLOOKUP($B$33,$H$8:$Y$8,$H$9:$Y$9)</f>
        <v>44806</v>
      </c>
      <c r="D33" s="855">
        <v>7500</v>
      </c>
      <c r="G33" s="517"/>
      <c r="H33" s="515">
        <f t="shared" ref="H33:AK33" si="14">($B$33=H$8)*$D$33</f>
        <v>7500</v>
      </c>
      <c r="I33" s="515">
        <f t="shared" si="14"/>
        <v>0</v>
      </c>
      <c r="J33" s="515">
        <f t="shared" si="14"/>
        <v>0</v>
      </c>
      <c r="K33" s="515">
        <f t="shared" si="14"/>
        <v>0</v>
      </c>
      <c r="L33" s="515">
        <f t="shared" si="14"/>
        <v>0</v>
      </c>
      <c r="M33" s="515">
        <f t="shared" si="14"/>
        <v>0</v>
      </c>
      <c r="N33" s="515">
        <f t="shared" si="14"/>
        <v>0</v>
      </c>
      <c r="O33" s="515">
        <f t="shared" si="14"/>
        <v>0</v>
      </c>
      <c r="P33" s="515">
        <f t="shared" si="14"/>
        <v>0</v>
      </c>
      <c r="Q33" s="515">
        <f t="shared" si="14"/>
        <v>0</v>
      </c>
      <c r="R33" s="515">
        <f t="shared" si="14"/>
        <v>0</v>
      </c>
      <c r="S33" s="515">
        <f t="shared" si="14"/>
        <v>0</v>
      </c>
      <c r="T33" s="515">
        <f t="shared" si="14"/>
        <v>0</v>
      </c>
      <c r="U33" s="515">
        <f t="shared" si="14"/>
        <v>0</v>
      </c>
      <c r="V33" s="515">
        <f t="shared" si="14"/>
        <v>0</v>
      </c>
      <c r="W33" s="515">
        <f t="shared" si="14"/>
        <v>0</v>
      </c>
      <c r="X33" s="515">
        <f t="shared" si="14"/>
        <v>0</v>
      </c>
      <c r="Y33" s="515">
        <f t="shared" si="14"/>
        <v>0</v>
      </c>
      <c r="Z33" s="515">
        <f t="shared" si="14"/>
        <v>0</v>
      </c>
      <c r="AA33" s="515">
        <f t="shared" si="14"/>
        <v>0</v>
      </c>
      <c r="AB33" s="515">
        <f t="shared" si="14"/>
        <v>0</v>
      </c>
      <c r="AC33" s="515">
        <f t="shared" si="14"/>
        <v>0</v>
      </c>
      <c r="AD33" s="515">
        <f t="shared" si="14"/>
        <v>0</v>
      </c>
      <c r="AE33" s="515">
        <f t="shared" si="14"/>
        <v>0</v>
      </c>
      <c r="AF33" s="515">
        <f t="shared" si="14"/>
        <v>0</v>
      </c>
      <c r="AG33" s="515">
        <f t="shared" si="14"/>
        <v>0</v>
      </c>
      <c r="AH33" s="515">
        <f t="shared" si="14"/>
        <v>0</v>
      </c>
      <c r="AI33" s="515">
        <f t="shared" si="14"/>
        <v>0</v>
      </c>
      <c r="AJ33" s="515">
        <f t="shared" si="14"/>
        <v>0</v>
      </c>
      <c r="AK33" s="515">
        <f t="shared" si="14"/>
        <v>0</v>
      </c>
    </row>
    <row r="34" spans="1:41" ht="4.5" customHeight="1" outlineLevel="2">
      <c r="G34" s="517"/>
    </row>
    <row r="35" spans="1:41" outlineLevel="2">
      <c r="B35" s="517" t="s">
        <v>509</v>
      </c>
      <c r="G35" s="517"/>
    </row>
    <row r="36" spans="1:41" outlineLevel="2">
      <c r="B36" s="871" t="s">
        <v>512</v>
      </c>
      <c r="C36" s="871" t="s">
        <v>341</v>
      </c>
      <c r="D36" s="871" t="s">
        <v>507</v>
      </c>
      <c r="E36" s="871" t="s">
        <v>504</v>
      </c>
      <c r="F36" s="861" t="s">
        <v>503</v>
      </c>
    </row>
    <row r="37" spans="1:41" outlineLevel="2">
      <c r="B37" s="862">
        <v>3</v>
      </c>
      <c r="C37" s="859">
        <f>_xlfn.XLOOKUP($B$37,$H$8:$Y$8,$H$9:$Y$9)</f>
        <v>44867</v>
      </c>
      <c r="D37" s="856">
        <v>750</v>
      </c>
      <c r="E37" s="858">
        <v>10</v>
      </c>
      <c r="F37" s="855">
        <v>1</v>
      </c>
      <c r="H37" s="515">
        <f t="shared" ref="H37:AK37" si="15">(H$8&gt;=$B$37)*($D$37+($E$37*$F$37))</f>
        <v>0</v>
      </c>
      <c r="I37" s="515">
        <f t="shared" si="15"/>
        <v>0</v>
      </c>
      <c r="J37" s="515">
        <f t="shared" si="15"/>
        <v>760</v>
      </c>
      <c r="K37" s="515">
        <f t="shared" si="15"/>
        <v>760</v>
      </c>
      <c r="L37" s="515">
        <f t="shared" si="15"/>
        <v>760</v>
      </c>
      <c r="M37" s="515">
        <f t="shared" si="15"/>
        <v>760</v>
      </c>
      <c r="N37" s="515">
        <f t="shared" si="15"/>
        <v>760</v>
      </c>
      <c r="O37" s="515">
        <f t="shared" si="15"/>
        <v>760</v>
      </c>
      <c r="P37" s="515">
        <f t="shared" si="15"/>
        <v>760</v>
      </c>
      <c r="Q37" s="515">
        <f t="shared" si="15"/>
        <v>760</v>
      </c>
      <c r="R37" s="515">
        <f t="shared" si="15"/>
        <v>760</v>
      </c>
      <c r="S37" s="515">
        <f t="shared" si="15"/>
        <v>760</v>
      </c>
      <c r="T37" s="515">
        <f t="shared" si="15"/>
        <v>760</v>
      </c>
      <c r="U37" s="515">
        <f t="shared" si="15"/>
        <v>760</v>
      </c>
      <c r="V37" s="515">
        <f t="shared" si="15"/>
        <v>760</v>
      </c>
      <c r="W37" s="515">
        <f t="shared" si="15"/>
        <v>760</v>
      </c>
      <c r="X37" s="515">
        <f t="shared" si="15"/>
        <v>760</v>
      </c>
      <c r="Y37" s="515">
        <f t="shared" si="15"/>
        <v>760</v>
      </c>
      <c r="Z37" s="515">
        <f t="shared" si="15"/>
        <v>760</v>
      </c>
      <c r="AA37" s="515">
        <f t="shared" si="15"/>
        <v>760</v>
      </c>
      <c r="AB37" s="515">
        <f t="shared" si="15"/>
        <v>760</v>
      </c>
      <c r="AC37" s="515">
        <f t="shared" si="15"/>
        <v>760</v>
      </c>
      <c r="AD37" s="515">
        <f t="shared" si="15"/>
        <v>760</v>
      </c>
      <c r="AE37" s="515">
        <f t="shared" si="15"/>
        <v>760</v>
      </c>
      <c r="AF37" s="515">
        <f t="shared" si="15"/>
        <v>760</v>
      </c>
      <c r="AG37" s="515">
        <f t="shared" si="15"/>
        <v>760</v>
      </c>
      <c r="AH37" s="515">
        <f t="shared" si="15"/>
        <v>760</v>
      </c>
      <c r="AI37" s="515">
        <f t="shared" si="15"/>
        <v>760</v>
      </c>
      <c r="AJ37" s="515">
        <f t="shared" si="15"/>
        <v>760</v>
      </c>
      <c r="AK37" s="515">
        <f t="shared" si="15"/>
        <v>760</v>
      </c>
    </row>
    <row r="38" spans="1:41" ht="4.5" customHeight="1" outlineLevel="2">
      <c r="B38" s="862"/>
      <c r="C38" s="859"/>
      <c r="D38" s="856"/>
      <c r="E38" s="858"/>
      <c r="F38" s="855"/>
      <c r="H38" s="515"/>
      <c r="I38" s="515"/>
      <c r="J38" s="515"/>
      <c r="K38" s="515"/>
      <c r="L38" s="515"/>
      <c r="M38" s="515"/>
      <c r="N38" s="515"/>
      <c r="O38" s="515"/>
      <c r="P38" s="515"/>
      <c r="Q38" s="515"/>
      <c r="R38" s="515"/>
      <c r="S38" s="515"/>
      <c r="T38" s="515"/>
      <c r="U38" s="515"/>
      <c r="V38" s="515"/>
      <c r="W38" s="515"/>
      <c r="X38" s="515"/>
      <c r="Y38" s="515"/>
      <c r="Z38" s="515"/>
      <c r="AA38" s="515"/>
      <c r="AB38" s="515"/>
      <c r="AC38" s="515"/>
      <c r="AD38" s="515"/>
      <c r="AE38" s="515"/>
      <c r="AF38" s="515"/>
      <c r="AG38" s="515"/>
      <c r="AH38" s="515"/>
      <c r="AI38" s="515"/>
      <c r="AJ38" s="515"/>
      <c r="AK38" s="515"/>
    </row>
    <row r="39" spans="1:41" outlineLevel="2">
      <c r="B39" s="517" t="s">
        <v>508</v>
      </c>
      <c r="G39" s="517"/>
    </row>
    <row r="40" spans="1:41" outlineLevel="2">
      <c r="B40" s="871" t="s">
        <v>512</v>
      </c>
      <c r="C40" s="871" t="s">
        <v>341</v>
      </c>
      <c r="D40" s="871" t="s">
        <v>502</v>
      </c>
      <c r="E40" s="693"/>
      <c r="F40" s="693"/>
      <c r="G40" s="517"/>
    </row>
    <row r="41" spans="1:41" outlineLevel="2">
      <c r="B41" s="862">
        <f>$B$33+12</f>
        <v>13</v>
      </c>
      <c r="C41" s="859">
        <f>_xlfn.XLOOKUP($B$41,$H$8:$Y$8,$H$9:$Y$9)</f>
        <v>45171</v>
      </c>
      <c r="D41" s="856">
        <v>250</v>
      </c>
      <c r="G41" s="517"/>
      <c r="H41" s="515">
        <f t="shared" ref="H41:AK41" si="16">(H$8&gt;=$B$41)*($D$41)</f>
        <v>0</v>
      </c>
      <c r="I41" s="515">
        <f t="shared" si="16"/>
        <v>0</v>
      </c>
      <c r="J41" s="515">
        <f t="shared" si="16"/>
        <v>0</v>
      </c>
      <c r="K41" s="515">
        <f t="shared" si="16"/>
        <v>0</v>
      </c>
      <c r="L41" s="515">
        <f t="shared" si="16"/>
        <v>0</v>
      </c>
      <c r="M41" s="515">
        <f t="shared" si="16"/>
        <v>0</v>
      </c>
      <c r="N41" s="515">
        <f t="shared" si="16"/>
        <v>0</v>
      </c>
      <c r="O41" s="515">
        <f t="shared" si="16"/>
        <v>0</v>
      </c>
      <c r="P41" s="515">
        <f t="shared" si="16"/>
        <v>0</v>
      </c>
      <c r="Q41" s="515">
        <f t="shared" si="16"/>
        <v>0</v>
      </c>
      <c r="R41" s="515">
        <f t="shared" si="16"/>
        <v>0</v>
      </c>
      <c r="S41" s="515">
        <f t="shared" si="16"/>
        <v>0</v>
      </c>
      <c r="T41" s="515">
        <f t="shared" si="16"/>
        <v>250</v>
      </c>
      <c r="U41" s="515">
        <f t="shared" si="16"/>
        <v>250</v>
      </c>
      <c r="V41" s="515">
        <f t="shared" si="16"/>
        <v>250</v>
      </c>
      <c r="W41" s="515">
        <f t="shared" si="16"/>
        <v>250</v>
      </c>
      <c r="X41" s="515">
        <f t="shared" si="16"/>
        <v>250</v>
      </c>
      <c r="Y41" s="515">
        <f t="shared" si="16"/>
        <v>250</v>
      </c>
      <c r="Z41" s="515">
        <f t="shared" si="16"/>
        <v>250</v>
      </c>
      <c r="AA41" s="515">
        <f t="shared" si="16"/>
        <v>250</v>
      </c>
      <c r="AB41" s="515">
        <f t="shared" si="16"/>
        <v>250</v>
      </c>
      <c r="AC41" s="515">
        <f t="shared" si="16"/>
        <v>250</v>
      </c>
      <c r="AD41" s="515">
        <f t="shared" si="16"/>
        <v>250</v>
      </c>
      <c r="AE41" s="515">
        <f t="shared" si="16"/>
        <v>250</v>
      </c>
      <c r="AF41" s="515">
        <f t="shared" si="16"/>
        <v>250</v>
      </c>
      <c r="AG41" s="515">
        <f t="shared" si="16"/>
        <v>250</v>
      </c>
      <c r="AH41" s="515">
        <f t="shared" si="16"/>
        <v>250</v>
      </c>
      <c r="AI41" s="515">
        <f t="shared" si="16"/>
        <v>250</v>
      </c>
      <c r="AJ41" s="515">
        <f t="shared" si="16"/>
        <v>250</v>
      </c>
      <c r="AK41" s="515">
        <f t="shared" si="16"/>
        <v>250</v>
      </c>
    </row>
    <row r="42" spans="1:41" ht="4.5" customHeight="1" outlineLevel="2">
      <c r="B42" s="862"/>
      <c r="C42" s="859"/>
      <c r="D42" s="856"/>
      <c r="G42" s="517"/>
    </row>
    <row r="43" spans="1:41" outlineLevel="2">
      <c r="B43" s="517" t="s">
        <v>501</v>
      </c>
      <c r="C43" s="859"/>
      <c r="D43" s="856"/>
      <c r="G43" s="517"/>
    </row>
    <row r="44" spans="1:41" outlineLevel="2">
      <c r="B44" s="871" t="s">
        <v>512</v>
      </c>
      <c r="C44" s="871" t="s">
        <v>341</v>
      </c>
      <c r="D44" s="871" t="s">
        <v>502</v>
      </c>
      <c r="E44" s="871" t="s">
        <v>510</v>
      </c>
      <c r="F44" s="871"/>
      <c r="G44" s="517"/>
    </row>
    <row r="45" spans="1:41" outlineLevel="2">
      <c r="B45" s="872">
        <f>$B$53</f>
        <v>10</v>
      </c>
      <c r="C45" s="859">
        <f>_xlfn.XLOOKUP($B$45,$H$8:$Y$8,$H$9:$Y$9)</f>
        <v>45079</v>
      </c>
      <c r="D45" s="855">
        <v>5000</v>
      </c>
      <c r="E45" s="856">
        <v>100</v>
      </c>
      <c r="G45" s="517"/>
      <c r="H45" s="515" cm="1">
        <f t="array" ref="H45">_xlfn.IFS(H$8=$B$45,$D$45,H$8&gt;$B$45,$E$45,H$8&lt;$B$45,0)</f>
        <v>0</v>
      </c>
      <c r="I45" s="515" cm="1">
        <f t="array" ref="I45">_xlfn.IFS(I$8=$B$45,$D$45,I$8&gt;$B$45,$E$45,I$8&lt;$B$45,0)</f>
        <v>0</v>
      </c>
      <c r="J45" s="515" cm="1">
        <f t="array" ref="J45">_xlfn.IFS(J$8=$B$45,$D$45,J$8&gt;$B$45,$E$45,J$8&lt;$B$45,0)</f>
        <v>0</v>
      </c>
      <c r="K45" s="515" cm="1">
        <f t="array" ref="K45">_xlfn.IFS(K$8=$B$45,$D$45,K$8&gt;$B$45,$E$45,K$8&lt;$B$45,0)</f>
        <v>0</v>
      </c>
      <c r="L45" s="515" cm="1">
        <f t="array" ref="L45">_xlfn.IFS(L$8=$B$45,$D$45,L$8&gt;$B$45,$E$45,L$8&lt;$B$45,0)</f>
        <v>0</v>
      </c>
      <c r="M45" s="515" cm="1">
        <f t="array" ref="M45">_xlfn.IFS(M$8=$B$45,$D$45,M$8&gt;$B$45,$E$45,M$8&lt;$B$45,0)</f>
        <v>0</v>
      </c>
      <c r="N45" s="515" cm="1">
        <f t="array" ref="N45">_xlfn.IFS(N$8=$B$45,$D$45,N$8&gt;$B$45,$E$45,N$8&lt;$B$45,0)</f>
        <v>0</v>
      </c>
      <c r="O45" s="515" cm="1">
        <f t="array" ref="O45">_xlfn.IFS(O$8=$B$45,$D$45,O$8&gt;$B$45,$E$45,O$8&lt;$B$45,0)</f>
        <v>0</v>
      </c>
      <c r="P45" s="515" cm="1">
        <f t="array" ref="P45">_xlfn.IFS(P$8=$B$45,$D$45,P$8&gt;$B$45,$E$45,P$8&lt;$B$45,0)</f>
        <v>0</v>
      </c>
      <c r="Q45" s="515" cm="1">
        <f t="array" ref="Q45">_xlfn.IFS(Q$8=$B$45,$D$45,Q$8&gt;$B$45,$E$45,Q$8&lt;$B$45,0)</f>
        <v>5000</v>
      </c>
      <c r="R45" s="515" cm="1">
        <f t="array" ref="R45">_xlfn.IFS(R$8=$B$45,$D$45,R$8&gt;$B$45,$E$45,R$8&lt;$B$45,0)</f>
        <v>100</v>
      </c>
      <c r="S45" s="515" cm="1">
        <f t="array" ref="S45">_xlfn.IFS(S$8=$B$45,$D$45,S$8&gt;$B$45,$E$45,S$8&lt;$B$45,0)</f>
        <v>100</v>
      </c>
      <c r="T45" s="515" cm="1">
        <f t="array" ref="T45">_xlfn.IFS(T$8=$B$45,$D$45,T$8&gt;$B$45,$E$45,T$8&lt;$B$45,0)</f>
        <v>100</v>
      </c>
      <c r="U45" s="515" cm="1">
        <f t="array" ref="U45">_xlfn.IFS(U$8=$B$45,$D$45,U$8&gt;$B$45,$E$45,U$8&lt;$B$45,0)</f>
        <v>100</v>
      </c>
      <c r="V45" s="515" cm="1">
        <f t="array" ref="V45">_xlfn.IFS(V$8=$B$45,$D$45,V$8&gt;$B$45,$E$45,V$8&lt;$B$45,0)</f>
        <v>100</v>
      </c>
      <c r="W45" s="515" cm="1">
        <f t="array" ref="W45">_xlfn.IFS(W$8=$B$45,$D$45,W$8&gt;$B$45,$E$45,W$8&lt;$B$45,0)</f>
        <v>100</v>
      </c>
      <c r="X45" s="515" cm="1">
        <f t="array" ref="X45">_xlfn.IFS(X$8=$B$45,$D$45,X$8&gt;$B$45,$E$45,X$8&lt;$B$45,0)</f>
        <v>100</v>
      </c>
      <c r="Y45" s="515" cm="1">
        <f t="array" ref="Y45">_xlfn.IFS(Y$8=$B$45,$D$45,Y$8&gt;$B$45,$E$45,Y$8&lt;$B$45,0)</f>
        <v>100</v>
      </c>
      <c r="Z45" s="515" cm="1">
        <f t="array" ref="Z45">_xlfn.IFS(Z$8=$B$45,$D$45,Z$8&gt;$B$45,$E$45,Z$8&lt;$B$45,0)</f>
        <v>100</v>
      </c>
      <c r="AA45" s="515" cm="1">
        <f t="array" ref="AA45">_xlfn.IFS(AA$8=$B$45,$D$45,AA$8&gt;$B$45,$E$45,AA$8&lt;$B$45,0)</f>
        <v>100</v>
      </c>
      <c r="AB45" s="515" cm="1">
        <f t="array" ref="AB45">_xlfn.IFS(AB$8=$B$45,$D$45,AB$8&gt;$B$45,$E$45,AB$8&lt;$B$45,0)</f>
        <v>100</v>
      </c>
      <c r="AC45" s="515" cm="1">
        <f t="array" ref="AC45">_xlfn.IFS(AC$8=$B$45,$D$45,AC$8&gt;$B$45,$E$45,AC$8&lt;$B$45,0)</f>
        <v>100</v>
      </c>
      <c r="AD45" s="515" cm="1">
        <f t="array" ref="AD45">_xlfn.IFS(AD$8=$B$45,$D$45,AD$8&gt;$B$45,$E$45,AD$8&lt;$B$45,0)</f>
        <v>100</v>
      </c>
      <c r="AE45" s="515" cm="1">
        <f t="array" ref="AE45">_xlfn.IFS(AE$8=$B$45,$D$45,AE$8&gt;$B$45,$E$45,AE$8&lt;$B$45,0)</f>
        <v>100</v>
      </c>
      <c r="AF45" s="515" cm="1">
        <f t="array" ref="AF45">_xlfn.IFS(AF$8=$B$45,$D$45,AF$8&gt;$B$45,$E$45,AF$8&lt;$B$45,0)</f>
        <v>100</v>
      </c>
      <c r="AG45" s="515" cm="1">
        <f t="array" ref="AG45">_xlfn.IFS(AG$8=$B$45,$D$45,AG$8&gt;$B$45,$E$45,AG$8&lt;$B$45,0)</f>
        <v>100</v>
      </c>
      <c r="AH45" s="515" cm="1">
        <f t="array" ref="AH45">_xlfn.IFS(AH$8=$B$45,$D$45,AH$8&gt;$B$45,$E$45,AH$8&lt;$B$45,0)</f>
        <v>100</v>
      </c>
      <c r="AI45" s="515" cm="1">
        <f t="array" ref="AI45">_xlfn.IFS(AI$8=$B$45,$D$45,AI$8&gt;$B$45,$E$45,AI$8&lt;$B$45,0)</f>
        <v>100</v>
      </c>
      <c r="AJ45" s="515" cm="1">
        <f t="array" ref="AJ45">_xlfn.IFS(AJ$8=$B$45,$D$45,AJ$8&gt;$B$45,$E$45,AJ$8&lt;$B$45,0)</f>
        <v>100</v>
      </c>
      <c r="AK45" s="515" cm="1">
        <f t="array" ref="AK45">_xlfn.IFS(AK$8=$B$45,$D$45,AK$8&gt;$B$45,$E$45,AK$8&lt;$B$45,0)</f>
        <v>100</v>
      </c>
    </row>
    <row r="46" spans="1:41" ht="6.75" customHeight="1" outlineLevel="2">
      <c r="B46" s="862"/>
      <c r="C46" s="859"/>
      <c r="D46" s="856"/>
      <c r="G46" s="517"/>
    </row>
    <row r="47" spans="1:41" outlineLevel="2">
      <c r="A47" s="1"/>
      <c r="B47" s="615" t="s">
        <v>26</v>
      </c>
      <c r="C47" s="7"/>
      <c r="D47" s="7"/>
      <c r="E47" s="7"/>
      <c r="F47" s="7"/>
      <c r="G47" s="1"/>
      <c r="H47" s="540">
        <f t="shared" ref="H47:AK47" si="17">SUM(H$33:H$46)</f>
        <v>7500</v>
      </c>
      <c r="I47" s="540">
        <f t="shared" si="17"/>
        <v>0</v>
      </c>
      <c r="J47" s="540">
        <f t="shared" si="17"/>
        <v>760</v>
      </c>
      <c r="K47" s="540">
        <f t="shared" si="17"/>
        <v>760</v>
      </c>
      <c r="L47" s="540">
        <f t="shared" si="17"/>
        <v>760</v>
      </c>
      <c r="M47" s="540">
        <f t="shared" si="17"/>
        <v>760</v>
      </c>
      <c r="N47" s="540">
        <f t="shared" si="17"/>
        <v>760</v>
      </c>
      <c r="O47" s="540">
        <f t="shared" si="17"/>
        <v>760</v>
      </c>
      <c r="P47" s="540">
        <f t="shared" si="17"/>
        <v>760</v>
      </c>
      <c r="Q47" s="540">
        <f t="shared" si="17"/>
        <v>5760</v>
      </c>
      <c r="R47" s="540">
        <f t="shared" si="17"/>
        <v>860</v>
      </c>
      <c r="S47" s="540">
        <f t="shared" si="17"/>
        <v>860</v>
      </c>
      <c r="T47" s="540">
        <f t="shared" si="17"/>
        <v>1110</v>
      </c>
      <c r="U47" s="540">
        <f t="shared" si="17"/>
        <v>1110</v>
      </c>
      <c r="V47" s="540">
        <f t="shared" si="17"/>
        <v>1110</v>
      </c>
      <c r="W47" s="540">
        <f t="shared" si="17"/>
        <v>1110</v>
      </c>
      <c r="X47" s="540">
        <f t="shared" si="17"/>
        <v>1110</v>
      </c>
      <c r="Y47" s="540">
        <f t="shared" si="17"/>
        <v>1110</v>
      </c>
      <c r="Z47" s="540">
        <f t="shared" si="17"/>
        <v>1110</v>
      </c>
      <c r="AA47" s="540">
        <f t="shared" si="17"/>
        <v>1110</v>
      </c>
      <c r="AB47" s="540">
        <f t="shared" si="17"/>
        <v>1110</v>
      </c>
      <c r="AC47" s="540">
        <f t="shared" si="17"/>
        <v>1110</v>
      </c>
      <c r="AD47" s="540">
        <f t="shared" si="17"/>
        <v>1110</v>
      </c>
      <c r="AE47" s="540">
        <f t="shared" si="17"/>
        <v>1110</v>
      </c>
      <c r="AF47" s="540">
        <f t="shared" si="17"/>
        <v>1110</v>
      </c>
      <c r="AG47" s="540">
        <f t="shared" si="17"/>
        <v>1110</v>
      </c>
      <c r="AH47" s="540">
        <f t="shared" si="17"/>
        <v>1110</v>
      </c>
      <c r="AI47" s="540">
        <f t="shared" si="17"/>
        <v>1110</v>
      </c>
      <c r="AJ47" s="540">
        <f t="shared" si="17"/>
        <v>1110</v>
      </c>
      <c r="AK47" s="540">
        <f t="shared" si="17"/>
        <v>1110</v>
      </c>
      <c r="AL47" s="1"/>
      <c r="AM47" s="1"/>
      <c r="AN47" s="1"/>
      <c r="AO47" s="1"/>
    </row>
    <row r="48" spans="1:41" ht="6" customHeight="1" outlineLevel="1">
      <c r="G48" s="517"/>
    </row>
    <row r="49" spans="1:37" outlineLevel="1">
      <c r="A49" s="380"/>
      <c r="B49" s="868" t="s">
        <v>336</v>
      </c>
      <c r="C49" s="869"/>
      <c r="D49" s="869"/>
      <c r="E49" s="869"/>
      <c r="F49" s="869"/>
      <c r="G49" s="869"/>
      <c r="H49" s="869"/>
      <c r="I49" s="869"/>
      <c r="J49" s="870"/>
      <c r="K49" s="870"/>
      <c r="L49" s="870"/>
      <c r="M49" s="870"/>
      <c r="N49" s="870"/>
      <c r="O49" s="870"/>
      <c r="P49" s="870"/>
      <c r="Q49" s="870"/>
      <c r="R49" s="870"/>
      <c r="S49" s="870"/>
      <c r="T49" s="870"/>
      <c r="U49" s="870"/>
      <c r="V49" s="870"/>
      <c r="W49" s="870"/>
      <c r="X49" s="870"/>
      <c r="Y49" s="870"/>
      <c r="Z49" s="870"/>
      <c r="AA49" s="870"/>
      <c r="AB49" s="870"/>
      <c r="AC49" s="870"/>
      <c r="AD49" s="870"/>
      <c r="AE49" s="870"/>
      <c r="AF49" s="870"/>
      <c r="AG49" s="870"/>
      <c r="AH49" s="870"/>
      <c r="AI49" s="870"/>
      <c r="AJ49" s="870"/>
      <c r="AK49" s="870"/>
    </row>
    <row r="50" spans="1:37" ht="5.25" customHeight="1" outlineLevel="2">
      <c r="B50" s="293"/>
      <c r="C50" s="1"/>
      <c r="D50" s="1"/>
      <c r="E50" s="461"/>
    </row>
    <row r="51" spans="1:37" outlineLevel="2">
      <c r="B51" s="873" t="s">
        <v>506</v>
      </c>
      <c r="C51" s="873"/>
      <c r="D51" s="873"/>
      <c r="E51" s="873"/>
      <c r="F51" s="873"/>
      <c r="G51" s="517"/>
    </row>
    <row r="52" spans="1:37" outlineLevel="2">
      <c r="B52" s="380" t="s">
        <v>512</v>
      </c>
      <c r="C52" s="380" t="s">
        <v>341</v>
      </c>
      <c r="D52" s="467" t="s">
        <v>514</v>
      </c>
      <c r="E52" s="467" t="s">
        <v>402</v>
      </c>
      <c r="F52" s="380" t="s">
        <v>502</v>
      </c>
      <c r="G52" s="517"/>
    </row>
    <row r="53" spans="1:37" outlineLevel="2">
      <c r="B53" s="855">
        <v>10</v>
      </c>
      <c r="C53" s="859">
        <f>_xlfn.XLOOKUP($B$53,$H$8:$Y$8,$H$9:$Y$9)</f>
        <v>45079</v>
      </c>
      <c r="D53" s="874">
        <v>150</v>
      </c>
      <c r="E53" s="855">
        <v>90</v>
      </c>
      <c r="F53" s="872">
        <f>PRODUCT(D53:E53)</f>
        <v>13500</v>
      </c>
      <c r="G53" s="517"/>
      <c r="H53" s="515">
        <f t="shared" ref="H53:AK53" si="18">($B$53=H$8)*$F$53</f>
        <v>0</v>
      </c>
      <c r="I53" s="515">
        <f t="shared" si="18"/>
        <v>0</v>
      </c>
      <c r="J53" s="515">
        <f t="shared" si="18"/>
        <v>0</v>
      </c>
      <c r="K53" s="515">
        <f t="shared" si="18"/>
        <v>0</v>
      </c>
      <c r="L53" s="515">
        <f t="shared" si="18"/>
        <v>0</v>
      </c>
      <c r="M53" s="515">
        <f t="shared" si="18"/>
        <v>0</v>
      </c>
      <c r="N53" s="515">
        <f t="shared" si="18"/>
        <v>0</v>
      </c>
      <c r="O53" s="515">
        <f t="shared" si="18"/>
        <v>0</v>
      </c>
      <c r="P53" s="515">
        <f t="shared" si="18"/>
        <v>0</v>
      </c>
      <c r="Q53" s="515">
        <f t="shared" si="18"/>
        <v>13500</v>
      </c>
      <c r="R53" s="515">
        <f t="shared" si="18"/>
        <v>0</v>
      </c>
      <c r="S53" s="515">
        <f t="shared" si="18"/>
        <v>0</v>
      </c>
      <c r="T53" s="515">
        <f t="shared" si="18"/>
        <v>0</v>
      </c>
      <c r="U53" s="515">
        <f t="shared" si="18"/>
        <v>0</v>
      </c>
      <c r="V53" s="515">
        <f t="shared" si="18"/>
        <v>0</v>
      </c>
      <c r="W53" s="515">
        <f t="shared" si="18"/>
        <v>0</v>
      </c>
      <c r="X53" s="515">
        <f t="shared" si="18"/>
        <v>0</v>
      </c>
      <c r="Y53" s="515">
        <f t="shared" si="18"/>
        <v>0</v>
      </c>
      <c r="Z53" s="515">
        <f t="shared" si="18"/>
        <v>0</v>
      </c>
      <c r="AA53" s="515">
        <f t="shared" si="18"/>
        <v>0</v>
      </c>
      <c r="AB53" s="515">
        <f t="shared" si="18"/>
        <v>0</v>
      </c>
      <c r="AC53" s="515">
        <f t="shared" si="18"/>
        <v>0</v>
      </c>
      <c r="AD53" s="515">
        <f t="shared" si="18"/>
        <v>0</v>
      </c>
      <c r="AE53" s="515">
        <f t="shared" si="18"/>
        <v>0</v>
      </c>
      <c r="AF53" s="515">
        <f t="shared" si="18"/>
        <v>0</v>
      </c>
      <c r="AG53" s="515">
        <f t="shared" si="18"/>
        <v>0</v>
      </c>
      <c r="AH53" s="515">
        <f t="shared" si="18"/>
        <v>0</v>
      </c>
      <c r="AI53" s="515">
        <f t="shared" si="18"/>
        <v>0</v>
      </c>
      <c r="AJ53" s="515">
        <f t="shared" si="18"/>
        <v>0</v>
      </c>
      <c r="AK53" s="515">
        <f t="shared" si="18"/>
        <v>0</v>
      </c>
    </row>
    <row r="54" spans="1:37" ht="4.5" customHeight="1" outlineLevel="2">
      <c r="G54" s="517"/>
    </row>
    <row r="55" spans="1:37" outlineLevel="2">
      <c r="B55" s="873" t="s">
        <v>338</v>
      </c>
      <c r="C55" s="873"/>
      <c r="D55" s="873"/>
      <c r="E55" s="873"/>
      <c r="F55" s="873"/>
      <c r="G55" s="517"/>
    </row>
    <row r="56" spans="1:37" outlineLevel="2">
      <c r="B56" s="871" t="s">
        <v>515</v>
      </c>
      <c r="C56" s="380" t="s">
        <v>341</v>
      </c>
      <c r="D56" s="871" t="s">
        <v>502</v>
      </c>
      <c r="G56" s="517"/>
    </row>
    <row r="57" spans="1:37" outlineLevel="2">
      <c r="B57" s="875">
        <f>B53+6</f>
        <v>16</v>
      </c>
      <c r="C57" s="859">
        <f>$C$53</f>
        <v>45079</v>
      </c>
      <c r="D57" s="856">
        <v>266.66666666666669</v>
      </c>
      <c r="G57" s="517"/>
      <c r="H57" s="515">
        <f t="shared" ref="H57:AK57" si="19">(H$8&gt;=$B$57)*($D$57)</f>
        <v>0</v>
      </c>
      <c r="I57" s="515">
        <f t="shared" si="19"/>
        <v>0</v>
      </c>
      <c r="J57" s="515">
        <f t="shared" si="19"/>
        <v>0</v>
      </c>
      <c r="K57" s="515">
        <f t="shared" si="19"/>
        <v>0</v>
      </c>
      <c r="L57" s="515">
        <f t="shared" si="19"/>
        <v>0</v>
      </c>
      <c r="M57" s="515">
        <f t="shared" si="19"/>
        <v>0</v>
      </c>
      <c r="N57" s="515">
        <f t="shared" si="19"/>
        <v>0</v>
      </c>
      <c r="O57" s="515">
        <f t="shared" si="19"/>
        <v>0</v>
      </c>
      <c r="P57" s="515">
        <f t="shared" si="19"/>
        <v>0</v>
      </c>
      <c r="Q57" s="515">
        <f t="shared" si="19"/>
        <v>0</v>
      </c>
      <c r="R57" s="515">
        <f t="shared" si="19"/>
        <v>0</v>
      </c>
      <c r="S57" s="515">
        <f t="shared" si="19"/>
        <v>0</v>
      </c>
      <c r="T57" s="515">
        <f t="shared" si="19"/>
        <v>0</v>
      </c>
      <c r="U57" s="515">
        <f t="shared" si="19"/>
        <v>0</v>
      </c>
      <c r="V57" s="515">
        <f t="shared" si="19"/>
        <v>0</v>
      </c>
      <c r="W57" s="515">
        <f t="shared" si="19"/>
        <v>266.66666666666669</v>
      </c>
      <c r="X57" s="515">
        <f t="shared" si="19"/>
        <v>266.66666666666669</v>
      </c>
      <c r="Y57" s="515">
        <f t="shared" si="19"/>
        <v>266.66666666666669</v>
      </c>
      <c r="Z57" s="515">
        <f t="shared" si="19"/>
        <v>266.66666666666669</v>
      </c>
      <c r="AA57" s="515">
        <f t="shared" si="19"/>
        <v>266.66666666666669</v>
      </c>
      <c r="AB57" s="515">
        <f t="shared" si="19"/>
        <v>266.66666666666669</v>
      </c>
      <c r="AC57" s="515">
        <f t="shared" si="19"/>
        <v>266.66666666666669</v>
      </c>
      <c r="AD57" s="515">
        <f t="shared" si="19"/>
        <v>266.66666666666669</v>
      </c>
      <c r="AE57" s="515">
        <f t="shared" si="19"/>
        <v>266.66666666666669</v>
      </c>
      <c r="AF57" s="515">
        <f t="shared" si="19"/>
        <v>266.66666666666669</v>
      </c>
      <c r="AG57" s="515">
        <f t="shared" si="19"/>
        <v>266.66666666666669</v>
      </c>
      <c r="AH57" s="515">
        <f t="shared" si="19"/>
        <v>266.66666666666669</v>
      </c>
      <c r="AI57" s="515">
        <f t="shared" si="19"/>
        <v>266.66666666666669</v>
      </c>
      <c r="AJ57" s="515">
        <f t="shared" si="19"/>
        <v>266.66666666666669</v>
      </c>
      <c r="AK57" s="515">
        <f t="shared" si="19"/>
        <v>266.66666666666669</v>
      </c>
    </row>
    <row r="58" spans="1:37" ht="6.75" customHeight="1" outlineLevel="2">
      <c r="G58" s="517"/>
      <c r="H58" s="876"/>
    </row>
    <row r="59" spans="1:37" outlineLevel="2">
      <c r="B59" s="615" t="s">
        <v>26</v>
      </c>
      <c r="C59" s="7"/>
      <c r="D59" s="7"/>
      <c r="E59" s="7"/>
      <c r="F59" s="7"/>
      <c r="G59" s="1"/>
      <c r="H59" s="540">
        <f t="shared" ref="H59:AK59" si="20">SUM(H$51:H$58)</f>
        <v>0</v>
      </c>
      <c r="I59" s="540">
        <f t="shared" si="20"/>
        <v>0</v>
      </c>
      <c r="J59" s="540">
        <f t="shared" si="20"/>
        <v>0</v>
      </c>
      <c r="K59" s="540">
        <f t="shared" si="20"/>
        <v>0</v>
      </c>
      <c r="L59" s="540">
        <f t="shared" si="20"/>
        <v>0</v>
      </c>
      <c r="M59" s="540">
        <f t="shared" si="20"/>
        <v>0</v>
      </c>
      <c r="N59" s="540">
        <f t="shared" si="20"/>
        <v>0</v>
      </c>
      <c r="O59" s="540">
        <f t="shared" si="20"/>
        <v>0</v>
      </c>
      <c r="P59" s="540">
        <f t="shared" si="20"/>
        <v>0</v>
      </c>
      <c r="Q59" s="540">
        <f t="shared" si="20"/>
        <v>13500</v>
      </c>
      <c r="R59" s="540">
        <f t="shared" si="20"/>
        <v>0</v>
      </c>
      <c r="S59" s="540">
        <f t="shared" si="20"/>
        <v>0</v>
      </c>
      <c r="T59" s="540">
        <f t="shared" si="20"/>
        <v>0</v>
      </c>
      <c r="U59" s="540">
        <f t="shared" si="20"/>
        <v>0</v>
      </c>
      <c r="V59" s="540">
        <f t="shared" si="20"/>
        <v>0</v>
      </c>
      <c r="W59" s="540">
        <f t="shared" si="20"/>
        <v>266.66666666666669</v>
      </c>
      <c r="X59" s="540">
        <f t="shared" si="20"/>
        <v>266.66666666666669</v>
      </c>
      <c r="Y59" s="540">
        <f t="shared" si="20"/>
        <v>266.66666666666669</v>
      </c>
      <c r="Z59" s="540">
        <f t="shared" si="20"/>
        <v>266.66666666666669</v>
      </c>
      <c r="AA59" s="540">
        <f t="shared" si="20"/>
        <v>266.66666666666669</v>
      </c>
      <c r="AB59" s="540">
        <f t="shared" si="20"/>
        <v>266.66666666666669</v>
      </c>
      <c r="AC59" s="540">
        <f t="shared" si="20"/>
        <v>266.66666666666669</v>
      </c>
      <c r="AD59" s="540">
        <f t="shared" si="20"/>
        <v>266.66666666666669</v>
      </c>
      <c r="AE59" s="540">
        <f t="shared" si="20"/>
        <v>266.66666666666669</v>
      </c>
      <c r="AF59" s="540">
        <f t="shared" si="20"/>
        <v>266.66666666666669</v>
      </c>
      <c r="AG59" s="540">
        <f t="shared" si="20"/>
        <v>266.66666666666669</v>
      </c>
      <c r="AH59" s="540">
        <f t="shared" si="20"/>
        <v>266.66666666666669</v>
      </c>
      <c r="AI59" s="540">
        <f t="shared" si="20"/>
        <v>266.66666666666669</v>
      </c>
      <c r="AJ59" s="540">
        <f t="shared" si="20"/>
        <v>266.66666666666669</v>
      </c>
      <c r="AK59" s="540">
        <f t="shared" si="20"/>
        <v>266.66666666666669</v>
      </c>
    </row>
    <row r="60" spans="1:37" ht="6" customHeight="1" outlineLevel="1">
      <c r="G60" s="517"/>
      <c r="H60" s="876"/>
    </row>
    <row r="61" spans="1:37" outlineLevel="1">
      <c r="A61" s="380"/>
      <c r="B61" s="868" t="s">
        <v>548</v>
      </c>
      <c r="C61" s="869"/>
      <c r="D61" s="869"/>
      <c r="E61" s="869"/>
      <c r="F61" s="869"/>
      <c r="G61" s="869"/>
      <c r="H61" s="869"/>
      <c r="I61" s="869"/>
      <c r="J61" s="870"/>
      <c r="K61" s="870"/>
      <c r="L61" s="870"/>
      <c r="M61" s="870"/>
      <c r="N61" s="870"/>
      <c r="O61" s="870"/>
      <c r="P61" s="870"/>
      <c r="Q61" s="870"/>
      <c r="R61" s="870"/>
      <c r="S61" s="870"/>
      <c r="T61" s="870"/>
      <c r="U61" s="870"/>
      <c r="V61" s="870"/>
      <c r="W61" s="870"/>
      <c r="X61" s="870"/>
      <c r="Y61" s="870"/>
      <c r="Z61" s="870"/>
      <c r="AA61" s="870"/>
      <c r="AB61" s="870"/>
      <c r="AC61" s="870"/>
      <c r="AD61" s="870"/>
      <c r="AE61" s="870"/>
      <c r="AF61" s="870"/>
      <c r="AG61" s="870"/>
      <c r="AH61" s="870"/>
      <c r="AI61" s="870"/>
      <c r="AJ61" s="870"/>
      <c r="AK61" s="870"/>
    </row>
    <row r="62" spans="1:37" ht="5" customHeight="1" outlineLevel="2">
      <c r="G62" s="517"/>
    </row>
    <row r="63" spans="1:37" outlineLevel="2">
      <c r="B63" s="1" t="s">
        <v>580</v>
      </c>
      <c r="C63"/>
      <c r="D63"/>
      <c r="G63" s="517"/>
    </row>
    <row r="64" spans="1:37" outlineLevel="2">
      <c r="B64" s="499" t="s">
        <v>582</v>
      </c>
      <c r="C64" s="380" t="s">
        <v>581</v>
      </c>
      <c r="D64" s="380" t="s">
        <v>512</v>
      </c>
      <c r="E64" s="380" t="s">
        <v>341</v>
      </c>
      <c r="G64" s="517"/>
    </row>
    <row r="65" spans="1:37" outlineLevel="2">
      <c r="B65" s="855">
        <v>12</v>
      </c>
      <c r="C65" s="855">
        <v>5000</v>
      </c>
      <c r="D65" s="872">
        <f>$B$53+$B$65+1</f>
        <v>23</v>
      </c>
      <c r="E65" s="859">
        <f>_xlfn.XLOOKUP($D$65,$H$8:$AK$8,$H$9:$AK$9)</f>
        <v>45475</v>
      </c>
      <c r="G65" s="517"/>
      <c r="H65" s="515">
        <f t="shared" ref="H65:AK65" si="21">($D$65=H$8)*$C$65</f>
        <v>0</v>
      </c>
      <c r="I65" s="515">
        <f t="shared" si="21"/>
        <v>0</v>
      </c>
      <c r="J65" s="515">
        <f t="shared" si="21"/>
        <v>0</v>
      </c>
      <c r="K65" s="515">
        <f t="shared" si="21"/>
        <v>0</v>
      </c>
      <c r="L65" s="515">
        <f t="shared" si="21"/>
        <v>0</v>
      </c>
      <c r="M65" s="515">
        <f t="shared" si="21"/>
        <v>0</v>
      </c>
      <c r="N65" s="515">
        <f t="shared" si="21"/>
        <v>0</v>
      </c>
      <c r="O65" s="515">
        <f t="shared" si="21"/>
        <v>0</v>
      </c>
      <c r="P65" s="515">
        <f t="shared" si="21"/>
        <v>0</v>
      </c>
      <c r="Q65" s="515">
        <f t="shared" si="21"/>
        <v>0</v>
      </c>
      <c r="R65" s="515">
        <f t="shared" si="21"/>
        <v>0</v>
      </c>
      <c r="S65" s="515">
        <f t="shared" si="21"/>
        <v>0</v>
      </c>
      <c r="T65" s="515">
        <f t="shared" si="21"/>
        <v>0</v>
      </c>
      <c r="U65" s="515">
        <f t="shared" si="21"/>
        <v>0</v>
      </c>
      <c r="V65" s="515">
        <f t="shared" si="21"/>
        <v>0</v>
      </c>
      <c r="W65" s="515">
        <f t="shared" si="21"/>
        <v>0</v>
      </c>
      <c r="X65" s="515">
        <f t="shared" si="21"/>
        <v>0</v>
      </c>
      <c r="Y65" s="515">
        <f t="shared" si="21"/>
        <v>0</v>
      </c>
      <c r="Z65" s="515">
        <f t="shared" si="21"/>
        <v>0</v>
      </c>
      <c r="AA65" s="515">
        <f t="shared" si="21"/>
        <v>0</v>
      </c>
      <c r="AB65" s="515">
        <f t="shared" si="21"/>
        <v>0</v>
      </c>
      <c r="AC65" s="515">
        <f t="shared" si="21"/>
        <v>0</v>
      </c>
      <c r="AD65" s="515">
        <f t="shared" si="21"/>
        <v>5000</v>
      </c>
      <c r="AE65" s="515">
        <f t="shared" si="21"/>
        <v>0</v>
      </c>
      <c r="AF65" s="515">
        <f t="shared" si="21"/>
        <v>0</v>
      </c>
      <c r="AG65" s="515">
        <f t="shared" si="21"/>
        <v>0</v>
      </c>
      <c r="AH65" s="515">
        <f t="shared" si="21"/>
        <v>0</v>
      </c>
      <c r="AI65" s="515">
        <f t="shared" si="21"/>
        <v>0</v>
      </c>
      <c r="AJ65" s="515">
        <f t="shared" si="21"/>
        <v>0</v>
      </c>
      <c r="AK65" s="515">
        <f t="shared" si="21"/>
        <v>0</v>
      </c>
    </row>
    <row r="66" spans="1:37" outlineLevel="2">
      <c r="B66"/>
      <c r="C66"/>
      <c r="D66"/>
      <c r="G66"/>
    </row>
    <row r="67" spans="1:37" outlineLevel="2">
      <c r="B67" s="899" t="s">
        <v>26</v>
      </c>
      <c r="C67" s="7"/>
      <c r="D67" s="8"/>
      <c r="E67" s="8"/>
      <c r="F67" s="1"/>
      <c r="G67"/>
      <c r="H67" s="540">
        <f t="shared" ref="H67:AK67" si="22">SUM(H$63:H$66)</f>
        <v>0</v>
      </c>
      <c r="I67" s="540">
        <f t="shared" si="22"/>
        <v>0</v>
      </c>
      <c r="J67" s="540">
        <f t="shared" si="22"/>
        <v>0</v>
      </c>
      <c r="K67" s="540">
        <f t="shared" si="22"/>
        <v>0</v>
      </c>
      <c r="L67" s="540">
        <f t="shared" si="22"/>
        <v>0</v>
      </c>
      <c r="M67" s="540">
        <f t="shared" si="22"/>
        <v>0</v>
      </c>
      <c r="N67" s="540">
        <f t="shared" si="22"/>
        <v>0</v>
      </c>
      <c r="O67" s="540">
        <f t="shared" si="22"/>
        <v>0</v>
      </c>
      <c r="P67" s="540">
        <f t="shared" si="22"/>
        <v>0</v>
      </c>
      <c r="Q67" s="540">
        <f t="shared" si="22"/>
        <v>0</v>
      </c>
      <c r="R67" s="540">
        <f t="shared" si="22"/>
        <v>0</v>
      </c>
      <c r="S67" s="540">
        <f t="shared" si="22"/>
        <v>0</v>
      </c>
      <c r="T67" s="540">
        <f t="shared" si="22"/>
        <v>0</v>
      </c>
      <c r="U67" s="540">
        <f t="shared" si="22"/>
        <v>0</v>
      </c>
      <c r="V67" s="540">
        <f t="shared" si="22"/>
        <v>0</v>
      </c>
      <c r="W67" s="540">
        <f t="shared" si="22"/>
        <v>0</v>
      </c>
      <c r="X67" s="540">
        <f t="shared" si="22"/>
        <v>0</v>
      </c>
      <c r="Y67" s="540">
        <f t="shared" si="22"/>
        <v>0</v>
      </c>
      <c r="Z67" s="540">
        <f t="shared" si="22"/>
        <v>0</v>
      </c>
      <c r="AA67" s="540">
        <f t="shared" si="22"/>
        <v>0</v>
      </c>
      <c r="AB67" s="540">
        <f t="shared" si="22"/>
        <v>0</v>
      </c>
      <c r="AC67" s="540">
        <f t="shared" si="22"/>
        <v>0</v>
      </c>
      <c r="AD67" s="540">
        <f t="shared" si="22"/>
        <v>5000</v>
      </c>
      <c r="AE67" s="540">
        <f t="shared" si="22"/>
        <v>0</v>
      </c>
      <c r="AF67" s="540">
        <f t="shared" si="22"/>
        <v>0</v>
      </c>
      <c r="AG67" s="540">
        <f t="shared" si="22"/>
        <v>0</v>
      </c>
      <c r="AH67" s="540">
        <f t="shared" si="22"/>
        <v>0</v>
      </c>
      <c r="AI67" s="540">
        <f t="shared" si="22"/>
        <v>0</v>
      </c>
      <c r="AJ67" s="540">
        <f t="shared" si="22"/>
        <v>0</v>
      </c>
      <c r="AK67" s="540">
        <f t="shared" si="22"/>
        <v>0</v>
      </c>
    </row>
    <row r="68" spans="1:37" ht="6" customHeight="1" outlineLevel="1">
      <c r="G68" s="517"/>
    </row>
    <row r="69" spans="1:37" outlineLevel="1">
      <c r="A69" s="380"/>
      <c r="B69" s="868" t="s">
        <v>498</v>
      </c>
      <c r="C69" s="869"/>
      <c r="D69" s="869"/>
      <c r="E69" s="869"/>
      <c r="F69" s="869"/>
      <c r="G69" s="869"/>
      <c r="H69" s="869"/>
      <c r="I69" s="869"/>
      <c r="J69" s="870"/>
      <c r="K69" s="870"/>
      <c r="L69" s="870"/>
      <c r="M69" s="870"/>
      <c r="N69" s="870"/>
      <c r="O69" s="870"/>
      <c r="P69" s="870"/>
      <c r="Q69" s="870"/>
      <c r="R69" s="870"/>
      <c r="S69" s="870"/>
      <c r="T69" s="870"/>
      <c r="U69" s="870"/>
      <c r="V69" s="870"/>
      <c r="W69" s="870"/>
      <c r="X69" s="870"/>
      <c r="Y69" s="870"/>
      <c r="Z69" s="870"/>
      <c r="AA69" s="870"/>
      <c r="AB69" s="870"/>
      <c r="AC69" s="870"/>
      <c r="AD69" s="870"/>
      <c r="AE69" s="870"/>
      <c r="AF69" s="870"/>
      <c r="AG69" s="870"/>
      <c r="AH69" s="870"/>
      <c r="AI69" s="870"/>
      <c r="AJ69" s="870"/>
      <c r="AK69" s="870"/>
    </row>
    <row r="70" spans="1:37" ht="5.25" customHeight="1" outlineLevel="2">
      <c r="B70" s="293"/>
      <c r="C70" s="1"/>
      <c r="D70" s="1"/>
      <c r="E70" s="461"/>
    </row>
    <row r="71" spans="1:37" outlineLevel="2">
      <c r="B71" s="542" t="s">
        <v>518</v>
      </c>
      <c r="G71" s="517"/>
    </row>
    <row r="72" spans="1:37" outlineLevel="2">
      <c r="B72" s="871" t="s">
        <v>515</v>
      </c>
      <c r="C72" s="871" t="s">
        <v>504</v>
      </c>
      <c r="D72" s="871" t="s">
        <v>503</v>
      </c>
      <c r="E72" s="871"/>
      <c r="F72" s="871"/>
      <c r="G72" s="517"/>
      <c r="I72" s="515"/>
      <c r="J72" s="515"/>
      <c r="K72" s="515"/>
      <c r="L72" s="515"/>
      <c r="M72" s="515"/>
      <c r="N72" s="515"/>
      <c r="O72" s="515"/>
      <c r="P72" s="515"/>
      <c r="Q72" s="515"/>
      <c r="R72" s="515"/>
      <c r="S72" s="515"/>
      <c r="T72" s="515"/>
      <c r="U72" s="515"/>
      <c r="V72" s="515"/>
      <c r="W72" s="515"/>
      <c r="X72" s="515"/>
      <c r="Y72" s="515"/>
      <c r="Z72" s="515"/>
      <c r="AA72" s="515"/>
      <c r="AB72" s="515"/>
      <c r="AC72" s="515"/>
      <c r="AD72" s="515"/>
      <c r="AE72" s="515"/>
      <c r="AF72" s="515"/>
      <c r="AG72" s="515"/>
      <c r="AH72" s="515"/>
      <c r="AI72" s="515"/>
      <c r="AJ72" s="515"/>
      <c r="AK72" s="515"/>
    </row>
    <row r="73" spans="1:37" outlineLevel="2">
      <c r="B73" s="864">
        <v>9</v>
      </c>
      <c r="C73" s="855">
        <v>1380.79</v>
      </c>
      <c r="D73" s="864">
        <v>1</v>
      </c>
      <c r="G73" s="517"/>
      <c r="H73" s="515">
        <f t="shared" ref="H73:AK73" si="23">(MONTH(H$9)=$B$73)*($C$73*$D$73)</f>
        <v>1380.79</v>
      </c>
      <c r="I73" s="515">
        <f t="shared" si="23"/>
        <v>0</v>
      </c>
      <c r="J73" s="515">
        <f t="shared" si="23"/>
        <v>0</v>
      </c>
      <c r="K73" s="515">
        <f t="shared" si="23"/>
        <v>0</v>
      </c>
      <c r="L73" s="515">
        <f t="shared" si="23"/>
        <v>0</v>
      </c>
      <c r="M73" s="515">
        <f t="shared" si="23"/>
        <v>0</v>
      </c>
      <c r="N73" s="515">
        <f t="shared" si="23"/>
        <v>0</v>
      </c>
      <c r="O73" s="515">
        <f t="shared" si="23"/>
        <v>0</v>
      </c>
      <c r="P73" s="515">
        <f t="shared" si="23"/>
        <v>0</v>
      </c>
      <c r="Q73" s="515">
        <f t="shared" si="23"/>
        <v>0</v>
      </c>
      <c r="R73" s="515">
        <f t="shared" si="23"/>
        <v>0</v>
      </c>
      <c r="S73" s="515">
        <f t="shared" si="23"/>
        <v>0</v>
      </c>
      <c r="T73" s="515">
        <f t="shared" si="23"/>
        <v>1380.79</v>
      </c>
      <c r="U73" s="515">
        <f t="shared" si="23"/>
        <v>0</v>
      </c>
      <c r="V73" s="515">
        <f t="shared" si="23"/>
        <v>0</v>
      </c>
      <c r="W73" s="515">
        <f t="shared" si="23"/>
        <v>0</v>
      </c>
      <c r="X73" s="515">
        <f t="shared" si="23"/>
        <v>0</v>
      </c>
      <c r="Y73" s="515">
        <f t="shared" si="23"/>
        <v>0</v>
      </c>
      <c r="Z73" s="515">
        <f t="shared" si="23"/>
        <v>0</v>
      </c>
      <c r="AA73" s="515">
        <f t="shared" si="23"/>
        <v>0</v>
      </c>
      <c r="AB73" s="515">
        <f t="shared" si="23"/>
        <v>0</v>
      </c>
      <c r="AC73" s="515">
        <f t="shared" si="23"/>
        <v>0</v>
      </c>
      <c r="AD73" s="515">
        <f t="shared" si="23"/>
        <v>0</v>
      </c>
      <c r="AE73" s="515">
        <f t="shared" si="23"/>
        <v>0</v>
      </c>
      <c r="AF73" s="515">
        <f t="shared" si="23"/>
        <v>1380.79</v>
      </c>
      <c r="AG73" s="515">
        <f t="shared" si="23"/>
        <v>0</v>
      </c>
      <c r="AH73" s="515">
        <f t="shared" si="23"/>
        <v>0</v>
      </c>
      <c r="AI73" s="515">
        <f t="shared" si="23"/>
        <v>0</v>
      </c>
      <c r="AJ73" s="515">
        <f t="shared" si="23"/>
        <v>0</v>
      </c>
      <c r="AK73" s="515">
        <f t="shared" si="23"/>
        <v>0</v>
      </c>
    </row>
    <row r="74" spans="1:37" outlineLevel="2">
      <c r="B74" s="864"/>
      <c r="C74" s="855"/>
      <c r="D74" s="864"/>
      <c r="G74" s="517"/>
      <c r="H74" s="515"/>
      <c r="I74" s="515"/>
      <c r="J74" s="515"/>
      <c r="K74" s="515"/>
      <c r="L74" s="515"/>
      <c r="M74" s="515"/>
      <c r="N74" s="515"/>
      <c r="O74" s="515"/>
      <c r="P74" s="515"/>
      <c r="Q74" s="515"/>
      <c r="R74" s="515"/>
      <c r="S74" s="515"/>
      <c r="T74" s="515"/>
      <c r="U74" s="515"/>
      <c r="V74" s="515"/>
      <c r="W74" s="515"/>
      <c r="X74" s="515"/>
      <c r="Y74" s="515"/>
      <c r="Z74" s="515"/>
      <c r="AA74" s="515"/>
      <c r="AB74" s="515"/>
      <c r="AC74" s="515"/>
      <c r="AD74" s="515"/>
      <c r="AE74" s="515"/>
      <c r="AF74" s="515"/>
      <c r="AG74" s="515"/>
      <c r="AH74" s="515"/>
      <c r="AI74" s="515"/>
      <c r="AJ74" s="515"/>
      <c r="AK74" s="515"/>
    </row>
    <row r="75" spans="1:37" ht="6" customHeight="1" outlineLevel="1">
      <c r="B75" s="864"/>
      <c r="C75" s="855"/>
      <c r="D75" s="864"/>
      <c r="G75" s="517"/>
      <c r="H75" s="515"/>
      <c r="I75" s="515"/>
      <c r="J75" s="515"/>
      <c r="K75" s="515"/>
      <c r="L75" s="515"/>
      <c r="M75" s="515"/>
      <c r="N75" s="515"/>
      <c r="O75" s="515"/>
      <c r="P75" s="515"/>
      <c r="Q75" s="515"/>
      <c r="R75" s="515"/>
      <c r="S75" s="515"/>
      <c r="T75" s="515"/>
      <c r="U75" s="515"/>
      <c r="V75" s="515"/>
      <c r="W75" s="515"/>
      <c r="X75" s="515"/>
      <c r="Y75" s="515"/>
      <c r="Z75" s="515"/>
      <c r="AA75" s="515"/>
      <c r="AB75" s="515"/>
      <c r="AC75" s="515"/>
      <c r="AD75" s="515"/>
      <c r="AE75" s="515"/>
      <c r="AF75" s="515"/>
      <c r="AG75" s="515"/>
      <c r="AH75" s="515"/>
      <c r="AI75" s="515"/>
      <c r="AJ75" s="515"/>
      <c r="AK75" s="515"/>
    </row>
    <row r="76" spans="1:37" outlineLevel="1">
      <c r="A76" s="380"/>
      <c r="B76" s="868" t="s">
        <v>339</v>
      </c>
      <c r="C76" s="869"/>
      <c r="D76" s="869"/>
      <c r="E76" s="869"/>
      <c r="F76" s="869"/>
      <c r="G76" s="869"/>
      <c r="H76" s="869"/>
      <c r="I76" s="869"/>
      <c r="J76" s="870"/>
      <c r="K76" s="870"/>
      <c r="L76" s="870"/>
      <c r="M76" s="870"/>
      <c r="N76" s="870"/>
      <c r="O76" s="870"/>
      <c r="P76" s="870"/>
      <c r="Q76" s="870"/>
      <c r="R76" s="870"/>
      <c r="S76" s="870"/>
      <c r="T76" s="870"/>
      <c r="U76" s="870"/>
      <c r="V76" s="870"/>
      <c r="W76" s="870"/>
      <c r="X76" s="870"/>
      <c r="Y76" s="870"/>
      <c r="Z76" s="870"/>
      <c r="AA76" s="870"/>
      <c r="AB76" s="870"/>
      <c r="AC76" s="870"/>
      <c r="AD76" s="870"/>
      <c r="AE76" s="870"/>
      <c r="AF76" s="870"/>
      <c r="AG76" s="870"/>
      <c r="AH76" s="870"/>
      <c r="AI76" s="870"/>
      <c r="AJ76" s="870"/>
      <c r="AK76" s="870"/>
    </row>
    <row r="77" spans="1:37" ht="5.25" customHeight="1" outlineLevel="2">
      <c r="B77" s="293"/>
      <c r="C77" s="1"/>
      <c r="D77" s="1"/>
      <c r="E77" s="461"/>
    </row>
    <row r="78" spans="1:37" outlineLevel="2">
      <c r="B78" s="873" t="s">
        <v>516</v>
      </c>
      <c r="C78" s="873"/>
      <c r="D78" s="873"/>
      <c r="E78" s="873"/>
      <c r="G78" s="517"/>
    </row>
    <row r="79" spans="1:37" outlineLevel="2">
      <c r="B79" s="380" t="s">
        <v>512</v>
      </c>
      <c r="C79" s="380" t="s">
        <v>341</v>
      </c>
      <c r="D79" s="871" t="s">
        <v>502</v>
      </c>
      <c r="E79" s="467"/>
      <c r="F79" s="467"/>
      <c r="G79" s="517"/>
    </row>
    <row r="80" spans="1:37" outlineLevel="2">
      <c r="B80" s="855">
        <v>1</v>
      </c>
      <c r="C80" s="859">
        <f>_xlfn.XLOOKUP($B$80,$H$8:$Y$8,$H$9:$Y$9)</f>
        <v>44806</v>
      </c>
      <c r="D80" s="855">
        <v>1000</v>
      </c>
      <c r="E80" s="855"/>
      <c r="G80" s="517"/>
      <c r="H80" s="515">
        <f t="shared" ref="H80:AK80" si="24">(H$8=$B$80)*($D$80)</f>
        <v>1000</v>
      </c>
      <c r="I80" s="515">
        <f t="shared" si="24"/>
        <v>0</v>
      </c>
      <c r="J80" s="515">
        <f t="shared" si="24"/>
        <v>0</v>
      </c>
      <c r="K80" s="515">
        <f t="shared" si="24"/>
        <v>0</v>
      </c>
      <c r="L80" s="515">
        <f t="shared" si="24"/>
        <v>0</v>
      </c>
      <c r="M80" s="515">
        <f t="shared" si="24"/>
        <v>0</v>
      </c>
      <c r="N80" s="515">
        <f t="shared" si="24"/>
        <v>0</v>
      </c>
      <c r="O80" s="515">
        <f t="shared" si="24"/>
        <v>0</v>
      </c>
      <c r="P80" s="515">
        <f t="shared" si="24"/>
        <v>0</v>
      </c>
      <c r="Q80" s="515">
        <f t="shared" si="24"/>
        <v>0</v>
      </c>
      <c r="R80" s="515">
        <f t="shared" si="24"/>
        <v>0</v>
      </c>
      <c r="S80" s="515">
        <f t="shared" si="24"/>
        <v>0</v>
      </c>
      <c r="T80" s="515">
        <f t="shared" si="24"/>
        <v>0</v>
      </c>
      <c r="U80" s="515">
        <f t="shared" si="24"/>
        <v>0</v>
      </c>
      <c r="V80" s="515">
        <f t="shared" si="24"/>
        <v>0</v>
      </c>
      <c r="W80" s="515">
        <f t="shared" si="24"/>
        <v>0</v>
      </c>
      <c r="X80" s="515">
        <f t="shared" si="24"/>
        <v>0</v>
      </c>
      <c r="Y80" s="515">
        <f t="shared" si="24"/>
        <v>0</v>
      </c>
      <c r="Z80" s="515">
        <f t="shared" si="24"/>
        <v>0</v>
      </c>
      <c r="AA80" s="515">
        <f t="shared" si="24"/>
        <v>0</v>
      </c>
      <c r="AB80" s="515">
        <f t="shared" si="24"/>
        <v>0</v>
      </c>
      <c r="AC80" s="515">
        <f t="shared" si="24"/>
        <v>0</v>
      </c>
      <c r="AD80" s="515">
        <f t="shared" si="24"/>
        <v>0</v>
      </c>
      <c r="AE80" s="515">
        <f t="shared" si="24"/>
        <v>0</v>
      </c>
      <c r="AF80" s="515">
        <f t="shared" si="24"/>
        <v>0</v>
      </c>
      <c r="AG80" s="515">
        <f t="shared" si="24"/>
        <v>0</v>
      </c>
      <c r="AH80" s="515">
        <f t="shared" si="24"/>
        <v>0</v>
      </c>
      <c r="AI80" s="515">
        <f t="shared" si="24"/>
        <v>0</v>
      </c>
      <c r="AJ80" s="515">
        <f t="shared" si="24"/>
        <v>0</v>
      </c>
      <c r="AK80" s="515">
        <f t="shared" si="24"/>
        <v>0</v>
      </c>
    </row>
    <row r="81" spans="1:37" ht="4.5" customHeight="1" outlineLevel="2">
      <c r="G81" s="517"/>
    </row>
    <row r="82" spans="1:37" outlineLevel="2">
      <c r="B82" s="873" t="s">
        <v>517</v>
      </c>
      <c r="C82" s="873"/>
      <c r="D82" s="873"/>
      <c r="E82" s="873"/>
      <c r="F82" s="873"/>
      <c r="G82" s="517"/>
    </row>
    <row r="83" spans="1:37" outlineLevel="2">
      <c r="B83" s="871" t="s">
        <v>515</v>
      </c>
      <c r="C83" s="871" t="s">
        <v>504</v>
      </c>
      <c r="D83" s="871" t="s">
        <v>503</v>
      </c>
      <c r="G83" s="517"/>
    </row>
    <row r="84" spans="1:37" outlineLevel="2">
      <c r="B84" s="864">
        <f>MONTH(_xlfn.XLOOKUP($B$80,$H$8:$AK$8,$H$9:$AK$9))</f>
        <v>9</v>
      </c>
      <c r="C84" s="855">
        <v>2400</v>
      </c>
      <c r="D84" s="864">
        <v>1</v>
      </c>
      <c r="G84" s="517"/>
      <c r="H84" s="515">
        <f t="shared" ref="H84:AK84" si="25">(MONTH(H$9)=$B$84)*($C$84*$D$84)</f>
        <v>2400</v>
      </c>
      <c r="I84" s="515">
        <f t="shared" si="25"/>
        <v>0</v>
      </c>
      <c r="J84" s="515">
        <f t="shared" si="25"/>
        <v>0</v>
      </c>
      <c r="K84" s="515">
        <f t="shared" si="25"/>
        <v>0</v>
      </c>
      <c r="L84" s="515">
        <f t="shared" si="25"/>
        <v>0</v>
      </c>
      <c r="M84" s="515">
        <f t="shared" si="25"/>
        <v>0</v>
      </c>
      <c r="N84" s="515">
        <f t="shared" si="25"/>
        <v>0</v>
      </c>
      <c r="O84" s="515">
        <f t="shared" si="25"/>
        <v>0</v>
      </c>
      <c r="P84" s="515">
        <f t="shared" si="25"/>
        <v>0</v>
      </c>
      <c r="Q84" s="515">
        <f t="shared" si="25"/>
        <v>0</v>
      </c>
      <c r="R84" s="515">
        <f t="shared" si="25"/>
        <v>0</v>
      </c>
      <c r="S84" s="515">
        <f t="shared" si="25"/>
        <v>0</v>
      </c>
      <c r="T84" s="515">
        <f t="shared" si="25"/>
        <v>2400</v>
      </c>
      <c r="U84" s="515">
        <f t="shared" si="25"/>
        <v>0</v>
      </c>
      <c r="V84" s="515">
        <f t="shared" si="25"/>
        <v>0</v>
      </c>
      <c r="W84" s="515">
        <f t="shared" si="25"/>
        <v>0</v>
      </c>
      <c r="X84" s="515">
        <f t="shared" si="25"/>
        <v>0</v>
      </c>
      <c r="Y84" s="515">
        <f t="shared" si="25"/>
        <v>0</v>
      </c>
      <c r="Z84" s="515">
        <f t="shared" si="25"/>
        <v>0</v>
      </c>
      <c r="AA84" s="515">
        <f t="shared" si="25"/>
        <v>0</v>
      </c>
      <c r="AB84" s="515">
        <f t="shared" si="25"/>
        <v>0</v>
      </c>
      <c r="AC84" s="515">
        <f t="shared" si="25"/>
        <v>0</v>
      </c>
      <c r="AD84" s="515">
        <f t="shared" si="25"/>
        <v>0</v>
      </c>
      <c r="AE84" s="515">
        <f t="shared" si="25"/>
        <v>0</v>
      </c>
      <c r="AF84" s="515">
        <f t="shared" si="25"/>
        <v>2400</v>
      </c>
      <c r="AG84" s="515">
        <f t="shared" si="25"/>
        <v>0</v>
      </c>
      <c r="AH84" s="515">
        <f t="shared" si="25"/>
        <v>0</v>
      </c>
      <c r="AI84" s="515">
        <f t="shared" si="25"/>
        <v>0</v>
      </c>
      <c r="AJ84" s="515">
        <f t="shared" si="25"/>
        <v>0</v>
      </c>
      <c r="AK84" s="515">
        <f t="shared" si="25"/>
        <v>0</v>
      </c>
    </row>
    <row r="85" spans="1:37" ht="6.75" customHeight="1" outlineLevel="2">
      <c r="G85" s="517"/>
    </row>
    <row r="86" spans="1:37" outlineLevel="2">
      <c r="B86" s="615" t="s">
        <v>26</v>
      </c>
      <c r="C86" s="7"/>
      <c r="D86" s="7"/>
      <c r="E86" s="7"/>
      <c r="F86" s="7"/>
      <c r="G86" s="1"/>
      <c r="H86" s="540">
        <f t="shared" ref="H86:AK86" si="26">SUM(H$78:H$85)</f>
        <v>3400</v>
      </c>
      <c r="I86" s="540">
        <f t="shared" si="26"/>
        <v>0</v>
      </c>
      <c r="J86" s="540">
        <f t="shared" si="26"/>
        <v>0</v>
      </c>
      <c r="K86" s="540">
        <f t="shared" si="26"/>
        <v>0</v>
      </c>
      <c r="L86" s="540">
        <f t="shared" si="26"/>
        <v>0</v>
      </c>
      <c r="M86" s="540">
        <f t="shared" si="26"/>
        <v>0</v>
      </c>
      <c r="N86" s="540">
        <f t="shared" si="26"/>
        <v>0</v>
      </c>
      <c r="O86" s="540">
        <f t="shared" si="26"/>
        <v>0</v>
      </c>
      <c r="P86" s="540">
        <f t="shared" si="26"/>
        <v>0</v>
      </c>
      <c r="Q86" s="540">
        <f t="shared" si="26"/>
        <v>0</v>
      </c>
      <c r="R86" s="540">
        <f t="shared" si="26"/>
        <v>0</v>
      </c>
      <c r="S86" s="540">
        <f t="shared" si="26"/>
        <v>0</v>
      </c>
      <c r="T86" s="540">
        <f t="shared" si="26"/>
        <v>2400</v>
      </c>
      <c r="U86" s="540">
        <f t="shared" si="26"/>
        <v>0</v>
      </c>
      <c r="V86" s="540">
        <f t="shared" si="26"/>
        <v>0</v>
      </c>
      <c r="W86" s="540">
        <f t="shared" si="26"/>
        <v>0</v>
      </c>
      <c r="X86" s="540">
        <f t="shared" si="26"/>
        <v>0</v>
      </c>
      <c r="Y86" s="540">
        <f t="shared" si="26"/>
        <v>0</v>
      </c>
      <c r="Z86" s="540">
        <f t="shared" si="26"/>
        <v>0</v>
      </c>
      <c r="AA86" s="540">
        <f t="shared" si="26"/>
        <v>0</v>
      </c>
      <c r="AB86" s="540">
        <f t="shared" si="26"/>
        <v>0</v>
      </c>
      <c r="AC86" s="540">
        <f t="shared" si="26"/>
        <v>0</v>
      </c>
      <c r="AD86" s="540">
        <f t="shared" si="26"/>
        <v>0</v>
      </c>
      <c r="AE86" s="540">
        <f t="shared" si="26"/>
        <v>0</v>
      </c>
      <c r="AF86" s="540">
        <f t="shared" si="26"/>
        <v>2400</v>
      </c>
      <c r="AG86" s="540">
        <f t="shared" si="26"/>
        <v>0</v>
      </c>
      <c r="AH86" s="540">
        <f t="shared" si="26"/>
        <v>0</v>
      </c>
      <c r="AI86" s="540">
        <f t="shared" si="26"/>
        <v>0</v>
      </c>
      <c r="AJ86" s="540">
        <f t="shared" si="26"/>
        <v>0</v>
      </c>
      <c r="AK86" s="540">
        <f t="shared" si="26"/>
        <v>0</v>
      </c>
    </row>
    <row r="87" spans="1:37" ht="6" customHeight="1" outlineLevel="1">
      <c r="B87" s="864"/>
      <c r="G87" s="517"/>
    </row>
    <row r="88" spans="1:37" outlineLevel="1">
      <c r="A88" s="380"/>
      <c r="B88" s="868" t="s">
        <v>497</v>
      </c>
      <c r="C88" s="869"/>
      <c r="D88" s="869"/>
      <c r="E88" s="869"/>
      <c r="F88" s="869"/>
      <c r="G88" s="869"/>
      <c r="H88" s="869"/>
      <c r="I88" s="869"/>
      <c r="J88" s="870"/>
      <c r="K88" s="870"/>
      <c r="L88" s="870"/>
      <c r="M88" s="870"/>
      <c r="N88" s="870"/>
      <c r="O88" s="870"/>
      <c r="P88" s="870"/>
      <c r="Q88" s="870"/>
      <c r="R88" s="870"/>
      <c r="S88" s="870"/>
      <c r="T88" s="870"/>
      <c r="U88" s="870"/>
      <c r="V88" s="870"/>
      <c r="W88" s="870"/>
      <c r="X88" s="870"/>
      <c r="Y88" s="870"/>
      <c r="Z88" s="870"/>
      <c r="AA88" s="870"/>
      <c r="AB88" s="870"/>
      <c r="AC88" s="870"/>
      <c r="AD88" s="870"/>
      <c r="AE88" s="870"/>
      <c r="AF88" s="870"/>
      <c r="AG88" s="870"/>
      <c r="AH88" s="870"/>
      <c r="AI88" s="870"/>
      <c r="AJ88" s="870"/>
      <c r="AK88" s="870"/>
    </row>
    <row r="89" spans="1:37" ht="5.25" customHeight="1" outlineLevel="2">
      <c r="B89" s="293"/>
      <c r="C89" s="1"/>
      <c r="D89" s="1"/>
      <c r="E89" s="461"/>
    </row>
    <row r="90" spans="1:37" outlineLevel="2">
      <c r="B90" s="380" t="s">
        <v>512</v>
      </c>
      <c r="C90" s="380" t="s">
        <v>341</v>
      </c>
      <c r="D90" s="467" t="s">
        <v>505</v>
      </c>
      <c r="G90" s="517"/>
    </row>
    <row r="91" spans="1:37" outlineLevel="2">
      <c r="B91" s="864">
        <v>1</v>
      </c>
      <c r="C91" s="859">
        <f>_xlfn.XLOOKUP($B$37,$H$8:$Y$8,$H$9:$Y$9)</f>
        <v>44867</v>
      </c>
      <c r="D91" s="857">
        <v>180</v>
      </c>
      <c r="G91" s="517"/>
      <c r="H91" s="515">
        <f t="shared" ref="H91:AK91" si="27">(H$8&gt;=$B$91)*($D$91)</f>
        <v>180</v>
      </c>
      <c r="I91" s="515">
        <f t="shared" si="27"/>
        <v>180</v>
      </c>
      <c r="J91" s="515">
        <f t="shared" si="27"/>
        <v>180</v>
      </c>
      <c r="K91" s="515">
        <f t="shared" si="27"/>
        <v>180</v>
      </c>
      <c r="L91" s="515">
        <f t="shared" si="27"/>
        <v>180</v>
      </c>
      <c r="M91" s="515">
        <f t="shared" si="27"/>
        <v>180</v>
      </c>
      <c r="N91" s="515">
        <f t="shared" si="27"/>
        <v>180</v>
      </c>
      <c r="O91" s="515">
        <f t="shared" si="27"/>
        <v>180</v>
      </c>
      <c r="P91" s="515">
        <f t="shared" si="27"/>
        <v>180</v>
      </c>
      <c r="Q91" s="515">
        <f t="shared" si="27"/>
        <v>180</v>
      </c>
      <c r="R91" s="515">
        <f t="shared" si="27"/>
        <v>180</v>
      </c>
      <c r="S91" s="515">
        <f t="shared" si="27"/>
        <v>180</v>
      </c>
      <c r="T91" s="515">
        <f t="shared" si="27"/>
        <v>180</v>
      </c>
      <c r="U91" s="515">
        <f t="shared" si="27"/>
        <v>180</v>
      </c>
      <c r="V91" s="515">
        <f t="shared" si="27"/>
        <v>180</v>
      </c>
      <c r="W91" s="515">
        <f t="shared" si="27"/>
        <v>180</v>
      </c>
      <c r="X91" s="515">
        <f t="shared" si="27"/>
        <v>180</v>
      </c>
      <c r="Y91" s="515">
        <f t="shared" si="27"/>
        <v>180</v>
      </c>
      <c r="Z91" s="515">
        <f t="shared" si="27"/>
        <v>180</v>
      </c>
      <c r="AA91" s="515">
        <f t="shared" si="27"/>
        <v>180</v>
      </c>
      <c r="AB91" s="515">
        <f t="shared" si="27"/>
        <v>180</v>
      </c>
      <c r="AC91" s="515">
        <f t="shared" si="27"/>
        <v>180</v>
      </c>
      <c r="AD91" s="515">
        <f t="shared" si="27"/>
        <v>180</v>
      </c>
      <c r="AE91" s="515">
        <f t="shared" si="27"/>
        <v>180</v>
      </c>
      <c r="AF91" s="515">
        <f t="shared" si="27"/>
        <v>180</v>
      </c>
      <c r="AG91" s="515">
        <f t="shared" si="27"/>
        <v>180</v>
      </c>
      <c r="AH91" s="515">
        <f t="shared" si="27"/>
        <v>180</v>
      </c>
      <c r="AI91" s="515">
        <f t="shared" si="27"/>
        <v>180</v>
      </c>
      <c r="AJ91" s="515">
        <f t="shared" si="27"/>
        <v>180</v>
      </c>
      <c r="AK91" s="515">
        <f t="shared" si="27"/>
        <v>180</v>
      </c>
    </row>
    <row r="92" spans="1:37" ht="6" customHeight="1" outlineLevel="1">
      <c r="B92" s="864"/>
      <c r="C92" s="859"/>
      <c r="G92" s="517"/>
    </row>
    <row r="93" spans="1:37" outlineLevel="1">
      <c r="A93" s="380"/>
      <c r="B93" s="868" t="s">
        <v>519</v>
      </c>
      <c r="C93" s="869"/>
      <c r="D93" s="869"/>
      <c r="E93" s="869"/>
      <c r="F93" s="869"/>
      <c r="G93" s="869"/>
      <c r="H93" s="869"/>
      <c r="I93" s="869"/>
      <c r="J93" s="870"/>
      <c r="K93" s="870"/>
      <c r="L93" s="870"/>
      <c r="M93" s="870"/>
      <c r="N93" s="870"/>
      <c r="O93" s="870"/>
      <c r="P93" s="870"/>
      <c r="Q93" s="870"/>
      <c r="R93" s="870"/>
      <c r="S93" s="870"/>
      <c r="T93" s="870"/>
      <c r="U93" s="870"/>
      <c r="V93" s="870"/>
      <c r="W93" s="870"/>
      <c r="X93" s="870"/>
      <c r="Y93" s="870"/>
      <c r="Z93" s="870"/>
      <c r="AA93" s="870"/>
      <c r="AB93" s="870"/>
      <c r="AC93" s="870"/>
      <c r="AD93" s="870"/>
      <c r="AE93" s="870"/>
      <c r="AF93" s="870"/>
      <c r="AG93" s="870"/>
      <c r="AH93" s="870"/>
      <c r="AI93" s="870"/>
      <c r="AJ93" s="870"/>
      <c r="AK93" s="870"/>
    </row>
    <row r="94" spans="1:37" ht="5.25" customHeight="1" outlineLevel="3">
      <c r="B94" s="293"/>
      <c r="C94" s="1"/>
      <c r="D94" s="1"/>
      <c r="E94" s="461"/>
    </row>
    <row r="95" spans="1:37" outlineLevel="2">
      <c r="B95" s="380" t="s">
        <v>512</v>
      </c>
      <c r="C95" s="380" t="s">
        <v>341</v>
      </c>
      <c r="D95" s="380" t="s">
        <v>504</v>
      </c>
      <c r="E95" s="467" t="s">
        <v>503</v>
      </c>
      <c r="G95" s="517"/>
    </row>
    <row r="96" spans="1:37" outlineLevel="2">
      <c r="B96" s="864">
        <v>1</v>
      </c>
      <c r="C96" s="859">
        <f>_xlfn.XLOOKUP($B$37,$H$8:$Y$8,$H$9:$Y$9)</f>
        <v>44867</v>
      </c>
      <c r="D96" s="881">
        <f>PRODUCT(D98,(1+D99))</f>
        <v>33</v>
      </c>
      <c r="E96" s="855">
        <v>7</v>
      </c>
      <c r="G96" s="517"/>
      <c r="H96" s="515">
        <f t="shared" ref="H96:AK96" si="28">(H$8&gt;=$B$96)*($D$96*$E$96)</f>
        <v>231</v>
      </c>
      <c r="I96" s="515">
        <f t="shared" si="28"/>
        <v>231</v>
      </c>
      <c r="J96" s="515">
        <f t="shared" si="28"/>
        <v>231</v>
      </c>
      <c r="K96" s="515">
        <f t="shared" si="28"/>
        <v>231</v>
      </c>
      <c r="L96" s="515">
        <f t="shared" si="28"/>
        <v>231</v>
      </c>
      <c r="M96" s="515">
        <f t="shared" si="28"/>
        <v>231</v>
      </c>
      <c r="N96" s="515">
        <f t="shared" si="28"/>
        <v>231</v>
      </c>
      <c r="O96" s="515">
        <f t="shared" si="28"/>
        <v>231</v>
      </c>
      <c r="P96" s="515">
        <f t="shared" si="28"/>
        <v>231</v>
      </c>
      <c r="Q96" s="515">
        <f t="shared" si="28"/>
        <v>231</v>
      </c>
      <c r="R96" s="515">
        <f t="shared" si="28"/>
        <v>231</v>
      </c>
      <c r="S96" s="515">
        <f t="shared" si="28"/>
        <v>231</v>
      </c>
      <c r="T96" s="515">
        <f t="shared" si="28"/>
        <v>231</v>
      </c>
      <c r="U96" s="515">
        <f t="shared" si="28"/>
        <v>231</v>
      </c>
      <c r="V96" s="515">
        <f t="shared" si="28"/>
        <v>231</v>
      </c>
      <c r="W96" s="515">
        <f t="shared" si="28"/>
        <v>231</v>
      </c>
      <c r="X96" s="515">
        <f t="shared" si="28"/>
        <v>231</v>
      </c>
      <c r="Y96" s="515">
        <f t="shared" si="28"/>
        <v>231</v>
      </c>
      <c r="Z96" s="515">
        <f t="shared" si="28"/>
        <v>231</v>
      </c>
      <c r="AA96" s="515">
        <f t="shared" si="28"/>
        <v>231</v>
      </c>
      <c r="AB96" s="515">
        <f t="shared" si="28"/>
        <v>231</v>
      </c>
      <c r="AC96" s="515">
        <f t="shared" si="28"/>
        <v>231</v>
      </c>
      <c r="AD96" s="515">
        <f t="shared" si="28"/>
        <v>231</v>
      </c>
      <c r="AE96" s="515">
        <f t="shared" si="28"/>
        <v>231</v>
      </c>
      <c r="AF96" s="515">
        <f t="shared" si="28"/>
        <v>231</v>
      </c>
      <c r="AG96" s="515">
        <f t="shared" si="28"/>
        <v>231</v>
      </c>
      <c r="AH96" s="515">
        <f t="shared" si="28"/>
        <v>231</v>
      </c>
      <c r="AI96" s="515">
        <f t="shared" si="28"/>
        <v>231</v>
      </c>
      <c r="AJ96" s="515">
        <f t="shared" si="28"/>
        <v>231</v>
      </c>
      <c r="AK96" s="515">
        <f t="shared" si="28"/>
        <v>231</v>
      </c>
    </row>
    <row r="97" spans="2:7" outlineLevel="2">
      <c r="G97" s="517"/>
    </row>
    <row r="98" spans="2:7" outlineLevel="2">
      <c r="C98" s="468" t="s">
        <v>520</v>
      </c>
      <c r="D98" s="856">
        <v>22</v>
      </c>
      <c r="G98" s="517"/>
    </row>
    <row r="99" spans="2:7" outlineLevel="2">
      <c r="B99" s="363"/>
      <c r="C99" s="898" t="s">
        <v>521</v>
      </c>
      <c r="D99" s="887">
        <v>0.5</v>
      </c>
      <c r="G99" s="517"/>
    </row>
    <row r="100" spans="2:7" ht="6" customHeight="1" outlineLevel="1">
      <c r="G100" s="517"/>
    </row>
    <row r="101" spans="2:7">
      <c r="G101" s="517"/>
    </row>
    <row r="102" spans="2:7">
      <c r="G102" s="517"/>
    </row>
    <row r="103" spans="2:7">
      <c r="G103" s="517"/>
    </row>
    <row r="104" spans="2:7">
      <c r="G104" s="517"/>
    </row>
    <row r="105" spans="2:7">
      <c r="G105" s="517"/>
    </row>
    <row r="106" spans="2:7">
      <c r="G106" s="517"/>
    </row>
    <row r="107" spans="2:7">
      <c r="G107" s="517"/>
    </row>
    <row r="108" spans="2:7">
      <c r="G108" s="517"/>
    </row>
    <row r="109" spans="2:7">
      <c r="G109" s="517"/>
    </row>
    <row r="110" spans="2:7">
      <c r="G110" s="517"/>
    </row>
    <row r="111" spans="2:7">
      <c r="G111" s="517"/>
    </row>
    <row r="112" spans="2:7">
      <c r="G112" s="517"/>
    </row>
    <row r="113" spans="7:7">
      <c r="G113" s="517"/>
    </row>
  </sheetData>
  <sheetProtection algorithmName="SHA-512" hashValue="HmEk5nZVU57xlIMmble0BIl89PFE14o9CHuP7Dy9q/uIs5T7qMl1I6y/e3w3FpQuolYRvN2YpYwiw+HroEu4rw==" saltValue="yxpdeDaKBq3CHi4qlJJOCA==" spinCount="100000" sheet="1" objects="1" scenarios="1"/>
  <pageMargins left="0.7" right="0.7" top="0.75" bottom="0.75" header="0.3" footer="0.3"/>
  <pageSetup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Cover</vt:lpstr>
      <vt:lpstr>HoldCo</vt:lpstr>
      <vt:lpstr>Operating Model</vt:lpstr>
      <vt:lpstr>CRE Loan</vt:lpstr>
      <vt:lpstr>Seller Note</vt:lpstr>
      <vt:lpstr>PropCo Capex</vt:lpstr>
      <vt:lpstr>OpCo Capex</vt:lpstr>
      <vt:lpstr>Managed IT Services &amp; CMMC</vt:lpstr>
      <vt:lpstr>Software</vt:lpstr>
      <vt:lpstr>Manager</vt:lpstr>
      <vt:lpstr>Transition Period</vt:lpstr>
      <vt:lpstr>Supporting Info</vt:lpstr>
      <vt:lpstr>Top Customer Analysis</vt:lpstr>
      <vt:lpstr>Data Validation</vt:lpstr>
      <vt:lpstr>Basket &amp; Cap</vt:lpstr>
      <vt:lpstr>acquired_BV</vt:lpstr>
      <vt:lpstr>circuit_breaker</vt:lpstr>
      <vt:lpstr>closing_balance_sheet</vt:lpstr>
      <vt:lpstr>closing_date</vt:lpstr>
      <vt:lpstr>exit_year</vt:lpstr>
      <vt:lpstr>fv_adjustments</vt:lpstr>
      <vt:lpstr>Last_FYE</vt:lpstr>
      <vt:lpstr>LTM_Date</vt:lpstr>
      <vt:lpstr>LTV</vt:lpstr>
      <vt:lpstr>Next_FYE</vt:lpstr>
      <vt:lpstr>operating_case</vt:lpstr>
      <vt:lpstr>revolver_commitment</vt:lpstr>
      <vt:lpstr>scheduled_am</vt:lpstr>
      <vt:lpstr>sweep</vt:lpstr>
      <vt:lpstr>units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`</dc:creator>
  <cp:lastModifiedBy>Ben Bryer</cp:lastModifiedBy>
  <cp:lastPrinted>2022-06-30T19:14:32Z</cp:lastPrinted>
  <dcterms:created xsi:type="dcterms:W3CDTF">2021-02-25T15:47:39Z</dcterms:created>
  <dcterms:modified xsi:type="dcterms:W3CDTF">2022-07-03T03:05:54Z</dcterms:modified>
</cp:coreProperties>
</file>