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ell-Admin\Desktop\"/>
    </mc:Choice>
  </mc:AlternateContent>
  <xr:revisionPtr revIDLastSave="0" documentId="13_ncr:1_{7707A4BD-26BD-4781-8BFA-A45CADE9B243}" xr6:coauthVersionLast="45" xr6:coauthVersionMax="45" xr10:uidLastSave="{00000000-0000-0000-0000-000000000000}"/>
  <bookViews>
    <workbookView xWindow="-108" yWindow="-108" windowWidth="23256" windowHeight="12576" tabRatio="948" xr2:uid="{00000000-000D-0000-FFFF-FFFF00000000}"/>
  </bookViews>
  <sheets>
    <sheet name="Financial Statements" sheetId="13" r:id="rId1"/>
    <sheet name="Break-Even Point" sheetId="8" r:id="rId2"/>
    <sheet name="Raw Material Summary" sheetId="6" r:id="rId3"/>
    <sheet name="Raw Materials Detailed" sheetId="3" r:id="rId4"/>
    <sheet name="Labor" sheetId="4" r:id="rId5"/>
    <sheet name="Overheads" sheetId="5" r:id="rId6"/>
    <sheet name="Dec' 17 Actual Sales" sheetId="9" r:id="rId7"/>
    <sheet name="PPE" sheetId="7" r:id="rId8"/>
    <sheet name="SNC" sheetId="10" state="hidden" r:id="rId9"/>
  </sheets>
  <definedNames>
    <definedName name="_xlnm._FilterDatabase" localSheetId="2" hidden="1">'Raw Material Summary'!$A$13:$I$31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40218.8268634259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_xlnm.Print_Area" localSheetId="0">'Financial Statements'!$B$2:$K$176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3" i="13" l="1"/>
  <c r="S164" i="13"/>
  <c r="G99" i="13"/>
  <c r="G89" i="13"/>
  <c r="G88" i="13"/>
  <c r="T177" i="13"/>
  <c r="U177" i="13"/>
  <c r="V177" i="13"/>
  <c r="W177" i="13"/>
  <c r="S177" i="13"/>
  <c r="T165" i="13"/>
  <c r="U165" i="13"/>
  <c r="V165" i="13"/>
  <c r="W165" i="13"/>
  <c r="S165" i="13"/>
  <c r="T164" i="13" l="1"/>
  <c r="S172" i="13"/>
  <c r="G101" i="13"/>
  <c r="G164" i="13"/>
  <c r="G143" i="13" s="1"/>
  <c r="S147" i="13"/>
  <c r="S157" i="13"/>
  <c r="S138" i="13"/>
  <c r="S109" i="13"/>
  <c r="T109" i="13" s="1"/>
  <c r="U109" i="13" s="1"/>
  <c r="V109" i="13" s="1"/>
  <c r="W109" i="13" s="1"/>
  <c r="S105" i="13"/>
  <c r="S101" i="13"/>
  <c r="T101" i="13"/>
  <c r="U101" i="13"/>
  <c r="V101" i="13"/>
  <c r="S63" i="13"/>
  <c r="S155" i="13"/>
  <c r="S153" i="13"/>
  <c r="T153" i="13"/>
  <c r="U153" i="13"/>
  <c r="V153" i="13"/>
  <c r="W153" i="13"/>
  <c r="T105" i="13" l="1"/>
  <c r="U164" i="13"/>
  <c r="T143" i="13"/>
  <c r="T157" i="13" s="1"/>
  <c r="T172" i="13"/>
  <c r="W101" i="13"/>
  <c r="G147" i="13"/>
  <c r="G155" i="13"/>
  <c r="L153" i="13"/>
  <c r="M153" i="13"/>
  <c r="N153" i="13"/>
  <c r="O153" i="13"/>
  <c r="P153" i="13"/>
  <c r="Q153" i="13"/>
  <c r="R153" i="13"/>
  <c r="G90" i="13"/>
  <c r="L84" i="13"/>
  <c r="L121" i="13" s="1"/>
  <c r="M84" i="13"/>
  <c r="M121" i="13" s="1"/>
  <c r="N84" i="13"/>
  <c r="N121" i="13" s="1"/>
  <c r="O84" i="13"/>
  <c r="O121" i="13" s="1"/>
  <c r="P84" i="13"/>
  <c r="P121" i="13" s="1"/>
  <c r="Q84" i="13"/>
  <c r="Q121" i="13" s="1"/>
  <c r="R84" i="13"/>
  <c r="R121" i="13" s="1"/>
  <c r="S84" i="13"/>
  <c r="S121" i="13" s="1"/>
  <c r="T84" i="13"/>
  <c r="T121" i="13" s="1"/>
  <c r="U84" i="13"/>
  <c r="U121" i="13" s="1"/>
  <c r="V84" i="13"/>
  <c r="V121" i="13" s="1"/>
  <c r="W84" i="13"/>
  <c r="W121" i="13" s="1"/>
  <c r="S180" i="13"/>
  <c r="U172" i="13" l="1"/>
  <c r="V164" i="13"/>
  <c r="U105" i="13"/>
  <c r="U143" i="13"/>
  <c r="U157" i="13" s="1"/>
  <c r="D16" i="13"/>
  <c r="V17" i="13" s="1"/>
  <c r="V9" i="13"/>
  <c r="W9" i="13"/>
  <c r="V105" i="13" l="1"/>
  <c r="V143" i="13"/>
  <c r="V157" i="13" s="1"/>
  <c r="W164" i="13"/>
  <c r="V172" i="13"/>
  <c r="W17" i="13"/>
  <c r="D34" i="13"/>
  <c r="D40" i="13" s="1"/>
  <c r="D187" i="13"/>
  <c r="D186" i="13"/>
  <c r="G177" i="13"/>
  <c r="C186" i="13"/>
  <c r="C187" i="13"/>
  <c r="C188" i="13"/>
  <c r="C189" i="13"/>
  <c r="C190" i="13"/>
  <c r="C191" i="13"/>
  <c r="C185" i="13"/>
  <c r="W172" i="13" l="1"/>
  <c r="W143" i="13"/>
  <c r="W157" i="13" s="1"/>
  <c r="W105" i="13"/>
  <c r="K41" i="13"/>
  <c r="O41" i="13"/>
  <c r="S41" i="13"/>
  <c r="V41" i="13"/>
  <c r="Q41" i="13"/>
  <c r="T41" i="13"/>
  <c r="H41" i="13"/>
  <c r="L41" i="13"/>
  <c r="P41" i="13"/>
  <c r="U41" i="13"/>
  <c r="W41" i="13"/>
  <c r="I41" i="13"/>
  <c r="M41" i="13"/>
  <c r="G41" i="13"/>
  <c r="J41" i="13"/>
  <c r="N41" i="13"/>
  <c r="R41" i="13"/>
  <c r="T35" i="13"/>
  <c r="S35" i="13"/>
  <c r="L35" i="13"/>
  <c r="P35" i="13"/>
  <c r="U35" i="13"/>
  <c r="I35" i="13"/>
  <c r="M35" i="13"/>
  <c r="Q35" i="13"/>
  <c r="K35" i="13"/>
  <c r="H35" i="13"/>
  <c r="V35" i="13"/>
  <c r="J35" i="13"/>
  <c r="N35" i="13"/>
  <c r="R35" i="13"/>
  <c r="W35" i="13"/>
  <c r="O35" i="13"/>
  <c r="G186" i="13"/>
  <c r="G187" i="13"/>
  <c r="H177" i="13"/>
  <c r="H180" i="13" s="1"/>
  <c r="H138" i="13" s="1"/>
  <c r="G191" i="13"/>
  <c r="H191" i="13" l="1"/>
  <c r="H187" i="13"/>
  <c r="H186" i="13"/>
  <c r="I177" i="13"/>
  <c r="I180" i="13" l="1"/>
  <c r="I186" i="13"/>
  <c r="I191" i="13"/>
  <c r="I187" i="13"/>
  <c r="J177" i="13"/>
  <c r="I138" i="13" l="1"/>
  <c r="J180" i="13"/>
  <c r="J186" i="13"/>
  <c r="J187" i="13"/>
  <c r="J191" i="13"/>
  <c r="K177" i="13"/>
  <c r="J138" i="13" l="1"/>
  <c r="K187" i="13"/>
  <c r="K180" i="13"/>
  <c r="K186" i="13"/>
  <c r="K191" i="13"/>
  <c r="L177" i="13"/>
  <c r="K138" i="13" l="1"/>
  <c r="L191" i="13"/>
  <c r="L180" i="13"/>
  <c r="L138" i="13" s="1"/>
  <c r="L139" i="13" s="1"/>
  <c r="L186" i="13"/>
  <c r="L187" i="13"/>
  <c r="M177" i="13"/>
  <c r="M187" i="13" l="1"/>
  <c r="M180" i="13"/>
  <c r="M138" i="13" s="1"/>
  <c r="M139" i="13" s="1"/>
  <c r="M191" i="13"/>
  <c r="M186" i="13"/>
  <c r="N177" i="13"/>
  <c r="N191" i="13" l="1"/>
  <c r="N180" i="13"/>
  <c r="N138" i="13" s="1"/>
  <c r="N139" i="13" s="1"/>
  <c r="N186" i="13"/>
  <c r="N187" i="13"/>
  <c r="O177" i="13"/>
  <c r="O180" i="13" l="1"/>
  <c r="O138" i="13" s="1"/>
  <c r="O139" i="13" s="1"/>
  <c r="O191" i="13"/>
  <c r="O187" i="13"/>
  <c r="O186" i="13"/>
  <c r="P177" i="13"/>
  <c r="P186" i="13" l="1"/>
  <c r="P180" i="13"/>
  <c r="P138" i="13" s="1"/>
  <c r="P139" i="13" s="1"/>
  <c r="P191" i="13"/>
  <c r="P187" i="13"/>
  <c r="Q177" i="13"/>
  <c r="Q180" i="13" l="1"/>
  <c r="Q138" i="13" s="1"/>
  <c r="Q139" i="13" s="1"/>
  <c r="Q187" i="13"/>
  <c r="Q186" i="13"/>
  <c r="Q191" i="13"/>
  <c r="R177" i="13"/>
  <c r="R191" i="13" l="1"/>
  <c r="S191" i="13" s="1"/>
  <c r="R180" i="13"/>
  <c r="R138" i="13" s="1"/>
  <c r="R139" i="13" s="1"/>
  <c r="R186" i="13"/>
  <c r="S186" i="13" s="1"/>
  <c r="R187" i="13"/>
  <c r="S187" i="13" s="1"/>
  <c r="T187" i="13" l="1"/>
  <c r="T191" i="13"/>
  <c r="T186" i="13"/>
  <c r="U187" i="13" l="1"/>
  <c r="U191" i="13"/>
  <c r="U186" i="13"/>
  <c r="V186" i="13" s="1"/>
  <c r="T180" i="13"/>
  <c r="T138" i="13" l="1"/>
  <c r="T139" i="13" s="1"/>
  <c r="V187" i="13"/>
  <c r="V180" i="13"/>
  <c r="V138" i="13" s="1"/>
  <c r="V139" i="13" s="1"/>
  <c r="V191" i="13"/>
  <c r="U180" i="13"/>
  <c r="U138" i="13" l="1"/>
  <c r="U139" i="13" s="1"/>
  <c r="W180" i="13"/>
  <c r="W138" i="13" s="1"/>
  <c r="W139" i="13" s="1"/>
  <c r="W186" i="13"/>
  <c r="W191" i="13"/>
  <c r="W187" i="13"/>
  <c r="S9" i="13"/>
  <c r="T9" i="13"/>
  <c r="U9" i="13"/>
  <c r="S17" i="13"/>
  <c r="T17" i="13"/>
  <c r="U17" i="13"/>
  <c r="I17" i="13"/>
  <c r="J17" i="13"/>
  <c r="K17" i="13"/>
  <c r="L17" i="13"/>
  <c r="M17" i="13"/>
  <c r="N17" i="13"/>
  <c r="O17" i="13"/>
  <c r="P17" i="13"/>
  <c r="Q17" i="13"/>
  <c r="R17" i="13"/>
  <c r="H17" i="13"/>
  <c r="J9" i="13"/>
  <c r="L9" i="13"/>
  <c r="M9" i="13"/>
  <c r="N9" i="13"/>
  <c r="O9" i="13"/>
  <c r="P9" i="13"/>
  <c r="Q9" i="13"/>
  <c r="R9" i="13"/>
  <c r="K153" i="13"/>
  <c r="J153" i="13"/>
  <c r="I153" i="13"/>
  <c r="H153" i="13"/>
  <c r="G153" i="13"/>
  <c r="F153" i="13"/>
  <c r="B151" i="13"/>
  <c r="G109" i="13"/>
  <c r="H109" i="13" s="1"/>
  <c r="I109" i="13" s="1"/>
  <c r="J109" i="13" s="1"/>
  <c r="K109" i="13" s="1"/>
  <c r="L109" i="13" s="1"/>
  <c r="M109" i="13" s="1"/>
  <c r="N109" i="13" s="1"/>
  <c r="O109" i="13" s="1"/>
  <c r="P109" i="13" s="1"/>
  <c r="Q109" i="13" s="1"/>
  <c r="R109" i="13" s="1"/>
  <c r="H90" i="13"/>
  <c r="I90" i="13" s="1"/>
  <c r="J90" i="13" s="1"/>
  <c r="K90" i="13" s="1"/>
  <c r="L90" i="13" s="1"/>
  <c r="K84" i="13"/>
  <c r="K121" i="13" s="1"/>
  <c r="J84" i="13"/>
  <c r="J121" i="13" s="1"/>
  <c r="I84" i="13"/>
  <c r="I121" i="13" s="1"/>
  <c r="H84" i="13"/>
  <c r="H121" i="13" s="1"/>
  <c r="G84" i="13"/>
  <c r="G121" i="13" s="1"/>
  <c r="F84" i="13"/>
  <c r="F121" i="13" s="1"/>
  <c r="G63" i="13"/>
  <c r="K9" i="13"/>
  <c r="I9" i="13"/>
  <c r="H9" i="13"/>
  <c r="H63" i="13" l="1"/>
  <c r="G128" i="13"/>
  <c r="M90" i="13"/>
  <c r="H139" i="13"/>
  <c r="I139" i="13"/>
  <c r="K139" i="13"/>
  <c r="J139" i="13"/>
  <c r="I63" i="13" l="1"/>
  <c r="H128" i="13"/>
  <c r="N90" i="13"/>
  <c r="H165" i="13"/>
  <c r="G105" i="13"/>
  <c r="G157" i="13" l="1"/>
  <c r="G172" i="13"/>
  <c r="J63" i="13"/>
  <c r="I128" i="13"/>
  <c r="O90" i="13"/>
  <c r="H164" i="13"/>
  <c r="I165" i="13"/>
  <c r="H101" i="13"/>
  <c r="K63" i="13" l="1"/>
  <c r="J128" i="13"/>
  <c r="H172" i="13"/>
  <c r="P90" i="13"/>
  <c r="H143" i="13"/>
  <c r="H157" i="13" s="1"/>
  <c r="H105" i="13"/>
  <c r="I164" i="13"/>
  <c r="I172" i="13" s="1"/>
  <c r="I101" i="13"/>
  <c r="J165" i="13"/>
  <c r="L63" i="13" l="1"/>
  <c r="K128" i="13"/>
  <c r="Q90" i="13"/>
  <c r="K165" i="13"/>
  <c r="J101" i="13"/>
  <c r="J164" i="13"/>
  <c r="I105" i="13"/>
  <c r="I143" i="13"/>
  <c r="I157" i="13" s="1"/>
  <c r="M63" i="13" l="1"/>
  <c r="L128" i="13"/>
  <c r="K101" i="13"/>
  <c r="L165" i="13"/>
  <c r="L101" i="13" s="1"/>
  <c r="J172" i="13"/>
  <c r="R90" i="13"/>
  <c r="S90" i="13" s="1"/>
  <c r="T90" i="13" s="1"/>
  <c r="U90" i="13" s="1"/>
  <c r="V90" i="13" s="1"/>
  <c r="W90" i="13" s="1"/>
  <c r="J143" i="13"/>
  <c r="J157" i="13" s="1"/>
  <c r="K164" i="13"/>
  <c r="J105" i="13"/>
  <c r="N63" i="13" l="1"/>
  <c r="M128" i="13"/>
  <c r="L164" i="13"/>
  <c r="L105" i="13" s="1"/>
  <c r="M165" i="13"/>
  <c r="K172" i="13"/>
  <c r="K105" i="13"/>
  <c r="K143" i="13"/>
  <c r="K157" i="13" s="1"/>
  <c r="N165" i="13" l="1"/>
  <c r="M101" i="13"/>
  <c r="L143" i="13"/>
  <c r="L157" i="13" s="1"/>
  <c r="M164" i="13"/>
  <c r="L172" i="13"/>
  <c r="O63" i="13"/>
  <c r="N128" i="13"/>
  <c r="M172" i="13" l="1"/>
  <c r="M105" i="13"/>
  <c r="O165" i="13"/>
  <c r="N101" i="13"/>
  <c r="N164" i="13"/>
  <c r="M143" i="13"/>
  <c r="M157" i="13" s="1"/>
  <c r="P63" i="13"/>
  <c r="O128" i="13"/>
  <c r="P165" i="13" l="1"/>
  <c r="O101" i="13"/>
  <c r="N172" i="13"/>
  <c r="N105" i="13"/>
  <c r="Q63" i="13"/>
  <c r="P128" i="13"/>
  <c r="O164" i="13"/>
  <c r="O105" i="13" s="1"/>
  <c r="N143" i="13"/>
  <c r="N157" i="13" s="1"/>
  <c r="O172" i="13" l="1"/>
  <c r="Q165" i="13"/>
  <c r="P101" i="13"/>
  <c r="P164" i="13"/>
  <c r="P105" i="13" s="1"/>
  <c r="O143" i="13"/>
  <c r="O157" i="13" s="1"/>
  <c r="R63" i="13"/>
  <c r="Q128" i="13"/>
  <c r="R165" i="13" l="1"/>
  <c r="R101" i="13" s="1"/>
  <c r="Q101" i="13"/>
  <c r="P172" i="13"/>
  <c r="R128" i="13"/>
  <c r="Q164" i="13"/>
  <c r="Q105" i="13" s="1"/>
  <c r="P143" i="13"/>
  <c r="P157" i="13" s="1"/>
  <c r="Q172" i="13" l="1"/>
  <c r="R164" i="13"/>
  <c r="Q143" i="13"/>
  <c r="Q157" i="13" s="1"/>
  <c r="T63" i="13"/>
  <c r="S128" i="13"/>
  <c r="R143" i="13" l="1"/>
  <c r="R157" i="13" s="1"/>
  <c r="R105" i="13"/>
  <c r="R172" i="13"/>
  <c r="U63" i="13"/>
  <c r="T128" i="13"/>
  <c r="V63" i="13" l="1"/>
  <c r="U128" i="13"/>
  <c r="W63" i="13" l="1"/>
  <c r="W128" i="13" s="1"/>
  <c r="V128" i="13"/>
  <c r="D26" i="5" l="1"/>
  <c r="D5" i="7"/>
  <c r="D185" i="13" s="1"/>
  <c r="D39" i="5"/>
  <c r="D11" i="5"/>
  <c r="O57" i="4"/>
  <c r="L57" i="4"/>
  <c r="O56" i="4"/>
  <c r="L56" i="4"/>
  <c r="O55" i="4"/>
  <c r="L55" i="4"/>
  <c r="O54" i="4"/>
  <c r="L54" i="4"/>
  <c r="O53" i="4"/>
  <c r="L53" i="4"/>
  <c r="O52" i="4"/>
  <c r="L52" i="4"/>
  <c r="O51" i="4"/>
  <c r="L51" i="4"/>
  <c r="O50" i="4"/>
  <c r="L50" i="4"/>
  <c r="O49" i="4"/>
  <c r="L49" i="4"/>
  <c r="O48" i="4"/>
  <c r="L48" i="4"/>
  <c r="O47" i="4"/>
  <c r="L47" i="4"/>
  <c r="O46" i="4"/>
  <c r="L46" i="4"/>
  <c r="O45" i="4"/>
  <c r="L45" i="4"/>
  <c r="O44" i="4"/>
  <c r="L44" i="4"/>
  <c r="O43" i="4"/>
  <c r="L43" i="4"/>
  <c r="O42" i="4"/>
  <c r="L42" i="4"/>
  <c r="O41" i="4"/>
  <c r="L41" i="4"/>
  <c r="O40" i="4"/>
  <c r="L40" i="4"/>
  <c r="O39" i="4"/>
  <c r="L39" i="4"/>
  <c r="O38" i="4"/>
  <c r="L38" i="4"/>
  <c r="O37" i="4"/>
  <c r="L37" i="4"/>
  <c r="O36" i="4"/>
  <c r="L36" i="4"/>
  <c r="O35" i="4"/>
  <c r="L35" i="4"/>
  <c r="O34" i="4"/>
  <c r="L34" i="4"/>
  <c r="O33" i="4"/>
  <c r="L33" i="4"/>
  <c r="O32" i="4"/>
  <c r="L32" i="4"/>
  <c r="O31" i="4"/>
  <c r="L31" i="4"/>
  <c r="O30" i="4"/>
  <c r="L30" i="4"/>
  <c r="O29" i="4"/>
  <c r="L29" i="4"/>
  <c r="O28" i="4"/>
  <c r="O25" i="4" s="1"/>
  <c r="L28" i="4"/>
  <c r="L25" i="4" s="1"/>
  <c r="E19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4" i="9"/>
  <c r="G185" i="13" l="1"/>
  <c r="D19" i="9"/>
  <c r="F19" i="9" s="1"/>
  <c r="E20" i="9" s="1"/>
  <c r="U29" i="4" s="1"/>
  <c r="E24" i="8"/>
  <c r="B24" i="8"/>
  <c r="B23" i="8"/>
  <c r="H185" i="13" l="1"/>
  <c r="D20" i="9"/>
  <c r="T29" i="4" s="1"/>
  <c r="B22" i="8"/>
  <c r="B21" i="8"/>
  <c r="B20" i="8"/>
  <c r="G11" i="3"/>
  <c r="H11" i="3" s="1"/>
  <c r="D45" i="5"/>
  <c r="D60" i="5"/>
  <c r="D9" i="5" s="1"/>
  <c r="F32" i="5"/>
  <c r="D31" i="5"/>
  <c r="F31" i="5" s="1"/>
  <c r="F30" i="5"/>
  <c r="D30" i="5"/>
  <c r="D29" i="5"/>
  <c r="F29" i="5" s="1"/>
  <c r="F28" i="5"/>
  <c r="F27" i="5"/>
  <c r="F26" i="5"/>
  <c r="C54" i="5"/>
  <c r="F53" i="5"/>
  <c r="F54" i="5" s="1"/>
  <c r="D8" i="5" s="1"/>
  <c r="E23" i="8" s="1"/>
  <c r="F52" i="5"/>
  <c r="B6" i="5"/>
  <c r="B7" i="5" s="1"/>
  <c r="B8" i="5" s="1"/>
  <c r="B9" i="5" s="1"/>
  <c r="B10" i="5" s="1"/>
  <c r="B11" i="5" s="1"/>
  <c r="D20" i="5"/>
  <c r="F11" i="7"/>
  <c r="F45" i="5"/>
  <c r="H45" i="5" s="1"/>
  <c r="I45" i="5" s="1"/>
  <c r="F10" i="7"/>
  <c r="D10" i="7"/>
  <c r="D190" i="13" s="1"/>
  <c r="E43" i="5"/>
  <c r="D43" i="5"/>
  <c r="F9" i="7"/>
  <c r="D9" i="7"/>
  <c r="D189" i="13" s="1"/>
  <c r="F42" i="5"/>
  <c r="H42" i="5" s="1"/>
  <c r="I42" i="5" s="1"/>
  <c r="F41" i="5"/>
  <c r="H41" i="5" s="1"/>
  <c r="I41" i="5" s="1"/>
  <c r="F8" i="7"/>
  <c r="D8" i="7"/>
  <c r="D188" i="13" s="1"/>
  <c r="D44" i="5"/>
  <c r="F44" i="5" s="1"/>
  <c r="H44" i="5" s="1"/>
  <c r="I44" i="5" s="1"/>
  <c r="F40" i="5"/>
  <c r="H40" i="5" s="1"/>
  <c r="I40" i="5" s="1"/>
  <c r="F39" i="5"/>
  <c r="H39" i="5" s="1"/>
  <c r="I39" i="5" s="1"/>
  <c r="Q19" i="4"/>
  <c r="Q18" i="4"/>
  <c r="Q17" i="4"/>
  <c r="P10" i="4"/>
  <c r="P9" i="4"/>
  <c r="P8" i="4"/>
  <c r="P11" i="4" s="1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28" i="4"/>
  <c r="D17" i="4"/>
  <c r="I185" i="13" l="1"/>
  <c r="G188" i="13"/>
  <c r="F179" i="13"/>
  <c r="G179" i="13" s="1"/>
  <c r="G180" i="13"/>
  <c r="G189" i="13"/>
  <c r="H189" i="13" s="1"/>
  <c r="G190" i="13"/>
  <c r="E20" i="8"/>
  <c r="G31" i="13" s="1"/>
  <c r="D5" i="5"/>
  <c r="P17" i="4"/>
  <c r="C12" i="8"/>
  <c r="D12" i="8" s="1"/>
  <c r="E12" i="8" s="1"/>
  <c r="Q20" i="4"/>
  <c r="F33" i="5"/>
  <c r="F43" i="5"/>
  <c r="H43" i="5" s="1"/>
  <c r="I43" i="5" s="1"/>
  <c r="I46" i="5" s="1"/>
  <c r="D7" i="5" s="1"/>
  <c r="F25" i="4"/>
  <c r="I25" i="4"/>
  <c r="F6" i="7"/>
  <c r="F7" i="7"/>
  <c r="F5" i="7"/>
  <c r="D19" i="4"/>
  <c r="P19" i="4" s="1"/>
  <c r="D11" i="4"/>
  <c r="F9" i="4"/>
  <c r="G9" i="4"/>
  <c r="H9" i="4"/>
  <c r="F10" i="4"/>
  <c r="O10" i="4" s="1"/>
  <c r="G10" i="4"/>
  <c r="H10" i="4"/>
  <c r="H8" i="4"/>
  <c r="G8" i="4"/>
  <c r="J8" i="4" s="1"/>
  <c r="F8" i="4"/>
  <c r="E9" i="4"/>
  <c r="E10" i="4"/>
  <c r="E8" i="4"/>
  <c r="G193" i="13" l="1"/>
  <c r="G195" i="13" s="1"/>
  <c r="I189" i="13"/>
  <c r="J189" i="13" s="1"/>
  <c r="E21" i="8"/>
  <c r="D6" i="5"/>
  <c r="H190" i="13"/>
  <c r="J185" i="13"/>
  <c r="K185" i="13" s="1"/>
  <c r="F12" i="7"/>
  <c r="C25" i="4"/>
  <c r="T27" i="4" s="1"/>
  <c r="H31" i="13"/>
  <c r="I31" i="13" s="1"/>
  <c r="J31" i="13" s="1"/>
  <c r="K31" i="13" s="1"/>
  <c r="L31" i="13" s="1"/>
  <c r="M31" i="13" s="1"/>
  <c r="N31" i="13" s="1"/>
  <c r="O31" i="13" s="1"/>
  <c r="P31" i="13" s="1"/>
  <c r="Q31" i="13" s="1"/>
  <c r="R31" i="13" s="1"/>
  <c r="S31" i="13"/>
  <c r="T31" i="13" s="1"/>
  <c r="U31" i="13" s="1"/>
  <c r="V31" i="13" s="1"/>
  <c r="W31" i="13" s="1"/>
  <c r="G138" i="13"/>
  <c r="G182" i="13"/>
  <c r="H182" i="13" s="1"/>
  <c r="I182" i="13" s="1"/>
  <c r="J182" i="13" s="1"/>
  <c r="K182" i="13" s="1"/>
  <c r="L182" i="13" s="1"/>
  <c r="M182" i="13" s="1"/>
  <c r="N182" i="13" s="1"/>
  <c r="O182" i="13" s="1"/>
  <c r="P182" i="13" s="1"/>
  <c r="Q182" i="13" s="1"/>
  <c r="R182" i="13" s="1"/>
  <c r="S182" i="13" s="1"/>
  <c r="T182" i="13" s="1"/>
  <c r="U182" i="13" s="1"/>
  <c r="V182" i="13" s="1"/>
  <c r="W182" i="13" s="1"/>
  <c r="H188" i="13"/>
  <c r="C11" i="8"/>
  <c r="D11" i="8" s="1"/>
  <c r="E11" i="8" s="1"/>
  <c r="E22" i="8" s="1"/>
  <c r="G43" i="13" s="1"/>
  <c r="H43" i="13" s="1"/>
  <c r="I43" i="13" s="1"/>
  <c r="J43" i="13" s="1"/>
  <c r="K43" i="13" s="1"/>
  <c r="L43" i="13" s="1"/>
  <c r="M43" i="13" s="1"/>
  <c r="N43" i="13" s="1"/>
  <c r="O43" i="13" s="1"/>
  <c r="P43" i="13" s="1"/>
  <c r="Q43" i="13" s="1"/>
  <c r="R43" i="13" s="1"/>
  <c r="S43" i="13" s="1"/>
  <c r="T43" i="13" s="1"/>
  <c r="U43" i="13" s="1"/>
  <c r="V43" i="13" s="1"/>
  <c r="W43" i="13" s="1"/>
  <c r="O8" i="4"/>
  <c r="L8" i="4"/>
  <c r="J10" i="4"/>
  <c r="L10" i="4" s="1"/>
  <c r="O9" i="4"/>
  <c r="K8" i="4"/>
  <c r="F19" i="4"/>
  <c r="G19" i="4"/>
  <c r="H19" i="4"/>
  <c r="E19" i="4"/>
  <c r="J9" i="4"/>
  <c r="L9" i="4" s="1"/>
  <c r="K10" i="4"/>
  <c r="G27" i="6"/>
  <c r="C27" i="6"/>
  <c r="G26" i="6"/>
  <c r="C26" i="6"/>
  <c r="AN39" i="3"/>
  <c r="AN38" i="3"/>
  <c r="AN37" i="3"/>
  <c r="AN44" i="3" s="1"/>
  <c r="E27" i="6" s="1"/>
  <c r="AN36" i="3"/>
  <c r="AN35" i="3"/>
  <c r="AN34" i="3"/>
  <c r="AN33" i="3"/>
  <c r="AN32" i="3"/>
  <c r="AN31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1" i="3"/>
  <c r="AN10" i="3"/>
  <c r="AN9" i="3"/>
  <c r="AN8" i="3"/>
  <c r="AL39" i="3"/>
  <c r="AL38" i="3"/>
  <c r="AL37" i="3"/>
  <c r="AL44" i="3" s="1"/>
  <c r="E26" i="6" s="1"/>
  <c r="AL36" i="3"/>
  <c r="AL35" i="3"/>
  <c r="AL34" i="3"/>
  <c r="AL33" i="3"/>
  <c r="AL32" i="3"/>
  <c r="AL31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1" i="3"/>
  <c r="AL10" i="3"/>
  <c r="AL9" i="3"/>
  <c r="AL8" i="3"/>
  <c r="G16" i="6"/>
  <c r="G17" i="6"/>
  <c r="G18" i="6"/>
  <c r="G19" i="6"/>
  <c r="G20" i="6"/>
  <c r="G21" i="6"/>
  <c r="G22" i="6"/>
  <c r="G23" i="6"/>
  <c r="G24" i="6"/>
  <c r="G25" i="6"/>
  <c r="G28" i="6"/>
  <c r="G29" i="6"/>
  <c r="G30" i="6"/>
  <c r="G31" i="6"/>
  <c r="G15" i="6"/>
  <c r="G14" i="6"/>
  <c r="C14" i="6"/>
  <c r="C15" i="6"/>
  <c r="C16" i="6"/>
  <c r="C17" i="6"/>
  <c r="C18" i="6"/>
  <c r="C19" i="6"/>
  <c r="C20" i="6"/>
  <c r="C21" i="6"/>
  <c r="C22" i="6"/>
  <c r="C23" i="6"/>
  <c r="C24" i="6"/>
  <c r="C25" i="6"/>
  <c r="C28" i="6"/>
  <c r="C29" i="6"/>
  <c r="C30" i="6"/>
  <c r="C31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Q12" i="3"/>
  <c r="R12" i="3" s="1"/>
  <c r="G12" i="3"/>
  <c r="H12" i="3" s="1"/>
  <c r="I12" i="3" s="1"/>
  <c r="J12" i="3" s="1"/>
  <c r="K12" i="3" s="1"/>
  <c r="L12" i="3" s="1"/>
  <c r="M12" i="3" s="1"/>
  <c r="N12" i="3" s="1"/>
  <c r="O12" i="3" s="1"/>
  <c r="P12" i="3" s="1"/>
  <c r="F12" i="3"/>
  <c r="AI16" i="3"/>
  <c r="AJ16" i="3" s="1"/>
  <c r="AI18" i="3"/>
  <c r="AJ18" i="3"/>
  <c r="AI36" i="3"/>
  <c r="AJ36" i="3" s="1"/>
  <c r="AJ39" i="3"/>
  <c r="AJ38" i="3"/>
  <c r="AJ37" i="3"/>
  <c r="AJ35" i="3"/>
  <c r="AJ34" i="3"/>
  <c r="AJ33" i="3"/>
  <c r="AJ32" i="3"/>
  <c r="AJ31" i="3"/>
  <c r="AJ29" i="3"/>
  <c r="AJ28" i="3"/>
  <c r="AJ27" i="3"/>
  <c r="AJ26" i="3"/>
  <c r="AJ25" i="3"/>
  <c r="AJ24" i="3"/>
  <c r="AJ23" i="3"/>
  <c r="AJ22" i="3"/>
  <c r="AJ21" i="3"/>
  <c r="AJ20" i="3"/>
  <c r="AJ19" i="3"/>
  <c r="AJ17" i="3"/>
  <c r="AJ15" i="3"/>
  <c r="AJ14" i="3"/>
  <c r="AJ13" i="3"/>
  <c r="AJ11" i="3"/>
  <c r="AI10" i="3"/>
  <c r="AJ10" i="3" s="1"/>
  <c r="AJ9" i="3"/>
  <c r="AJ8" i="3"/>
  <c r="AG34" i="3"/>
  <c r="AG26" i="3"/>
  <c r="AH26" i="3" s="1"/>
  <c r="AG35" i="3"/>
  <c r="AH35" i="3" s="1"/>
  <c r="AH39" i="3"/>
  <c r="AH44" i="3" s="1"/>
  <c r="E30" i="6" s="1"/>
  <c r="AH38" i="3"/>
  <c r="AH37" i="3"/>
  <c r="AH36" i="3"/>
  <c r="AH34" i="3"/>
  <c r="AH33" i="3"/>
  <c r="AH32" i="3"/>
  <c r="AH31" i="3"/>
  <c r="AH29" i="3"/>
  <c r="AH28" i="3"/>
  <c r="AH27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1" i="3"/>
  <c r="AG10" i="3"/>
  <c r="AH10" i="3" s="1"/>
  <c r="AH9" i="3"/>
  <c r="AH8" i="3"/>
  <c r="AD30" i="3"/>
  <c r="AE32" i="3"/>
  <c r="AF32" i="3" s="1"/>
  <c r="AE33" i="3"/>
  <c r="AE31" i="3"/>
  <c r="AE10" i="3"/>
  <c r="Y21" i="3"/>
  <c r="AF39" i="3"/>
  <c r="AF38" i="3"/>
  <c r="AF37" i="3"/>
  <c r="AF44" i="3" s="1"/>
  <c r="E29" i="6" s="1"/>
  <c r="AF36" i="3"/>
  <c r="AF35" i="3"/>
  <c r="AF34" i="3"/>
  <c r="AF33" i="3"/>
  <c r="AF31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1" i="3"/>
  <c r="AF10" i="3"/>
  <c r="AF9" i="3"/>
  <c r="AF8" i="3"/>
  <c r="AC30" i="3"/>
  <c r="AC29" i="3"/>
  <c r="AD29" i="3" s="1"/>
  <c r="AC10" i="3"/>
  <c r="AD10" i="3" s="1"/>
  <c r="AD37" i="3"/>
  <c r="AD39" i="3"/>
  <c r="AD38" i="3"/>
  <c r="AD36" i="3"/>
  <c r="AD35" i="3"/>
  <c r="AD34" i="3"/>
  <c r="AD33" i="3"/>
  <c r="AD32" i="3"/>
  <c r="AD31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1" i="3"/>
  <c r="AD9" i="3"/>
  <c r="AD8" i="3"/>
  <c r="AA27" i="3"/>
  <c r="AB27" i="3" s="1"/>
  <c r="F27" i="3"/>
  <c r="H27" i="3"/>
  <c r="J27" i="3"/>
  <c r="L27" i="3"/>
  <c r="N27" i="3"/>
  <c r="P27" i="3"/>
  <c r="R27" i="3"/>
  <c r="T27" i="3"/>
  <c r="V27" i="3"/>
  <c r="X27" i="3"/>
  <c r="Y27" i="3" s="1"/>
  <c r="Z27" i="3" s="1"/>
  <c r="AA10" i="3"/>
  <c r="AB10" i="3" s="1"/>
  <c r="AA8" i="3"/>
  <c r="AB8" i="3" s="1"/>
  <c r="AB39" i="3"/>
  <c r="AB38" i="3"/>
  <c r="AB37" i="3"/>
  <c r="AB36" i="3"/>
  <c r="AB35" i="3"/>
  <c r="AB34" i="3"/>
  <c r="AB33" i="3"/>
  <c r="AB32" i="3"/>
  <c r="AB31" i="3"/>
  <c r="AB30" i="3"/>
  <c r="AB29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1" i="3"/>
  <c r="AB9" i="3"/>
  <c r="Y10" i="3"/>
  <c r="Z10" i="3" s="1"/>
  <c r="Y16" i="3"/>
  <c r="Z16" i="3" s="1"/>
  <c r="Z21" i="3"/>
  <c r="Y13" i="3"/>
  <c r="Z13" i="3" s="1"/>
  <c r="Y18" i="3"/>
  <c r="Z39" i="3"/>
  <c r="Z38" i="3"/>
  <c r="Z37" i="3"/>
  <c r="Z36" i="3"/>
  <c r="Z35" i="3"/>
  <c r="Z34" i="3"/>
  <c r="Z33" i="3"/>
  <c r="Z32" i="3"/>
  <c r="Z31" i="3"/>
  <c r="Z30" i="3"/>
  <c r="Z29" i="3"/>
  <c r="Z28" i="3"/>
  <c r="AA28" i="3" s="1"/>
  <c r="AB28" i="3" s="1"/>
  <c r="Z26" i="3"/>
  <c r="Z25" i="3"/>
  <c r="Z24" i="3"/>
  <c r="Z23" i="3"/>
  <c r="Z22" i="3"/>
  <c r="Z20" i="3"/>
  <c r="Z19" i="3"/>
  <c r="Z18" i="3"/>
  <c r="Z17" i="3"/>
  <c r="Z15" i="3"/>
  <c r="Z14" i="3"/>
  <c r="Z11" i="3"/>
  <c r="Z9" i="3"/>
  <c r="Z8" i="3"/>
  <c r="W25" i="3"/>
  <c r="X25" i="3" s="1"/>
  <c r="W10" i="3"/>
  <c r="X10" i="3" s="1"/>
  <c r="W26" i="3"/>
  <c r="X26" i="3" s="1"/>
  <c r="X39" i="3"/>
  <c r="X38" i="3"/>
  <c r="X37" i="3"/>
  <c r="X36" i="3"/>
  <c r="X35" i="3"/>
  <c r="X34" i="3"/>
  <c r="X33" i="3"/>
  <c r="X32" i="3"/>
  <c r="X31" i="3"/>
  <c r="X30" i="3"/>
  <c r="X29" i="3"/>
  <c r="X28" i="3"/>
  <c r="X24" i="3"/>
  <c r="X23" i="3"/>
  <c r="X22" i="3"/>
  <c r="X21" i="3"/>
  <c r="X20" i="3"/>
  <c r="X19" i="3"/>
  <c r="X18" i="3"/>
  <c r="X17" i="3"/>
  <c r="X16" i="3"/>
  <c r="X15" i="3"/>
  <c r="X14" i="3"/>
  <c r="X13" i="3"/>
  <c r="X11" i="3"/>
  <c r="X9" i="3"/>
  <c r="X8" i="3"/>
  <c r="U25" i="3"/>
  <c r="V25" i="3" s="1"/>
  <c r="U10" i="3"/>
  <c r="V10" i="3" s="1"/>
  <c r="U21" i="3"/>
  <c r="U18" i="3"/>
  <c r="V18" i="3" s="1"/>
  <c r="U11" i="3"/>
  <c r="V11" i="3" s="1"/>
  <c r="V39" i="3"/>
  <c r="V38" i="3"/>
  <c r="V37" i="3"/>
  <c r="V36" i="3"/>
  <c r="V35" i="3"/>
  <c r="V34" i="3"/>
  <c r="V33" i="3"/>
  <c r="V32" i="3"/>
  <c r="V31" i="3"/>
  <c r="V30" i="3"/>
  <c r="V29" i="3"/>
  <c r="V28" i="3"/>
  <c r="V26" i="3"/>
  <c r="V24" i="3"/>
  <c r="V23" i="3"/>
  <c r="V22" i="3"/>
  <c r="V21" i="3"/>
  <c r="V20" i="3"/>
  <c r="V19" i="3"/>
  <c r="V17" i="3"/>
  <c r="V16" i="3"/>
  <c r="V15" i="3"/>
  <c r="V14" i="3"/>
  <c r="V13" i="3"/>
  <c r="V9" i="3"/>
  <c r="V8" i="3"/>
  <c r="S25" i="3"/>
  <c r="T25" i="3" s="1"/>
  <c r="S10" i="3"/>
  <c r="T10" i="3" s="1"/>
  <c r="S17" i="3"/>
  <c r="T17" i="3" s="1"/>
  <c r="S22" i="3"/>
  <c r="S21" i="3"/>
  <c r="T21" i="3" s="1"/>
  <c r="S8" i="3"/>
  <c r="T8" i="3" s="1"/>
  <c r="T39" i="3"/>
  <c r="T38" i="3"/>
  <c r="T37" i="3"/>
  <c r="T36" i="3"/>
  <c r="T35" i="3"/>
  <c r="T34" i="3"/>
  <c r="T33" i="3"/>
  <c r="T32" i="3"/>
  <c r="T31" i="3"/>
  <c r="T30" i="3"/>
  <c r="T29" i="3"/>
  <c r="T28" i="3"/>
  <c r="T26" i="3"/>
  <c r="T24" i="3"/>
  <c r="T23" i="3"/>
  <c r="T22" i="3"/>
  <c r="T20" i="3"/>
  <c r="T19" i="3"/>
  <c r="T18" i="3"/>
  <c r="T16" i="3"/>
  <c r="T15" i="3"/>
  <c r="T14" i="3"/>
  <c r="T13" i="3"/>
  <c r="T11" i="3"/>
  <c r="T9" i="3"/>
  <c r="Q10" i="3"/>
  <c r="R10" i="3" s="1"/>
  <c r="Q16" i="3"/>
  <c r="R16" i="3" s="1"/>
  <c r="R39" i="3"/>
  <c r="R38" i="3"/>
  <c r="R37" i="3"/>
  <c r="R36" i="3"/>
  <c r="R35" i="3"/>
  <c r="R34" i="3"/>
  <c r="R33" i="3"/>
  <c r="R32" i="3"/>
  <c r="R31" i="3"/>
  <c r="R30" i="3"/>
  <c r="R29" i="3"/>
  <c r="R28" i="3"/>
  <c r="R26" i="3"/>
  <c r="R25" i="3"/>
  <c r="R24" i="3"/>
  <c r="R23" i="3"/>
  <c r="R22" i="3"/>
  <c r="R21" i="3"/>
  <c r="R20" i="3"/>
  <c r="R19" i="3"/>
  <c r="R18" i="3"/>
  <c r="R17" i="3"/>
  <c r="R15" i="3"/>
  <c r="R14" i="3"/>
  <c r="R13" i="3"/>
  <c r="R11" i="3"/>
  <c r="R9" i="3"/>
  <c r="R8" i="3"/>
  <c r="O10" i="3"/>
  <c r="P10" i="3" s="1"/>
  <c r="O25" i="3"/>
  <c r="P25" i="3" s="1"/>
  <c r="O11" i="3"/>
  <c r="P11" i="3" s="1"/>
  <c r="O14" i="3"/>
  <c r="P14" i="3" s="1"/>
  <c r="P39" i="3"/>
  <c r="P38" i="3"/>
  <c r="P37" i="3"/>
  <c r="P44" i="3" s="1"/>
  <c r="E19" i="6" s="1"/>
  <c r="P36" i="3"/>
  <c r="P35" i="3"/>
  <c r="P34" i="3"/>
  <c r="P33" i="3"/>
  <c r="P32" i="3"/>
  <c r="P31" i="3"/>
  <c r="P30" i="3"/>
  <c r="P29" i="3"/>
  <c r="P28" i="3"/>
  <c r="P26" i="3"/>
  <c r="P24" i="3"/>
  <c r="P23" i="3"/>
  <c r="P22" i="3"/>
  <c r="P21" i="3"/>
  <c r="P20" i="3"/>
  <c r="P19" i="3"/>
  <c r="P18" i="3"/>
  <c r="P17" i="3"/>
  <c r="P16" i="3"/>
  <c r="P15" i="3"/>
  <c r="P13" i="3"/>
  <c r="P9" i="3"/>
  <c r="P8" i="3"/>
  <c r="M20" i="3"/>
  <c r="N20" i="3" s="1"/>
  <c r="M16" i="3"/>
  <c r="N16" i="3" s="1"/>
  <c r="M11" i="3"/>
  <c r="M14" i="3"/>
  <c r="N14" i="3" s="1"/>
  <c r="N39" i="3"/>
  <c r="N44" i="3" s="1"/>
  <c r="E18" i="6" s="1"/>
  <c r="N38" i="3"/>
  <c r="N37" i="3"/>
  <c r="N36" i="3"/>
  <c r="N35" i="3"/>
  <c r="N34" i="3"/>
  <c r="N33" i="3"/>
  <c r="N32" i="3"/>
  <c r="N31" i="3"/>
  <c r="N30" i="3"/>
  <c r="AN30" i="3" s="1"/>
  <c r="N29" i="3"/>
  <c r="N28" i="3"/>
  <c r="N26" i="3"/>
  <c r="N25" i="3"/>
  <c r="N24" i="3"/>
  <c r="N23" i="3"/>
  <c r="N22" i="3"/>
  <c r="N21" i="3"/>
  <c r="N19" i="3"/>
  <c r="N18" i="3"/>
  <c r="N17" i="3"/>
  <c r="N15" i="3"/>
  <c r="N13" i="3"/>
  <c r="N11" i="3"/>
  <c r="N10" i="3"/>
  <c r="N9" i="3"/>
  <c r="N8" i="3"/>
  <c r="K24" i="3"/>
  <c r="L24" i="3" s="1"/>
  <c r="K23" i="3"/>
  <c r="L23" i="3" s="1"/>
  <c r="K20" i="3"/>
  <c r="K22" i="3"/>
  <c r="L22" i="3" s="1"/>
  <c r="K21" i="3"/>
  <c r="K8" i="3"/>
  <c r="L8" i="3" s="1"/>
  <c r="L39" i="3"/>
  <c r="L38" i="3"/>
  <c r="L37" i="3"/>
  <c r="L36" i="3"/>
  <c r="L35" i="3"/>
  <c r="L34" i="3"/>
  <c r="L33" i="3"/>
  <c r="L32" i="3"/>
  <c r="L31" i="3"/>
  <c r="L30" i="3"/>
  <c r="AL30" i="3" s="1"/>
  <c r="L29" i="3"/>
  <c r="L28" i="3"/>
  <c r="L26" i="3"/>
  <c r="L25" i="3"/>
  <c r="L21" i="3"/>
  <c r="L20" i="3"/>
  <c r="L19" i="3"/>
  <c r="L18" i="3"/>
  <c r="L17" i="3"/>
  <c r="L16" i="3"/>
  <c r="L15" i="3"/>
  <c r="L14" i="3"/>
  <c r="L13" i="3"/>
  <c r="L11" i="3"/>
  <c r="L10" i="3"/>
  <c r="L9" i="3"/>
  <c r="I20" i="3"/>
  <c r="I19" i="3"/>
  <c r="I18" i="3"/>
  <c r="J18" i="3" s="1"/>
  <c r="I17" i="3"/>
  <c r="J17" i="3" s="1"/>
  <c r="I16" i="3"/>
  <c r="J16" i="3" s="1"/>
  <c r="I10" i="3"/>
  <c r="J10" i="3" s="1"/>
  <c r="J39" i="3"/>
  <c r="J38" i="3"/>
  <c r="J37" i="3"/>
  <c r="J36" i="3"/>
  <c r="J35" i="3"/>
  <c r="J34" i="3"/>
  <c r="J33" i="3"/>
  <c r="J32" i="3"/>
  <c r="J31" i="3"/>
  <c r="J30" i="3"/>
  <c r="AJ30" i="3" s="1"/>
  <c r="J29" i="3"/>
  <c r="J28" i="3"/>
  <c r="J26" i="3"/>
  <c r="J25" i="3"/>
  <c r="J24" i="3"/>
  <c r="J23" i="3"/>
  <c r="J22" i="3"/>
  <c r="J21" i="3"/>
  <c r="J20" i="3"/>
  <c r="J19" i="3"/>
  <c r="J15" i="3"/>
  <c r="J14" i="3"/>
  <c r="J13" i="3"/>
  <c r="J11" i="3"/>
  <c r="J8" i="3"/>
  <c r="H18" i="3"/>
  <c r="H17" i="3"/>
  <c r="H16" i="3"/>
  <c r="H37" i="3"/>
  <c r="H36" i="3"/>
  <c r="H35" i="3"/>
  <c r="H34" i="3"/>
  <c r="H33" i="3"/>
  <c r="H32" i="3"/>
  <c r="H31" i="3"/>
  <c r="H30" i="3"/>
  <c r="AH30" i="3" s="1"/>
  <c r="H29" i="3"/>
  <c r="H28" i="3"/>
  <c r="H26" i="3"/>
  <c r="H25" i="3"/>
  <c r="H24" i="3"/>
  <c r="H23" i="3"/>
  <c r="H22" i="3"/>
  <c r="H21" i="3"/>
  <c r="H20" i="3"/>
  <c r="H19" i="3"/>
  <c r="H9" i="3"/>
  <c r="I9" i="3" s="1"/>
  <c r="J9" i="3" s="1"/>
  <c r="H10" i="3"/>
  <c r="H8" i="3"/>
  <c r="H39" i="3"/>
  <c r="H38" i="3"/>
  <c r="F39" i="3"/>
  <c r="F38" i="3"/>
  <c r="G15" i="3"/>
  <c r="H15" i="3" s="1"/>
  <c r="G14" i="3"/>
  <c r="H14" i="3" s="1"/>
  <c r="G13" i="3"/>
  <c r="H13" i="3" s="1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6" i="3"/>
  <c r="F37" i="3"/>
  <c r="E10" i="3"/>
  <c r="F10" i="3" s="1"/>
  <c r="E9" i="3"/>
  <c r="F9" i="3" s="1"/>
  <c r="E8" i="3"/>
  <c r="F8" i="3" s="1"/>
  <c r="A9" i="3"/>
  <c r="A10" i="3" s="1"/>
  <c r="A11" i="3" s="1"/>
  <c r="A12" i="3" s="1"/>
  <c r="A13" i="3" s="1"/>
  <c r="G62" i="13" l="1"/>
  <c r="G127" i="13"/>
  <c r="G19" i="13"/>
  <c r="T28" i="4"/>
  <c r="T30" i="4" s="1"/>
  <c r="C5" i="8" s="1"/>
  <c r="C13" i="8" s="1"/>
  <c r="U27" i="4"/>
  <c r="U28" i="4" s="1"/>
  <c r="U30" i="4" s="1"/>
  <c r="K189" i="13"/>
  <c r="H193" i="13"/>
  <c r="H195" i="13" s="1"/>
  <c r="I190" i="13"/>
  <c r="J190" i="1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F44" i="3"/>
  <c r="E14" i="6" s="1"/>
  <c r="C10" i="8" s="1"/>
  <c r="S139" i="13"/>
  <c r="G139" i="13"/>
  <c r="I188" i="13"/>
  <c r="L185" i="13"/>
  <c r="M185" i="13" s="1"/>
  <c r="Z44" i="3"/>
  <c r="E24" i="6" s="1"/>
  <c r="AH43" i="3"/>
  <c r="D30" i="6" s="1"/>
  <c r="G94" i="13"/>
  <c r="H179" i="13"/>
  <c r="L189" i="13"/>
  <c r="D10" i="5"/>
  <c r="D12" i="5" s="1"/>
  <c r="D5" i="8"/>
  <c r="C30" i="8"/>
  <c r="O11" i="4"/>
  <c r="M8" i="4"/>
  <c r="N8" i="4" s="1"/>
  <c r="Q8" i="4" s="1"/>
  <c r="O19" i="4"/>
  <c r="J19" i="4"/>
  <c r="L19" i="4" s="1"/>
  <c r="K9" i="4"/>
  <c r="M9" i="4" s="1"/>
  <c r="N9" i="4" s="1"/>
  <c r="Q9" i="4" s="1"/>
  <c r="M10" i="4"/>
  <c r="N10" i="4" s="1"/>
  <c r="Q10" i="4" s="1"/>
  <c r="A29" i="6"/>
  <c r="A30" i="6" s="1"/>
  <c r="A31" i="6" s="1"/>
  <c r="AJ44" i="3"/>
  <c r="E31" i="6" s="1"/>
  <c r="AH45" i="3"/>
  <c r="AJ43" i="3"/>
  <c r="D31" i="6" s="1"/>
  <c r="L44" i="3"/>
  <c r="E17" i="6" s="1"/>
  <c r="T44" i="3"/>
  <c r="E21" i="6" s="1"/>
  <c r="X44" i="3"/>
  <c r="E23" i="6" s="1"/>
  <c r="H44" i="3"/>
  <c r="E15" i="6" s="1"/>
  <c r="J44" i="3"/>
  <c r="E16" i="6" s="1"/>
  <c r="V44" i="3"/>
  <c r="E22" i="6" s="1"/>
  <c r="AB44" i="3"/>
  <c r="E25" i="6" s="1"/>
  <c r="R44" i="3"/>
  <c r="E20" i="6" s="1"/>
  <c r="AF30" i="3"/>
  <c r="AF43" i="3" s="1"/>
  <c r="F43" i="3"/>
  <c r="AD44" i="3"/>
  <c r="E28" i="6" s="1"/>
  <c r="AD43" i="3"/>
  <c r="D28" i="6" s="1"/>
  <c r="AB43" i="3"/>
  <c r="Z43" i="3"/>
  <c r="X43" i="3"/>
  <c r="V43" i="3"/>
  <c r="T43" i="3"/>
  <c r="R43" i="3"/>
  <c r="D20" i="6" s="1"/>
  <c r="P43" i="3"/>
  <c r="N43" i="3"/>
  <c r="L43" i="3"/>
  <c r="J43" i="3"/>
  <c r="D16" i="6" s="1"/>
  <c r="H43" i="3"/>
  <c r="D15" i="6" s="1"/>
  <c r="I193" i="13" l="1"/>
  <c r="M189" i="13"/>
  <c r="N189" i="13" s="1"/>
  <c r="P45" i="3"/>
  <c r="D19" i="6"/>
  <c r="X45" i="3"/>
  <c r="D23" i="6"/>
  <c r="AH47" i="3"/>
  <c r="F30" i="6"/>
  <c r="Z45" i="3"/>
  <c r="D24" i="6"/>
  <c r="F45" i="3"/>
  <c r="D14" i="6"/>
  <c r="N185" i="13"/>
  <c r="H62" i="13"/>
  <c r="H127" i="13"/>
  <c r="H19" i="13"/>
  <c r="L45" i="3"/>
  <c r="D17" i="6"/>
  <c r="AB45" i="3"/>
  <c r="D25" i="6"/>
  <c r="AF45" i="3"/>
  <c r="D29" i="6"/>
  <c r="I127" i="13"/>
  <c r="I19" i="13"/>
  <c r="I62" i="13"/>
  <c r="K190" i="13"/>
  <c r="T45" i="3"/>
  <c r="AN43" i="3"/>
  <c r="D21" i="6"/>
  <c r="AL43" i="3"/>
  <c r="N45" i="3"/>
  <c r="D18" i="6"/>
  <c r="V45" i="3"/>
  <c r="D22" i="6"/>
  <c r="Q11" i="4"/>
  <c r="I179" i="13"/>
  <c r="I195" i="13"/>
  <c r="H94" i="13"/>
  <c r="J188" i="13"/>
  <c r="J193" i="13" s="1"/>
  <c r="E5" i="8"/>
  <c r="E39" i="8" s="1"/>
  <c r="D13" i="8"/>
  <c r="E13" i="8" s="1"/>
  <c r="C32" i="8"/>
  <c r="D30" i="8"/>
  <c r="D32" i="8" s="1"/>
  <c r="D10" i="8"/>
  <c r="E10" i="8" s="1"/>
  <c r="K19" i="4"/>
  <c r="M19" i="4" s="1"/>
  <c r="N11" i="4"/>
  <c r="J45" i="3"/>
  <c r="AJ45" i="3"/>
  <c r="H45" i="3"/>
  <c r="R45" i="3"/>
  <c r="AD45" i="3"/>
  <c r="E17" i="4"/>
  <c r="O17" i="4" s="1"/>
  <c r="G16" i="13" s="1"/>
  <c r="H17" i="4"/>
  <c r="F17" i="4"/>
  <c r="G17" i="4"/>
  <c r="K188" i="13" l="1"/>
  <c r="K193" i="13" s="1"/>
  <c r="K62" i="13" s="1"/>
  <c r="AJ47" i="3"/>
  <c r="F31" i="6"/>
  <c r="K127" i="13"/>
  <c r="K19" i="13"/>
  <c r="N47" i="3"/>
  <c r="F18" i="6"/>
  <c r="T47" i="3"/>
  <c r="F21" i="6"/>
  <c r="O185" i="13"/>
  <c r="X47" i="3"/>
  <c r="F23" i="6"/>
  <c r="AD47" i="3"/>
  <c r="F28" i="6"/>
  <c r="J47" i="3"/>
  <c r="F16" i="6"/>
  <c r="J127" i="13"/>
  <c r="J62" i="13"/>
  <c r="J19" i="13"/>
  <c r="J195" i="13"/>
  <c r="I94" i="13"/>
  <c r="J179" i="13"/>
  <c r="AL45" i="3"/>
  <c r="D26" i="6"/>
  <c r="AF47" i="3"/>
  <c r="F29" i="6"/>
  <c r="L47" i="3"/>
  <c r="F17" i="6"/>
  <c r="E30" i="8"/>
  <c r="E32" i="8" s="1"/>
  <c r="Z47" i="3"/>
  <c r="F24" i="6"/>
  <c r="O189" i="13"/>
  <c r="L190" i="13"/>
  <c r="M190" i="13" s="1"/>
  <c r="V47" i="3"/>
  <c r="F22" i="6"/>
  <c r="AH48" i="3"/>
  <c r="I30" i="6" s="1"/>
  <c r="H30" i="6"/>
  <c r="P47" i="3"/>
  <c r="F19" i="6"/>
  <c r="R47" i="3"/>
  <c r="F20" i="6"/>
  <c r="AN45" i="3"/>
  <c r="D27" i="6"/>
  <c r="AB47" i="3"/>
  <c r="F25" i="6"/>
  <c r="F47" i="3"/>
  <c r="F14" i="6"/>
  <c r="J48" i="3"/>
  <c r="I16" i="6" s="1"/>
  <c r="H16" i="6"/>
  <c r="R48" i="3"/>
  <c r="I20" i="6" s="1"/>
  <c r="H20" i="6"/>
  <c r="H47" i="3"/>
  <c r="F15" i="6"/>
  <c r="J17" i="4"/>
  <c r="K17" i="4" s="1"/>
  <c r="L188" i="13" l="1"/>
  <c r="M188" i="13" s="1"/>
  <c r="AN47" i="3"/>
  <c r="F27" i="6"/>
  <c r="P48" i="3"/>
  <c r="I19" i="6" s="1"/>
  <c r="H19" i="6"/>
  <c r="AF48" i="3"/>
  <c r="I29" i="6" s="1"/>
  <c r="H29" i="6"/>
  <c r="AD48" i="3"/>
  <c r="I28" i="6" s="1"/>
  <c r="H28" i="6"/>
  <c r="AJ48" i="3"/>
  <c r="I31" i="6" s="1"/>
  <c r="H31" i="6"/>
  <c r="V48" i="3"/>
  <c r="I22" i="6" s="1"/>
  <c r="H22" i="6"/>
  <c r="C9" i="8"/>
  <c r="K195" i="13"/>
  <c r="J94" i="13"/>
  <c r="K179" i="13"/>
  <c r="P185" i="13"/>
  <c r="T48" i="3"/>
  <c r="I21" i="6" s="1"/>
  <c r="H21" i="6"/>
  <c r="N190" i="13"/>
  <c r="O190" i="13" s="1"/>
  <c r="P190" i="13" s="1"/>
  <c r="Q190" i="13" s="1"/>
  <c r="R190" i="13" s="1"/>
  <c r="S190" i="13" s="1"/>
  <c r="F48" i="3"/>
  <c r="I14" i="6" s="1"/>
  <c r="H14" i="6"/>
  <c r="AB48" i="3"/>
  <c r="I25" i="6" s="1"/>
  <c r="H25" i="6"/>
  <c r="Z48" i="3"/>
  <c r="I24" i="6" s="1"/>
  <c r="H24" i="6"/>
  <c r="L48" i="3"/>
  <c r="I17" i="6" s="1"/>
  <c r="H17" i="6"/>
  <c r="AL47" i="3"/>
  <c r="F26" i="6"/>
  <c r="D9" i="8"/>
  <c r="X48" i="3"/>
  <c r="I23" i="6" s="1"/>
  <c r="H23" i="6"/>
  <c r="N48" i="3"/>
  <c r="I18" i="6" s="1"/>
  <c r="H18" i="6"/>
  <c r="P189" i="13"/>
  <c r="Q189" i="13" s="1"/>
  <c r="R189" i="13" s="1"/>
  <c r="S189" i="13" s="1"/>
  <c r="H48" i="3"/>
  <c r="I15" i="6" s="1"/>
  <c r="H15" i="6"/>
  <c r="L17" i="4"/>
  <c r="M17" i="4" s="1"/>
  <c r="N20" i="4"/>
  <c r="D18" i="4"/>
  <c r="L193" i="13" l="1"/>
  <c r="L62" i="13" s="1"/>
  <c r="T189" i="13"/>
  <c r="T190" i="13"/>
  <c r="L127" i="13"/>
  <c r="L19" i="13"/>
  <c r="AL48" i="3"/>
  <c r="I26" i="6" s="1"/>
  <c r="H26" i="6"/>
  <c r="Q185" i="13"/>
  <c r="K94" i="13"/>
  <c r="L179" i="13"/>
  <c r="L195" i="13"/>
  <c r="M193" i="13"/>
  <c r="N188" i="13"/>
  <c r="N193" i="13" s="1"/>
  <c r="C14" i="8"/>
  <c r="C16" i="8"/>
  <c r="E9" i="8"/>
  <c r="E14" i="8" s="1"/>
  <c r="E16" i="8" s="1"/>
  <c r="E34" i="8" s="1"/>
  <c r="AN48" i="3"/>
  <c r="I27" i="6" s="1"/>
  <c r="H27" i="6"/>
  <c r="D14" i="8"/>
  <c r="D16" i="8"/>
  <c r="H18" i="4"/>
  <c r="P18" i="4"/>
  <c r="P20" i="4" s="1"/>
  <c r="F18" i="4"/>
  <c r="D20" i="4"/>
  <c r="G18" i="4"/>
  <c r="J18" i="4" s="1"/>
  <c r="E18" i="4"/>
  <c r="O188" i="13" l="1"/>
  <c r="U190" i="13"/>
  <c r="P188" i="13"/>
  <c r="O193" i="13"/>
  <c r="M127" i="13"/>
  <c r="M19" i="13"/>
  <c r="M62" i="13"/>
  <c r="R185" i="13"/>
  <c r="U189" i="13"/>
  <c r="V189" i="13" s="1"/>
  <c r="W189" i="13" s="1"/>
  <c r="L94" i="13"/>
  <c r="M179" i="13"/>
  <c r="M195" i="13"/>
  <c r="N127" i="13"/>
  <c r="N19" i="13"/>
  <c r="N62" i="13"/>
  <c r="O18" i="4"/>
  <c r="K18" i="4"/>
  <c r="L18" i="4"/>
  <c r="V190" i="13" l="1"/>
  <c r="W190" i="13" s="1"/>
  <c r="M94" i="13"/>
  <c r="N179" i="13"/>
  <c r="N195" i="13"/>
  <c r="S185" i="13"/>
  <c r="O62" i="13"/>
  <c r="O19" i="13"/>
  <c r="O127" i="13"/>
  <c r="Q188" i="13"/>
  <c r="P193" i="13"/>
  <c r="O20" i="4"/>
  <c r="E25" i="8" s="1"/>
  <c r="E26" i="8" s="1"/>
  <c r="E44" i="8" s="1"/>
  <c r="G34" i="13"/>
  <c r="H34" i="13" s="1"/>
  <c r="M18" i="4"/>
  <c r="T185" i="13" l="1"/>
  <c r="U185" i="13" s="1"/>
  <c r="O179" i="13"/>
  <c r="O195" i="13"/>
  <c r="N94" i="13"/>
  <c r="P62" i="13"/>
  <c r="P19" i="13"/>
  <c r="P127" i="13"/>
  <c r="R188" i="13"/>
  <c r="Q193" i="13"/>
  <c r="E36" i="8"/>
  <c r="E40" i="8" s="1"/>
  <c r="E41" i="8" s="1"/>
  <c r="I34" i="13"/>
  <c r="J34" i="13" s="1"/>
  <c r="K34" i="13" s="1"/>
  <c r="L34" i="13" s="1"/>
  <c r="M34" i="13" s="1"/>
  <c r="N34" i="13" s="1"/>
  <c r="O34" i="13" s="1"/>
  <c r="P34" i="13" s="1"/>
  <c r="Q34" i="13" s="1"/>
  <c r="R34" i="13" s="1"/>
  <c r="V185" i="13" l="1"/>
  <c r="W185" i="13" s="1"/>
  <c r="O94" i="13"/>
  <c r="P179" i="13"/>
  <c r="P195" i="13"/>
  <c r="S188" i="13"/>
  <c r="R193" i="13"/>
  <c r="Q62" i="13"/>
  <c r="Q127" i="13"/>
  <c r="Q19" i="13"/>
  <c r="E37" i="8"/>
  <c r="G37" i="13" s="1"/>
  <c r="S34" i="13"/>
  <c r="T34" i="13" s="1"/>
  <c r="U34" i="13" s="1"/>
  <c r="V34" i="13" s="1"/>
  <c r="W34" i="13" s="1"/>
  <c r="G13" i="13"/>
  <c r="E48" i="8"/>
  <c r="E49" i="8" s="1"/>
  <c r="R62" i="13" l="1"/>
  <c r="R127" i="13"/>
  <c r="R19" i="13"/>
  <c r="G22" i="13"/>
  <c r="G23" i="13" s="1"/>
  <c r="T188" i="13"/>
  <c r="U188" i="13" s="1"/>
  <c r="S193" i="13"/>
  <c r="S195" i="13" s="1"/>
  <c r="G8" i="13"/>
  <c r="Q195" i="13"/>
  <c r="P94" i="13"/>
  <c r="Q179" i="13"/>
  <c r="G40" i="13"/>
  <c r="G25" i="13"/>
  <c r="G44" i="13"/>
  <c r="G38" i="13"/>
  <c r="G14" i="13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G20" i="13"/>
  <c r="H8" i="13"/>
  <c r="H88" i="13" s="1"/>
  <c r="V188" i="13" l="1"/>
  <c r="W188" i="13" s="1"/>
  <c r="Q94" i="13"/>
  <c r="R179" i="13"/>
  <c r="S179" i="13" s="1"/>
  <c r="R195" i="13"/>
  <c r="S127" i="13"/>
  <c r="S62" i="13"/>
  <c r="S19" i="13"/>
  <c r="G131" i="13"/>
  <c r="G28" i="13"/>
  <c r="G133" i="13"/>
  <c r="H40" i="13"/>
  <c r="G46" i="13"/>
  <c r="G47" i="13" s="1"/>
  <c r="H16" i="13"/>
  <c r="H22" i="13"/>
  <c r="H23" i="13" s="1"/>
  <c r="H44" i="13"/>
  <c r="H37" i="13"/>
  <c r="G32" i="13"/>
  <c r="I8" i="13"/>
  <c r="I88" i="13" s="1"/>
  <c r="H20" i="13"/>
  <c r="H13" i="13"/>
  <c r="R94" i="13" l="1"/>
  <c r="G132" i="13"/>
  <c r="H131" i="13"/>
  <c r="I131" i="13"/>
  <c r="I40" i="13"/>
  <c r="G49" i="13"/>
  <c r="I16" i="13"/>
  <c r="H25" i="13"/>
  <c r="H38" i="13"/>
  <c r="I37" i="13" s="1"/>
  <c r="H46" i="13"/>
  <c r="H47" i="13" s="1"/>
  <c r="I22" i="13"/>
  <c r="I23" i="13" s="1"/>
  <c r="I44" i="13"/>
  <c r="I20" i="13"/>
  <c r="J8" i="13"/>
  <c r="J88" i="13" s="1"/>
  <c r="I13" i="13"/>
  <c r="G26" i="13"/>
  <c r="H32" i="13"/>
  <c r="H99" i="13" l="1"/>
  <c r="H89" i="13"/>
  <c r="S94" i="13"/>
  <c r="T179" i="13"/>
  <c r="H26" i="13"/>
  <c r="H133" i="13"/>
  <c r="J40" i="13"/>
  <c r="J16" i="13"/>
  <c r="I25" i="13"/>
  <c r="I38" i="13"/>
  <c r="J37" i="13" s="1"/>
  <c r="I46" i="13"/>
  <c r="I47" i="13" s="1"/>
  <c r="J22" i="13"/>
  <c r="J23" i="13" s="1"/>
  <c r="J44" i="13"/>
  <c r="I32" i="13"/>
  <c r="H28" i="13"/>
  <c r="G61" i="13"/>
  <c r="G64" i="13" s="1"/>
  <c r="G29" i="13"/>
  <c r="K8" i="13"/>
  <c r="K88" i="13" s="1"/>
  <c r="J13" i="13"/>
  <c r="J20" i="13"/>
  <c r="I89" i="13" l="1"/>
  <c r="I99" i="13"/>
  <c r="H132" i="13"/>
  <c r="J131" i="13"/>
  <c r="K131" i="13"/>
  <c r="K40" i="13"/>
  <c r="I26" i="13"/>
  <c r="I133" i="13"/>
  <c r="K16" i="13"/>
  <c r="J25" i="13"/>
  <c r="K22" i="13"/>
  <c r="K23" i="13" s="1"/>
  <c r="K44" i="13"/>
  <c r="J38" i="13"/>
  <c r="K37" i="13" s="1"/>
  <c r="J46" i="13"/>
  <c r="J47" i="13" s="1"/>
  <c r="K13" i="13"/>
  <c r="K20" i="13"/>
  <c r="L8" i="13"/>
  <c r="L88" i="13" s="1"/>
  <c r="J32" i="13"/>
  <c r="H49" i="13"/>
  <c r="H61" i="13" s="1"/>
  <c r="H64" i="13" s="1"/>
  <c r="H29" i="13"/>
  <c r="I28" i="13"/>
  <c r="J89" i="13" l="1"/>
  <c r="J99" i="13"/>
  <c r="I132" i="13"/>
  <c r="L16" i="13"/>
  <c r="L131" i="13"/>
  <c r="L40" i="13"/>
  <c r="J26" i="13"/>
  <c r="J133" i="13"/>
  <c r="K25" i="13"/>
  <c r="L32" i="13"/>
  <c r="L44" i="13"/>
  <c r="K38" i="13"/>
  <c r="L37" i="13" s="1"/>
  <c r="K46" i="13"/>
  <c r="K47" i="13" s="1"/>
  <c r="L22" i="13"/>
  <c r="L23" i="13" s="1"/>
  <c r="I29" i="13"/>
  <c r="I49" i="13"/>
  <c r="I61" i="13" s="1"/>
  <c r="I64" i="13" s="1"/>
  <c r="K32" i="13"/>
  <c r="J28" i="13"/>
  <c r="M8" i="13"/>
  <c r="M88" i="13" s="1"/>
  <c r="L13" i="13"/>
  <c r="L20" i="13"/>
  <c r="K89" i="13" l="1"/>
  <c r="K99" i="13"/>
  <c r="K133" i="13" s="1"/>
  <c r="J132" i="13"/>
  <c r="K26" i="13"/>
  <c r="M40" i="13"/>
  <c r="M16" i="13"/>
  <c r="M131" i="13"/>
  <c r="L38" i="13"/>
  <c r="M37" i="13" s="1"/>
  <c r="L46" i="13"/>
  <c r="L47" i="13" s="1"/>
  <c r="M32" i="13"/>
  <c r="M44" i="13"/>
  <c r="M22" i="13"/>
  <c r="M23" i="13" s="1"/>
  <c r="L25" i="13"/>
  <c r="M13" i="13"/>
  <c r="M20" i="13"/>
  <c r="N8" i="13"/>
  <c r="N88" i="13" s="1"/>
  <c r="J29" i="13"/>
  <c r="J49" i="13"/>
  <c r="J61" i="13" s="1"/>
  <c r="J64" i="13" s="1"/>
  <c r="K28" i="13"/>
  <c r="L99" i="13" l="1"/>
  <c r="L133" i="13" s="1"/>
  <c r="L89" i="13"/>
  <c r="K132" i="13"/>
  <c r="N40" i="13"/>
  <c r="N16" i="13"/>
  <c r="N32" i="13"/>
  <c r="N44" i="13"/>
  <c r="M38" i="13"/>
  <c r="N37" i="13" s="1"/>
  <c r="M46" i="13"/>
  <c r="M47" i="13" s="1"/>
  <c r="M25" i="13"/>
  <c r="N22" i="13"/>
  <c r="N23" i="13" s="1"/>
  <c r="L26" i="13"/>
  <c r="L28" i="13"/>
  <c r="N20" i="13"/>
  <c r="O8" i="13"/>
  <c r="O88" i="13" s="1"/>
  <c r="N13" i="13"/>
  <c r="K29" i="13"/>
  <c r="K49" i="13"/>
  <c r="K61" i="13" s="1"/>
  <c r="K64" i="13" s="1"/>
  <c r="M89" i="13" l="1"/>
  <c r="M99" i="13"/>
  <c r="N131" i="13"/>
  <c r="L132" i="13"/>
  <c r="O16" i="13"/>
  <c r="M26" i="13"/>
  <c r="M133" i="13"/>
  <c r="O40" i="13"/>
  <c r="O32" i="13"/>
  <c r="O44" i="13"/>
  <c r="N38" i="13"/>
  <c r="O37" i="13" s="1"/>
  <c r="N46" i="13"/>
  <c r="N47" i="13" s="1"/>
  <c r="L29" i="13"/>
  <c r="L49" i="13"/>
  <c r="M28" i="13"/>
  <c r="N25" i="13"/>
  <c r="O22" i="13"/>
  <c r="O23" i="13" s="1"/>
  <c r="O13" i="13"/>
  <c r="P8" i="13"/>
  <c r="P88" i="13" s="1"/>
  <c r="O20" i="13"/>
  <c r="N89" i="13" l="1"/>
  <c r="N99" i="13"/>
  <c r="N133" i="13" s="1"/>
  <c r="O131" i="13"/>
  <c r="M132" i="13"/>
  <c r="P40" i="13"/>
  <c r="P16" i="13"/>
  <c r="P131" i="13"/>
  <c r="N26" i="13"/>
  <c r="L61" i="13"/>
  <c r="L64" i="13" s="1"/>
  <c r="M29" i="13"/>
  <c r="M49" i="13"/>
  <c r="O38" i="13"/>
  <c r="P37" i="13" s="1"/>
  <c r="O46" i="13"/>
  <c r="O47" i="13" s="1"/>
  <c r="P32" i="13"/>
  <c r="P44" i="13"/>
  <c r="N28" i="13"/>
  <c r="O25" i="13"/>
  <c r="P22" i="13"/>
  <c r="P23" i="13" s="1"/>
  <c r="P20" i="13"/>
  <c r="Q8" i="13"/>
  <c r="Q88" i="13" s="1"/>
  <c r="P13" i="13"/>
  <c r="O89" i="13" l="1"/>
  <c r="O99" i="13"/>
  <c r="N132" i="13"/>
  <c r="Q16" i="13"/>
  <c r="O26" i="13"/>
  <c r="O133" i="13"/>
  <c r="Q40" i="13"/>
  <c r="M61" i="13"/>
  <c r="M64" i="13" s="1"/>
  <c r="P38" i="13"/>
  <c r="Q37" i="13" s="1"/>
  <c r="P46" i="13"/>
  <c r="P47" i="13" s="1"/>
  <c r="N29" i="13"/>
  <c r="N49" i="13"/>
  <c r="Q32" i="13"/>
  <c r="Q44" i="13"/>
  <c r="O28" i="13"/>
  <c r="Q22" i="13"/>
  <c r="Q23" i="13" s="1"/>
  <c r="P25" i="13"/>
  <c r="Q20" i="13"/>
  <c r="R8" i="13"/>
  <c r="R88" i="13" s="1"/>
  <c r="Q13" i="13"/>
  <c r="P99" i="13" l="1"/>
  <c r="P89" i="13"/>
  <c r="Q25" i="13"/>
  <c r="O132" i="13"/>
  <c r="Q131" i="13"/>
  <c r="R40" i="13"/>
  <c r="S40" i="13" s="1"/>
  <c r="Q26" i="13"/>
  <c r="P133" i="13"/>
  <c r="R16" i="13"/>
  <c r="S16" i="13" s="1"/>
  <c r="T16" i="13" s="1"/>
  <c r="U16" i="13" s="1"/>
  <c r="V16" i="13" s="1"/>
  <c r="W16" i="13" s="1"/>
  <c r="R131" i="13"/>
  <c r="N61" i="13"/>
  <c r="N64" i="13" s="1"/>
  <c r="Q38" i="13"/>
  <c r="R37" i="13" s="1"/>
  <c r="Q46" i="13"/>
  <c r="Q47" i="13" s="1"/>
  <c r="R32" i="13"/>
  <c r="R44" i="13"/>
  <c r="O29" i="13"/>
  <c r="O49" i="13"/>
  <c r="R22" i="13"/>
  <c r="R23" i="13" s="1"/>
  <c r="P26" i="13"/>
  <c r="P28" i="13"/>
  <c r="S8" i="13"/>
  <c r="Q28" i="13"/>
  <c r="R13" i="13"/>
  <c r="R20" i="13"/>
  <c r="Q89" i="13" l="1"/>
  <c r="Q99" i="13"/>
  <c r="Q132" i="13"/>
  <c r="Q133" i="13"/>
  <c r="P132" i="13"/>
  <c r="S44" i="13"/>
  <c r="S88" i="13"/>
  <c r="O61" i="13"/>
  <c r="O64" i="13" s="1"/>
  <c r="R25" i="13"/>
  <c r="R38" i="13"/>
  <c r="S37" i="13" s="1"/>
  <c r="R46" i="13"/>
  <c r="R47" i="13" s="1"/>
  <c r="P29" i="13"/>
  <c r="P49" i="13"/>
  <c r="Q29" i="13"/>
  <c r="Q49" i="13"/>
  <c r="T8" i="13"/>
  <c r="T88" i="13" s="1"/>
  <c r="S32" i="13"/>
  <c r="S20" i="13"/>
  <c r="S22" i="13"/>
  <c r="S23" i="13" s="1"/>
  <c r="S13" i="13"/>
  <c r="R89" i="13" l="1"/>
  <c r="R132" i="13" s="1"/>
  <c r="R99" i="13"/>
  <c r="S131" i="13"/>
  <c r="T131" i="13"/>
  <c r="R26" i="13"/>
  <c r="R133" i="13"/>
  <c r="R28" i="13"/>
  <c r="R49" i="13" s="1"/>
  <c r="Q61" i="13"/>
  <c r="Q64" i="13" s="1"/>
  <c r="P61" i="13"/>
  <c r="P64" i="13" s="1"/>
  <c r="S38" i="13"/>
  <c r="T37" i="13" s="1"/>
  <c r="S46" i="13"/>
  <c r="S47" i="13" s="1"/>
  <c r="T32" i="13"/>
  <c r="T44" i="13"/>
  <c r="T13" i="13"/>
  <c r="T40" i="13"/>
  <c r="U8" i="13"/>
  <c r="T22" i="13"/>
  <c r="T23" i="13" s="1"/>
  <c r="S25" i="13"/>
  <c r="R29" i="13" l="1"/>
  <c r="U32" i="13"/>
  <c r="U88" i="13"/>
  <c r="S99" i="13"/>
  <c r="S89" i="13"/>
  <c r="U22" i="13"/>
  <c r="U23" i="13" s="1"/>
  <c r="U44" i="13"/>
  <c r="V8" i="13"/>
  <c r="R61" i="13"/>
  <c r="R64" i="13" s="1"/>
  <c r="T38" i="13"/>
  <c r="U37" i="13" s="1"/>
  <c r="T46" i="13"/>
  <c r="T47" i="13" s="1"/>
  <c r="U40" i="13"/>
  <c r="U13" i="13"/>
  <c r="S26" i="13"/>
  <c r="S28" i="13"/>
  <c r="S133" i="13" l="1"/>
  <c r="U131" i="13"/>
  <c r="S132" i="13"/>
  <c r="W8" i="13"/>
  <c r="W44" i="13" s="1"/>
  <c r="V88" i="13"/>
  <c r="V40" i="13"/>
  <c r="V22" i="13"/>
  <c r="V23" i="13" s="1"/>
  <c r="V44" i="13"/>
  <c r="V13" i="13"/>
  <c r="V32" i="13"/>
  <c r="U38" i="13"/>
  <c r="V37" i="13" s="1"/>
  <c r="U46" i="13"/>
  <c r="U47" i="13" s="1"/>
  <c r="S29" i="13"/>
  <c r="S49" i="13"/>
  <c r="W13" i="13" l="1"/>
  <c r="W40" i="13"/>
  <c r="V131" i="13"/>
  <c r="W32" i="13"/>
  <c r="W88" i="13"/>
  <c r="W131" i="13" s="1"/>
  <c r="W22" i="13"/>
  <c r="W23" i="13" s="1"/>
  <c r="S61" i="13"/>
  <c r="S64" i="13" s="1"/>
  <c r="V38" i="13"/>
  <c r="W37" i="13" s="1"/>
  <c r="V46" i="13"/>
  <c r="V47" i="13" s="1"/>
  <c r="W38" i="13" l="1"/>
  <c r="W46" i="13"/>
  <c r="W47" i="13" s="1"/>
  <c r="T193" i="13" l="1"/>
  <c r="T127" i="13" s="1"/>
  <c r="U193" i="13"/>
  <c r="U127" i="13" s="1"/>
  <c r="V193" i="13"/>
  <c r="V127" i="13" s="1"/>
  <c r="W193" i="13"/>
  <c r="W127" i="13" s="1"/>
  <c r="W19" i="13" l="1"/>
  <c r="W20" i="13" s="1"/>
  <c r="W62" i="13"/>
  <c r="V19" i="13"/>
  <c r="V25" i="13" s="1"/>
  <c r="V62" i="13"/>
  <c r="U19" i="13"/>
  <c r="U25" i="13" s="1"/>
  <c r="U62" i="13"/>
  <c r="T19" i="13"/>
  <c r="T25" i="13" s="1"/>
  <c r="T62" i="13"/>
  <c r="U20" i="13"/>
  <c r="T195" i="13"/>
  <c r="T94" i="13" s="1"/>
  <c r="W25" i="13" l="1"/>
  <c r="W89" i="13" s="1"/>
  <c r="T99" i="13"/>
  <c r="T133" i="13" s="1"/>
  <c r="T89" i="13"/>
  <c r="V99" i="13"/>
  <c r="V89" i="13"/>
  <c r="U89" i="13"/>
  <c r="U99" i="13"/>
  <c r="V20" i="13"/>
  <c r="T20" i="13"/>
  <c r="V26" i="13"/>
  <c r="V28" i="13"/>
  <c r="T26" i="13"/>
  <c r="T28" i="13"/>
  <c r="U26" i="13"/>
  <c r="U28" i="13"/>
  <c r="U179" i="13"/>
  <c r="U195" i="13"/>
  <c r="V195" i="13" s="1"/>
  <c r="V94" i="13" s="1"/>
  <c r="W28" i="13" l="1"/>
  <c r="W29" i="13" s="1"/>
  <c r="W26" i="13"/>
  <c r="W99" i="13"/>
  <c r="W133" i="13" s="1"/>
  <c r="U133" i="13"/>
  <c r="V133" i="13"/>
  <c r="U132" i="13"/>
  <c r="T132" i="13"/>
  <c r="V132" i="13"/>
  <c r="W132" i="13"/>
  <c r="U29" i="13"/>
  <c r="U49" i="13"/>
  <c r="V29" i="13"/>
  <c r="V49" i="13"/>
  <c r="T29" i="13"/>
  <c r="T49" i="13"/>
  <c r="V179" i="13"/>
  <c r="W179" i="13"/>
  <c r="W195" i="13"/>
  <c r="W94" i="13" s="1"/>
  <c r="U94" i="13"/>
  <c r="W49" i="13" l="1"/>
  <c r="V61" i="13"/>
  <c r="V64" i="13" s="1"/>
  <c r="T61" i="13"/>
  <c r="T64" i="13" s="1"/>
  <c r="U61" i="13"/>
  <c r="U64" i="13" s="1"/>
  <c r="W61" i="13" l="1"/>
  <c r="W64" i="13" s="1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G91" i="13"/>
  <c r="H91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G96" i="13"/>
  <c r="H96" i="13"/>
  <c r="I96" i="13"/>
  <c r="J96" i="13"/>
  <c r="K96" i="13"/>
  <c r="L96" i="13"/>
  <c r="M96" i="13"/>
  <c r="N96" i="13"/>
  <c r="O96" i="13"/>
  <c r="P96" i="13"/>
  <c r="Q96" i="13"/>
  <c r="R96" i="13"/>
  <c r="S96" i="13"/>
  <c r="T96" i="13"/>
  <c r="U96" i="13"/>
  <c r="V96" i="13"/>
  <c r="W96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S100" i="13"/>
  <c r="T100" i="13"/>
  <c r="U100" i="13"/>
  <c r="V100" i="13"/>
  <c r="W100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S102" i="13"/>
  <c r="T102" i="13"/>
  <c r="U102" i="13"/>
  <c r="V102" i="13"/>
  <c r="W102" i="13"/>
  <c r="G107" i="13"/>
  <c r="H107" i="13"/>
  <c r="I107" i="13"/>
  <c r="J107" i="13"/>
  <c r="K107" i="13"/>
  <c r="L107" i="13"/>
  <c r="M107" i="13"/>
  <c r="N107" i="13"/>
  <c r="O107" i="13"/>
  <c r="P107" i="13"/>
  <c r="Q107" i="13"/>
  <c r="R107" i="13"/>
  <c r="S107" i="13"/>
  <c r="T107" i="13"/>
  <c r="U107" i="13"/>
  <c r="V107" i="13"/>
  <c r="W107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U113" i="13"/>
  <c r="V113" i="13"/>
  <c r="W113" i="13"/>
  <c r="G114" i="13"/>
  <c r="H114" i="13"/>
  <c r="I114" i="13"/>
  <c r="J114" i="13"/>
  <c r="K114" i="13"/>
  <c r="L114" i="13"/>
  <c r="M114" i="13"/>
  <c r="N114" i="13"/>
  <c r="O114" i="13"/>
  <c r="P114" i="13"/>
  <c r="Q114" i="13"/>
  <c r="R114" i="13"/>
  <c r="S114" i="13"/>
  <c r="T114" i="13"/>
  <c r="U114" i="13"/>
  <c r="V114" i="13"/>
  <c r="W11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G135" i="13"/>
  <c r="H135" i="13"/>
  <c r="I135" i="13"/>
  <c r="J135" i="13"/>
  <c r="K135" i="13"/>
  <c r="L135" i="13"/>
  <c r="M135" i="13"/>
  <c r="N135" i="13"/>
  <c r="O135" i="13"/>
  <c r="P135" i="13"/>
  <c r="Q135" i="13"/>
  <c r="R135" i="13"/>
  <c r="S135" i="13"/>
  <c r="T135" i="13"/>
  <c r="U135" i="13"/>
  <c r="V135" i="13"/>
  <c r="W135" i="13"/>
  <c r="G142" i="13"/>
  <c r="H142" i="13"/>
  <c r="I142" i="13"/>
  <c r="J142" i="13"/>
  <c r="K142" i="13"/>
  <c r="L142" i="13"/>
  <c r="M142" i="13"/>
  <c r="N142" i="13"/>
  <c r="O142" i="13"/>
  <c r="P142" i="13"/>
  <c r="Q142" i="13"/>
  <c r="R142" i="13"/>
  <c r="S142" i="13"/>
  <c r="T142" i="13"/>
  <c r="U142" i="13"/>
  <c r="V142" i="13"/>
  <c r="W142" i="13"/>
  <c r="G144" i="13"/>
  <c r="H144" i="13"/>
  <c r="I144" i="13"/>
  <c r="J144" i="13"/>
  <c r="K144" i="13"/>
  <c r="L144" i="13"/>
  <c r="M144" i="13"/>
  <c r="N144" i="13"/>
  <c r="O144" i="13"/>
  <c r="P144" i="13"/>
  <c r="Q144" i="13"/>
  <c r="R144" i="13"/>
  <c r="S144" i="13"/>
  <c r="T144" i="13"/>
  <c r="U144" i="13"/>
  <c r="V144" i="13"/>
  <c r="W144" i="13"/>
  <c r="G146" i="13"/>
  <c r="H146" i="13"/>
  <c r="I146" i="13"/>
  <c r="J146" i="13"/>
  <c r="K146" i="13"/>
  <c r="L146" i="13"/>
  <c r="M146" i="13"/>
  <c r="N146" i="13"/>
  <c r="O146" i="13"/>
  <c r="P146" i="13"/>
  <c r="Q146" i="13"/>
  <c r="R146" i="13"/>
  <c r="S146" i="13"/>
  <c r="T146" i="13"/>
  <c r="U146" i="13"/>
  <c r="V146" i="13"/>
  <c r="W146" i="13"/>
  <c r="H147" i="13"/>
  <c r="I147" i="13"/>
  <c r="J147" i="13"/>
  <c r="K147" i="13"/>
  <c r="L147" i="13"/>
  <c r="M147" i="13"/>
  <c r="N147" i="13"/>
  <c r="O147" i="13"/>
  <c r="P147" i="13"/>
  <c r="Q147" i="13"/>
  <c r="R147" i="13"/>
  <c r="T147" i="13"/>
  <c r="U147" i="13"/>
  <c r="V147" i="13"/>
  <c r="W147" i="13"/>
  <c r="G148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H155" i="13"/>
  <c r="I155" i="13"/>
  <c r="J155" i="13"/>
  <c r="K155" i="13"/>
  <c r="L155" i="13"/>
  <c r="M155" i="13"/>
  <c r="N155" i="13"/>
  <c r="O155" i="13"/>
  <c r="P155" i="13"/>
  <c r="Q155" i="13"/>
  <c r="R155" i="13"/>
  <c r="T155" i="13"/>
  <c r="U155" i="13"/>
  <c r="V155" i="13"/>
  <c r="W155" i="13"/>
  <c r="G156" i="13"/>
  <c r="H156" i="13"/>
  <c r="I156" i="13"/>
  <c r="J156" i="13"/>
  <c r="K156" i="13"/>
  <c r="L156" i="13"/>
  <c r="M156" i="13"/>
  <c r="N156" i="13"/>
  <c r="O156" i="13"/>
  <c r="P156" i="13"/>
  <c r="Q156" i="13"/>
  <c r="R156" i="13"/>
  <c r="S156" i="13"/>
  <c r="T156" i="13"/>
  <c r="U156" i="13"/>
  <c r="V156" i="13"/>
  <c r="W156" i="13"/>
  <c r="G159" i="13"/>
  <c r="H159" i="13"/>
  <c r="I159" i="13"/>
  <c r="J159" i="13"/>
  <c r="K159" i="13"/>
  <c r="L159" i="13"/>
  <c r="M159" i="13"/>
  <c r="N159" i="13"/>
  <c r="O159" i="13"/>
  <c r="P159" i="13"/>
  <c r="Q159" i="13"/>
  <c r="R159" i="13"/>
  <c r="S159" i="13"/>
  <c r="T159" i="13"/>
  <c r="U159" i="13"/>
  <c r="V159" i="13"/>
  <c r="W159" i="13"/>
  <c r="G160" i="13"/>
  <c r="H160" i="13"/>
  <c r="I160" i="13"/>
  <c r="J160" i="13"/>
  <c r="K160" i="13"/>
  <c r="L160" i="13"/>
  <c r="M160" i="13"/>
  <c r="N160" i="13"/>
  <c r="O160" i="13"/>
  <c r="P160" i="13"/>
  <c r="Q160" i="13"/>
  <c r="R160" i="13"/>
  <c r="S160" i="13"/>
  <c r="T160" i="13"/>
  <c r="U160" i="13"/>
  <c r="V160" i="13"/>
  <c r="W160" i="13"/>
  <c r="G173" i="13"/>
  <c r="H173" i="13"/>
  <c r="I173" i="13"/>
  <c r="J173" i="13"/>
  <c r="K173" i="13"/>
  <c r="L173" i="13"/>
  <c r="M173" i="13"/>
  <c r="N173" i="13"/>
  <c r="O173" i="13"/>
  <c r="P173" i="13"/>
  <c r="Q173" i="13"/>
  <c r="R173" i="13"/>
  <c r="S173" i="13"/>
  <c r="T173" i="13"/>
  <c r="U173" i="13"/>
  <c r="V173" i="13"/>
  <c r="W173" i="13"/>
  <c r="G175" i="13"/>
  <c r="H175" i="13"/>
  <c r="I175" i="13"/>
  <c r="J175" i="13"/>
  <c r="K175" i="13"/>
  <c r="L175" i="13"/>
  <c r="M175" i="13"/>
  <c r="N175" i="13"/>
  <c r="O175" i="13"/>
  <c r="P175" i="13"/>
  <c r="Q175" i="13"/>
  <c r="R175" i="13"/>
  <c r="S175" i="13"/>
  <c r="T175" i="13"/>
  <c r="U175" i="13"/>
  <c r="V175" i="13"/>
  <c r="W17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Serghei Dragan</author>
  </authors>
  <commentList>
    <comment ref="E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Serghei Dragan:</t>
        </r>
        <r>
          <rPr>
            <sz val="9"/>
            <color indexed="81"/>
            <rFont val="Tahoma"/>
            <family val="2"/>
          </rPr>
          <t xml:space="preserve">
Inlcuding Normal Loss @ 3%</t>
        </r>
      </text>
    </comment>
  </commentList>
</comments>
</file>

<file path=xl/sharedStrings.xml><?xml version="1.0" encoding="utf-8"?>
<sst xmlns="http://schemas.openxmlformats.org/spreadsheetml/2006/main" count="828" uniqueCount="378">
  <si>
    <t xml:space="preserve">PLUM "BAHAMAS" </t>
  </si>
  <si>
    <t>PLUM "BALI"</t>
  </si>
  <si>
    <t>PLUM "CUBA"</t>
  </si>
  <si>
    <t>PLUM "FIJI"</t>
  </si>
  <si>
    <t>PLUM "HAWAII"</t>
  </si>
  <si>
    <t>PLUM "JAMAICA"</t>
  </si>
  <si>
    <t>PLUM "MALLORCA"</t>
  </si>
  <si>
    <t>PLUM "TAHITI"</t>
  </si>
  <si>
    <t>PLUM "MADAGASCAR"</t>
  </si>
  <si>
    <t>Nr. Crt.</t>
  </si>
  <si>
    <t>Material Type</t>
  </si>
  <si>
    <t>Unit Measure</t>
  </si>
  <si>
    <t>Kg</t>
  </si>
  <si>
    <t>Walnut</t>
  </si>
  <si>
    <t>Pcs</t>
  </si>
  <si>
    <t>Paper</t>
  </si>
  <si>
    <t>Chocolate</t>
  </si>
  <si>
    <t>Cranberry</t>
  </si>
  <si>
    <t>Golden Raisins</t>
  </si>
  <si>
    <t>Pistachio</t>
  </si>
  <si>
    <t>Almonds</t>
  </si>
  <si>
    <t>Hazelnut</t>
  </si>
  <si>
    <t>Cherry</t>
  </si>
  <si>
    <t>Candied fruits</t>
  </si>
  <si>
    <t>Coconut flakes</t>
  </si>
  <si>
    <t>Dates</t>
  </si>
  <si>
    <t>Raisins</t>
  </si>
  <si>
    <t>Sesame</t>
  </si>
  <si>
    <t>Cocoa</t>
  </si>
  <si>
    <t>Sweets</t>
  </si>
  <si>
    <t>White Glaze Décor</t>
  </si>
  <si>
    <t>Plum</t>
  </si>
  <si>
    <t>Mango</t>
  </si>
  <si>
    <t>Figs</t>
  </si>
  <si>
    <t>Cashew nut</t>
  </si>
  <si>
    <t>Huckleberry</t>
  </si>
  <si>
    <t>Lavender essential oil</t>
  </si>
  <si>
    <t>Drops</t>
  </si>
  <si>
    <t>Aluminum foil</t>
  </si>
  <si>
    <t>Ginger</t>
  </si>
  <si>
    <t>Orange essential oil</t>
  </si>
  <si>
    <t>Chia seeds</t>
  </si>
  <si>
    <t>Pumpkin seeds</t>
  </si>
  <si>
    <t>Lemon essential oil</t>
  </si>
  <si>
    <t>Mint essential oil</t>
  </si>
  <si>
    <t>Paper Box</t>
  </si>
  <si>
    <t>Q of  RM</t>
  </si>
  <si>
    <t>Abreviation:</t>
  </si>
  <si>
    <t>RM - Raw Material</t>
  </si>
  <si>
    <t>Cost/RM used</t>
  </si>
  <si>
    <t>Q per Box</t>
  </si>
  <si>
    <t>Total RM Cost/Box</t>
  </si>
  <si>
    <t>Sale Price</t>
  </si>
  <si>
    <t>Contribution (MDL)</t>
  </si>
  <si>
    <t>Cost/Unit of RM
 (MDL)</t>
  </si>
  <si>
    <t>Total RM Cost/Unit</t>
  </si>
  <si>
    <t>Cost of Package</t>
  </si>
  <si>
    <t>PLUM "PHILIPPINES"</t>
  </si>
  <si>
    <t>PLUM "MADEIRA"</t>
  </si>
  <si>
    <t>PLUM "TENERIFE"</t>
  </si>
  <si>
    <t>LEVANTICA</t>
  </si>
  <si>
    <t>PORTOCALA</t>
  </si>
  <si>
    <t>LAMAIE</t>
  </si>
  <si>
    <t>MENTA</t>
  </si>
  <si>
    <t>Contribution Margin (%)</t>
  </si>
  <si>
    <t>Apricots (cut)</t>
  </si>
  <si>
    <t>Apricots (full)</t>
  </si>
  <si>
    <t>Product Name</t>
  </si>
  <si>
    <t>MIXT NR1</t>
  </si>
  <si>
    <t>MIXT NR2</t>
  </si>
  <si>
    <t>Materials' Cost</t>
  </si>
  <si>
    <t>Contribution = Sale Price - Total Variable Costs*</t>
  </si>
  <si>
    <t>*Variable Costs in our case are considered to be so far only the raw materials and packages.</t>
  </si>
  <si>
    <t>Contribution Margin** = Contribution/Sale Price * 100%</t>
  </si>
  <si>
    <t>** This shows the relative profitability of a product before considering any fixed costs.</t>
  </si>
  <si>
    <t>Note: All prices are in MDL unless otherwise stated.</t>
  </si>
  <si>
    <t>Department</t>
  </si>
  <si>
    <t>Production</t>
  </si>
  <si>
    <t>Nr of Employees</t>
  </si>
  <si>
    <t>Accounting</t>
  </si>
  <si>
    <t>Administrative</t>
  </si>
  <si>
    <t>Total Salary
Expense (MDL) / month</t>
  </si>
  <si>
    <t>Total Impozit pe venit</t>
  </si>
  <si>
    <t>Impozit venit impozabil mai mare de 2595 MDL, 18%</t>
  </si>
  <si>
    <t>Impozit venit impozabil pana la 2595 MDL, 7%</t>
  </si>
  <si>
    <t>Venit impozabil</t>
  </si>
  <si>
    <t>Fondul de Pensii 6%</t>
  </si>
  <si>
    <t>Asigurare medicala Angajat 4.5%</t>
  </si>
  <si>
    <t>Asigurare medicala Angajator 4.5%</t>
  </si>
  <si>
    <t>Fondul Social 23%</t>
  </si>
  <si>
    <t>Personal Deduction, Normal (MDL)</t>
  </si>
  <si>
    <t>Payroll Expenses*</t>
  </si>
  <si>
    <t>Payroll Expenses**</t>
  </si>
  <si>
    <t>Rent</t>
  </si>
  <si>
    <t>Depreciation</t>
  </si>
  <si>
    <t>Electricity</t>
  </si>
  <si>
    <t>Water</t>
  </si>
  <si>
    <t>Gas/Heat</t>
  </si>
  <si>
    <t>Electric Stove</t>
  </si>
  <si>
    <t>Property, Plant and Equipment</t>
  </si>
  <si>
    <t>Type</t>
  </si>
  <si>
    <t>Link</t>
  </si>
  <si>
    <t>Price (MDL)</t>
  </si>
  <si>
    <t>Equipment</t>
  </si>
  <si>
    <t>Fridge</t>
  </si>
  <si>
    <t>Category</t>
  </si>
  <si>
    <t>http://matrix.md/frigider-indesit-ds-4160-s-cu-congelator-jos/</t>
  </si>
  <si>
    <t>Coditioner</t>
  </si>
  <si>
    <t>Consumption (kW/h)</t>
  </si>
  <si>
    <t>Conditioner</t>
  </si>
  <si>
    <t>Useful Life
(years)</t>
  </si>
  <si>
    <t>Monthly Depreciation
(MDL)</t>
  </si>
  <si>
    <t>Distribution Costs</t>
  </si>
  <si>
    <t>Marketing Expenses</t>
  </si>
  <si>
    <t>Monday</t>
  </si>
  <si>
    <t>Tuesday</t>
  </si>
  <si>
    <t>Wednesday</t>
  </si>
  <si>
    <t>Thursday</t>
  </si>
  <si>
    <t>Friday</t>
  </si>
  <si>
    <t>Saturday</t>
  </si>
  <si>
    <t>Sunday</t>
  </si>
  <si>
    <t>1st Employee</t>
  </si>
  <si>
    <t>2nd Employee</t>
  </si>
  <si>
    <t>Hours per Day</t>
  </si>
  <si>
    <t>Total Working Hours</t>
  </si>
  <si>
    <t>Sart Time</t>
  </si>
  <si>
    <t>End time</t>
  </si>
  <si>
    <t>Off</t>
  </si>
  <si>
    <t>Week Day</t>
  </si>
  <si>
    <t>Date</t>
  </si>
  <si>
    <t>Pcs per hour</t>
  </si>
  <si>
    <t>Total available hours</t>
  </si>
  <si>
    <t>Total Production Capacity per Category</t>
  </si>
  <si>
    <t>Production Volume</t>
  </si>
  <si>
    <t>Comments</t>
  </si>
  <si>
    <t>These are given values, based on experience.</t>
  </si>
  <si>
    <t>Production Mix (%)</t>
  </si>
  <si>
    <t>Production Capacity Computation</t>
  </si>
  <si>
    <t>Gross Salary
(MDL) / month
per Employee</t>
  </si>
  <si>
    <t>Net Salary
(MDL) / month per Employee</t>
  </si>
  <si>
    <t>* Gross Salary is considered the independent variable. Please include a value in "Gross Salary (MDL) / month per Employee" column to compute the total payroll expenses.</t>
  </si>
  <si>
    <t>** Net Salary is considered the independent variable. Please include a value in "Net Salary (MDL) / month per Employee" column to compute the total payroll expenses.</t>
  </si>
  <si>
    <t>Total Gross Salary
(MDL) / month</t>
  </si>
  <si>
    <t>Total Net Salary
(MDL) / month</t>
  </si>
  <si>
    <t>Power
(kW)</t>
  </si>
  <si>
    <t>Working hours/day</t>
  </si>
  <si>
    <t>Cost per Day (MDL)</t>
  </si>
  <si>
    <t>Total Monthly
Cost (MDL)</t>
  </si>
  <si>
    <t>Rate (MDL)
per kW/h</t>
  </si>
  <si>
    <t>http://eurosanteh.md/ro/shop/%D0%BA%D0%BE%D0%BD%D0%B4%D0%B8%D1%86%D0%B8%D0%BE%D0%BD%D0%B5%D1%80-zanussi-primavera-zacs-09hpra15n2/</t>
  </si>
  <si>
    <t>http://www.mariusc.name/cat-consuma-aparatele-electronice-si-electrocasnice-61.html</t>
  </si>
  <si>
    <t>Light bulb (6 pcs)</t>
  </si>
  <si>
    <t>https://www.emag.ro/mixer-cu-bol-heinner-master-collection-1500-w-bol-5-5-l-6-viteze-argintiu-negru-hpm-1500xmc/pd/DBKP6MBBM/?X-Search-Id=5a8c10a506e8597d5ee3&amp;X-Product-Id=844577&amp;X-Search-Page=1&amp;X-Search-Position=41&amp;X-Search-Action=view</t>
  </si>
  <si>
    <t>Mixer</t>
  </si>
  <si>
    <t>Blender</t>
  </si>
  <si>
    <t>https://www.emag.ro/blender-vertical-bosch-maxo-mixx-87130-750w-argintiu-agdbosmib0078/pd/DS7PN2BBM/?X-Search-Id=c139712d659549904aaf&amp;X-Product-Id=15579680&amp;X-Search-Page=3&amp;X-Search-Position=12&amp;X-Search-Action=view</t>
  </si>
  <si>
    <t>Non-Production</t>
  </si>
  <si>
    <t>https://www.emag.ro/hota-incorporabila-decorativa-hotpoint-putere-de-absorbtie-625-mc-h-3-viteze-90-cm-inox-hhbs-9-8f-lt-x/pd/DFHNT2BBM/?X-Product-Id=3788524&amp;X-Search-Action=view&amp;X-Search-Id=bb5e1473ca8a76147e56&amp;X-Search-Page=5&amp;X-Search-Position=4</t>
  </si>
  <si>
    <t>Hood (hota)</t>
  </si>
  <si>
    <t>Furniture</t>
  </si>
  <si>
    <t>Total Monthly 
Depreciation Expense</t>
  </si>
  <si>
    <t>Break-down of Electricity expense</t>
  </si>
  <si>
    <t>Overhead Type</t>
  </si>
  <si>
    <t>Break-down of Rent Expense</t>
  </si>
  <si>
    <t>Surface</t>
  </si>
  <si>
    <t>Price EUR / m2</t>
  </si>
  <si>
    <t>Break-down of Gas/heat Expense</t>
  </si>
  <si>
    <t>Season</t>
  </si>
  <si>
    <t>Warm Season</t>
  </si>
  <si>
    <t>Cold Season</t>
  </si>
  <si>
    <t>Nr of Months</t>
  </si>
  <si>
    <t>Average Monthly Consumption
(m3)</t>
  </si>
  <si>
    <t>Rate (MDL)
per m3</t>
  </si>
  <si>
    <t>Total Annual Cost (MDL)</t>
  </si>
  <si>
    <t>Average monthly Cost (MdL)</t>
  </si>
  <si>
    <t>Total</t>
  </si>
  <si>
    <t>Break-down of Water Expense</t>
  </si>
  <si>
    <t>Flag Cost</t>
  </si>
  <si>
    <t>Variable</t>
  </si>
  <si>
    <t>Fixed</t>
  </si>
  <si>
    <t>Raw Materials</t>
  </si>
  <si>
    <t>Electricity (production)</t>
  </si>
  <si>
    <t>Sub-Total</t>
  </si>
  <si>
    <t>Variable Costs (MDL)</t>
  </si>
  <si>
    <t>Standard Production Volume (Boxes)</t>
  </si>
  <si>
    <t>Standard Production Volume (boxes)</t>
  </si>
  <si>
    <t>Packages</t>
  </si>
  <si>
    <t>Distribution</t>
  </si>
  <si>
    <t>Assuming that each 2nd customer will by 2 products</t>
  </si>
  <si>
    <t>Fixed Costs (MDL)</t>
  </si>
  <si>
    <t>Sales</t>
  </si>
  <si>
    <t>Sales (MDL)</t>
  </si>
  <si>
    <t>Salaries</t>
  </si>
  <si>
    <t>Contribution Margin per Unit (MDL)</t>
  </si>
  <si>
    <t>Variable Cost per Unit (MDL)</t>
  </si>
  <si>
    <t>Average Sales Price per Unit (MDL)</t>
  </si>
  <si>
    <t>Break Even Point (in Units)</t>
  </si>
  <si>
    <t>Break Even Point (in MDL)</t>
  </si>
  <si>
    <t>Capacity to be achieved (at least)</t>
  </si>
  <si>
    <t>Difference (units)</t>
  </si>
  <si>
    <t>Profit/Loss before Tax (MDL)</t>
  </si>
  <si>
    <t># of Units to Produce the Desired Profit</t>
  </si>
  <si>
    <t>Desired Profit</t>
  </si>
  <si>
    <t>1 cutie: 3*Madagascar, 3*Hawaii, 3*Mallorca, 6*Cuba</t>
  </si>
  <si>
    <t>2 cutii mix : 3*jamaica, 4*tahiti, 3*bahamas, 6*cuba</t>
  </si>
  <si>
    <t>2 cutii mix: 3*jamaica, 4*tahiti, 3*mallorca, 6*cuba</t>
  </si>
  <si>
    <t>2 ciocolate lemon</t>
  </si>
  <si>
    <t>2 cutii Madagascar (18buc)</t>
  </si>
  <si>
    <t>4 ciocolate (lemon, lavender, orange, mint)</t>
  </si>
  <si>
    <t>8 cutii mix: 3*jamaica, 4*tahiti, 3*bahamas, 6*cuba</t>
  </si>
  <si>
    <t>2 ciocolate (lavender, lemon)</t>
  </si>
  <si>
    <t>2 cutii mix:3* jamaica, 4*tahiti, 3*bahamas, 6*cuba</t>
  </si>
  <si>
    <t>2 cutii Cuba (36 buc fiecare)</t>
  </si>
  <si>
    <t>1 cutie Mix: 4*bali, 8*fiji, 3*hawaii</t>
  </si>
  <si>
    <t>18 cutii mix: jamaica, 4*tahiti, 3*bahamas, 6*cuba</t>
  </si>
  <si>
    <t>3 cutii mix: 3*madagascar, 3*bahamas, 4*tahiti, 6*cuba</t>
  </si>
  <si>
    <t>4 cutii mix: 3*jamaica, 4*tahiti, 3*bahamas, 6*cuba</t>
  </si>
  <si>
    <t>7cutii mix: 3*jamaica, 4*tahiti, 3*bahamas, 6*cuba</t>
  </si>
  <si>
    <t>1 cutie Madagascar (9buc)</t>
  </si>
  <si>
    <t>ciocolata lavender</t>
  </si>
  <si>
    <t>23-24 dec (yard sale expo)</t>
  </si>
  <si>
    <t>10 cutii mix : 3*jamaica, 4*tahiti, 3*malorca, 6*cuba</t>
  </si>
  <si>
    <t>23cutii mix: 3*jamaica, 4*tahiti, 3*bahamas, 6*cuba</t>
  </si>
  <si>
    <t>Ciocolate: 17 lemon, 17 lavender, 20 mint, 20 orange</t>
  </si>
  <si>
    <t>7 cutii mix: 3*jamaica, 4*tahiti, 3*bahamas, 6*cuba</t>
  </si>
  <si>
    <t>6 cutii mix: 3*jamaica, 4*tahiti, 3*bahamas, 6*cuba</t>
  </si>
  <si>
    <t>6 ciocolate orange</t>
  </si>
  <si>
    <t>2 cutii mix: 3*madeira, 8*tenerife, 6*cuba</t>
  </si>
  <si>
    <t>1mix: 8*tahiti, 6*cuba, 3*jamaica</t>
  </si>
  <si>
    <t>1mix: 3*bahamas, 3*mallorca, 3*philippines, 6*cuba</t>
  </si>
  <si>
    <t>1mix: 3*madeira, 4*fiji, 3*hawaii</t>
  </si>
  <si>
    <t>6cutii : 3*jamaica, 4*tahiti, 3*mallorca, 6*cuba</t>
  </si>
  <si>
    <t>33cutii: 3*jamaica, 4*tahiti, 3*bahamas, 6*cuba</t>
  </si>
  <si>
    <t>1 mix: 4*tahiti, 4*tenerife, 6*cuba, 3*bahamas</t>
  </si>
  <si>
    <t>1 mix: 6*mallorca, 12*cuba</t>
  </si>
  <si>
    <t>2 cutii : 3*jamaica, 4*tahiti, 3*mallorca, 6*cuba</t>
  </si>
  <si>
    <t>Mix</t>
  </si>
  <si>
    <t>Other</t>
  </si>
  <si>
    <t>All</t>
  </si>
  <si>
    <t>The allocation is based on December 2017 sales which might be affected by seasonality. Revision is required when more data are available.</t>
  </si>
  <si>
    <t>3rd Employee</t>
  </si>
  <si>
    <t>4th Employee</t>
  </si>
  <si>
    <t>https://www.emag.ro/plita-incorporabila-beko-electrica-vitroceramica-4-arzatoare-touch-control-60-cm-negru-hic64502t/pd/D941VYBBM/?X-Search-Id=067e23d21e9e996ae1bc&amp;X-Product-Id=925285&amp;X-Search-Page=1&amp;X-Search-Position=5&amp;X-Search-Action=view</t>
  </si>
  <si>
    <t>Current Capacity (4 persons)</t>
  </si>
  <si>
    <t>Distribution cost was set at 15 MDL per order considering that each second customer will order 2 products.  
This might not be the actual cost incurred to deliver the products and thus the extra expense may be included in the selling price as a flat fee.</t>
  </si>
  <si>
    <t>Difference vs Actual Capacity</t>
  </si>
  <si>
    <t>Trebuie sa fie 3 minus 4</t>
  </si>
  <si>
    <t>Cost-Volume-Profit Analysis</t>
  </si>
  <si>
    <t>Integrated Financial Statements</t>
  </si>
  <si>
    <t>INCOME STATEMENT</t>
  </si>
  <si>
    <t>20X7</t>
  </si>
  <si>
    <t>Revenue</t>
  </si>
  <si>
    <t>Growth Scenario (%)</t>
  </si>
  <si>
    <t>Scenario 1</t>
  </si>
  <si>
    <t>Scenario 2</t>
  </si>
  <si>
    <t>Scenario 3</t>
  </si>
  <si>
    <t>Cost of Goods Sold</t>
  </si>
  <si>
    <t>% of Sales</t>
  </si>
  <si>
    <t>Gross Profit</t>
  </si>
  <si>
    <t>Operating Income (EBIT)</t>
  </si>
  <si>
    <t>Interest Expense</t>
  </si>
  <si>
    <t>ON</t>
  </si>
  <si>
    <t>Pretax Income</t>
  </si>
  <si>
    <t>Income Tax Expense</t>
  </si>
  <si>
    <t>Tax Rate</t>
  </si>
  <si>
    <t>Net Income</t>
  </si>
  <si>
    <t xml:space="preserve">Depreciation </t>
  </si>
  <si>
    <t>Amortization</t>
  </si>
  <si>
    <t>EBITDA</t>
  </si>
  <si>
    <t>BALANCE SHEET</t>
  </si>
  <si>
    <t>Current Assets</t>
  </si>
  <si>
    <t>Cash</t>
  </si>
  <si>
    <t>Accounts Receivable</t>
  </si>
  <si>
    <t>Inventory</t>
  </si>
  <si>
    <t>Prepaid Expenses</t>
  </si>
  <si>
    <t>Total Current Assets</t>
  </si>
  <si>
    <t>Fixed Assets</t>
  </si>
  <si>
    <t>PP&amp;E, Net of Accum. Depreciation</t>
  </si>
  <si>
    <t>TOTAL ASSETS</t>
  </si>
  <si>
    <t>Current Liabilities</t>
  </si>
  <si>
    <t>Accounts Payable</t>
  </si>
  <si>
    <t>Line of Credit</t>
  </si>
  <si>
    <t>Current Maturities of Long Term Debt</t>
  </si>
  <si>
    <t>Total Current Liabilities</t>
  </si>
  <si>
    <t>Long Term Liabilities</t>
  </si>
  <si>
    <t>Long Term Debt, Net of Current Maturities</t>
  </si>
  <si>
    <t>TOTAL LIABILITIES</t>
  </si>
  <si>
    <t>Retained Earnings</t>
  </si>
  <si>
    <t>TOTAL EQUITY</t>
  </si>
  <si>
    <t>TOTAL LIABILITIES &amp; EQUITY</t>
  </si>
  <si>
    <t>Check</t>
  </si>
  <si>
    <t>BALANCE SHEET ASSUMPTIONS</t>
  </si>
  <si>
    <t>AR Days</t>
  </si>
  <si>
    <t>Inventory Days</t>
  </si>
  <si>
    <t>AP Days</t>
  </si>
  <si>
    <t>CASH FLOW STATEMENT</t>
  </si>
  <si>
    <t>CASH FLOW FROM OPERATING ACTIVITIES</t>
  </si>
  <si>
    <t>Add Back Non-Cash Items</t>
  </si>
  <si>
    <t>Changes in Working Capital</t>
  </si>
  <si>
    <t>Net Cash Provided by Operating Activities</t>
  </si>
  <si>
    <t>CASH FLOW FROM INVESTING ACTIVITIES</t>
  </si>
  <si>
    <t>Capital Expenditures - Purchase of PP&amp;E</t>
  </si>
  <si>
    <t>Net Cash Used in Investing Activities</t>
  </si>
  <si>
    <t>CASH FLOW FROM FINANCING ACTIVITIES</t>
  </si>
  <si>
    <t>Revolving Credit Facility (Line of Credit)</t>
  </si>
  <si>
    <t>Long Term Debt</t>
  </si>
  <si>
    <t>Net Cash Provided by (Used in) Fnce Activities</t>
  </si>
  <si>
    <t>Net Cash Flow</t>
  </si>
  <si>
    <t>Beginning Cash Balance</t>
  </si>
  <si>
    <t>Ending Cash Balance</t>
  </si>
  <si>
    <t>Supporting Schedules</t>
  </si>
  <si>
    <t>DEBT SCHEDULE</t>
  </si>
  <si>
    <t>Cash Balance @ Beg of Year (End of Last Year)</t>
  </si>
  <si>
    <t>Plus: Free Cash Flow from Operations and Investing</t>
  </si>
  <si>
    <t>Plus: Free Cash Flow from Financing (BEFORE L.O.C.)</t>
  </si>
  <si>
    <t>Less: Minimum Cash Balance</t>
  </si>
  <si>
    <t>Total Cash Available or (Required) from L.O.C.</t>
  </si>
  <si>
    <t>Debt</t>
  </si>
  <si>
    <t>Current Portion of Long Term Debt</t>
  </si>
  <si>
    <t>Interest Rate on Long Term Debt</t>
  </si>
  <si>
    <t>Interest Rate on Line of Credit</t>
  </si>
  <si>
    <t>Interest Expense on Long Term Debt</t>
  </si>
  <si>
    <t>Interest Expense on Line of Credit</t>
  </si>
  <si>
    <t>Total Interest Expense</t>
  </si>
  <si>
    <t>PP&amp;E SCHEDULE</t>
  </si>
  <si>
    <t>Beg: PP&amp;E, Net of Accum. Depreciation</t>
  </si>
  <si>
    <t>End: PP&amp;E, Net of Accum. Depreciation</t>
  </si>
  <si>
    <t>x</t>
  </si>
  <si>
    <t>Cost of Goods Sold Total</t>
  </si>
  <si>
    <t>EBITDA Calculation</t>
  </si>
  <si>
    <t>INCOME STATEMENT ASSUMPTIONS &amp; DRIVERS</t>
  </si>
  <si>
    <t>Revenue Growth</t>
  </si>
  <si>
    <t>"Plum Sweets" SRL</t>
  </si>
  <si>
    <t>20X8</t>
  </si>
  <si>
    <t>20X9</t>
  </si>
  <si>
    <t>Direct</t>
  </si>
  <si>
    <t>Indirect</t>
  </si>
  <si>
    <t>Direct/Indirect</t>
  </si>
  <si>
    <t>Direct Labor</t>
  </si>
  <si>
    <t>Labor Growth</t>
  </si>
  <si>
    <t>Projected
Monthly</t>
  </si>
  <si>
    <t>Projected
Yearly</t>
  </si>
  <si>
    <t>Capital Expenditures</t>
  </si>
  <si>
    <t>PP&amp;E (at Cost)</t>
  </si>
  <si>
    <t>Useful Life</t>
  </si>
  <si>
    <t>CapEx</t>
  </si>
  <si>
    <t>Acquired</t>
  </si>
  <si>
    <t>Vehicle</t>
  </si>
  <si>
    <t>Nonresidential Real Property (Office Bldg, Store, Warehouse, etc.)</t>
  </si>
  <si>
    <t>Total Depreciation</t>
  </si>
  <si>
    <t>Data Validation (Do Not Delete)</t>
  </si>
  <si>
    <t>Computer</t>
  </si>
  <si>
    <t>@ Start</t>
  </si>
  <si>
    <t>Over Production Costs</t>
  </si>
  <si>
    <t>Operating Expenses (SG&amp;A) Total</t>
  </si>
  <si>
    <t>Admin Salaries</t>
  </si>
  <si>
    <t>N/A</t>
  </si>
  <si>
    <t>Marketing Costs</t>
  </si>
  <si>
    <t>Other operating expenses</t>
  </si>
  <si>
    <t>Marketing Growth</t>
  </si>
  <si>
    <t>20Y1</t>
  </si>
  <si>
    <t>20Y2</t>
  </si>
  <si>
    <t>Share Capital</t>
  </si>
  <si>
    <t>Jan</t>
  </si>
  <si>
    <t>Feb</t>
  </si>
  <si>
    <t>March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</si>
  <si>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</si>
  <si>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</si>
  <si>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</si>
  <si>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</si>
  <si>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</si>
  <si>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</si>
  <si>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</si>
  <si>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</si>
  <si>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</si>
  <si>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20Y3</t>
  </si>
  <si>
    <t>Schedule for Production Department</t>
  </si>
  <si>
    <t>All amounts are in MDL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</si>
</sst>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164" formatCode="_-* #,##0.00_-;\-* #,##0.00_-;_-* &quot;-&quot;??_-;_-@_-"/>
    <numFmt numFmtId="165" formatCode="0.0000"/>
    <numFmt numFmtId="166" formatCode="[h]:mm;@"/>
    <numFmt numFmtId="167" formatCode="0.000"/>
    <numFmt numFmtId="168" formatCode="0.0%"/>
    <numFmt numFmtId="169" formatCode="#,##0.0_);[Red]\(#,##0.0\)"/>
    <numFmt numFmtId="170" formatCode="#,##0.0000;[Red]\-#,##0.0000"/>
    <numFmt numFmtId="171" formatCode="&quot;Period &quot;0"/>
    <numFmt numFmtId="172" formatCode="&quot;PP&amp;E Category &quot;0"/>
    <numFmt numFmtId="173" formatCode="0\ &quot;yrs&quot;"/>
    <numFmt numFmtId="174" formatCode="&quot;Period &quot;\ 0"/>
  </numFmts>
  <fonts count="27" x14ac:knownFonts="1">
    <font>
      <sz val="11"/>
      <color theme="1"/>
      <name val="Arial"/>
      <family val="2"/>
      <scheme val="minor"/>
    </font>
    <font>
      <sz val="8"/>
      <color theme="1"/>
      <name val="Georgia"/>
      <family val="1"/>
      <scheme val="major"/>
    </font>
    <font>
      <b/>
      <sz val="8"/>
      <color theme="1"/>
      <name val="Georgia"/>
      <family val="1"/>
      <scheme val="major"/>
    </font>
    <font>
      <b/>
      <i/>
      <sz val="8"/>
      <color theme="1"/>
      <name val="Georgia"/>
      <family val="1"/>
      <scheme val="major"/>
    </font>
    <font>
      <i/>
      <sz val="8"/>
      <color theme="1"/>
      <name val="Georg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Georgia"/>
      <family val="1"/>
      <scheme val="major"/>
    </font>
    <font>
      <b/>
      <sz val="8"/>
      <color theme="0"/>
      <name val="Georgia"/>
      <family val="1"/>
      <scheme val="major"/>
    </font>
    <font>
      <b/>
      <i/>
      <sz val="8"/>
      <color theme="0"/>
      <name val="Georgia"/>
      <family val="1"/>
      <scheme val="major"/>
    </font>
    <font>
      <i/>
      <sz val="8"/>
      <color theme="0"/>
      <name val="Georgia"/>
      <family val="1"/>
      <scheme val="major"/>
    </font>
    <font>
      <u/>
      <sz val="11"/>
      <color theme="10"/>
      <name val="Arial"/>
      <family val="2"/>
      <scheme val="minor"/>
    </font>
    <font>
      <u/>
      <sz val="8"/>
      <color theme="10"/>
      <name val="Georgia"/>
      <family val="1"/>
      <scheme val="major"/>
    </font>
    <font>
      <b/>
      <sz val="11"/>
      <color theme="1"/>
      <name val="Georgia"/>
      <family val="1"/>
      <scheme val="major"/>
    </font>
    <font>
      <sz val="8"/>
      <color theme="1"/>
      <name val="Arial"/>
      <family val="2"/>
    </font>
    <font>
      <b/>
      <sz val="8"/>
      <color rgb="FF3333CC"/>
      <name val="Georgia"/>
      <family val="1"/>
      <scheme val="major"/>
    </font>
    <font>
      <i/>
      <sz val="8"/>
      <color rgb="FF3333CC"/>
      <name val="Georgia"/>
      <family val="1"/>
      <scheme val="major"/>
    </font>
    <font>
      <i/>
      <sz val="8"/>
      <name val="Georgia"/>
      <family val="1"/>
      <scheme val="major"/>
    </font>
    <font>
      <sz val="8"/>
      <color theme="4"/>
      <name val="Georgia"/>
      <family val="1"/>
      <scheme val="major"/>
    </font>
    <font>
      <sz val="8"/>
      <color rgb="FF3333CC"/>
      <name val="Georgia"/>
      <family val="1"/>
      <scheme val="major"/>
    </font>
    <font>
      <sz val="8"/>
      <name val="Georgia"/>
      <family val="1"/>
      <scheme val="major"/>
    </font>
    <font>
      <b/>
      <sz val="8"/>
      <name val="Georgia"/>
      <family val="1"/>
      <scheme val="major"/>
    </font>
    <font>
      <b/>
      <sz val="8"/>
      <color theme="4"/>
      <name val="Georgia"/>
      <family val="1"/>
      <scheme val="major"/>
    </font>
    <font>
      <sz val="11"/>
      <color theme="1"/>
      <name val="Georgia"/>
      <family val="1"/>
      <scheme val="major"/>
    </font>
    <font>
      <sz val="8"/>
      <color theme="0"/>
      <name val="Georgia"/>
      <family val="1"/>
      <scheme val="major"/>
    </font>
    <font>
      <sz val="8"/>
      <color rgb="FF0000FF"/>
      <name val="Georgia"/>
      <family val="1"/>
      <scheme val="major"/>
    </font>
    <font>
      <i/>
      <sz val="6"/>
      <color theme="1"/>
      <name val="Georg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4" fillId="0" borderId="0"/>
  </cellStyleXfs>
  <cellXfs count="34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Border="1" applyAlignment="1">
      <alignment horizontal="centerContinuous" vertical="top"/>
    </xf>
    <xf numFmtId="0" fontId="1" fillId="2" borderId="0" xfId="0" applyFont="1" applyFill="1" applyBorder="1" applyAlignment="1">
      <alignment horizontal="centerContinuous"/>
    </xf>
    <xf numFmtId="4" fontId="4" fillId="2" borderId="0" xfId="0" applyNumberFormat="1" applyFont="1" applyFill="1" applyBorder="1" applyAlignment="1">
      <alignment horizontal="centerContinuous" vertical="top"/>
    </xf>
    <xf numFmtId="4" fontId="1" fillId="2" borderId="0" xfId="0" applyNumberFormat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164" fontId="1" fillId="2" borderId="0" xfId="0" applyNumberFormat="1" applyFont="1" applyFill="1"/>
    <xf numFmtId="9" fontId="1" fillId="2" borderId="0" xfId="0" applyNumberFormat="1" applyFont="1" applyFill="1"/>
    <xf numFmtId="0" fontId="3" fillId="2" borderId="1" xfId="0" applyFont="1" applyFill="1" applyBorder="1" applyAlignment="1">
      <alignment horizontal="center" vertical="top" wrapText="1"/>
    </xf>
    <xf numFmtId="4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/>
    <xf numFmtId="164" fontId="1" fillId="2" borderId="0" xfId="0" applyNumberFormat="1" applyFont="1" applyFill="1" applyBorder="1"/>
    <xf numFmtId="4" fontId="1" fillId="2" borderId="0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/>
    <xf numFmtId="4" fontId="1" fillId="2" borderId="2" xfId="0" applyNumberFormat="1" applyFont="1" applyFill="1" applyBorder="1"/>
    <xf numFmtId="1" fontId="1" fillId="2" borderId="2" xfId="0" applyNumberFormat="1" applyFont="1" applyFill="1" applyBorder="1"/>
    <xf numFmtId="9" fontId="1" fillId="2" borderId="2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9" fontId="1" fillId="2" borderId="0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1" fontId="1" fillId="2" borderId="3" xfId="0" applyNumberFormat="1" applyFont="1" applyFill="1" applyBorder="1"/>
    <xf numFmtId="9" fontId="1" fillId="2" borderId="3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0" fontId="7" fillId="2" borderId="0" xfId="0" applyFont="1" applyFill="1"/>
    <xf numFmtId="3" fontId="1" fillId="2" borderId="0" xfId="0" applyNumberFormat="1" applyFont="1" applyFill="1" applyBorder="1"/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 vertical="top"/>
    </xf>
    <xf numFmtId="3" fontId="1" fillId="2" borderId="0" xfId="0" applyNumberFormat="1" applyFont="1" applyFill="1" applyAlignment="1">
      <alignment wrapText="1"/>
    </xf>
    <xf numFmtId="4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" fontId="1" fillId="2" borderId="0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3" fontId="2" fillId="2" borderId="0" xfId="0" applyNumberFormat="1" applyFont="1" applyFill="1"/>
    <xf numFmtId="3" fontId="2" fillId="2" borderId="0" xfId="0" applyNumberFormat="1" applyFont="1" applyFill="1" applyAlignment="1">
      <alignment wrapText="1"/>
    </xf>
    <xf numFmtId="3" fontId="8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3" fontId="10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4" fontId="1" fillId="4" borderId="2" xfId="0" applyNumberFormat="1" applyFont="1" applyFill="1" applyBorder="1"/>
    <xf numFmtId="4" fontId="1" fillId="4" borderId="0" xfId="0" applyNumberFormat="1" applyFont="1" applyFill="1" applyBorder="1"/>
    <xf numFmtId="4" fontId="1" fillId="4" borderId="3" xfId="0" applyNumberFormat="1" applyFont="1" applyFill="1" applyBorder="1"/>
    <xf numFmtId="0" fontId="1" fillId="2" borderId="0" xfId="0" quotePrefix="1" applyFont="1" applyFill="1" applyAlignment="1"/>
    <xf numFmtId="0" fontId="1" fillId="2" borderId="0" xfId="0" applyFont="1" applyFill="1" applyAlignment="1"/>
    <xf numFmtId="4" fontId="1" fillId="5" borderId="2" xfId="0" applyNumberFormat="1" applyFont="1" applyFill="1" applyBorder="1"/>
    <xf numFmtId="4" fontId="1" fillId="5" borderId="0" xfId="0" applyNumberFormat="1" applyFont="1" applyFill="1" applyBorder="1"/>
    <xf numFmtId="4" fontId="1" fillId="5" borderId="3" xfId="0" applyNumberFormat="1" applyFont="1" applyFill="1" applyBorder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/>
    <xf numFmtId="20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 wrapText="1"/>
    </xf>
    <xf numFmtId="166" fontId="1" fillId="2" borderId="0" xfId="0" applyNumberFormat="1" applyFont="1" applyFill="1"/>
    <xf numFmtId="0" fontId="1" fillId="8" borderId="0" xfId="0" applyFont="1" applyFill="1" applyAlignment="1">
      <alignment wrapText="1"/>
    </xf>
    <xf numFmtId="0" fontId="1" fillId="7" borderId="0" xfId="0" applyFont="1" applyFill="1" applyAlignment="1">
      <alignment wrapText="1"/>
    </xf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 wrapText="1"/>
    </xf>
    <xf numFmtId="4" fontId="1" fillId="2" borderId="1" xfId="0" applyNumberFormat="1" applyFont="1" applyFill="1" applyBorder="1" applyAlignment="1">
      <alignment horizontal="centerContinuous" wrapText="1"/>
    </xf>
    <xf numFmtId="4" fontId="2" fillId="2" borderId="4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right"/>
    </xf>
    <xf numFmtId="20" fontId="1" fillId="2" borderId="0" xfId="0" applyNumberFormat="1" applyFont="1" applyFill="1" applyAlignment="1">
      <alignment horizontal="center" wrapText="1"/>
    </xf>
    <xf numFmtId="3" fontId="1" fillId="8" borderId="0" xfId="0" applyNumberFormat="1" applyFont="1" applyFill="1" applyAlignment="1">
      <alignment horizontal="center"/>
    </xf>
    <xf numFmtId="3" fontId="1" fillId="7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7" fontId="1" fillId="2" borderId="0" xfId="0" applyNumberFormat="1" applyFont="1" applyFill="1"/>
    <xf numFmtId="3" fontId="4" fillId="2" borderId="0" xfId="0" applyNumberFormat="1" applyFont="1" applyFill="1"/>
    <xf numFmtId="0" fontId="1" fillId="2" borderId="0" xfId="0" applyFont="1" applyFill="1" applyAlignment="1">
      <alignment vertical="top" wrapText="1"/>
    </xf>
    <xf numFmtId="3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/>
    <xf numFmtId="0" fontId="1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/>
    <xf numFmtId="3" fontId="1" fillId="2" borderId="3" xfId="0" applyNumberFormat="1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center"/>
    </xf>
    <xf numFmtId="0" fontId="12" fillId="2" borderId="0" xfId="1" applyFont="1" applyFill="1" applyBorder="1"/>
    <xf numFmtId="0" fontId="1" fillId="2" borderId="3" xfId="0" applyFont="1" applyFill="1" applyBorder="1" applyAlignment="1">
      <alignment horizontal="left"/>
    </xf>
    <xf numFmtId="3" fontId="1" fillId="2" borderId="3" xfId="0" applyNumberFormat="1" applyFont="1" applyFill="1" applyBorder="1" applyAlignment="1"/>
    <xf numFmtId="3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2" fillId="2" borderId="5" xfId="0" applyNumberFormat="1" applyFont="1" applyFill="1" applyBorder="1"/>
    <xf numFmtId="0" fontId="3" fillId="2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2" fillId="9" borderId="0" xfId="0" applyFont="1" applyFill="1"/>
    <xf numFmtId="0" fontId="1" fillId="9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2" fillId="2" borderId="5" xfId="0" applyFont="1" applyFill="1" applyBorder="1"/>
    <xf numFmtId="0" fontId="1" fillId="2" borderId="5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4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 wrapText="1"/>
    </xf>
    <xf numFmtId="9" fontId="1" fillId="2" borderId="3" xfId="0" applyNumberFormat="1" applyFont="1" applyFill="1" applyBorder="1"/>
    <xf numFmtId="9" fontId="1" fillId="2" borderId="3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Continuous"/>
    </xf>
    <xf numFmtId="4" fontId="1" fillId="2" borderId="1" xfId="0" applyNumberFormat="1" applyFont="1" applyFill="1" applyBorder="1" applyAlignment="1">
      <alignment horizontal="centerContinuous"/>
    </xf>
    <xf numFmtId="4" fontId="1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6" borderId="0" xfId="0" applyFont="1" applyFill="1"/>
    <xf numFmtId="0" fontId="1" fillId="6" borderId="0" xfId="0" applyFont="1" applyFill="1"/>
    <xf numFmtId="3" fontId="2" fillId="6" borderId="0" xfId="0" applyNumberFormat="1" applyFont="1" applyFill="1"/>
    <xf numFmtId="0" fontId="2" fillId="10" borderId="0" xfId="0" applyFont="1" applyFill="1"/>
    <xf numFmtId="0" fontId="1" fillId="10" borderId="0" xfId="0" applyFont="1" applyFill="1"/>
    <xf numFmtId="3" fontId="2" fillId="10" borderId="0" xfId="0" applyNumberFormat="1" applyFont="1" applyFill="1"/>
    <xf numFmtId="0" fontId="2" fillId="11" borderId="0" xfId="0" applyFont="1" applyFill="1"/>
    <xf numFmtId="0" fontId="1" fillId="11" borderId="0" xfId="0" applyFont="1" applyFill="1"/>
    <xf numFmtId="3" fontId="2" fillId="11" borderId="0" xfId="0" applyNumberFormat="1" applyFont="1" applyFill="1"/>
    <xf numFmtId="16" fontId="1" fillId="2" borderId="0" xfId="0" applyNumberFormat="1" applyFont="1" applyFill="1"/>
    <xf numFmtId="2" fontId="2" fillId="2" borderId="0" xfId="0" applyNumberFormat="1" applyFont="1" applyFill="1" applyAlignment="1">
      <alignment horizontal="centerContinuous"/>
    </xf>
    <xf numFmtId="16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1" fillId="2" borderId="6" xfId="0" applyNumberFormat="1" applyFont="1" applyFill="1" applyBorder="1" applyAlignment="1">
      <alignment horizontal="centerContinuous"/>
    </xf>
    <xf numFmtId="0" fontId="1" fillId="2" borderId="3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0" fillId="2" borderId="0" xfId="0" applyFill="1"/>
    <xf numFmtId="0" fontId="13" fillId="2" borderId="0" xfId="0" applyFont="1" applyFill="1"/>
    <xf numFmtId="0" fontId="1" fillId="0" borderId="0" xfId="2" applyFont="1" applyAlignment="1">
      <alignment horizontal="center"/>
    </xf>
    <xf numFmtId="0" fontId="1" fillId="0" borderId="0" xfId="2" applyFo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/>
    <xf numFmtId="38" fontId="2" fillId="0" borderId="0" xfId="2" applyNumberFormat="1" applyFont="1"/>
    <xf numFmtId="0" fontId="4" fillId="0" borderId="0" xfId="2" applyFont="1" applyAlignment="1">
      <alignment horizontal="left" indent="1"/>
    </xf>
    <xf numFmtId="0" fontId="16" fillId="12" borderId="8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left" indent="1"/>
    </xf>
    <xf numFmtId="9" fontId="17" fillId="0" borderId="0" xfId="2" applyNumberFormat="1" applyFont="1" applyFill="1" applyAlignment="1">
      <alignment horizontal="right"/>
    </xf>
    <xf numFmtId="168" fontId="17" fillId="0" borderId="7" xfId="2" applyNumberFormat="1" applyFont="1" applyBorder="1"/>
    <xf numFmtId="168" fontId="17" fillId="0" borderId="0" xfId="2" applyNumberFormat="1" applyFont="1" applyFill="1"/>
    <xf numFmtId="0" fontId="1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indent="1"/>
    </xf>
    <xf numFmtId="168" fontId="17" fillId="0" borderId="7" xfId="2" applyNumberFormat="1" applyFont="1" applyFill="1" applyBorder="1"/>
    <xf numFmtId="168" fontId="16" fillId="0" borderId="0" xfId="2" applyNumberFormat="1" applyFont="1" applyFill="1"/>
    <xf numFmtId="0" fontId="1" fillId="0" borderId="0" xfId="2" applyFont="1" applyFill="1"/>
    <xf numFmtId="0" fontId="2" fillId="0" borderId="0" xfId="2" applyFont="1" applyAlignment="1">
      <alignment horizontal="left"/>
    </xf>
    <xf numFmtId="38" fontId="18" fillId="0" borderId="7" xfId="2" applyNumberFormat="1" applyFont="1" applyBorder="1"/>
    <xf numFmtId="0" fontId="1" fillId="0" borderId="0" xfId="2" applyFont="1" applyAlignment="1">
      <alignment horizontal="left" indent="1"/>
    </xf>
    <xf numFmtId="38" fontId="19" fillId="12" borderId="0" xfId="2" applyNumberFormat="1" applyFont="1" applyFill="1"/>
    <xf numFmtId="38" fontId="19" fillId="12" borderId="7" xfId="2" applyNumberFormat="1" applyFont="1" applyFill="1" applyBorder="1"/>
    <xf numFmtId="38" fontId="20" fillId="0" borderId="0" xfId="2" applyNumberFormat="1" applyFont="1"/>
    <xf numFmtId="0" fontId="4" fillId="0" borderId="0" xfId="2" applyFont="1" applyAlignment="1">
      <alignment horizontal="left" indent="2"/>
    </xf>
    <xf numFmtId="0" fontId="4" fillId="0" borderId="0" xfId="2" applyFont="1" applyFill="1" applyAlignment="1">
      <alignment horizontal="left" indent="2"/>
    </xf>
    <xf numFmtId="0" fontId="16" fillId="0" borderId="0" xfId="2" applyFont="1" applyFill="1" applyBorder="1" applyAlignment="1">
      <alignment horizontal="center"/>
    </xf>
    <xf numFmtId="38" fontId="1" fillId="0" borderId="0" xfId="2" applyNumberFormat="1" applyFont="1"/>
    <xf numFmtId="0" fontId="1" fillId="0" borderId="0" xfId="2" applyFont="1" applyFill="1" applyAlignment="1">
      <alignment horizontal="left" indent="1"/>
    </xf>
    <xf numFmtId="38" fontId="1" fillId="0" borderId="0" xfId="2" applyNumberFormat="1" applyFont="1" applyFill="1"/>
    <xf numFmtId="38" fontId="21" fillId="0" borderId="2" xfId="2" applyNumberFormat="1" applyFont="1" applyFill="1" applyBorder="1"/>
    <xf numFmtId="38" fontId="21" fillId="0" borderId="9" xfId="2" applyNumberFormat="1" applyFont="1" applyFill="1" applyBorder="1"/>
    <xf numFmtId="168" fontId="17" fillId="0" borderId="0" xfId="2" applyNumberFormat="1" applyFont="1"/>
    <xf numFmtId="168" fontId="4" fillId="0" borderId="0" xfId="2" applyNumberFormat="1" applyFont="1"/>
    <xf numFmtId="38" fontId="21" fillId="0" borderId="0" xfId="2" applyNumberFormat="1" applyFont="1"/>
    <xf numFmtId="38" fontId="21" fillId="0" borderId="7" xfId="2" applyNumberFormat="1" applyFont="1" applyBorder="1"/>
    <xf numFmtId="168" fontId="16" fillId="12" borderId="0" xfId="2" applyNumberFormat="1" applyFont="1" applyFill="1"/>
    <xf numFmtId="0" fontId="2" fillId="13" borderId="0" xfId="2" applyFont="1" applyFill="1"/>
    <xf numFmtId="0" fontId="1" fillId="13" borderId="0" xfId="2" applyFont="1" applyFill="1"/>
    <xf numFmtId="38" fontId="18" fillId="13" borderId="7" xfId="2" applyNumberFormat="1" applyFont="1" applyFill="1" applyBorder="1"/>
    <xf numFmtId="38" fontId="20" fillId="0" borderId="0" xfId="2" applyNumberFormat="1" applyFont="1" applyFill="1"/>
    <xf numFmtId="38" fontId="20" fillId="0" borderId="7" xfId="2" applyNumberFormat="1" applyFont="1" applyFill="1" applyBorder="1"/>
    <xf numFmtId="0" fontId="2" fillId="0" borderId="2" xfId="2" applyFont="1" applyFill="1" applyBorder="1"/>
    <xf numFmtId="169" fontId="21" fillId="0" borderId="0" xfId="2" applyNumberFormat="1" applyFont="1"/>
    <xf numFmtId="0" fontId="2" fillId="0" borderId="0" xfId="2" applyFont="1" applyFill="1" applyBorder="1"/>
    <xf numFmtId="38" fontId="21" fillId="0" borderId="0" xfId="2" applyNumberFormat="1" applyFont="1" applyFill="1" applyBorder="1"/>
    <xf numFmtId="38" fontId="21" fillId="0" borderId="7" xfId="2" applyNumberFormat="1" applyFont="1" applyFill="1" applyBorder="1"/>
    <xf numFmtId="0" fontId="2" fillId="13" borderId="0" xfId="2" applyFont="1" applyFill="1" applyBorder="1"/>
    <xf numFmtId="38" fontId="21" fillId="13" borderId="0" xfId="2" applyNumberFormat="1" applyFont="1" applyFill="1" applyBorder="1"/>
    <xf numFmtId="38" fontId="21" fillId="13" borderId="7" xfId="2" applyNumberFormat="1" applyFont="1" applyFill="1" applyBorder="1"/>
    <xf numFmtId="0" fontId="1" fillId="0" borderId="0" xfId="2" applyFont="1" applyAlignment="1">
      <alignment horizontal="left"/>
    </xf>
    <xf numFmtId="0" fontId="1" fillId="0" borderId="7" xfId="2" applyFont="1" applyBorder="1"/>
    <xf numFmtId="0" fontId="2" fillId="0" borderId="0" xfId="2" applyFont="1" applyAlignment="1">
      <alignment horizontal="left" indent="1"/>
    </xf>
    <xf numFmtId="38" fontId="22" fillId="0" borderId="7" xfId="2" applyNumberFormat="1" applyFont="1" applyBorder="1"/>
    <xf numFmtId="0" fontId="1" fillId="0" borderId="0" xfId="2" applyFont="1" applyAlignment="1">
      <alignment horizontal="left" indent="2"/>
    </xf>
    <xf numFmtId="0" fontId="1" fillId="0" borderId="0" xfId="2" applyFont="1" applyBorder="1" applyAlignment="1">
      <alignment horizontal="left" indent="2"/>
    </xf>
    <xf numFmtId="0" fontId="2" fillId="0" borderId="2" xfId="2" applyFont="1" applyBorder="1" applyAlignment="1">
      <alignment horizontal="left" indent="1"/>
    </xf>
    <xf numFmtId="38" fontId="21" fillId="0" borderId="2" xfId="2" applyNumberFormat="1" applyFont="1" applyBorder="1"/>
    <xf numFmtId="38" fontId="21" fillId="0" borderId="9" xfId="2" applyNumberFormat="1" applyFont="1" applyBorder="1"/>
    <xf numFmtId="0" fontId="2" fillId="0" borderId="2" xfId="2" applyFont="1" applyBorder="1"/>
    <xf numFmtId="38" fontId="22" fillId="13" borderId="7" xfId="2" applyNumberFormat="1" applyFont="1" applyFill="1" applyBorder="1"/>
    <xf numFmtId="0" fontId="2" fillId="0" borderId="0" xfId="2" applyFont="1" applyAlignment="1">
      <alignment horizontal="left" indent="2"/>
    </xf>
    <xf numFmtId="0" fontId="1" fillId="0" borderId="0" xfId="2" applyFont="1" applyBorder="1"/>
    <xf numFmtId="0" fontId="2" fillId="0" borderId="0" xfId="2" applyFont="1" applyBorder="1" applyAlignment="1">
      <alignment horizontal="left" indent="3"/>
    </xf>
    <xf numFmtId="0" fontId="2" fillId="0" borderId="0" xfId="2" applyFont="1" applyBorder="1"/>
    <xf numFmtId="38" fontId="2" fillId="0" borderId="0" xfId="2" applyNumberFormat="1" applyFont="1" applyBorder="1"/>
    <xf numFmtId="0" fontId="2" fillId="0" borderId="2" xfId="2" applyFont="1" applyBorder="1" applyAlignment="1">
      <alignment horizontal="left" indent="3"/>
    </xf>
    <xf numFmtId="0" fontId="1" fillId="0" borderId="2" xfId="2" applyFont="1" applyBorder="1"/>
    <xf numFmtId="38" fontId="2" fillId="0" borderId="2" xfId="2" applyNumberFormat="1" applyFont="1" applyBorder="1"/>
    <xf numFmtId="0" fontId="1" fillId="0" borderId="1" xfId="2" applyFont="1" applyBorder="1"/>
    <xf numFmtId="38" fontId="1" fillId="0" borderId="1" xfId="2" applyNumberFormat="1" applyFont="1" applyBorder="1"/>
    <xf numFmtId="0" fontId="1" fillId="0" borderId="10" xfId="2" applyFont="1" applyBorder="1"/>
    <xf numFmtId="38" fontId="1" fillId="0" borderId="10" xfId="2" applyNumberFormat="1" applyFont="1" applyBorder="1"/>
    <xf numFmtId="38" fontId="4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left" indent="1"/>
    </xf>
    <xf numFmtId="38" fontId="3" fillId="0" borderId="0" xfId="2" applyNumberFormat="1" applyFont="1" applyBorder="1" applyAlignment="1">
      <alignment horizontal="right"/>
    </xf>
    <xf numFmtId="0" fontId="2" fillId="0" borderId="10" xfId="2" applyFont="1" applyBorder="1"/>
    <xf numFmtId="38" fontId="2" fillId="0" borderId="10" xfId="2" applyNumberFormat="1" applyFont="1" applyBorder="1"/>
    <xf numFmtId="0" fontId="8" fillId="0" borderId="0" xfId="2" applyFont="1" applyFill="1" applyAlignment="1">
      <alignment horizontal="center"/>
    </xf>
    <xf numFmtId="168" fontId="19" fillId="12" borderId="0" xfId="2" applyNumberFormat="1" applyFont="1" applyFill="1"/>
    <xf numFmtId="0" fontId="4" fillId="0" borderId="0" xfId="2" applyFont="1" applyAlignment="1">
      <alignment horizontal="center"/>
    </xf>
    <xf numFmtId="0" fontId="4" fillId="0" borderId="0" xfId="2" applyFont="1"/>
    <xf numFmtId="0" fontId="15" fillId="0" borderId="0" xfId="2" applyFont="1" applyFill="1"/>
    <xf numFmtId="0" fontId="4" fillId="0" borderId="0" xfId="2" applyFont="1" applyFill="1"/>
    <xf numFmtId="169" fontId="17" fillId="0" borderId="0" xfId="2" applyNumberFormat="1" applyFont="1"/>
    <xf numFmtId="0" fontId="20" fillId="0" borderId="0" xfId="2" applyFont="1" applyFill="1"/>
    <xf numFmtId="0" fontId="13" fillId="0" borderId="0" xfId="2" applyFont="1" applyFill="1"/>
    <xf numFmtId="0" fontId="9" fillId="3" borderId="1" xfId="0" applyFont="1" applyFill="1" applyBorder="1" applyAlignment="1">
      <alignment horizontal="left" vertical="top"/>
    </xf>
    <xf numFmtId="9" fontId="1" fillId="0" borderId="0" xfId="2" applyNumberFormat="1" applyFont="1"/>
    <xf numFmtId="170" fontId="21" fillId="0" borderId="0" xfId="2" applyNumberFormat="1" applyFont="1" applyFill="1" applyBorder="1"/>
    <xf numFmtId="168" fontId="16" fillId="2" borderId="0" xfId="2" applyNumberFormat="1" applyFont="1" applyFill="1"/>
    <xf numFmtId="0" fontId="1" fillId="2" borderId="0" xfId="2" applyFont="1" applyFill="1"/>
    <xf numFmtId="3" fontId="1" fillId="0" borderId="0" xfId="2" applyNumberFormat="1" applyFont="1"/>
    <xf numFmtId="3" fontId="2" fillId="0" borderId="0" xfId="2" applyNumberFormat="1" applyFont="1"/>
    <xf numFmtId="0" fontId="3" fillId="0" borderId="0" xfId="2" applyFont="1" applyAlignment="1">
      <alignment horizontal="center"/>
    </xf>
    <xf numFmtId="0" fontId="1" fillId="0" borderId="0" xfId="2" applyFont="1" applyAlignment="1">
      <alignment horizontal="center" vertical="top"/>
    </xf>
    <xf numFmtId="0" fontId="2" fillId="0" borderId="0" xfId="2" applyFont="1" applyFill="1" applyAlignment="1">
      <alignment vertical="top"/>
    </xf>
    <xf numFmtId="0" fontId="4" fillId="0" borderId="0" xfId="2" applyFont="1" applyAlignment="1">
      <alignment horizontal="center" vertical="top" wrapText="1"/>
    </xf>
    <xf numFmtId="0" fontId="1" fillId="0" borderId="0" xfId="2" applyFont="1" applyAlignment="1">
      <alignment vertical="top"/>
    </xf>
    <xf numFmtId="0" fontId="23" fillId="0" borderId="0" xfId="0" applyFont="1" applyAlignment="1"/>
    <xf numFmtId="0" fontId="23" fillId="0" borderId="0" xfId="0" applyFont="1"/>
    <xf numFmtId="172" fontId="2" fillId="0" borderId="0" xfId="2" applyNumberFormat="1" applyFont="1" applyFill="1" applyAlignment="1">
      <alignment horizontal="left"/>
    </xf>
    <xf numFmtId="41" fontId="2" fillId="0" borderId="0" xfId="2" applyNumberFormat="1" applyFont="1"/>
    <xf numFmtId="41" fontId="1" fillId="0" borderId="0" xfId="2" applyNumberFormat="1" applyFont="1"/>
    <xf numFmtId="0" fontId="2" fillId="0" borderId="1" xfId="0" applyFont="1" applyFill="1" applyBorder="1" applyAlignment="1">
      <alignment horizontal="left"/>
    </xf>
    <xf numFmtId="0" fontId="23" fillId="0" borderId="1" xfId="0" applyFont="1" applyBorder="1"/>
    <xf numFmtId="41" fontId="2" fillId="0" borderId="1" xfId="0" applyNumberFormat="1" applyFont="1" applyBorder="1"/>
    <xf numFmtId="0" fontId="2" fillId="0" borderId="0" xfId="2" applyFont="1" applyFill="1" applyAlignment="1">
      <alignment horizontal="left"/>
    </xf>
    <xf numFmtId="0" fontId="20" fillId="0" borderId="0" xfId="2" applyFont="1" applyFill="1" applyAlignment="1">
      <alignment horizontal="center"/>
    </xf>
    <xf numFmtId="0" fontId="20" fillId="0" borderId="0" xfId="2" applyFont="1" applyAlignment="1">
      <alignment horizontal="center"/>
    </xf>
    <xf numFmtId="41" fontId="1" fillId="0" borderId="0" xfId="2" applyNumberFormat="1" applyFont="1" applyFill="1"/>
    <xf numFmtId="173" fontId="20" fillId="0" borderId="0" xfId="2" applyNumberFormat="1" applyFont="1" applyFill="1" applyBorder="1" applyAlignment="1">
      <alignment horizontal="center"/>
    </xf>
    <xf numFmtId="38" fontId="20" fillId="0" borderId="0" xfId="2" applyNumberFormat="1" applyFont="1" applyFill="1" applyBorder="1" applyAlignment="1">
      <alignment horizontal="right"/>
    </xf>
    <xf numFmtId="174" fontId="25" fillId="12" borderId="0" xfId="2" applyNumberFormat="1" applyFont="1" applyFill="1" applyBorder="1" applyAlignment="1">
      <alignment horizontal="center"/>
    </xf>
    <xf numFmtId="0" fontId="23" fillId="0" borderId="0" xfId="0" applyFont="1" applyFill="1" applyAlignment="1"/>
    <xf numFmtId="174" fontId="25" fillId="0" borderId="0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41" fontId="2" fillId="0" borderId="2" xfId="0" applyNumberFormat="1" applyFont="1" applyBorder="1"/>
    <xf numFmtId="0" fontId="2" fillId="0" borderId="0" xfId="0" applyFont="1" applyAlignment="1">
      <alignment horizontal="left"/>
    </xf>
    <xf numFmtId="0" fontId="25" fillId="12" borderId="0" xfId="0" applyFont="1" applyFill="1"/>
    <xf numFmtId="173" fontId="25" fillId="12" borderId="0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2" xfId="0" applyFont="1" applyBorder="1"/>
    <xf numFmtId="3" fontId="20" fillId="0" borderId="0" xfId="2" applyNumberFormat="1" applyFont="1" applyFill="1" applyBorder="1" applyAlignment="1">
      <alignment horizontal="center"/>
    </xf>
    <xf numFmtId="0" fontId="4" fillId="0" borderId="0" xfId="2" quotePrefix="1" applyFont="1" applyAlignment="1">
      <alignment horizontal="center" vertical="top"/>
    </xf>
    <xf numFmtId="0" fontId="25" fillId="12" borderId="0" xfId="0" applyFont="1" applyFill="1" applyAlignment="1"/>
    <xf numFmtId="0" fontId="20" fillId="2" borderId="0" xfId="2" applyFont="1" applyFill="1" applyAlignment="1">
      <alignment horizontal="center"/>
    </xf>
    <xf numFmtId="38" fontId="25" fillId="2" borderId="0" xfId="2" applyNumberFormat="1" applyFont="1" applyFill="1" applyBorder="1" applyAlignment="1">
      <alignment horizontal="right"/>
    </xf>
    <xf numFmtId="0" fontId="23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171" fontId="24" fillId="14" borderId="0" xfId="0" applyNumberFormat="1" applyFont="1" applyFill="1" applyAlignment="1">
      <alignment horizontal="center" vertical="center"/>
    </xf>
    <xf numFmtId="172" fontId="1" fillId="0" borderId="0" xfId="2" applyNumberFormat="1" applyFont="1" applyFill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3" fontId="2" fillId="0" borderId="0" xfId="2" applyNumberFormat="1" applyFont="1" applyFill="1"/>
    <xf numFmtId="41" fontId="2" fillId="0" borderId="0" xfId="2" applyNumberFormat="1" applyFont="1" applyFill="1"/>
    <xf numFmtId="41" fontId="23" fillId="0" borderId="0" xfId="0" applyNumberFormat="1" applyFont="1"/>
    <xf numFmtId="3" fontId="1" fillId="2" borderId="2" xfId="0" applyNumberFormat="1" applyFont="1" applyFill="1" applyBorder="1" applyAlignment="1">
      <alignment vertical="center"/>
    </xf>
    <xf numFmtId="3" fontId="20" fillId="0" borderId="0" xfId="2" applyNumberFormat="1" applyFont="1" applyFill="1"/>
    <xf numFmtId="3" fontId="17" fillId="0" borderId="0" xfId="2" applyNumberFormat="1" applyFont="1" applyFill="1"/>
    <xf numFmtId="9" fontId="17" fillId="0" borderId="0" xfId="2" applyNumberFormat="1" applyFont="1" applyFill="1"/>
    <xf numFmtId="0" fontId="1" fillId="2" borderId="0" xfId="2" applyFont="1" applyFill="1" applyAlignment="1">
      <alignment horizontal="center"/>
    </xf>
    <xf numFmtId="0" fontId="1" fillId="2" borderId="0" xfId="2" applyFont="1" applyFill="1" applyAlignment="1">
      <alignment horizontal="left" indent="1"/>
    </xf>
    <xf numFmtId="168" fontId="17" fillId="2" borderId="7" xfId="2" applyNumberFormat="1" applyFont="1" applyFill="1" applyBorder="1"/>
    <xf numFmtId="38" fontId="17" fillId="0" borderId="7" xfId="2" applyNumberFormat="1" applyFont="1" applyBorder="1"/>
    <xf numFmtId="38" fontId="22" fillId="2" borderId="7" xfId="2" applyNumberFormat="1" applyFont="1" applyFill="1" applyBorder="1"/>
    <xf numFmtId="38" fontId="19" fillId="2" borderId="7" xfId="2" applyNumberFormat="1" applyFont="1" applyFill="1" applyBorder="1"/>
    <xf numFmtId="0" fontId="9" fillId="15" borderId="1" xfId="0" applyFont="1" applyFill="1" applyBorder="1" applyAlignment="1">
      <alignment horizontal="left" vertical="top"/>
    </xf>
    <xf numFmtId="0" fontId="9" fillId="15" borderId="1" xfId="0" applyFont="1" applyFill="1" applyBorder="1" applyAlignment="1">
      <alignment horizontal="center" vertical="top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top"/>
    </xf>
    <xf numFmtId="171" fontId="9" fillId="15" borderId="1" xfId="0" applyNumberFormat="1" applyFont="1" applyFill="1" applyBorder="1" applyAlignment="1">
      <alignment horizontal="center" vertical="center"/>
    </xf>
    <xf numFmtId="38" fontId="15" fillId="2" borderId="7" xfId="2" applyNumberFormat="1" applyFont="1" applyFill="1" applyBorder="1"/>
    <xf numFmtId="168" fontId="16" fillId="2" borderId="7" xfId="2" applyNumberFormat="1" applyFont="1" applyFill="1" applyBorder="1"/>
    <xf numFmtId="38" fontId="21" fillId="2" borderId="7" xfId="2" applyNumberFormat="1" applyFont="1" applyFill="1" applyBorder="1"/>
    <xf numFmtId="38" fontId="18" fillId="2" borderId="7" xfId="2" applyNumberFormat="1" applyFont="1" applyFill="1" applyBorder="1"/>
    <xf numFmtId="9" fontId="17" fillId="2" borderId="7" xfId="2" applyNumberFormat="1" applyFont="1" applyFill="1" applyBorder="1" applyAlignment="1">
      <alignment horizontal="right"/>
    </xf>
    <xf numFmtId="38" fontId="20" fillId="2" borderId="7" xfId="2" applyNumberFormat="1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vertical="center"/>
    </xf>
    <xf numFmtId="0" fontId="26" fillId="0" borderId="0" xfId="2" applyFont="1" applyAlignment="1">
      <alignment horizontal="center"/>
    </xf>
    <xf numFmtId="168" fontId="17" fillId="0" borderId="0" xfId="2" applyNumberFormat="1" applyFont="1" applyFill="1" applyBorder="1"/>
    <xf numFmtId="0" fontId="1" fillId="0" borderId="0" xfId="2" applyFont="1" applyFill="1" applyBorder="1"/>
    <xf numFmtId="0" fontId="4" fillId="0" borderId="0" xfId="2" applyFont="1" applyFill="1" applyAlignment="1">
      <alignment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Raw</a:t>
            </a:r>
            <a:r>
              <a:rPr lang="en-US" b="1" baseline="0"/>
              <a:t> Material Cost, Sale Price and Contribution </a:t>
            </a:r>
          </a:p>
          <a:p>
            <a:pPr>
              <a:defRPr b="1"/>
            </a:pPr>
            <a:r>
              <a:rPr lang="en-US" b="1" baseline="0"/>
              <a:t>per Product Type</a:t>
            </a:r>
            <a:endParaRPr lang="en-US" b="1"/>
          </a:p>
        </c:rich>
      </c:tx>
      <c:layout>
        <c:manualLayout>
          <c:xMode val="edge"/>
          <c:yMode val="edge"/>
          <c:x val="0.2242105164393014"/>
          <c:y val="3.4883720930232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Material Summary'!$F$13</c:f>
              <c:strCache>
                <c:ptCount val="1"/>
                <c:pt idx="0">
                  <c:v>Total RM Cost/Box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'Raw Material Summary'!$B$14:$B$31</c:f>
              <c:strCache>
                <c:ptCount val="18"/>
                <c:pt idx="0">
                  <c:v>PLUM "BAHAMAS" </c:v>
                </c:pt>
                <c:pt idx="1">
                  <c:v>PLUM "BALI"</c:v>
                </c:pt>
                <c:pt idx="2">
                  <c:v>PLUM "CUBA"</c:v>
                </c:pt>
                <c:pt idx="3">
                  <c:v>PLUM "FIJI"</c:v>
                </c:pt>
                <c:pt idx="4">
                  <c:v>PLUM "HAWAII"</c:v>
                </c:pt>
                <c:pt idx="5">
                  <c:v>PLUM "JAMAICA"</c:v>
                </c:pt>
                <c:pt idx="6">
                  <c:v>PLUM "MALLORCA"</c:v>
                </c:pt>
                <c:pt idx="7">
                  <c:v>PLUM "TAHITI"</c:v>
                </c:pt>
                <c:pt idx="8">
                  <c:v>PLUM "MADAGASCAR"</c:v>
                </c:pt>
                <c:pt idx="9">
                  <c:v>PLUM "PHILIPPINES"</c:v>
                </c:pt>
                <c:pt idx="10">
                  <c:v>PLUM "MADEIRA"</c:v>
                </c:pt>
                <c:pt idx="11">
                  <c:v>PLUM "TENERIFE"</c:v>
                </c:pt>
                <c:pt idx="12">
                  <c:v>MIXT NR1</c:v>
                </c:pt>
                <c:pt idx="13">
                  <c:v>MIXT NR2</c:v>
                </c:pt>
                <c:pt idx="14">
                  <c:v>LEVANTICA</c:v>
                </c:pt>
                <c:pt idx="15">
                  <c:v>PORTOCALA</c:v>
                </c:pt>
                <c:pt idx="16">
                  <c:v>LAMAIE</c:v>
                </c:pt>
                <c:pt idx="17">
                  <c:v>MENTA</c:v>
                </c:pt>
              </c:strCache>
            </c:strRef>
          </c:cat>
          <c:val>
            <c:numRef>
              <c:f>'Raw Material Summary'!$F$14:$F$31</c:f>
              <c:numCache>
                <c:formatCode>#,##0.00</c:formatCode>
                <c:ptCount val="18"/>
                <c:pt idx="0">
                  <c:v>41.947400000000002</c:v>
                </c:pt>
                <c:pt idx="1">
                  <c:v>40.608399999999996</c:v>
                </c:pt>
                <c:pt idx="2">
                  <c:v>59.323499999999996</c:v>
                </c:pt>
                <c:pt idx="3">
                  <c:v>23.804568000000003</c:v>
                </c:pt>
                <c:pt idx="4">
                  <c:v>19.9466</c:v>
                </c:pt>
                <c:pt idx="5">
                  <c:v>32.553799999999995</c:v>
                </c:pt>
                <c:pt idx="6">
                  <c:v>43.935299999999998</c:v>
                </c:pt>
                <c:pt idx="7">
                  <c:v>42.196247999999997</c:v>
                </c:pt>
                <c:pt idx="8">
                  <c:v>33.776513000000001</c:v>
                </c:pt>
                <c:pt idx="9">
                  <c:v>29.031200000000002</c:v>
                </c:pt>
                <c:pt idx="10">
                  <c:v>34.361449999999998</c:v>
                </c:pt>
                <c:pt idx="11">
                  <c:v>54.410399999999996</c:v>
                </c:pt>
                <c:pt idx="12">
                  <c:v>41.836640666666668</c:v>
                </c:pt>
                <c:pt idx="13">
                  <c:v>44.890178666666664</c:v>
                </c:pt>
                <c:pt idx="14">
                  <c:v>36.788800000000002</c:v>
                </c:pt>
                <c:pt idx="15">
                  <c:v>28.857799999999997</c:v>
                </c:pt>
                <c:pt idx="16">
                  <c:v>30.866299999999999</c:v>
                </c:pt>
                <c:pt idx="17">
                  <c:v>35.367400000000004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A-47A3-85CA-95892A475BDF}"/>
            </c:ext>
          </c:extLst>
        </c:ser>
        <c:ser>
          <c:idx val="1"/>
          <c:order val="1"/>
          <c:tx>
            <c:strRef>
              <c:f>'Raw Material Summary'!$G$13</c:f>
              <c:strCache>
                <c:ptCount val="1"/>
                <c:pt idx="0">
                  <c:v>Sale Price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'Raw Material Summary'!$B$14:$B$31</c:f>
              <c:strCache>
                <c:ptCount val="18"/>
                <c:pt idx="0">
                  <c:v>PLUM "BAHAMAS" </c:v>
                </c:pt>
                <c:pt idx="1">
                  <c:v>PLUM "BALI"</c:v>
                </c:pt>
                <c:pt idx="2">
                  <c:v>PLUM "CUBA"</c:v>
                </c:pt>
                <c:pt idx="3">
                  <c:v>PLUM "FIJI"</c:v>
                </c:pt>
                <c:pt idx="4">
                  <c:v>PLUM "HAWAII"</c:v>
                </c:pt>
                <c:pt idx="5">
                  <c:v>PLUM "JAMAICA"</c:v>
                </c:pt>
                <c:pt idx="6">
                  <c:v>PLUM "MALLORCA"</c:v>
                </c:pt>
                <c:pt idx="7">
                  <c:v>PLUM "TAHITI"</c:v>
                </c:pt>
                <c:pt idx="8">
                  <c:v>PLUM "MADAGASCAR"</c:v>
                </c:pt>
                <c:pt idx="9">
                  <c:v>PLUM "PHILIPPINES"</c:v>
                </c:pt>
                <c:pt idx="10">
                  <c:v>PLUM "MADEIRA"</c:v>
                </c:pt>
                <c:pt idx="11">
                  <c:v>PLUM "TENERIFE"</c:v>
                </c:pt>
                <c:pt idx="12">
                  <c:v>MIXT NR1</c:v>
                </c:pt>
                <c:pt idx="13">
                  <c:v>MIXT NR2</c:v>
                </c:pt>
                <c:pt idx="14">
                  <c:v>LEVANTICA</c:v>
                </c:pt>
                <c:pt idx="15">
                  <c:v>PORTOCALA</c:v>
                </c:pt>
                <c:pt idx="16">
                  <c:v>LAMAIE</c:v>
                </c:pt>
                <c:pt idx="17">
                  <c:v>MENTA</c:v>
                </c:pt>
              </c:strCache>
            </c:strRef>
          </c:cat>
          <c:val>
            <c:numRef>
              <c:f>'Raw Material Summary'!$G$14:$G$31</c:f>
              <c:numCache>
                <c:formatCode>0</c:formatCode>
                <c:ptCount val="18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60</c:v>
                </c:pt>
                <c:pt idx="4">
                  <c:v>80</c:v>
                </c:pt>
                <c:pt idx="5">
                  <c:v>90</c:v>
                </c:pt>
                <c:pt idx="6">
                  <c:v>90</c:v>
                </c:pt>
                <c:pt idx="7">
                  <c:v>100</c:v>
                </c:pt>
                <c:pt idx="8">
                  <c:v>100</c:v>
                </c:pt>
                <c:pt idx="9">
                  <c:v>90</c:v>
                </c:pt>
                <c:pt idx="10">
                  <c:v>100</c:v>
                </c:pt>
                <c:pt idx="11">
                  <c:v>130</c:v>
                </c:pt>
                <c:pt idx="12" formatCode="#,##0">
                  <c:v>120</c:v>
                </c:pt>
                <c:pt idx="13" formatCode="#,##0">
                  <c:v>120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A-47A3-85CA-95892A475BDF}"/>
            </c:ext>
          </c:extLst>
        </c:ser>
        <c:ser>
          <c:idx val="2"/>
          <c:order val="2"/>
          <c:tx>
            <c:strRef>
              <c:f>'Raw Material Summary'!$H$13</c:f>
              <c:strCache>
                <c:ptCount val="1"/>
                <c:pt idx="0">
                  <c:v>Contribution (MDL)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'Raw Material Summary'!$B$14:$B$31</c:f>
              <c:strCache>
                <c:ptCount val="18"/>
                <c:pt idx="0">
                  <c:v>PLUM "BAHAMAS" </c:v>
                </c:pt>
                <c:pt idx="1">
                  <c:v>PLUM "BALI"</c:v>
                </c:pt>
                <c:pt idx="2">
                  <c:v>PLUM "CUBA"</c:v>
                </c:pt>
                <c:pt idx="3">
                  <c:v>PLUM "FIJI"</c:v>
                </c:pt>
                <c:pt idx="4">
                  <c:v>PLUM "HAWAII"</c:v>
                </c:pt>
                <c:pt idx="5">
                  <c:v>PLUM "JAMAICA"</c:v>
                </c:pt>
                <c:pt idx="6">
                  <c:v>PLUM "MALLORCA"</c:v>
                </c:pt>
                <c:pt idx="7">
                  <c:v>PLUM "TAHITI"</c:v>
                </c:pt>
                <c:pt idx="8">
                  <c:v>PLUM "MADAGASCAR"</c:v>
                </c:pt>
                <c:pt idx="9">
                  <c:v>PLUM "PHILIPPINES"</c:v>
                </c:pt>
                <c:pt idx="10">
                  <c:v>PLUM "MADEIRA"</c:v>
                </c:pt>
                <c:pt idx="11">
                  <c:v>PLUM "TENERIFE"</c:v>
                </c:pt>
                <c:pt idx="12">
                  <c:v>MIXT NR1</c:v>
                </c:pt>
                <c:pt idx="13">
                  <c:v>MIXT NR2</c:v>
                </c:pt>
                <c:pt idx="14">
                  <c:v>LEVANTICA</c:v>
                </c:pt>
                <c:pt idx="15">
                  <c:v>PORTOCALA</c:v>
                </c:pt>
                <c:pt idx="16">
                  <c:v>LAMAIE</c:v>
                </c:pt>
                <c:pt idx="17">
                  <c:v>MENTA</c:v>
                </c:pt>
              </c:strCache>
            </c:strRef>
          </c:cat>
          <c:val>
            <c:numRef>
              <c:f>'Raw Material Summary'!$H$14:$H$31</c:f>
              <c:numCache>
                <c:formatCode>#,##0.00</c:formatCode>
                <c:ptCount val="18"/>
                <c:pt idx="0">
                  <c:v>48.052599999999998</c:v>
                </c:pt>
                <c:pt idx="1">
                  <c:v>59.391600000000004</c:v>
                </c:pt>
                <c:pt idx="2">
                  <c:v>50.676500000000004</c:v>
                </c:pt>
                <c:pt idx="3">
                  <c:v>36.195431999999997</c:v>
                </c:pt>
                <c:pt idx="4">
                  <c:v>60.053399999999996</c:v>
                </c:pt>
                <c:pt idx="5">
                  <c:v>57.446200000000005</c:v>
                </c:pt>
                <c:pt idx="6">
                  <c:v>46.064700000000002</c:v>
                </c:pt>
                <c:pt idx="7">
                  <c:v>57.803752000000003</c:v>
                </c:pt>
                <c:pt idx="8">
                  <c:v>66.223487000000006</c:v>
                </c:pt>
                <c:pt idx="9">
                  <c:v>60.968800000000002</c:v>
                </c:pt>
                <c:pt idx="10">
                  <c:v>65.638550000000009</c:v>
                </c:pt>
                <c:pt idx="11">
                  <c:v>75.589600000000004</c:v>
                </c:pt>
                <c:pt idx="12">
                  <c:v>78.163359333333332</c:v>
                </c:pt>
                <c:pt idx="13">
                  <c:v>75.109821333333343</c:v>
                </c:pt>
                <c:pt idx="14">
                  <c:v>38.211199999999998</c:v>
                </c:pt>
                <c:pt idx="15">
                  <c:v>46.142200000000003</c:v>
                </c:pt>
                <c:pt idx="16">
                  <c:v>44.133700000000005</c:v>
                </c:pt>
                <c:pt idx="17">
                  <c:v>39.632599999999996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A-47A3-85CA-95892A47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84680"/>
        <c:axId val="509986320"/>
      </c:barChart>
      <c:lineChart>
        <c:grouping val="standard"/>
        <c:varyColors val="0"/>
        <c:ser>
          <c:idx val="3"/>
          <c:order val="3"/>
          <c:tx>
            <c:strRef>
              <c:f>'Raw Material Summary'!$I$13</c:f>
              <c:strCache>
                <c:ptCount val="1"/>
                <c:pt idx="0">
                  <c:v>Contribution Margin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>
              <a:softEdge rad="0"/>
            </a:effectLst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>
                <a:softEdge rad="0"/>
              </a:effectLst>
            </c:spPr>
          </c:marker>
          <c:cat>
            <c:strRef>
              <c:f>'Raw Material Summary'!$B$14:$B$31</c:f>
              <c:strCache>
                <c:ptCount val="18"/>
                <c:pt idx="0">
                  <c:v>PLUM "BAHAMAS" </c:v>
                </c:pt>
                <c:pt idx="1">
                  <c:v>PLUM "BALI"</c:v>
                </c:pt>
                <c:pt idx="2">
                  <c:v>PLUM "CUBA"</c:v>
                </c:pt>
                <c:pt idx="3">
                  <c:v>PLUM "FIJI"</c:v>
                </c:pt>
                <c:pt idx="4">
                  <c:v>PLUM "HAWAII"</c:v>
                </c:pt>
                <c:pt idx="5">
                  <c:v>PLUM "JAMAICA"</c:v>
                </c:pt>
                <c:pt idx="6">
                  <c:v>PLUM "MALLORCA"</c:v>
                </c:pt>
                <c:pt idx="7">
                  <c:v>PLUM "TAHITI"</c:v>
                </c:pt>
                <c:pt idx="8">
                  <c:v>PLUM "MADAGASCAR"</c:v>
                </c:pt>
                <c:pt idx="9">
                  <c:v>PLUM "PHILIPPINES"</c:v>
                </c:pt>
                <c:pt idx="10">
                  <c:v>PLUM "MADEIRA"</c:v>
                </c:pt>
                <c:pt idx="11">
                  <c:v>PLUM "TENERIFE"</c:v>
                </c:pt>
                <c:pt idx="12">
                  <c:v>MIXT NR1</c:v>
                </c:pt>
                <c:pt idx="13">
                  <c:v>MIXT NR2</c:v>
                </c:pt>
                <c:pt idx="14">
                  <c:v>LEVANTICA</c:v>
                </c:pt>
                <c:pt idx="15">
                  <c:v>PORTOCALA</c:v>
                </c:pt>
                <c:pt idx="16">
                  <c:v>LAMAIE</c:v>
                </c:pt>
                <c:pt idx="17">
                  <c:v>MENTA</c:v>
                </c:pt>
              </c:strCache>
            </c:strRef>
          </c:cat>
          <c:val>
            <c:numRef>
              <c:f>'Raw Material Summary'!$I$14:$I$31</c:f>
              <c:numCache>
                <c:formatCode>0%</c:formatCode>
                <c:ptCount val="18"/>
                <c:pt idx="0">
                  <c:v>0.53391777777777771</c:v>
                </c:pt>
                <c:pt idx="1">
                  <c:v>0.593916</c:v>
                </c:pt>
                <c:pt idx="2">
                  <c:v>0.46069545454545457</c:v>
                </c:pt>
                <c:pt idx="3">
                  <c:v>0.60325719999999994</c:v>
                </c:pt>
                <c:pt idx="4">
                  <c:v>0.75066749999999993</c:v>
                </c:pt>
                <c:pt idx="5">
                  <c:v>0.63829111111111114</c:v>
                </c:pt>
                <c:pt idx="6">
                  <c:v>0.51183000000000001</c:v>
                </c:pt>
                <c:pt idx="7">
                  <c:v>0.57803752000000008</c:v>
                </c:pt>
                <c:pt idx="8">
                  <c:v>0.66223487000000003</c:v>
                </c:pt>
                <c:pt idx="9">
                  <c:v>0.6774311111111111</c:v>
                </c:pt>
                <c:pt idx="10">
                  <c:v>0.65638550000000007</c:v>
                </c:pt>
                <c:pt idx="11">
                  <c:v>0.58145846153846159</c:v>
                </c:pt>
                <c:pt idx="12">
                  <c:v>0.65136132777777778</c:v>
                </c:pt>
                <c:pt idx="13">
                  <c:v>0.62591517777777783</c:v>
                </c:pt>
                <c:pt idx="14">
                  <c:v>0.50948266666666664</c:v>
                </c:pt>
                <c:pt idx="15">
                  <c:v>0.61522933333333341</c:v>
                </c:pt>
                <c:pt idx="16">
                  <c:v>0.58844933333333338</c:v>
                </c:pt>
                <c:pt idx="17">
                  <c:v>0.52843466666666661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86A-47A3-85CA-95892A47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070480"/>
        <c:axId val="510070152"/>
      </c:lineChart>
      <c:catAx>
        <c:axId val="50998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09986320"/>
        <c:crosses val="autoZero"/>
        <c:auto val="1"/>
        <c:lblAlgn val="ctr"/>
        <c:lblOffset val="100"/>
        <c:noMultiLvlLbl val="0"/>
      </c:catAx>
      <c:valAx>
        <c:axId val="5099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09984680"/>
        <c:crosses val="autoZero"/>
        <c:crossBetween val="between"/>
      </c:valAx>
      <c:valAx>
        <c:axId val="51007015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10070480"/>
        <c:crosses val="max"/>
        <c:crossBetween val="between"/>
      </c:valAx>
      <c:catAx>
        <c:axId val="510070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0070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emf"/><Relationship Id="rId5" Type="http://schemas.openxmlformats.org/officeDocument/2006/relationships/customXml" Target="../ink/ink2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33021</xdr:colOff>
      <xdr:row>31</xdr:row>
      <xdr:rowOff>59267</xdr:rowOff>
    </xdr:from>
    <xdr:to>
      <xdr:col>9</xdr:col>
      <xdr:colOff>0</xdr:colOff>
      <xdr:row>65</xdr:row>
      <xdr:rowOff>101601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61882</xdr:colOff>
      <xdr:row>0</xdr:row>
      <xdr:rowOff>0</xdr:rowOff>
    </xdr:from>
    <xdr:to>
      <xdr:col>8</xdr:col>
      <xdr:colOff>61973</xdr:colOff>
      <xdr:row>35</xdr:row>
      <xdr:rowOff>82787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82" y="0"/>
          <a:ext cx="5364571" cy="6216887"/>
        </a:xfrm>
        <a:prstGeom prst="rect">
          <a:avLst/>
        </a:prstGeom>
      </xdr:spPr>
    </xdr:pic>
    <xdr:clientData/>
  </xdr:twoCellAnchor>
  <xdr:twoCellAnchor editAs="oneCell">
    <xdr:from>
      <xdr:col>7</xdr:col>
      <xdr:colOff>509258</xdr:colOff>
      <xdr:row>0</xdr:row>
      <xdr:rowOff>22860</xdr:rowOff>
    </xdr:from>
    <xdr:to>
      <xdr:col>16</xdr:col>
      <xdr:colOff>90629</xdr:colOff>
      <xdr:row>42</xdr:row>
      <xdr:rowOff>128464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3178" y="22860"/>
          <a:ext cx="5616411" cy="7466524"/>
        </a:xfrm>
        <a:prstGeom prst="rect">
          <a:avLst/>
        </a:prstGeom>
      </xdr:spPr>
    </xdr:pic>
    <xdr:clientData/>
  </xdr:twoCellAnchor>
  <xdr:twoCellAnchor>
    <xdr:from>
      <xdr:col>14</xdr:col>
      <xdr:colOff>670500</xdr:colOff>
      <xdr:row>16</xdr:row>
      <xdr:rowOff>122040</xdr:rowOff>
    </xdr:from>
    <xdr:to>
      <xdr:col>16</xdr:col>
      <xdr:colOff>259260</xdr:colOff>
      <xdr:row>17</xdr:row>
      <xdr:rowOff>91860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14:cNvPr>
            <xdr14:cNvContentPartPr/>
          </xdr14:nvContentPartPr>
          <xdr14:nvPr macro=""/>
          <xdr14:xfrm>
            <a:off x="10058340" y="2926200"/>
            <a:ext cx="929880" cy="145080"/>
          </xdr14:xfrm>
        </xdr:contentPart>
      </mc:Choice>
      <mc:Fallback xmlns="">
        <xdr:pic>
          <xdr:nvPicPr>
            <xdr:cNvPr id="5" name="Ink 4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047900" y="2915760"/>
              <a:ext cx="950760" cy="1659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14</xdr:col>
      <xdr:colOff>220860</xdr:colOff>
      <xdr:row>15</xdr:row>
      <xdr:rowOff>76260</xdr:rowOff>
    </xdr:from>
    <xdr:to>
      <xdr:col>14</xdr:col>
      <xdr:colOff>632700</xdr:colOff>
      <xdr:row>18</xdr:row>
      <xdr:rowOff>61320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0800-000008000000}"/>
                </a:ext>
              </a:extLst>
            </xdr14:cNvPr>
            <xdr14:cNvContentPartPr/>
          </xdr14:nvContentPartPr>
          <xdr14:nvPr macro=""/>
          <xdr14:xfrm>
            <a:off x="9608700" y="2705160"/>
            <a:ext cx="411840" cy="510840"/>
          </xdr14:xfrm>
        </xdr:contentPart>
      </mc:Choice>
      <mc:Fallback xmlns="">
        <xdr:pic>
          <xdr:nvPicPr>
            <xdr:cNvPr id="8" name="Ink 7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598260" y="2694720"/>
              <a:ext cx="432720" cy="531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06897" units="1/cm"/>
          <inkml:channelProperty channel="T" name="resolution" value="1" units="1/dev"/>
        </inkml:channelProperties>
      </inkml:inkSource>
      <inkml:timestamp xml:id="ts0" timeString="2017-12-29T13:27:44.423"/>
    </inkml:context>
    <inkml:brush xml:id="br0">
      <inkml:brushProperty name="width" value="0.05833" units="cm"/>
      <inkml:brushProperty name="height" value="0.05833" units="cm"/>
      <inkml:brushProperty name="color" value="#ED1C24"/>
    </inkml:brush>
  </inkml:definitions>
  <inkml:traceGroup>
    <inkml:annotationXML>
      <emma:emma xmlns:emma="http://www.w3.org/2003/04/emma" version="1.0">
        <emma:interpretation id="{F8884C58-EB90-4113-8166-73598F52507F}" emma:medium="tactile" emma:mode="ink">
          <msink:context xmlns:msink="http://schemas.microsoft.com/ink/2010/main" type="writingRegion" rotatedBoundingBox="27939,8128 30521,8128 30521,8530 27939,8530"/>
        </emma:interpretation>
      </emma:emma>
    </inkml:annotationXML>
    <inkml:traceGroup>
      <inkml:annotationXML>
        <emma:emma xmlns:emma="http://www.w3.org/2003/04/emma" version="1.0">
          <emma:interpretation id="{8756ED31-AC96-4D25-BA59-92F2E340358B}" emma:medium="tactile" emma:mode="ink">
            <msink:context xmlns:msink="http://schemas.microsoft.com/ink/2010/main" type="paragraph" rotatedBoundingBox="27939,8128 30521,8128 30521,8530 27939,853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637BBE7-0520-4104-89AA-D670B938598B}" emma:medium="tactile" emma:mode="ink">
              <msink:context xmlns:msink="http://schemas.microsoft.com/ink/2010/main" type="line" rotatedBoundingBox="27939,8128 30521,8128 30521,8530 27939,8530"/>
            </emma:interpretation>
          </emma:emma>
        </inkml:annotationXML>
        <inkml:traceGroup>
          <inkml:annotationXML>
            <emma:emma xmlns:emma="http://www.w3.org/2003/04/emma" version="1.0">
              <emma:interpretation id="{091D5FB5-31C6-4A06-BCA6-114CA32AD696}" emma:medium="tactile" emma:mode="ink">
                <msink:context xmlns:msink="http://schemas.microsoft.com/ink/2010/main" type="inkWord" rotatedBoundingBox="30013,8128 30521,8128 30521,8530 30013,8530"/>
              </emma:interpretation>
              <emma:one-of disjunction-type="recognition" id="oneOf0">
                <emma:interpretation id="interp0" emma:lang="" emma:confidence="0">
                  <emma:literal>&gt;</emma:literal>
                </emma:interpretation>
                <emma:interpretation id="interp1" emma:lang="" emma:confidence="0">
                  <emma:literal>&lt;</emma:literal>
                </emma:interpretation>
                <emma:interpretation id="interp2" emma:lang="" emma:confidence="0">
                  <emma:literal>z</emma:literal>
                </emma:interpretation>
                <emma:interpretation id="interp3" emma:lang="" emma:confidence="0">
                  <emma:literal>3</emma:literal>
                </emma:interpretation>
                <emma:interpretation id="interp4" emma:lang="" emma:confidence="0">
                  <emma:literal>Z</emma:literal>
                </emma:interpretation>
              </emma:one-of>
            </emma:emma>
          </inkml:annotationXML>
          <inkml:trace contextRef="#ctx0" brushRef="#br0">3429 614 0,'21'0'266,"43"84"-203,-43-84-63,0 0 15,0 0 48,1 0-48,-22 21 95,0 1-95,21-22 1,-21 21 15,21-21-31,0 21 16,-21 0-16,21-21 15,0 21-15,-21 0 16,22-21-16,-1 22 16,0-22-1,0 0 1,0 0 0,0 0-1,-42 0 282,-21 0-281,21 0-1,0 0 17,-1 0-32,1 0 218,0 21-186,0-21-17,0 21 1,21 0-16,-21-21 15,-1 0 1,22 21-16,-21-21 16,0 21-16,0-21 15,0 22 1,0-22 0,-1 0-1,1 0-15,0 0 16,0 0-1,0 0 17,21 21-32,-21-21 15,-1 0 1</inkml:trace>
        </inkml:traceGroup>
        <inkml:traceGroup>
          <inkml:annotationXML>
            <emma:emma xmlns:emma="http://www.w3.org/2003/04/emma" version="1.0">
              <emma:interpretation id="{C37DB3FD-39CC-40DF-B25A-799E2B6F2C5A}" emma:medium="tactile" emma:mode="ink">
                <msink:context xmlns:msink="http://schemas.microsoft.com/ink/2010/main" type="inkWord" rotatedBoundingBox="27939,8233 30310,8233 30310,8297 27939,8297"/>
              </emma:interpretation>
              <emma:one-of disjunction-type="recognition" id="oneOf1">
                <emma:interpretation id="interp5" emma:lang="" emma:confidence="1">
                  <emma:literal/>
                </emma:interpretation>
              </emma:one-of>
            </emma:emma>
          </inkml:annotationXML>
          <inkml:trace contextRef="#ctx0" brushRef="#br0" timeOffset="-2439.33">1249 719 0,'42'0'172,"1"22"-156,20-22-16,22 21 15,0 0-15,-1-21 16,-20 0-16,-22 0 16,0 0-16,1 0 15,-22 0 1,21 0-16,-21 0 15,1 0-15,20 0 16,-21 0 0,21 0-16,-20 0 15,-1 0-15,21 0 16,0 0 0,-20 0-1,20 0-15,-21 0 16,0 0-16,22 0 15,-22 0 1,0 0-16,0 0 16,0 0-16,0 0 0,1 0 15,20 0 1,-21 0-16,0 0 16,22 0-1,-22 0-15,0 0 16,0 0-16,0 0 15,0 0-15,22 0 16,-1 0-16,0 0 0,1 0 16,20 0-16,1 0 15,-22 0-15,0 0 16,1 0-16,-1 0 16,-21 0-1,0 0-15,1 0 0,-1 0 16,0 0-16,21 0 15,1 0 1,-22 0-16,0 0 16,0 0-1,0 0 1,0 0-16,1 0 16,-1 0-1,0 0 1,0 0-1,0 0 1,0 0 0,1 0-16,-1 0 15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06897" units="1/cm"/>
          <inkml:channelProperty channel="T" name="resolution" value="1" units="1/dev"/>
        </inkml:channelProperties>
      </inkml:inkSource>
      <inkml:timestamp xml:id="ts0" timeString="2017-12-29T13:27:35.823"/>
    </inkml:context>
    <inkml:brush xml:id="br0">
      <inkml:brushProperty name="width" value="0.05833" units="cm"/>
      <inkml:brushProperty name="height" value="0.05833" units="cm"/>
      <inkml:brushProperty name="color" value="#ED1C24"/>
    </inkml:brush>
  </inkml:definitions>
  <inkml:traceGroup>
    <inkml:annotationXML>
      <emma:emma xmlns:emma="http://www.w3.org/2003/04/emma" version="1.0">
        <emma:interpretation id="{A5782B86-229D-462C-ABBF-2C2AC03BA977}" emma:medium="tactile" emma:mode="ink">
          <msink:context xmlns:msink="http://schemas.microsoft.com/ink/2010/main" type="inkDrawing" rotatedBoundingBox="27813,7507 27859,8924 26701,8961 26655,7544" hotPoints="26692,8326 26959,7563 27608,7529 27833,8140 27833,8931 26909,8931" semanticType="enclosure" shapeName="Hexagon"/>
        </emma:interpretation>
      </emma:emma>
    </inkml:annotationXML>
    <inkml:trace contextRef="#ctx0" brushRef="#br0">910 0 0,'22'42'297,"-1"0"-281,-21 1-16,21-1 15,0-21-15,-21 22 16,21-1-16,0-21 15,-21 0 1,22 0-16,-22 22 16,0-22-16,0 0 15,0 0 1,21-21-16,-21 21 16,21 1-1,-21-1-15,0 0 16,0 0-1,21 0-15,0 0 0,-21 1 16,0-1-16,0 0 16,0 0-16,0 0 15,0 0 1,0 22 0,0-1-16,0 0 15,0 1-15,0-22 16,0 21-16,0-21 15,0 22 1,0-22 0,0 0-16,0 0 15,0 0 1,0 1-16,0-1 16,0 0-1,0 0 1,0 0-16,0 0 15,0 1 17,0-1-32,0 0 15,0 0 1,0 0 0,-21 0-16,0-21 15,0 22 1,0-22-1,-1 0 1,1 21-16,-21-21 16,21 0-16,0 21 15,-1-21-15,-20 0 16,0 0-16,21 0 0,-22 0 16,1 0-16,0 0 15,-1 0 1,1 0-16,0 0 15,20 0 1,1 0-16,-21 0 0,21 0 16,0 0-1,-1 0-15,1 0 16,0 0 0,0 0-16,0 0 15,0 0 1,-22-21-1,22 21 1,0 0 0,21-21-16,-21 21 0,0 0 15,21-22-15,-22 1 16,1 21 0,0-21-1,21 0-15,-21 21 16,0-21-16,21 0 15,-21-1-15,-1-41 16,22 42-16,0 0 16,-21-1-16,21-20 15,0 21-15,0 0 16,0 0 0,0-1-1,0 1 1,0 0-1,0 0-15,0 0 16,0 0 15,0-1-15,0 1 0,0 0-1,21 0 1,-21 0-16,0 0 31,22-1-31,-22 1 16,0 0-1,0 0 1,0 0 0,0 0 46,21-1-46,0 22-16,-21-21 15,21 0-15,-21 0 16,0 0 0,21 21-16,0 0 15,-21-21-15,0-1 16,0 1-1,0 0 1,0 0-16,0 0 16,22 0 15,-22-1-31,0 1 16,21 0-1,-21 0 1,0 0-16,0 0 47,21 21-47,0-22 15,-21 1-15,0 0 16,0 0 0,0 0-1,0 0 16,21-1-15,0 22 0,1-21-16,-1 21 15,0 0 1,-21-21 0,21 21-16,0 0 31,0 0-31,1 0 15,-1 0-15,0 0 16,0 0 0,0-21-1,0 21 1,1 0-16,20 0 16,-21 0-1,0 0 1,0 0-1,1 0 1,-1 0-16,0 0 16,0 0-1,0 0 1,0 0 0,1 0-1,-1 0 1,0 0-16,0 0 15,-21 21 1,0 0-16,21 0 47,-21 1-16</inkml:trace>
  </inkml:traceGroup>
</inkml:ink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eurosanteh.md/ro/shop/%D0%BA%D0%BE%D0%BD%D0%B4%D0%B8%D1%86%D0%B8%D0%BE%D0%BD%D0%B5%D1%80-zanussi-primavera-zacs-09hpra15n2/" TargetMode="External"/><Relationship Id="rId2" Type="http://schemas.openxmlformats.org/officeDocument/2006/relationships/hyperlink" Target="http://matrix.md/frigider-indesit-ds-4160-s-cu-congelator-jos/" TargetMode="External"/><Relationship Id="rId1" Type="http://schemas.openxmlformats.org/officeDocument/2006/relationships/hyperlink" Target="https://www.emag.ro/plita-incorporabila-beko-electrica-vitroceramica-4-arzatoare-touch-control-60-cm-negru-hic64502t/pd/D941VYBBM/?X-Search-Id=067e23d21e9e996ae1bc&amp;X-Product-Id=925285&amp;X-Search-Page=1&amp;X-Search-Position=5&amp;X-Search-Action=view" TargetMode="External"/><Relationship Id="rId6" Type="http://schemas.openxmlformats.org/officeDocument/2006/relationships/hyperlink" Target="https://www.emag.ro/hota-incorporabila-decorativa-hotpoint-putere-de-absorbtie-625-mc-h-3-viteze-90-cm-inox-hhbs-9-8f-lt-x/pd/DFHNT2BBM/?X-Product-Id=3788524&amp;X-Search-Action=view&amp;X-Search-Id=bb5e1473ca8a76147e56&amp;X-Search-Page=5&amp;X-Search-Position=4" TargetMode="External"/><Relationship Id="rId5" Type="http://schemas.openxmlformats.org/officeDocument/2006/relationships/hyperlink" Target="https://www.emag.ro/blender-vertical-bosch-maxo-mixx-87130-750w-argintiu-agdbosmib0078/pd/DS7PN2BBM/?X-Search-Id=c139712d659549904aaf&amp;X-Product-Id=15579680&amp;X-Search-Page=3&amp;X-Search-Position=12&amp;X-Search-Action=view" TargetMode="External"/><Relationship Id="rId4" Type="http://schemas.openxmlformats.org/officeDocument/2006/relationships/hyperlink" Target="https://www.emag.ro/mixer-cu-bol-heinner-master-collection-1500-w-bol-5-5-l-6-viteze-argintiu-negru-hpm-1500xmc/pd/DBKP6MBBM/?X-Search-Id=5a8c10a506e8597d5ee3&amp;X-Product-Id=844577&amp;X-Search-Page=1&amp;X-Search-Position=41&amp;X-Search-Action=view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208"/>
  <sheetViews>
    <sheetView showGridLines="0" tabSelected="1" zoomScaleNormal="100" workbookViewId="0">
      <pane xSplit="2" ySplit="7" topLeftCell="C95" activePane="bottomRight" state="frozen"/>
      <selection pane="topRight" activeCell="C1" sqref="C1"/>
      <selection pane="bottomLeft" activeCell="A8" sqref="A8"/>
      <selection pane="bottomRight" activeCell="V110" sqref="V110"/>
    </sheetView>
  </sheetViews>
  <sheetFormatPr defaultRowHeight="10.199999999999999" outlineLevelRow="1" outlineLevelCol="1" x14ac:dyDescent="0.2"/>
  <cols>
    <col min="1" max="1" width="2.69921875" style="179" customWidth="1"/>
    <col min="2" max="2" width="38.69921875" style="180" bestFit="1" customWidth="1"/>
    <col min="3" max="3" width="7.69921875" style="180" customWidth="1"/>
    <col min="4" max="4" width="7.8984375" style="180" bestFit="1" customWidth="1"/>
    <col min="5" max="5" width="6.8984375" style="180" bestFit="1" customWidth="1"/>
    <col min="6" max="6" width="7.59765625" style="180" customWidth="1"/>
    <col min="7" max="11" width="7.59765625" style="180" hidden="1" customWidth="1" outlineLevel="1"/>
    <col min="12" max="18" width="8.796875" style="180" hidden="1" customWidth="1" outlineLevel="1"/>
    <col min="19" max="19" width="10.69921875" style="180" customWidth="1" collapsed="1"/>
    <col min="20" max="23" width="8.796875" style="180" customWidth="1"/>
    <col min="24" max="16384" width="8.796875" style="180"/>
  </cols>
  <sheetData>
    <row r="2" spans="1:23" ht="13.8" x14ac:dyDescent="0.25">
      <c r="B2" s="265" t="s">
        <v>248</v>
      </c>
      <c r="C2" s="181"/>
      <c r="D2" s="181"/>
      <c r="E2" s="181"/>
    </row>
    <row r="3" spans="1:23" x14ac:dyDescent="0.2">
      <c r="B3" s="261" t="s">
        <v>332</v>
      </c>
      <c r="C3" s="261"/>
      <c r="D3" s="261"/>
      <c r="E3" s="261"/>
      <c r="G3" s="342">
        <v>31</v>
      </c>
      <c r="H3" s="342">
        <v>28</v>
      </c>
      <c r="I3" s="342">
        <v>31</v>
      </c>
      <c r="J3" s="342">
        <v>30</v>
      </c>
      <c r="K3" s="342">
        <v>31</v>
      </c>
      <c r="L3" s="342">
        <v>30</v>
      </c>
      <c r="M3" s="342">
        <v>31</v>
      </c>
      <c r="N3" s="342">
        <v>31</v>
      </c>
      <c r="O3" s="342">
        <v>30</v>
      </c>
      <c r="P3" s="342">
        <v>31</v>
      </c>
      <c r="Q3" s="342">
        <v>30</v>
      </c>
      <c r="R3" s="342">
        <v>31</v>
      </c>
    </row>
    <row r="4" spans="1:23" s="277" customFormat="1" ht="20.399999999999999" x14ac:dyDescent="0.25">
      <c r="A4" s="274"/>
      <c r="B4" s="345" t="s">
        <v>377</v>
      </c>
      <c r="C4" s="275"/>
      <c r="D4" s="275"/>
      <c r="E4" s="275"/>
      <c r="F4" s="304" t="s">
        <v>352</v>
      </c>
      <c r="G4" s="276" t="s">
        <v>340</v>
      </c>
      <c r="H4" s="276" t="s">
        <v>340</v>
      </c>
      <c r="I4" s="276" t="s">
        <v>340</v>
      </c>
      <c r="J4" s="276" t="s">
        <v>340</v>
      </c>
      <c r="K4" s="276" t="s">
        <v>340</v>
      </c>
      <c r="L4" s="276" t="s">
        <v>340</v>
      </c>
      <c r="M4" s="276" t="s">
        <v>340</v>
      </c>
      <c r="N4" s="276" t="s">
        <v>340</v>
      </c>
      <c r="O4" s="276" t="s">
        <v>340</v>
      </c>
      <c r="P4" s="276" t="s">
        <v>340</v>
      </c>
      <c r="Q4" s="276" t="s">
        <v>340</v>
      </c>
      <c r="R4" s="276" t="s">
        <v>340</v>
      </c>
      <c r="S4" s="276" t="s">
        <v>341</v>
      </c>
      <c r="T4" s="276" t="s">
        <v>341</v>
      </c>
      <c r="U4" s="276" t="s">
        <v>341</v>
      </c>
      <c r="V4" s="276" t="s">
        <v>341</v>
      </c>
      <c r="W4" s="276" t="s">
        <v>341</v>
      </c>
    </row>
    <row r="5" spans="1:23" ht="9.9" customHeight="1" x14ac:dyDescent="0.2">
      <c r="B5" s="181"/>
      <c r="C5" s="181"/>
      <c r="D5" s="181"/>
      <c r="E5" s="181"/>
      <c r="F5" s="259"/>
      <c r="G5" s="259" t="s">
        <v>363</v>
      </c>
      <c r="H5" s="259" t="s">
        <v>364</v>
      </c>
      <c r="I5" s="259" t="s">
        <v>365</v>
      </c>
      <c r="J5" s="259" t="s">
        <v>366</v>
      </c>
      <c r="K5" s="259" t="s">
        <v>367</v>
      </c>
      <c r="L5" s="259" t="s">
        <v>368</v>
      </c>
      <c r="M5" s="259" t="s">
        <v>369</v>
      </c>
      <c r="N5" s="259" t="s">
        <v>370</v>
      </c>
      <c r="O5" s="259" t="s">
        <v>371</v>
      </c>
      <c r="P5" s="259" t="s">
        <v>372</v>
      </c>
      <c r="Q5" s="259" t="s">
        <v>373</v>
      </c>
      <c r="R5" s="259" t="s">
        <v>374</v>
      </c>
      <c r="S5" s="273"/>
    </row>
    <row r="6" spans="1:23" x14ac:dyDescent="0.2">
      <c r="A6" s="179" t="s">
        <v>327</v>
      </c>
      <c r="B6" s="266" t="s">
        <v>249</v>
      </c>
      <c r="C6" s="46"/>
      <c r="D6" s="46"/>
      <c r="E6" s="46"/>
      <c r="F6" s="46" t="s">
        <v>250</v>
      </c>
      <c r="G6" s="46" t="s">
        <v>333</v>
      </c>
      <c r="H6" s="46" t="s">
        <v>333</v>
      </c>
      <c r="I6" s="46" t="s">
        <v>333</v>
      </c>
      <c r="J6" s="46" t="s">
        <v>333</v>
      </c>
      <c r="K6" s="46" t="s">
        <v>333</v>
      </c>
      <c r="L6" s="46" t="s">
        <v>333</v>
      </c>
      <c r="M6" s="46" t="s">
        <v>333</v>
      </c>
      <c r="N6" s="46" t="s">
        <v>333</v>
      </c>
      <c r="O6" s="46" t="s">
        <v>333</v>
      </c>
      <c r="P6" s="46" t="s">
        <v>333</v>
      </c>
      <c r="Q6" s="46" t="s">
        <v>333</v>
      </c>
      <c r="R6" s="46" t="s">
        <v>333</v>
      </c>
      <c r="S6" s="46" t="s">
        <v>333</v>
      </c>
      <c r="T6" s="46" t="s">
        <v>334</v>
      </c>
      <c r="U6" s="46" t="s">
        <v>360</v>
      </c>
      <c r="V6" s="46" t="s">
        <v>361</v>
      </c>
      <c r="W6" s="46" t="s">
        <v>375</v>
      </c>
    </row>
    <row r="7" spans="1:23" ht="3" customHeight="1" x14ac:dyDescent="0.2">
      <c r="B7" s="262"/>
      <c r="C7" s="262"/>
      <c r="D7" s="262"/>
      <c r="E7" s="262"/>
      <c r="F7" s="183"/>
    </row>
    <row r="8" spans="1:23" x14ac:dyDescent="0.2">
      <c r="B8" s="184" t="s">
        <v>251</v>
      </c>
      <c r="C8" s="184"/>
      <c r="D8" s="184"/>
      <c r="E8" s="184"/>
      <c r="F8" s="333"/>
      <c r="G8" s="185">
        <f>'Break-Even Point'!E37*0.8</f>
        <v>109095.30688777138</v>
      </c>
      <c r="H8" s="185">
        <f>G8*(1+H9)</f>
        <v>111822.68955996566</v>
      </c>
      <c r="I8" s="185">
        <f t="shared" ref="I8:K8" si="0">H8*(1+I9)</f>
        <v>114618.25679896479</v>
      </c>
      <c r="J8" s="185">
        <f t="shared" si="0"/>
        <v>117483.71321893891</v>
      </c>
      <c r="K8" s="185">
        <f t="shared" si="0"/>
        <v>120420.80604941236</v>
      </c>
      <c r="L8" s="185">
        <f t="shared" ref="L8" si="1">K8*(1+L9)</f>
        <v>123431.32620064766</v>
      </c>
      <c r="M8" s="185">
        <f t="shared" ref="M8" si="2">L8*(1+M9)</f>
        <v>126517.10935566384</v>
      </c>
      <c r="N8" s="185">
        <f t="shared" ref="N8" si="3">M8*(1+N9)</f>
        <v>129680.03708955542</v>
      </c>
      <c r="O8" s="185">
        <f t="shared" ref="O8" si="4">N8*(1+O9)</f>
        <v>132922.03801679431</v>
      </c>
      <c r="P8" s="185">
        <f t="shared" ref="P8" si="5">O8*(1+P9)</f>
        <v>136245.08896721416</v>
      </c>
      <c r="Q8" s="185">
        <f t="shared" ref="Q8" si="6">P8*(1+Q9)</f>
        <v>139651.21619139452</v>
      </c>
      <c r="R8" s="185">
        <f t="shared" ref="R8" si="7">Q8*(1+R9)</f>
        <v>143142.49659617938</v>
      </c>
      <c r="S8" s="272">
        <f>SUM(G8:R8)</f>
        <v>1505030.0849325024</v>
      </c>
      <c r="T8" s="185">
        <f t="shared" ref="T8" si="8">S8*(1+T9)</f>
        <v>1610382.1908777775</v>
      </c>
      <c r="U8" s="185">
        <f t="shared" ref="U8" si="9">T8*(1+U9)</f>
        <v>1723108.944239222</v>
      </c>
      <c r="V8" s="185">
        <f t="shared" ref="V8" si="10">U8*(1+V9)</f>
        <v>1843726.5703359677</v>
      </c>
      <c r="W8" s="185">
        <f t="shared" ref="W8" si="11">V8*(1+W9)</f>
        <v>1972787.4302594855</v>
      </c>
    </row>
    <row r="9" spans="1:23" x14ac:dyDescent="0.2">
      <c r="B9" s="203" t="s">
        <v>252</v>
      </c>
      <c r="C9" s="186"/>
      <c r="D9" s="187">
        <v>2</v>
      </c>
      <c r="E9" s="188"/>
      <c r="F9" s="190"/>
      <c r="G9" s="189" t="s">
        <v>356</v>
      </c>
      <c r="H9" s="191">
        <f t="shared" ref="H9:W9" si="12">CHOOSE($D$9,H69,H70,H71)</f>
        <v>2.5000000000000001E-2</v>
      </c>
      <c r="I9" s="191">
        <f t="shared" si="12"/>
        <v>2.5000000000000001E-2</v>
      </c>
      <c r="J9" s="191">
        <f t="shared" si="12"/>
        <v>2.5000000000000001E-2</v>
      </c>
      <c r="K9" s="191">
        <f t="shared" si="12"/>
        <v>2.5000000000000001E-2</v>
      </c>
      <c r="L9" s="191">
        <f t="shared" si="12"/>
        <v>2.5000000000000001E-2</v>
      </c>
      <c r="M9" s="191">
        <f t="shared" si="12"/>
        <v>2.5000000000000001E-2</v>
      </c>
      <c r="N9" s="191">
        <f t="shared" si="12"/>
        <v>2.5000000000000001E-2</v>
      </c>
      <c r="O9" s="191">
        <f t="shared" si="12"/>
        <v>2.5000000000000001E-2</v>
      </c>
      <c r="P9" s="191">
        <f t="shared" si="12"/>
        <v>2.5000000000000001E-2</v>
      </c>
      <c r="Q9" s="191">
        <f t="shared" si="12"/>
        <v>2.5000000000000001E-2</v>
      </c>
      <c r="R9" s="191">
        <f t="shared" si="12"/>
        <v>2.5000000000000001E-2</v>
      </c>
      <c r="S9" s="191">
        <f t="shared" si="12"/>
        <v>7.0000000000000007E-2</v>
      </c>
      <c r="T9" s="191">
        <f t="shared" si="12"/>
        <v>7.0000000000000007E-2</v>
      </c>
      <c r="U9" s="191">
        <f t="shared" si="12"/>
        <v>7.0000000000000007E-2</v>
      </c>
      <c r="V9" s="191">
        <f t="shared" si="12"/>
        <v>7.0000000000000007E-2</v>
      </c>
      <c r="W9" s="191">
        <f t="shared" si="12"/>
        <v>7.0000000000000007E-2</v>
      </c>
    </row>
    <row r="10" spans="1:23" s="196" customFormat="1" ht="5.0999999999999996" customHeight="1" x14ac:dyDescent="0.2">
      <c r="A10" s="192"/>
      <c r="B10" s="193"/>
      <c r="C10" s="193"/>
      <c r="D10" s="193"/>
      <c r="E10" s="193"/>
      <c r="F10" s="194"/>
      <c r="G10" s="195"/>
      <c r="H10" s="195"/>
      <c r="I10" s="195"/>
      <c r="J10" s="195"/>
      <c r="K10" s="195"/>
    </row>
    <row r="11" spans="1:23" ht="11.25" customHeight="1" x14ac:dyDescent="0.2">
      <c r="B11" s="197" t="s">
        <v>256</v>
      </c>
      <c r="E11" s="196"/>
      <c r="F11" s="198"/>
    </row>
    <row r="12" spans="1:23" ht="5.0999999999999996" customHeight="1" x14ac:dyDescent="0.2">
      <c r="B12" s="197"/>
      <c r="E12" s="196"/>
      <c r="F12" s="198"/>
    </row>
    <row r="13" spans="1:23" ht="11.25" customHeight="1" x14ac:dyDescent="0.2">
      <c r="B13" s="199" t="s">
        <v>180</v>
      </c>
      <c r="E13" s="196"/>
      <c r="F13" s="198"/>
      <c r="G13" s="271">
        <f>'Break-Even Point'!$E$37/'Break-Even Point'!$E$30*SUM('Break-Even Point'!E9:E10)*0.8</f>
        <v>49801.382688913218</v>
      </c>
      <c r="H13" s="271">
        <f>H8*G14</f>
        <v>51046.417256136039</v>
      </c>
      <c r="I13" s="271">
        <f t="shared" ref="I13:S13" si="13">I8*H14</f>
        <v>52322.577687539444</v>
      </c>
      <c r="J13" s="271">
        <f t="shared" si="13"/>
        <v>53630.642129727923</v>
      </c>
      <c r="K13" s="271">
        <f t="shared" si="13"/>
        <v>54971.408182971114</v>
      </c>
      <c r="L13" s="271">
        <f t="shared" si="13"/>
        <v>56345.693387545383</v>
      </c>
      <c r="M13" s="271">
        <f t="shared" si="13"/>
        <v>57754.335722234013</v>
      </c>
      <c r="N13" s="271">
        <f t="shared" si="13"/>
        <v>59198.194115289858</v>
      </c>
      <c r="O13" s="271">
        <f t="shared" si="13"/>
        <v>60678.148968172107</v>
      </c>
      <c r="P13" s="271">
        <f t="shared" si="13"/>
        <v>62195.102692376408</v>
      </c>
      <c r="Q13" s="271">
        <f t="shared" si="13"/>
        <v>63749.980259685821</v>
      </c>
      <c r="R13" s="271">
        <f t="shared" si="13"/>
        <v>65343.729766177967</v>
      </c>
      <c r="S13" s="271">
        <f t="shared" si="13"/>
        <v>687037.61285676935</v>
      </c>
      <c r="T13" s="271">
        <f t="shared" ref="T13:U13" si="14">T8*S14</f>
        <v>735130.24575674313</v>
      </c>
      <c r="U13" s="271">
        <f t="shared" si="14"/>
        <v>786589.36295971519</v>
      </c>
      <c r="V13" s="271">
        <f t="shared" ref="V13" si="15">V8*U14</f>
        <v>841650.61836689536</v>
      </c>
      <c r="W13" s="271">
        <f t="shared" ref="W13" si="16">W8*V14</f>
        <v>900566.16165257804</v>
      </c>
    </row>
    <row r="14" spans="1:23" ht="11.25" customHeight="1" x14ac:dyDescent="0.2">
      <c r="B14" s="203" t="s">
        <v>257</v>
      </c>
      <c r="E14" s="196"/>
      <c r="F14" s="198"/>
      <c r="G14" s="267">
        <f>G13/G8</f>
        <v>0.45649427193183423</v>
      </c>
      <c r="H14" s="267">
        <f>G14</f>
        <v>0.45649427193183423</v>
      </c>
      <c r="I14" s="267">
        <f t="shared" ref="I14:S14" si="17">H14</f>
        <v>0.45649427193183423</v>
      </c>
      <c r="J14" s="267">
        <f t="shared" si="17"/>
        <v>0.45649427193183423</v>
      </c>
      <c r="K14" s="267">
        <f t="shared" si="17"/>
        <v>0.45649427193183423</v>
      </c>
      <c r="L14" s="267">
        <f t="shared" si="17"/>
        <v>0.45649427193183423</v>
      </c>
      <c r="M14" s="267">
        <f t="shared" si="17"/>
        <v>0.45649427193183423</v>
      </c>
      <c r="N14" s="267">
        <f t="shared" si="17"/>
        <v>0.45649427193183423</v>
      </c>
      <c r="O14" s="267">
        <f t="shared" si="17"/>
        <v>0.45649427193183423</v>
      </c>
      <c r="P14" s="267">
        <f t="shared" si="17"/>
        <v>0.45649427193183423</v>
      </c>
      <c r="Q14" s="267">
        <f t="shared" si="17"/>
        <v>0.45649427193183423</v>
      </c>
      <c r="R14" s="267">
        <f t="shared" si="17"/>
        <v>0.45649427193183423</v>
      </c>
      <c r="S14" s="267">
        <f t="shared" si="17"/>
        <v>0.45649427193183423</v>
      </c>
      <c r="T14" s="267">
        <f t="shared" ref="T14:U14" si="18">S14</f>
        <v>0.45649427193183423</v>
      </c>
      <c r="U14" s="267">
        <f t="shared" si="18"/>
        <v>0.45649427193183423</v>
      </c>
      <c r="V14" s="267">
        <f t="shared" ref="V14" si="19">U14</f>
        <v>0.45649427193183423</v>
      </c>
      <c r="W14" s="267">
        <f t="shared" ref="W14" si="20">V14</f>
        <v>0.45649427193183423</v>
      </c>
    </row>
    <row r="15" spans="1:23" ht="5.0999999999999996" customHeight="1" x14ac:dyDescent="0.2">
      <c r="B15" s="197"/>
      <c r="E15" s="196"/>
      <c r="F15" s="198"/>
    </row>
    <row r="16" spans="1:23" ht="11.25" customHeight="1" x14ac:dyDescent="0.2">
      <c r="B16" s="199" t="s">
        <v>338</v>
      </c>
      <c r="D16" s="187">
        <f>D9</f>
        <v>2</v>
      </c>
      <c r="E16" s="196"/>
      <c r="F16" s="327"/>
      <c r="G16" s="202">
        <f>Labor!O17/4*3</f>
        <v>23741.424240359724</v>
      </c>
      <c r="H16" s="202">
        <f>IF(H8&lt;'Break-Even Point'!$E$30/4*3,G16*(1+H17),IF(G16+1&lt;=Labor!$O$17,'Financial Statements'!G16/3*4*(1+H17),G16))</f>
        <v>23741.424240359724</v>
      </c>
      <c r="I16" s="202">
        <f>IF(I8&lt;'Break-Even Point'!$E$30/4*3,H16*(1+I17),IF(H16+1&lt;=Labor!$O$17,'Financial Statements'!H16/3*4*(1+I17),H16))</f>
        <v>23741.424240359724</v>
      </c>
      <c r="J16" s="202">
        <f>IF(J8&lt;'Break-Even Point'!$E$30/4*3,I16*(1+J17),IF(I16+1&lt;=Labor!$O$17,'Financial Statements'!I16/3*4*(1+J17),I16))</f>
        <v>23741.424240359724</v>
      </c>
      <c r="K16" s="202">
        <f>IF(K8&lt;'Break-Even Point'!$E$30/4*3,J16*(1+K17),IF(J16+1&lt;=Labor!$O$17,'Financial Statements'!J16/3*4*(1+K17),J16))</f>
        <v>31655.23232047963</v>
      </c>
      <c r="L16" s="202">
        <f>IF(L8&lt;'Break-Even Point'!$E$30/4*3,K16*(1+L17),IF(K16+1&lt;=Labor!$O$17,'Financial Statements'!K16/3*4*(1+L17),K16))</f>
        <v>31655.23232047963</v>
      </c>
      <c r="M16" s="202">
        <f>IF(M8&lt;'Break-Even Point'!$E$30/4*3,L16*(1+M17),IF(L16+1&lt;=Labor!$O$17,'Financial Statements'!L16/3*4*(1+M17),L16))</f>
        <v>31655.23232047963</v>
      </c>
      <c r="N16" s="202">
        <f>IF(N8&lt;'Break-Even Point'!$E$30/4*3,M16*(1+N17),IF(M16+1&lt;=Labor!$O$17,'Financial Statements'!M16/3*4*(1+N17),M16))</f>
        <v>31655.23232047963</v>
      </c>
      <c r="O16" s="202">
        <f>IF(O8&lt;'Break-Even Point'!$E$30/4*3,N16*(1+O17),IF(N16+1&lt;=Labor!$O$17,'Financial Statements'!N16/3*4*(1+O17),N16))</f>
        <v>31655.23232047963</v>
      </c>
      <c r="P16" s="202">
        <f>IF(P8&lt;'Break-Even Point'!$E$30/4*3,O16*(1+P17),IF(O16+1&lt;=Labor!$O$17,'Financial Statements'!O16/3*4*(1+P17),O16))</f>
        <v>31655.23232047963</v>
      </c>
      <c r="Q16" s="202">
        <f>IF(Q8&lt;'Break-Even Point'!$E$30/4*3,P16*(1+Q17),IF(P16+1&lt;=Labor!$O$17,'Financial Statements'!P16/3*4*(1+Q17),P16))</f>
        <v>31655.23232047963</v>
      </c>
      <c r="R16" s="202">
        <f>IF(R8&lt;'Break-Even Point'!$E$30/4*3,Q16*(1+R17),IF(Q16+1&lt;=Labor!$O$17,'Financial Statements'!Q16/3*4*(1+R17),Q16))</f>
        <v>31655.23232047963</v>
      </c>
      <c r="S16" s="202">
        <f>SUM(G16:R16)</f>
        <v>348207.555525276</v>
      </c>
      <c r="T16" s="202">
        <f>S16*(1+T17)</f>
        <v>365617.9333015398</v>
      </c>
      <c r="U16" s="202">
        <f t="shared" ref="U16" si="21">T16*(1+U17)</f>
        <v>383898.82996661682</v>
      </c>
      <c r="V16" s="202">
        <f t="shared" ref="V16" si="22">U16*(1+V17)</f>
        <v>403093.77146494767</v>
      </c>
      <c r="W16" s="202">
        <f t="shared" ref="W16" si="23">V16*(1+W17)</f>
        <v>423248.46003819507</v>
      </c>
    </row>
    <row r="17" spans="1:23" ht="11.25" customHeight="1" x14ac:dyDescent="0.2">
      <c r="B17" s="203" t="s">
        <v>252</v>
      </c>
      <c r="E17" s="196"/>
      <c r="F17" s="324"/>
      <c r="G17" s="189" t="s">
        <v>356</v>
      </c>
      <c r="H17" s="191">
        <f t="shared" ref="H17:W17" si="24">CHOOSE($D$16,H74,H75,H76)</f>
        <v>0</v>
      </c>
      <c r="I17" s="191">
        <f t="shared" si="24"/>
        <v>0</v>
      </c>
      <c r="J17" s="191">
        <f t="shared" si="24"/>
        <v>0</v>
      </c>
      <c r="K17" s="191">
        <f t="shared" si="24"/>
        <v>0</v>
      </c>
      <c r="L17" s="191">
        <f t="shared" si="24"/>
        <v>0</v>
      </c>
      <c r="M17" s="191">
        <f t="shared" si="24"/>
        <v>0</v>
      </c>
      <c r="N17" s="191">
        <f t="shared" si="24"/>
        <v>0</v>
      </c>
      <c r="O17" s="191">
        <f t="shared" si="24"/>
        <v>0</v>
      </c>
      <c r="P17" s="191">
        <f t="shared" si="24"/>
        <v>0</v>
      </c>
      <c r="Q17" s="191">
        <f t="shared" si="24"/>
        <v>0</v>
      </c>
      <c r="R17" s="191">
        <f t="shared" si="24"/>
        <v>0</v>
      </c>
      <c r="S17" s="191">
        <f t="shared" si="24"/>
        <v>0.05</v>
      </c>
      <c r="T17" s="191">
        <f t="shared" si="24"/>
        <v>0.05</v>
      </c>
      <c r="U17" s="191">
        <f t="shared" si="24"/>
        <v>0.05</v>
      </c>
      <c r="V17" s="191">
        <f t="shared" si="24"/>
        <v>0.05</v>
      </c>
      <c r="W17" s="191">
        <f t="shared" si="24"/>
        <v>0.05</v>
      </c>
    </row>
    <row r="18" spans="1:23" s="196" customFormat="1" ht="5.0999999999999996" customHeight="1" x14ac:dyDescent="0.2">
      <c r="A18" s="192"/>
      <c r="B18" s="204"/>
      <c r="F18" s="334"/>
      <c r="G18" s="195"/>
      <c r="H18" s="195"/>
      <c r="I18" s="195"/>
      <c r="J18" s="195"/>
      <c r="K18" s="195"/>
    </row>
    <row r="19" spans="1:23" ht="11.25" customHeight="1" x14ac:dyDescent="0.2">
      <c r="B19" s="199" t="s">
        <v>94</v>
      </c>
      <c r="D19" s="205"/>
      <c r="E19" s="196"/>
      <c r="F19" s="327"/>
      <c r="G19" s="206">
        <f>G193</f>
        <v>1041.5277777777778</v>
      </c>
      <c r="H19" s="206">
        <f t="shared" ref="H19:W19" si="25">H193</f>
        <v>1041.5277777777778</v>
      </c>
      <c r="I19" s="206">
        <f t="shared" si="25"/>
        <v>1041.5277777777778</v>
      </c>
      <c r="J19" s="206">
        <f t="shared" si="25"/>
        <v>1041.5277777777778</v>
      </c>
      <c r="K19" s="206">
        <f t="shared" si="25"/>
        <v>1041.5277777777778</v>
      </c>
      <c r="L19" s="206">
        <f t="shared" si="25"/>
        <v>1041.5277777777778</v>
      </c>
      <c r="M19" s="206">
        <f t="shared" si="25"/>
        <v>1041.5277777777778</v>
      </c>
      <c r="N19" s="206">
        <f t="shared" si="25"/>
        <v>1041.5277777777778</v>
      </c>
      <c r="O19" s="206">
        <f t="shared" si="25"/>
        <v>1041.5277777777778</v>
      </c>
      <c r="P19" s="206">
        <f t="shared" si="25"/>
        <v>1041.5277777777778</v>
      </c>
      <c r="Q19" s="206">
        <f t="shared" si="25"/>
        <v>1041.5277777777778</v>
      </c>
      <c r="R19" s="206">
        <f t="shared" si="25"/>
        <v>1041.5277777777778</v>
      </c>
      <c r="S19" s="206">
        <f t="shared" si="25"/>
        <v>12498.333333333332</v>
      </c>
      <c r="T19" s="206">
        <f t="shared" si="25"/>
        <v>12498.333333333334</v>
      </c>
      <c r="U19" s="206">
        <f t="shared" si="25"/>
        <v>12498.333333333334</v>
      </c>
      <c r="V19" s="206">
        <f t="shared" si="25"/>
        <v>8478.3333333333339</v>
      </c>
      <c r="W19" s="206">
        <f t="shared" si="25"/>
        <v>8478.3333333333339</v>
      </c>
    </row>
    <row r="20" spans="1:23" s="196" customFormat="1" ht="11.25" customHeight="1" x14ac:dyDescent="0.2">
      <c r="A20" s="192"/>
      <c r="B20" s="203" t="s">
        <v>257</v>
      </c>
      <c r="F20" s="324"/>
      <c r="G20" s="191">
        <f t="shared" ref="G20:W20" si="26">G19/G$8</f>
        <v>9.5469530953262646E-3</v>
      </c>
      <c r="H20" s="191">
        <f t="shared" si="26"/>
        <v>9.3141005808061138E-3</v>
      </c>
      <c r="I20" s="191">
        <f t="shared" si="26"/>
        <v>9.0869273959084031E-3</v>
      </c>
      <c r="J20" s="191">
        <f t="shared" si="26"/>
        <v>8.8652950203984421E-3</v>
      </c>
      <c r="K20" s="191">
        <f t="shared" si="26"/>
        <v>8.6490683125838488E-3</v>
      </c>
      <c r="L20" s="191">
        <f t="shared" si="26"/>
        <v>8.438115426911072E-3</v>
      </c>
      <c r="M20" s="191">
        <f t="shared" si="26"/>
        <v>8.2323077335717792E-3</v>
      </c>
      <c r="N20" s="191">
        <f t="shared" si="26"/>
        <v>8.0315197400700287E-3</v>
      </c>
      <c r="O20" s="191">
        <f t="shared" si="26"/>
        <v>7.8356290147024669E-3</v>
      </c>
      <c r="P20" s="191">
        <f t="shared" si="26"/>
        <v>7.6445161119048461E-3</v>
      </c>
      <c r="Q20" s="191">
        <f t="shared" si="26"/>
        <v>7.4580644994193621E-3</v>
      </c>
      <c r="R20" s="191">
        <f t="shared" si="26"/>
        <v>7.2761604872384018E-3</v>
      </c>
      <c r="S20" s="191">
        <f t="shared" si="26"/>
        <v>8.3043744164714543E-3</v>
      </c>
      <c r="T20" s="191">
        <f t="shared" si="26"/>
        <v>7.7610975854873416E-3</v>
      </c>
      <c r="U20" s="191">
        <f t="shared" si="26"/>
        <v>7.2533622294274217E-3</v>
      </c>
      <c r="V20" s="191">
        <f t="shared" si="26"/>
        <v>4.5984765147623783E-3</v>
      </c>
      <c r="W20" s="191">
        <f t="shared" si="26"/>
        <v>4.2976416025816621E-3</v>
      </c>
    </row>
    <row r="21" spans="1:23" s="196" customFormat="1" ht="5.0999999999999996" customHeight="1" x14ac:dyDescent="0.2">
      <c r="A21" s="192"/>
      <c r="B21" s="203"/>
      <c r="F21" s="324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</row>
    <row r="22" spans="1:23" s="196" customFormat="1" ht="11.25" customHeight="1" x14ac:dyDescent="0.2">
      <c r="A22" s="192"/>
      <c r="B22" s="199" t="s">
        <v>353</v>
      </c>
      <c r="F22" s="324"/>
      <c r="G22" s="319">
        <f>'Break-Even Point'!$E$37/'Break-Even Point'!$E$30*SUM('Break-Even Point'!E11:E12)*0.8</f>
        <v>1456.8429681028799</v>
      </c>
      <c r="H22" s="320">
        <f>H8*G23</f>
        <v>1493.2640423054518</v>
      </c>
      <c r="I22" s="320">
        <f t="shared" ref="I22:W22" si="27">I8*H23</f>
        <v>1530.5956433630879</v>
      </c>
      <c r="J22" s="320">
        <f t="shared" si="27"/>
        <v>1568.860534447165</v>
      </c>
      <c r="K22" s="320">
        <f t="shared" si="27"/>
        <v>1608.082047808344</v>
      </c>
      <c r="L22" s="320">
        <f>L8*K23</f>
        <v>1648.2840990035522</v>
      </c>
      <c r="M22" s="320">
        <f t="shared" si="27"/>
        <v>1689.4912014786407</v>
      </c>
      <c r="N22" s="320">
        <f t="shared" si="27"/>
        <v>1731.7284815156067</v>
      </c>
      <c r="O22" s="320">
        <f t="shared" si="27"/>
        <v>1775.0216935534968</v>
      </c>
      <c r="P22" s="320">
        <f t="shared" si="27"/>
        <v>1819.3972358923343</v>
      </c>
      <c r="Q22" s="320">
        <f t="shared" si="27"/>
        <v>1864.8821667896425</v>
      </c>
      <c r="R22" s="320">
        <f t="shared" si="27"/>
        <v>1911.5042209593837</v>
      </c>
      <c r="S22" s="320">
        <f t="shared" si="27"/>
        <v>20097.954335219583</v>
      </c>
      <c r="T22" s="320">
        <f t="shared" si="27"/>
        <v>21504.811138684956</v>
      </c>
      <c r="U22" s="320">
        <f t="shared" si="27"/>
        <v>23010.147918392904</v>
      </c>
      <c r="V22" s="320">
        <f t="shared" si="27"/>
        <v>24620.858272680409</v>
      </c>
      <c r="W22" s="320">
        <f t="shared" si="27"/>
        <v>26344.318351768037</v>
      </c>
    </row>
    <row r="23" spans="1:23" s="196" customFormat="1" ht="11.25" customHeight="1" x14ac:dyDescent="0.2">
      <c r="A23" s="192"/>
      <c r="B23" s="203" t="s">
        <v>257</v>
      </c>
      <c r="F23" s="324"/>
      <c r="G23" s="191">
        <f>G22/G8</f>
        <v>1.3353855538456524E-2</v>
      </c>
      <c r="H23" s="191">
        <f>H22/H8</f>
        <v>1.3353855538456522E-2</v>
      </c>
      <c r="I23" s="191">
        <f t="shared" ref="I23:W23" si="28">I22/I8</f>
        <v>1.3353855538456522E-2</v>
      </c>
      <c r="J23" s="191">
        <f t="shared" si="28"/>
        <v>1.3353855538456522E-2</v>
      </c>
      <c r="K23" s="191">
        <f t="shared" si="28"/>
        <v>1.3353855538456522E-2</v>
      </c>
      <c r="L23" s="191">
        <f t="shared" si="28"/>
        <v>1.335385553845652E-2</v>
      </c>
      <c r="M23" s="191">
        <f t="shared" si="28"/>
        <v>1.335385553845652E-2</v>
      </c>
      <c r="N23" s="191">
        <f t="shared" si="28"/>
        <v>1.335385553845652E-2</v>
      </c>
      <c r="O23" s="191">
        <f t="shared" si="28"/>
        <v>1.335385553845652E-2</v>
      </c>
      <c r="P23" s="191">
        <f t="shared" si="28"/>
        <v>1.335385553845652E-2</v>
      </c>
      <c r="Q23" s="191">
        <f t="shared" si="28"/>
        <v>1.335385553845652E-2</v>
      </c>
      <c r="R23" s="191">
        <f t="shared" si="28"/>
        <v>1.335385553845652E-2</v>
      </c>
      <c r="S23" s="343">
        <f t="shared" si="28"/>
        <v>1.335385553845652E-2</v>
      </c>
      <c r="T23" s="343">
        <f t="shared" si="28"/>
        <v>1.3353855538456522E-2</v>
      </c>
      <c r="U23" s="343">
        <f t="shared" si="28"/>
        <v>1.3353855538456522E-2</v>
      </c>
      <c r="V23" s="343">
        <f t="shared" si="28"/>
        <v>1.335385553845652E-2</v>
      </c>
      <c r="W23" s="343">
        <f t="shared" si="28"/>
        <v>1.335385553845652E-2</v>
      </c>
    </row>
    <row r="24" spans="1:23" s="196" customFormat="1" ht="5.0999999999999996" customHeight="1" x14ac:dyDescent="0.2">
      <c r="A24" s="192"/>
      <c r="B24" s="207"/>
      <c r="F24" s="327"/>
      <c r="G24" s="208"/>
      <c r="H24" s="208"/>
      <c r="I24" s="208"/>
      <c r="J24" s="208"/>
      <c r="K24" s="208"/>
      <c r="S24" s="344"/>
      <c r="T24" s="344"/>
      <c r="U24" s="344"/>
      <c r="V24" s="344"/>
      <c r="W24" s="344"/>
    </row>
    <row r="25" spans="1:23" x14ac:dyDescent="0.2">
      <c r="B25" s="197" t="s">
        <v>328</v>
      </c>
      <c r="C25" s="184"/>
      <c r="D25" s="184"/>
      <c r="E25" s="181"/>
      <c r="F25" s="335"/>
      <c r="G25" s="209">
        <f>G13+G16+G19+G22</f>
        <v>76041.177675153609</v>
      </c>
      <c r="H25" s="209">
        <f t="shared" ref="H25:W25" si="29">H13+H16+H19+H22</f>
        <v>77322.633316578998</v>
      </c>
      <c r="I25" s="209">
        <f t="shared" si="29"/>
        <v>78636.125349040041</v>
      </c>
      <c r="J25" s="209">
        <f t="shared" si="29"/>
        <v>79982.454682312586</v>
      </c>
      <c r="K25" s="209">
        <f t="shared" si="29"/>
        <v>89276.250329036877</v>
      </c>
      <c r="L25" s="209">
        <f t="shared" si="29"/>
        <v>90690.737584806338</v>
      </c>
      <c r="M25" s="209">
        <f t="shared" si="29"/>
        <v>92140.587021970059</v>
      </c>
      <c r="N25" s="209">
        <f t="shared" si="29"/>
        <v>93626.682695062875</v>
      </c>
      <c r="O25" s="209">
        <f t="shared" si="29"/>
        <v>95149.930759983021</v>
      </c>
      <c r="P25" s="209">
        <f t="shared" si="29"/>
        <v>96711.260026526157</v>
      </c>
      <c r="Q25" s="209">
        <f t="shared" si="29"/>
        <v>98311.622524732869</v>
      </c>
      <c r="R25" s="209">
        <f t="shared" si="29"/>
        <v>99951.994085394763</v>
      </c>
      <c r="S25" s="224">
        <f t="shared" si="29"/>
        <v>1067841.4560505983</v>
      </c>
      <c r="T25" s="224">
        <f t="shared" si="29"/>
        <v>1134751.323530301</v>
      </c>
      <c r="U25" s="224">
        <f t="shared" si="29"/>
        <v>1205996.674178058</v>
      </c>
      <c r="V25" s="224">
        <f t="shared" si="29"/>
        <v>1277843.5814378567</v>
      </c>
      <c r="W25" s="224">
        <f t="shared" si="29"/>
        <v>1358637.2733758744</v>
      </c>
    </row>
    <row r="26" spans="1:23" x14ac:dyDescent="0.2">
      <c r="B26" s="203" t="s">
        <v>257</v>
      </c>
      <c r="C26" s="186"/>
      <c r="D26" s="186"/>
      <c r="E26" s="193"/>
      <c r="F26" s="324"/>
      <c r="G26" s="212">
        <f>G25/G8</f>
        <v>0.69701602978557786</v>
      </c>
      <c r="H26" s="212">
        <f t="shared" ref="H26:W26" si="30">H25/H8</f>
        <v>0.69147534924130249</v>
      </c>
      <c r="I26" s="212">
        <f t="shared" si="30"/>
        <v>0.6860698072468876</v>
      </c>
      <c r="J26" s="212">
        <f t="shared" si="30"/>
        <v>0.68079610774014121</v>
      </c>
      <c r="K26" s="212">
        <f t="shared" si="30"/>
        <v>0.74136898147321884</v>
      </c>
      <c r="L26" s="212">
        <f t="shared" si="30"/>
        <v>0.73474652161948883</v>
      </c>
      <c r="M26" s="212">
        <f t="shared" si="30"/>
        <v>0.72828558517682551</v>
      </c>
      <c r="N26" s="212">
        <f t="shared" si="30"/>
        <v>0.72198223254983684</v>
      </c>
      <c r="O26" s="212">
        <f t="shared" si="30"/>
        <v>0.71583262023082361</v>
      </c>
      <c r="P26" s="212">
        <f t="shared" si="30"/>
        <v>0.70983299845617642</v>
      </c>
      <c r="Q26" s="212">
        <f t="shared" si="30"/>
        <v>0.70397970891993533</v>
      </c>
      <c r="R26" s="212">
        <f t="shared" si="30"/>
        <v>0.69826918254311476</v>
      </c>
      <c r="S26" s="212">
        <f t="shared" si="30"/>
        <v>0.7095150234810681</v>
      </c>
      <c r="T26" s="212">
        <f t="shared" si="30"/>
        <v>0.70464721353617155</v>
      </c>
      <c r="U26" s="212">
        <f t="shared" si="30"/>
        <v>0.69989577746085196</v>
      </c>
      <c r="V26" s="212">
        <f t="shared" si="30"/>
        <v>0.69307651253569846</v>
      </c>
      <c r="W26" s="212">
        <f t="shared" si="30"/>
        <v>0.68868913727677672</v>
      </c>
    </row>
    <row r="27" spans="1:23" ht="3" customHeight="1" x14ac:dyDescent="0.2">
      <c r="E27" s="196"/>
      <c r="F27" s="336"/>
    </row>
    <row r="28" spans="1:23" x14ac:dyDescent="0.2">
      <c r="B28" s="184" t="s">
        <v>258</v>
      </c>
      <c r="C28" s="184"/>
      <c r="D28" s="184"/>
      <c r="E28" s="181"/>
      <c r="F28" s="335"/>
      <c r="G28" s="213">
        <f t="shared" ref="G28:K28" si="31">G8-G25</f>
        <v>33054.129212617772</v>
      </c>
      <c r="H28" s="213">
        <f t="shared" si="31"/>
        <v>34500.056243386658</v>
      </c>
      <c r="I28" s="213">
        <f t="shared" si="31"/>
        <v>35982.131449924753</v>
      </c>
      <c r="J28" s="213">
        <f t="shared" si="31"/>
        <v>37501.258536626323</v>
      </c>
      <c r="K28" s="213">
        <f t="shared" si="31"/>
        <v>31144.555720375487</v>
      </c>
      <c r="L28" s="213">
        <f t="shared" ref="L28:W28" si="32">L8-L25</f>
        <v>32740.58861584132</v>
      </c>
      <c r="M28" s="213">
        <f t="shared" si="32"/>
        <v>34376.522333693778</v>
      </c>
      <c r="N28" s="213">
        <f t="shared" si="32"/>
        <v>36053.354394492548</v>
      </c>
      <c r="O28" s="213">
        <f t="shared" si="32"/>
        <v>37772.107256811287</v>
      </c>
      <c r="P28" s="213">
        <f t="shared" si="32"/>
        <v>39533.828940688007</v>
      </c>
      <c r="Q28" s="213">
        <f t="shared" si="32"/>
        <v>41339.593666661647</v>
      </c>
      <c r="R28" s="213">
        <f t="shared" si="32"/>
        <v>43190.502510784616</v>
      </c>
      <c r="S28" s="213">
        <f t="shared" si="32"/>
        <v>437188.62888190406</v>
      </c>
      <c r="T28" s="213">
        <f t="shared" si="32"/>
        <v>475630.86734747654</v>
      </c>
      <c r="U28" s="213">
        <f t="shared" si="32"/>
        <v>517112.27006116393</v>
      </c>
      <c r="V28" s="213">
        <f t="shared" si="32"/>
        <v>565882.98889811104</v>
      </c>
      <c r="W28" s="213">
        <f t="shared" si="32"/>
        <v>614150.15688361111</v>
      </c>
    </row>
    <row r="29" spans="1:23" x14ac:dyDescent="0.2">
      <c r="B29" s="203" t="s">
        <v>257</v>
      </c>
      <c r="C29" s="186"/>
      <c r="D29" s="186"/>
      <c r="E29" s="193"/>
      <c r="F29" s="324"/>
      <c r="G29" s="211">
        <f t="shared" ref="G29:K29" si="33">G28/G8</f>
        <v>0.30298397021442219</v>
      </c>
      <c r="H29" s="211">
        <f t="shared" si="33"/>
        <v>0.30852465075869756</v>
      </c>
      <c r="I29" s="211">
        <f t="shared" si="33"/>
        <v>0.3139301927531124</v>
      </c>
      <c r="J29" s="211">
        <f t="shared" si="33"/>
        <v>0.31920389225985879</v>
      </c>
      <c r="K29" s="211">
        <f t="shared" si="33"/>
        <v>0.25863101852678111</v>
      </c>
      <c r="L29" s="211">
        <f t="shared" ref="L29:W29" si="34">L28/L8</f>
        <v>0.26525347838051122</v>
      </c>
      <c r="M29" s="211">
        <f t="shared" si="34"/>
        <v>0.27171441482317454</v>
      </c>
      <c r="N29" s="211">
        <f t="shared" si="34"/>
        <v>0.2780177674501631</v>
      </c>
      <c r="O29" s="211">
        <f t="shared" si="34"/>
        <v>0.28416737976917639</v>
      </c>
      <c r="P29" s="211">
        <f t="shared" si="34"/>
        <v>0.29016700154382352</v>
      </c>
      <c r="Q29" s="211">
        <f t="shared" si="34"/>
        <v>0.29602029108006467</v>
      </c>
      <c r="R29" s="211">
        <f t="shared" si="34"/>
        <v>0.30173081745688524</v>
      </c>
      <c r="S29" s="211">
        <f t="shared" si="34"/>
        <v>0.2904849765189319</v>
      </c>
      <c r="T29" s="211">
        <f t="shared" si="34"/>
        <v>0.29535278646382851</v>
      </c>
      <c r="U29" s="211">
        <f t="shared" si="34"/>
        <v>0.30010422253914804</v>
      </c>
      <c r="V29" s="211">
        <f t="shared" si="34"/>
        <v>0.30692348746430154</v>
      </c>
      <c r="W29" s="211">
        <f t="shared" si="34"/>
        <v>0.31131086272322328</v>
      </c>
    </row>
    <row r="30" spans="1:23" ht="3" customHeight="1" x14ac:dyDescent="0.2">
      <c r="E30" s="196"/>
      <c r="F30" s="336"/>
    </row>
    <row r="31" spans="1:23" ht="11.25" customHeight="1" x14ac:dyDescent="0.2">
      <c r="B31" s="199" t="s">
        <v>93</v>
      </c>
      <c r="E31" s="196"/>
      <c r="F31" s="327"/>
      <c r="G31" s="202">
        <f>'Break-Even Point'!E20</f>
        <v>7380</v>
      </c>
      <c r="H31" s="202">
        <f>G31</f>
        <v>7380</v>
      </c>
      <c r="I31" s="202">
        <f t="shared" ref="I31:R31" si="35">H31</f>
        <v>7380</v>
      </c>
      <c r="J31" s="202">
        <f t="shared" si="35"/>
        <v>7380</v>
      </c>
      <c r="K31" s="202">
        <f t="shared" si="35"/>
        <v>7380</v>
      </c>
      <c r="L31" s="202">
        <f t="shared" si="35"/>
        <v>7380</v>
      </c>
      <c r="M31" s="202">
        <f t="shared" si="35"/>
        <v>7380</v>
      </c>
      <c r="N31" s="202">
        <f t="shared" si="35"/>
        <v>7380</v>
      </c>
      <c r="O31" s="202">
        <f t="shared" si="35"/>
        <v>7380</v>
      </c>
      <c r="P31" s="202">
        <f t="shared" si="35"/>
        <v>7380</v>
      </c>
      <c r="Q31" s="202">
        <f t="shared" si="35"/>
        <v>7380</v>
      </c>
      <c r="R31" s="202">
        <f t="shared" si="35"/>
        <v>7380</v>
      </c>
      <c r="S31" s="206">
        <f>SUM(G31:R31)</f>
        <v>88560</v>
      </c>
      <c r="T31" s="271">
        <f>S31*1.1</f>
        <v>97416.000000000015</v>
      </c>
      <c r="U31" s="271">
        <f t="shared" ref="U31:W31" si="36">T31*1.1</f>
        <v>107157.60000000002</v>
      </c>
      <c r="V31" s="271">
        <f t="shared" si="36"/>
        <v>117873.36000000003</v>
      </c>
      <c r="W31" s="271">
        <f t="shared" si="36"/>
        <v>129660.69600000004</v>
      </c>
    </row>
    <row r="32" spans="1:23" ht="11.25" customHeight="1" x14ac:dyDescent="0.2">
      <c r="B32" s="203" t="s">
        <v>257</v>
      </c>
      <c r="E32" s="196"/>
      <c r="F32" s="324"/>
      <c r="G32" s="191">
        <f>G31/G8</f>
        <v>6.7647272926157673E-2</v>
      </c>
      <c r="H32" s="191">
        <f>H31/H8</f>
        <v>6.5997339440153832E-2</v>
      </c>
      <c r="I32" s="191">
        <f>I31/I8</f>
        <v>6.4387648234296421E-2</v>
      </c>
      <c r="J32" s="191">
        <f>J31/J8</f>
        <v>6.2817217789557497E-2</v>
      </c>
      <c r="K32" s="191">
        <f>K31/K8</f>
        <v>6.1285090526397565E-2</v>
      </c>
      <c r="L32" s="191">
        <f t="shared" ref="L32:S32" si="37">L31/L8</f>
        <v>5.979033222087568E-2</v>
      </c>
      <c r="M32" s="191">
        <f t="shared" si="37"/>
        <v>5.8332031435000667E-2</v>
      </c>
      <c r="N32" s="191">
        <f t="shared" si="37"/>
        <v>5.6909298960976268E-2</v>
      </c>
      <c r="O32" s="191">
        <f t="shared" si="37"/>
        <v>5.5521267279001238E-2</v>
      </c>
      <c r="P32" s="191">
        <f t="shared" si="37"/>
        <v>5.4167090028293889E-2</v>
      </c>
      <c r="Q32" s="191">
        <f t="shared" si="37"/>
        <v>5.2845941491018428E-2</v>
      </c>
      <c r="R32" s="191">
        <f t="shared" si="37"/>
        <v>5.1557016088798466E-2</v>
      </c>
      <c r="S32" s="191">
        <f t="shared" si="37"/>
        <v>5.8842677556157783E-2</v>
      </c>
      <c r="T32" s="191">
        <f t="shared" ref="T32" si="38">T31/T8</f>
        <v>6.0492472253993991E-2</v>
      </c>
      <c r="U32" s="191">
        <f t="shared" ref="U32" si="39">U31/U8</f>
        <v>6.2188522877937753E-2</v>
      </c>
      <c r="V32" s="191">
        <f t="shared" ref="V32" si="40">V31/V8</f>
        <v>6.3932126323113569E-2</v>
      </c>
      <c r="W32" s="191">
        <f t="shared" ref="W32" si="41">W31/W8</f>
        <v>6.572461584619152E-2</v>
      </c>
    </row>
    <row r="33" spans="2:23" ht="5.0999999999999996" customHeight="1" x14ac:dyDescent="0.2">
      <c r="B33" s="203"/>
      <c r="E33" s="196"/>
      <c r="F33" s="324"/>
      <c r="G33" s="191"/>
      <c r="H33" s="191"/>
      <c r="I33" s="191"/>
      <c r="J33" s="191"/>
      <c r="K33" s="191"/>
    </row>
    <row r="34" spans="2:23" ht="11.25" customHeight="1" x14ac:dyDescent="0.2">
      <c r="B34" s="199" t="s">
        <v>355</v>
      </c>
      <c r="D34" s="187">
        <f>D16</f>
        <v>2</v>
      </c>
      <c r="E34" s="196"/>
      <c r="F34" s="324"/>
      <c r="G34" s="202">
        <f>SUM(Labor!O18:O19)</f>
        <v>9911.1375264275248</v>
      </c>
      <c r="H34" s="219">
        <f>G34*(1+H35)</f>
        <v>9911.1375264275248</v>
      </c>
      <c r="I34" s="219">
        <f t="shared" ref="I34:R34" si="42">H34*(1+I35)</f>
        <v>9911.1375264275248</v>
      </c>
      <c r="J34" s="219">
        <f t="shared" si="42"/>
        <v>9911.1375264275248</v>
      </c>
      <c r="K34" s="219">
        <f t="shared" si="42"/>
        <v>9911.1375264275248</v>
      </c>
      <c r="L34" s="219">
        <f t="shared" si="42"/>
        <v>9911.1375264275248</v>
      </c>
      <c r="M34" s="219">
        <f t="shared" si="42"/>
        <v>9911.1375264275248</v>
      </c>
      <c r="N34" s="219">
        <f t="shared" si="42"/>
        <v>9911.1375264275248</v>
      </c>
      <c r="O34" s="219">
        <f t="shared" si="42"/>
        <v>9911.1375264275248</v>
      </c>
      <c r="P34" s="219">
        <f t="shared" si="42"/>
        <v>9911.1375264275248</v>
      </c>
      <c r="Q34" s="219">
        <f t="shared" si="42"/>
        <v>9911.1375264275248</v>
      </c>
      <c r="R34" s="219">
        <f t="shared" si="42"/>
        <v>9911.1375264275248</v>
      </c>
      <c r="S34" s="206">
        <f>SUM(G34:R34)</f>
        <v>118933.6503171303</v>
      </c>
      <c r="T34" s="206">
        <f>S34*(1+T35)</f>
        <v>124880.33283298682</v>
      </c>
      <c r="U34" s="206">
        <f t="shared" ref="U34:W34" si="43">T34*(1+U35)</f>
        <v>131124.34947463617</v>
      </c>
      <c r="V34" s="206">
        <f t="shared" si="43"/>
        <v>137680.56694836798</v>
      </c>
      <c r="W34" s="206">
        <f t="shared" si="43"/>
        <v>144564.59529578639</v>
      </c>
    </row>
    <row r="35" spans="2:23" ht="11.25" customHeight="1" x14ac:dyDescent="0.2">
      <c r="B35" s="203" t="s">
        <v>252</v>
      </c>
      <c r="E35" s="196"/>
      <c r="F35" s="324"/>
      <c r="G35" s="189" t="s">
        <v>356</v>
      </c>
      <c r="H35" s="321">
        <f t="shared" ref="H35:W35" si="44">CHOOSE($D$34,H74,H75,H76)</f>
        <v>0</v>
      </c>
      <c r="I35" s="321">
        <f t="shared" si="44"/>
        <v>0</v>
      </c>
      <c r="J35" s="321">
        <f t="shared" si="44"/>
        <v>0</v>
      </c>
      <c r="K35" s="321">
        <f t="shared" si="44"/>
        <v>0</v>
      </c>
      <c r="L35" s="321">
        <f t="shared" si="44"/>
        <v>0</v>
      </c>
      <c r="M35" s="321">
        <f t="shared" si="44"/>
        <v>0</v>
      </c>
      <c r="N35" s="321">
        <f t="shared" si="44"/>
        <v>0</v>
      </c>
      <c r="O35" s="321">
        <f t="shared" si="44"/>
        <v>0</v>
      </c>
      <c r="P35" s="321">
        <f t="shared" si="44"/>
        <v>0</v>
      </c>
      <c r="Q35" s="321">
        <f t="shared" si="44"/>
        <v>0</v>
      </c>
      <c r="R35" s="321">
        <f t="shared" si="44"/>
        <v>0</v>
      </c>
      <c r="S35" s="321">
        <f t="shared" si="44"/>
        <v>0.05</v>
      </c>
      <c r="T35" s="321">
        <f t="shared" si="44"/>
        <v>0.05</v>
      </c>
      <c r="U35" s="321">
        <f t="shared" si="44"/>
        <v>0.05</v>
      </c>
      <c r="V35" s="321">
        <f t="shared" si="44"/>
        <v>0.05</v>
      </c>
      <c r="W35" s="321">
        <f t="shared" si="44"/>
        <v>0.05</v>
      </c>
    </row>
    <row r="36" spans="2:23" ht="5.0999999999999996" customHeight="1" x14ac:dyDescent="0.2">
      <c r="B36" s="203"/>
      <c r="E36" s="196"/>
      <c r="F36" s="194"/>
      <c r="G36" s="189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</row>
    <row r="37" spans="2:23" ht="11.25" customHeight="1" x14ac:dyDescent="0.2">
      <c r="B37" s="199" t="s">
        <v>112</v>
      </c>
      <c r="E37" s="196"/>
      <c r="F37" s="194"/>
      <c r="G37" s="202">
        <f>'Break-Even Point'!E37/'Break-Even Point'!E30*'Break-Even Point'!E13*0.8</f>
        <v>12929.425353229579</v>
      </c>
      <c r="H37" s="202">
        <f>G38*H8</f>
        <v>13252.660987060317</v>
      </c>
      <c r="I37" s="202">
        <f t="shared" ref="I37:R37" si="45">H38*I8</f>
        <v>13583.977511736824</v>
      </c>
      <c r="J37" s="202">
        <f t="shared" si="45"/>
        <v>13923.576949530245</v>
      </c>
      <c r="K37" s="202">
        <f t="shared" si="45"/>
        <v>14271.666373268499</v>
      </c>
      <c r="L37" s="202">
        <f t="shared" si="45"/>
        <v>14628.458032600211</v>
      </c>
      <c r="M37" s="202">
        <f t="shared" si="45"/>
        <v>14994.169483415213</v>
      </c>
      <c r="N37" s="202">
        <f t="shared" si="45"/>
        <v>15369.023720500592</v>
      </c>
      <c r="O37" s="202">
        <f t="shared" si="45"/>
        <v>15753.249313513108</v>
      </c>
      <c r="P37" s="202">
        <f t="shared" si="45"/>
        <v>16147.080546350935</v>
      </c>
      <c r="Q37" s="202">
        <f t="shared" si="45"/>
        <v>16550.757560009708</v>
      </c>
      <c r="R37" s="202">
        <f t="shared" si="45"/>
        <v>16964.526499009949</v>
      </c>
      <c r="S37" s="202">
        <f t="shared" ref="S37:W37" si="46">R38*S8</f>
        <v>178368.57233022517</v>
      </c>
      <c r="T37" s="202">
        <f t="shared" si="46"/>
        <v>190854.37239334095</v>
      </c>
      <c r="U37" s="202">
        <f t="shared" si="46"/>
        <v>204214.1784608748</v>
      </c>
      <c r="V37" s="202">
        <f t="shared" si="46"/>
        <v>218509.17095313605</v>
      </c>
      <c r="W37" s="202">
        <f t="shared" si="46"/>
        <v>233804.81291985558</v>
      </c>
    </row>
    <row r="38" spans="2:23" ht="11.25" customHeight="1" x14ac:dyDescent="0.2">
      <c r="B38" s="203" t="s">
        <v>257</v>
      </c>
      <c r="E38" s="196"/>
      <c r="F38" s="194"/>
      <c r="G38" s="191">
        <f>G37/G8</f>
        <v>0.11851495469489214</v>
      </c>
      <c r="H38" s="191">
        <f>H37/H8</f>
        <v>0.11851495469489214</v>
      </c>
      <c r="I38" s="191">
        <f t="shared" ref="I38:R38" si="47">I37/I8</f>
        <v>0.11851495469489214</v>
      </c>
      <c r="J38" s="191">
        <f t="shared" si="47"/>
        <v>0.11851495469489214</v>
      </c>
      <c r="K38" s="191">
        <f t="shared" si="47"/>
        <v>0.11851495469489214</v>
      </c>
      <c r="L38" s="191">
        <f t="shared" si="47"/>
        <v>0.11851495469489214</v>
      </c>
      <c r="M38" s="191">
        <f t="shared" si="47"/>
        <v>0.11851495469489214</v>
      </c>
      <c r="N38" s="191">
        <f t="shared" si="47"/>
        <v>0.11851495469489214</v>
      </c>
      <c r="O38" s="191">
        <f t="shared" si="47"/>
        <v>0.11851495469489214</v>
      </c>
      <c r="P38" s="191">
        <f t="shared" si="47"/>
        <v>0.11851495469489214</v>
      </c>
      <c r="Q38" s="191">
        <f t="shared" si="47"/>
        <v>0.11851495469489214</v>
      </c>
      <c r="R38" s="191">
        <f t="shared" si="47"/>
        <v>0.11851495469489212</v>
      </c>
      <c r="S38" s="191">
        <f t="shared" ref="S38" si="48">S37/S8</f>
        <v>0.11851495469489214</v>
      </c>
      <c r="T38" s="191">
        <f t="shared" ref="T38" si="49">T37/T8</f>
        <v>0.11851495469489214</v>
      </c>
      <c r="U38" s="191">
        <f t="shared" ref="U38" si="50">U37/U8</f>
        <v>0.11851495469489212</v>
      </c>
      <c r="V38" s="191">
        <f t="shared" ref="V38" si="51">V37/V8</f>
        <v>0.11851495469489212</v>
      </c>
      <c r="W38" s="191">
        <f t="shared" ref="W38" si="52">W37/W8</f>
        <v>0.11851495469489212</v>
      </c>
    </row>
    <row r="39" spans="2:23" ht="5.0999999999999996" customHeight="1" x14ac:dyDescent="0.2">
      <c r="B39" s="203"/>
      <c r="E39" s="196"/>
      <c r="F39" s="194"/>
      <c r="G39" s="191"/>
      <c r="H39" s="191"/>
      <c r="I39" s="191"/>
      <c r="J39" s="191"/>
      <c r="K39" s="191"/>
    </row>
    <row r="40" spans="2:23" ht="11.25" customHeight="1" x14ac:dyDescent="0.2">
      <c r="B40" s="199" t="s">
        <v>357</v>
      </c>
      <c r="D40" s="187">
        <f>D34</f>
        <v>2</v>
      </c>
      <c r="E40" s="196"/>
      <c r="F40" s="194"/>
      <c r="G40" s="202">
        <f>IF(G8&lt;'Break-Even Point'!$E$37,'Break-Even Point'!$E$24,F40*(1+G41))</f>
        <v>4100</v>
      </c>
      <c r="H40" s="202">
        <f>IF(H8&lt;'Break-Even Point'!$E$37,'Break-Even Point'!$E$24,G40*(1+H41))</f>
        <v>4100</v>
      </c>
      <c r="I40" s="202">
        <f>IF(I8&lt;'Break-Even Point'!$E$37,'Break-Even Point'!$E$24,H40*(1+I41))</f>
        <v>4100</v>
      </c>
      <c r="J40" s="202">
        <f>IF(J8&lt;'Break-Even Point'!$E$37,'Break-Even Point'!$E$24,I40*(1+J41))</f>
        <v>4100</v>
      </c>
      <c r="K40" s="202">
        <f>IF(K8&lt;'Break-Even Point'!$E$37,'Break-Even Point'!$E$24,J40*(1+K41))</f>
        <v>4100</v>
      </c>
      <c r="L40" s="202">
        <f>IF(L8&lt;'Break-Even Point'!$E$37,'Break-Even Point'!$E$24,K40*(1+L41))</f>
        <v>4100</v>
      </c>
      <c r="M40" s="202">
        <f>IF(M8&lt;'Break-Even Point'!$E$37,'Break-Even Point'!$E$24,L40*(1+M41))</f>
        <v>4100</v>
      </c>
      <c r="N40" s="202">
        <f>IF(N8&lt;'Break-Even Point'!$E$37,'Break-Even Point'!$E$24,M40*(1+N41))</f>
        <v>4100</v>
      </c>
      <c r="O40" s="202">
        <f>IF(O8&lt;'Break-Even Point'!$E$37,'Break-Even Point'!$E$24,N40*(1+O41))</f>
        <v>4100</v>
      </c>
      <c r="P40" s="202">
        <f>IF(P8&lt;'Break-Even Point'!$E$37,'Break-Even Point'!$E$24,O40*(1+P41))</f>
        <v>4100</v>
      </c>
      <c r="Q40" s="202">
        <f>IF(Q8&lt;'Break-Even Point'!$E$37,'Break-Even Point'!$E$24,P40*(1+Q41))</f>
        <v>4182</v>
      </c>
      <c r="R40" s="202">
        <f>IF(R8&lt;'Break-Even Point'!$E$37,'Break-Even Point'!$E$24,Q40*(1+R41))</f>
        <v>4265.6400000000003</v>
      </c>
      <c r="S40" s="202">
        <f>SUM(G40:R40)</f>
        <v>49447.64</v>
      </c>
      <c r="T40" s="202">
        <f t="shared" ref="T40:W40" si="53">S41*T8</f>
        <v>32207.643817555552</v>
      </c>
      <c r="U40" s="202">
        <f t="shared" si="53"/>
        <v>34462.178884784444</v>
      </c>
      <c r="V40" s="202">
        <f t="shared" si="53"/>
        <v>36874.531406719354</v>
      </c>
      <c r="W40" s="202">
        <f t="shared" si="53"/>
        <v>39455.748605189714</v>
      </c>
    </row>
    <row r="41" spans="2:23" ht="11.25" customHeight="1" x14ac:dyDescent="0.2">
      <c r="B41" s="203" t="s">
        <v>252</v>
      </c>
      <c r="E41" s="196"/>
      <c r="F41" s="194"/>
      <c r="G41" s="321">
        <f>CHOOSE($D$40,G79,G80,G81)</f>
        <v>0.02</v>
      </c>
      <c r="H41" s="321">
        <f t="shared" ref="H41:W41" si="54">CHOOSE($D$40,H79,H80,H81)</f>
        <v>0.02</v>
      </c>
      <c r="I41" s="321">
        <f t="shared" si="54"/>
        <v>0.02</v>
      </c>
      <c r="J41" s="321">
        <f t="shared" si="54"/>
        <v>0.02</v>
      </c>
      <c r="K41" s="321">
        <f t="shared" si="54"/>
        <v>0.02</v>
      </c>
      <c r="L41" s="321">
        <f t="shared" si="54"/>
        <v>0.02</v>
      </c>
      <c r="M41" s="321">
        <f t="shared" si="54"/>
        <v>0.02</v>
      </c>
      <c r="N41" s="321">
        <f t="shared" si="54"/>
        <v>0.02</v>
      </c>
      <c r="O41" s="321">
        <f t="shared" si="54"/>
        <v>0.02</v>
      </c>
      <c r="P41" s="321">
        <f t="shared" si="54"/>
        <v>0.02</v>
      </c>
      <c r="Q41" s="321">
        <f t="shared" si="54"/>
        <v>0.02</v>
      </c>
      <c r="R41" s="321">
        <f t="shared" si="54"/>
        <v>0.02</v>
      </c>
      <c r="S41" s="321">
        <f t="shared" si="54"/>
        <v>0.02</v>
      </c>
      <c r="T41" s="321">
        <f t="shared" si="54"/>
        <v>0.02</v>
      </c>
      <c r="U41" s="321">
        <f t="shared" si="54"/>
        <v>0.02</v>
      </c>
      <c r="V41" s="321">
        <f t="shared" si="54"/>
        <v>0.02</v>
      </c>
      <c r="W41" s="321">
        <f t="shared" si="54"/>
        <v>0.02</v>
      </c>
    </row>
    <row r="42" spans="2:23" ht="5.0999999999999996" customHeight="1" x14ac:dyDescent="0.2">
      <c r="B42" s="203"/>
      <c r="E42" s="196"/>
      <c r="F42" s="324"/>
      <c r="G42" s="191"/>
      <c r="H42" s="191"/>
      <c r="I42" s="191"/>
      <c r="J42" s="191"/>
      <c r="K42" s="191"/>
    </row>
    <row r="43" spans="2:23" ht="11.25" customHeight="1" x14ac:dyDescent="0.2">
      <c r="B43" s="199" t="s">
        <v>358</v>
      </c>
      <c r="E43" s="196"/>
      <c r="F43" s="324"/>
      <c r="G43" s="202">
        <f>SUM('Break-Even Point'!E22:E23)</f>
        <v>2020.6999999999996</v>
      </c>
      <c r="H43" s="202">
        <f>G43</f>
        <v>2020.6999999999996</v>
      </c>
      <c r="I43" s="202">
        <f t="shared" ref="I43:R43" si="55">H43</f>
        <v>2020.6999999999996</v>
      </c>
      <c r="J43" s="202">
        <f t="shared" si="55"/>
        <v>2020.6999999999996</v>
      </c>
      <c r="K43" s="202">
        <f t="shared" si="55"/>
        <v>2020.6999999999996</v>
      </c>
      <c r="L43" s="202">
        <f t="shared" si="55"/>
        <v>2020.6999999999996</v>
      </c>
      <c r="M43" s="202">
        <f t="shared" si="55"/>
        <v>2020.6999999999996</v>
      </c>
      <c r="N43" s="202">
        <f t="shared" si="55"/>
        <v>2020.6999999999996</v>
      </c>
      <c r="O43" s="202">
        <f t="shared" si="55"/>
        <v>2020.6999999999996</v>
      </c>
      <c r="P43" s="202">
        <f t="shared" si="55"/>
        <v>2020.6999999999996</v>
      </c>
      <c r="Q43" s="202">
        <f t="shared" si="55"/>
        <v>2020.6999999999996</v>
      </c>
      <c r="R43" s="202">
        <f t="shared" si="55"/>
        <v>2020.6999999999996</v>
      </c>
      <c r="S43" s="206">
        <f>SUM(G43:R43)</f>
        <v>24248.399999999998</v>
      </c>
      <c r="T43" s="271">
        <f>S43*1.05</f>
        <v>25460.82</v>
      </c>
      <c r="U43" s="271">
        <f t="shared" ref="U43:W43" si="56">T43*1.05</f>
        <v>26733.861000000001</v>
      </c>
      <c r="V43" s="271">
        <f t="shared" si="56"/>
        <v>28070.554050000002</v>
      </c>
      <c r="W43" s="271">
        <f t="shared" si="56"/>
        <v>29474.081752500002</v>
      </c>
    </row>
    <row r="44" spans="2:23" ht="11.25" customHeight="1" x14ac:dyDescent="0.2">
      <c r="B44" s="203" t="s">
        <v>257</v>
      </c>
      <c r="E44" s="196"/>
      <c r="F44" s="324"/>
      <c r="G44" s="191">
        <f>G43/G8</f>
        <v>1.8522336639822057E-2</v>
      </c>
      <c r="H44" s="191">
        <f>H43/H8</f>
        <v>1.8070572331533717E-2</v>
      </c>
      <c r="I44" s="191">
        <f t="shared" ref="I44:T44" si="57">I43/I8</f>
        <v>1.7629826664910943E-2</v>
      </c>
      <c r="J44" s="191">
        <f t="shared" si="57"/>
        <v>1.7199830892596045E-2</v>
      </c>
      <c r="K44" s="191">
        <f t="shared" si="57"/>
        <v>1.6780322822044922E-2</v>
      </c>
      <c r="L44" s="191">
        <f t="shared" si="57"/>
        <v>1.6371046655653584E-2</v>
      </c>
      <c r="M44" s="191">
        <f t="shared" si="57"/>
        <v>1.5971752834783987E-2</v>
      </c>
      <c r="N44" s="191">
        <f t="shared" si="57"/>
        <v>1.5582197887594134E-2</v>
      </c>
      <c r="O44" s="191">
        <f t="shared" si="57"/>
        <v>1.5202144280579644E-2</v>
      </c>
      <c r="P44" s="191">
        <f t="shared" si="57"/>
        <v>1.4831360273736239E-2</v>
      </c>
      <c r="Q44" s="191">
        <f t="shared" si="57"/>
        <v>1.4469619779254867E-2</v>
      </c>
      <c r="R44" s="191">
        <f t="shared" si="57"/>
        <v>1.4116702223663284E-2</v>
      </c>
      <c r="S44" s="191">
        <f t="shared" si="57"/>
        <v>1.6111571617578323E-2</v>
      </c>
      <c r="T44" s="191">
        <f t="shared" si="57"/>
        <v>1.5810420746221718E-2</v>
      </c>
      <c r="U44" s="191">
        <f t="shared" ref="U44" si="58">U43/U8</f>
        <v>1.5514898863114772E-2</v>
      </c>
      <c r="V44" s="191">
        <f t="shared" ref="V44" si="59">V43/V8</f>
        <v>1.5224900753523842E-2</v>
      </c>
      <c r="W44" s="191">
        <f t="shared" ref="W44" si="60">W43/W8</f>
        <v>1.4940323169345826E-2</v>
      </c>
    </row>
    <row r="45" spans="2:23" ht="5.0999999999999996" customHeight="1" x14ac:dyDescent="0.2">
      <c r="E45" s="196"/>
      <c r="F45" s="336"/>
    </row>
    <row r="46" spans="2:23" x14ac:dyDescent="0.2">
      <c r="B46" s="184" t="s">
        <v>354</v>
      </c>
      <c r="C46" s="184"/>
      <c r="D46" s="184"/>
      <c r="E46" s="181"/>
      <c r="F46" s="333"/>
      <c r="G46" s="213">
        <f>G31+G34+G37+G40+G43</f>
        <v>36341.262879657101</v>
      </c>
      <c r="H46" s="213">
        <f t="shared" ref="H46:W46" si="61">H31+H34+H37+H40+H43</f>
        <v>36664.498513487837</v>
      </c>
      <c r="I46" s="213">
        <f t="shared" si="61"/>
        <v>36995.81503816435</v>
      </c>
      <c r="J46" s="213">
        <f t="shared" si="61"/>
        <v>37335.414475957768</v>
      </c>
      <c r="K46" s="213">
        <f t="shared" si="61"/>
        <v>37683.503899696021</v>
      </c>
      <c r="L46" s="213">
        <f t="shared" si="61"/>
        <v>38040.295559027734</v>
      </c>
      <c r="M46" s="213">
        <f t="shared" si="61"/>
        <v>38406.007009842739</v>
      </c>
      <c r="N46" s="213">
        <f t="shared" si="61"/>
        <v>38780.861246928114</v>
      </c>
      <c r="O46" s="213">
        <f t="shared" si="61"/>
        <v>39165.086839940632</v>
      </c>
      <c r="P46" s="213">
        <f t="shared" si="61"/>
        <v>39558.918072778455</v>
      </c>
      <c r="Q46" s="213">
        <f t="shared" si="61"/>
        <v>40044.595086437228</v>
      </c>
      <c r="R46" s="213">
        <f t="shared" si="61"/>
        <v>40542.004025437476</v>
      </c>
      <c r="S46" s="213">
        <f t="shared" si="61"/>
        <v>459558.26264735556</v>
      </c>
      <c r="T46" s="213">
        <f t="shared" si="61"/>
        <v>470819.16904388333</v>
      </c>
      <c r="U46" s="213">
        <f t="shared" si="61"/>
        <v>503692.16782029538</v>
      </c>
      <c r="V46" s="213">
        <f t="shared" si="61"/>
        <v>539008.18335822341</v>
      </c>
      <c r="W46" s="213">
        <f t="shared" si="61"/>
        <v>576959.93457333173</v>
      </c>
    </row>
    <row r="47" spans="2:23" x14ac:dyDescent="0.2">
      <c r="B47" s="186" t="s">
        <v>257</v>
      </c>
      <c r="C47" s="186"/>
      <c r="D47" s="186"/>
      <c r="E47" s="193"/>
      <c r="F47" s="324"/>
      <c r="G47" s="212">
        <f>G46/G8</f>
        <v>0.33311481416008221</v>
      </c>
      <c r="H47" s="212">
        <f t="shared" ref="H47:W47" si="62">H46/H8</f>
        <v>0.32788067124629711</v>
      </c>
      <c r="I47" s="212">
        <f t="shared" si="62"/>
        <v>0.32277419035479948</v>
      </c>
      <c r="J47" s="212">
        <f t="shared" si="62"/>
        <v>0.31779225777772857</v>
      </c>
      <c r="K47" s="212">
        <f t="shared" si="62"/>
        <v>0.31293183575131794</v>
      </c>
      <c r="L47" s="212">
        <f t="shared" si="62"/>
        <v>0.30818996060360027</v>
      </c>
      <c r="M47" s="212">
        <f t="shared" si="62"/>
        <v>0.30356374094729033</v>
      </c>
      <c r="N47" s="212">
        <f t="shared" si="62"/>
        <v>0.299050355916744</v>
      </c>
      <c r="O47" s="212">
        <f t="shared" si="62"/>
        <v>0.29464705344791836</v>
      </c>
      <c r="P47" s="212">
        <f t="shared" si="62"/>
        <v>0.29035114860028355</v>
      </c>
      <c r="Q47" s="212">
        <f t="shared" si="62"/>
        <v>0.28674719904734225</v>
      </c>
      <c r="R47" s="212">
        <f t="shared" si="62"/>
        <v>0.28322828642433767</v>
      </c>
      <c r="S47" s="212">
        <f t="shared" si="62"/>
        <v>0.30534822343299922</v>
      </c>
      <c r="T47" s="212">
        <f t="shared" si="62"/>
        <v>0.29236486326718009</v>
      </c>
      <c r="U47" s="212">
        <f t="shared" si="62"/>
        <v>0.29231591508143606</v>
      </c>
      <c r="V47" s="212">
        <f t="shared" si="62"/>
        <v>0.29234713651710525</v>
      </c>
      <c r="W47" s="212">
        <f t="shared" si="62"/>
        <v>0.29245925117104116</v>
      </c>
    </row>
    <row r="48" spans="2:23" ht="3" customHeight="1" x14ac:dyDescent="0.2">
      <c r="E48" s="196"/>
      <c r="F48" s="336"/>
    </row>
    <row r="49" spans="2:23" x14ac:dyDescent="0.2">
      <c r="B49" s="184" t="s">
        <v>259</v>
      </c>
      <c r="C49" s="184"/>
      <c r="D49" s="184"/>
      <c r="E49" s="181"/>
      <c r="F49" s="335"/>
      <c r="G49" s="213">
        <f t="shared" ref="G49:K49" si="63">G28-G46</f>
        <v>-3287.1336670393284</v>
      </c>
      <c r="H49" s="213">
        <f t="shared" si="63"/>
        <v>-2164.442270101179</v>
      </c>
      <c r="I49" s="213">
        <f t="shared" si="63"/>
        <v>-1013.6835882395972</v>
      </c>
      <c r="J49" s="213">
        <f t="shared" si="63"/>
        <v>165.84406066855445</v>
      </c>
      <c r="K49" s="213">
        <f t="shared" si="63"/>
        <v>-6538.9481793205341</v>
      </c>
      <c r="L49" s="213">
        <f t="shared" ref="L49:W49" si="64">L28-L46</f>
        <v>-5299.7069431864147</v>
      </c>
      <c r="M49" s="213">
        <f t="shared" si="64"/>
        <v>-4029.4846761489607</v>
      </c>
      <c r="N49" s="213">
        <f t="shared" si="64"/>
        <v>-2727.5068524355665</v>
      </c>
      <c r="O49" s="213">
        <f t="shared" si="64"/>
        <v>-1392.979583129345</v>
      </c>
      <c r="P49" s="213">
        <f t="shared" si="64"/>
        <v>-25.089132090448402</v>
      </c>
      <c r="Q49" s="213">
        <f t="shared" si="64"/>
        <v>1294.9985802244191</v>
      </c>
      <c r="R49" s="213">
        <f t="shared" si="64"/>
        <v>2648.4984853471396</v>
      </c>
      <c r="S49" s="213">
        <f t="shared" si="64"/>
        <v>-22369.633765451494</v>
      </c>
      <c r="T49" s="213">
        <f t="shared" si="64"/>
        <v>4811.6983035932062</v>
      </c>
      <c r="U49" s="213">
        <f t="shared" si="64"/>
        <v>13420.102240868553</v>
      </c>
      <c r="V49" s="213">
        <f t="shared" si="64"/>
        <v>26874.805539887631</v>
      </c>
      <c r="W49" s="213">
        <f t="shared" si="64"/>
        <v>37190.22231027938</v>
      </c>
    </row>
    <row r="50" spans="2:23" ht="3" customHeight="1" x14ac:dyDescent="0.2">
      <c r="E50" s="196"/>
      <c r="F50" s="336"/>
    </row>
    <row r="51" spans="2:23" x14ac:dyDescent="0.2">
      <c r="B51" s="184" t="s">
        <v>260</v>
      </c>
      <c r="C51" s="184"/>
      <c r="D51" s="187" t="s">
        <v>261</v>
      </c>
      <c r="E51" s="188"/>
      <c r="F51" s="333"/>
      <c r="G51" s="185">
        <f t="shared" ref="G51:W51" ca="1" si="65">IF($D$51="ON",G175,0)</f>
        <v>496.87499999999994</v>
      </c>
      <c r="H51" s="185">
        <f t="shared" ca="1" si="65"/>
        <v>490.62499999999994</v>
      </c>
      <c r="I51" s="185">
        <f t="shared" ca="1" si="65"/>
        <v>484.37499999999994</v>
      </c>
      <c r="J51" s="185">
        <f t="shared" ca="1" si="65"/>
        <v>478.12499999999994</v>
      </c>
      <c r="K51" s="185">
        <f t="shared" ca="1" si="65"/>
        <v>471.87499999999994</v>
      </c>
      <c r="L51" s="185">
        <f t="shared" ca="1" si="65"/>
        <v>465.62499999999994</v>
      </c>
      <c r="M51" s="185">
        <f t="shared" ca="1" si="65"/>
        <v>459.37499999999994</v>
      </c>
      <c r="N51" s="185">
        <f t="shared" ca="1" si="65"/>
        <v>454.24951605530009</v>
      </c>
      <c r="O51" s="185">
        <f t="shared" ca="1" si="65"/>
        <v>459.1100782945299</v>
      </c>
      <c r="P51" s="185">
        <f t="shared" ca="1" si="65"/>
        <v>462.09171074974415</v>
      </c>
      <c r="Q51" s="185">
        <f t="shared" ca="1" si="65"/>
        <v>454.51102829918364</v>
      </c>
      <c r="R51" s="185">
        <f t="shared" ca="1" si="65"/>
        <v>437.90487978866918</v>
      </c>
      <c r="S51" s="185">
        <f ca="1">IF($D$51="ON",S175,0)</f>
        <v>5550</v>
      </c>
      <c r="T51" s="185">
        <f t="shared" ca="1" si="65"/>
        <v>4650</v>
      </c>
      <c r="U51" s="185">
        <f t="shared" ca="1" si="65"/>
        <v>3750</v>
      </c>
      <c r="V51" s="185">
        <f t="shared" ca="1" si="65"/>
        <v>2850</v>
      </c>
      <c r="W51" s="185">
        <f t="shared" ca="1" si="65"/>
        <v>1950</v>
      </c>
    </row>
    <row r="52" spans="2:23" ht="3" customHeight="1" x14ac:dyDescent="0.2">
      <c r="F52" s="336"/>
    </row>
    <row r="53" spans="2:23" x14ac:dyDescent="0.2">
      <c r="B53" s="184" t="s">
        <v>262</v>
      </c>
      <c r="C53" s="184"/>
      <c r="D53" s="184"/>
      <c r="E53" s="184"/>
      <c r="F53" s="335"/>
      <c r="G53" s="213">
        <f t="shared" ref="G53:K53" ca="1" si="66">G49-G51</f>
        <v>-3784.0086670393284</v>
      </c>
      <c r="H53" s="213">
        <f t="shared" ca="1" si="66"/>
        <v>-2655.067270101179</v>
      </c>
      <c r="I53" s="213">
        <f t="shared" ca="1" si="66"/>
        <v>-1498.0585882395972</v>
      </c>
      <c r="J53" s="213">
        <f t="shared" ca="1" si="66"/>
        <v>-312.2809393314455</v>
      </c>
      <c r="K53" s="213">
        <f t="shared" ca="1" si="66"/>
        <v>-7010.8231793205341</v>
      </c>
      <c r="L53" s="213">
        <f t="shared" ref="L53:W53" ca="1" si="67">L49-L51</f>
        <v>-5765.3319431864147</v>
      </c>
      <c r="M53" s="213">
        <f t="shared" ca="1" si="67"/>
        <v>-4488.8596761489607</v>
      </c>
      <c r="N53" s="213">
        <f t="shared" ca="1" si="67"/>
        <v>-3181.7563684908664</v>
      </c>
      <c r="O53" s="213">
        <f t="shared" ca="1" si="67"/>
        <v>-1852.089661423875</v>
      </c>
      <c r="P53" s="213">
        <f t="shared" ca="1" si="67"/>
        <v>-487.18084284019255</v>
      </c>
      <c r="Q53" s="213">
        <f t="shared" ca="1" si="67"/>
        <v>840.48755192523549</v>
      </c>
      <c r="R53" s="213">
        <f t="shared" ca="1" si="67"/>
        <v>2210.5936055584707</v>
      </c>
      <c r="S53" s="213">
        <f t="shared" ca="1" si="67"/>
        <v>-27919.633765451494</v>
      </c>
      <c r="T53" s="213">
        <f t="shared" ca="1" si="67"/>
        <v>161.69830359320622</v>
      </c>
      <c r="U53" s="213">
        <f t="shared" ca="1" si="67"/>
        <v>9670.1022408685531</v>
      </c>
      <c r="V53" s="213">
        <f t="shared" ca="1" si="67"/>
        <v>24024.805539887631</v>
      </c>
      <c r="W53" s="213">
        <f t="shared" ca="1" si="67"/>
        <v>35240.22231027938</v>
      </c>
    </row>
    <row r="54" spans="2:23" ht="3" customHeight="1" x14ac:dyDescent="0.2">
      <c r="F54" s="336"/>
    </row>
    <row r="55" spans="2:23" x14ac:dyDescent="0.2">
      <c r="B55" s="180" t="s">
        <v>263</v>
      </c>
      <c r="F55" s="333"/>
      <c r="G55" s="213">
        <f ca="1">IF(G53&lt;0,0,G53*G56)</f>
        <v>0</v>
      </c>
      <c r="H55" s="213">
        <f t="shared" ref="H55:R55" ca="1" si="68">IF(H53&lt;0,0,H53*H56)</f>
        <v>0</v>
      </c>
      <c r="I55" s="213">
        <f t="shared" ca="1" si="68"/>
        <v>0</v>
      </c>
      <c r="J55" s="213">
        <f t="shared" ca="1" si="68"/>
        <v>0</v>
      </c>
      <c r="K55" s="213">
        <f t="shared" ca="1" si="68"/>
        <v>0</v>
      </c>
      <c r="L55" s="213">
        <f t="shared" ca="1" si="68"/>
        <v>0</v>
      </c>
      <c r="M55" s="213">
        <f t="shared" ca="1" si="68"/>
        <v>0</v>
      </c>
      <c r="N55" s="213">
        <f t="shared" ca="1" si="68"/>
        <v>0</v>
      </c>
      <c r="O55" s="213">
        <f t="shared" ca="1" si="68"/>
        <v>0</v>
      </c>
      <c r="P55" s="213">
        <f t="shared" ca="1" si="68"/>
        <v>0</v>
      </c>
      <c r="Q55" s="213">
        <f t="shared" ca="1" si="68"/>
        <v>100.85850623102826</v>
      </c>
      <c r="R55" s="213">
        <f t="shared" ca="1" si="68"/>
        <v>265.27123266701648</v>
      </c>
      <c r="S55" s="213">
        <f t="shared" ref="S55:W55" ca="1" si="69">S53*S56</f>
        <v>-3350.356051854179</v>
      </c>
      <c r="T55" s="213">
        <f t="shared" ca="1" si="69"/>
        <v>19.403796431184745</v>
      </c>
      <c r="U55" s="213">
        <f t="shared" ca="1" si="69"/>
        <v>1160.4122689042263</v>
      </c>
      <c r="V55" s="213">
        <f t="shared" ca="1" si="69"/>
        <v>2882.9766647865158</v>
      </c>
      <c r="W55" s="213">
        <f t="shared" ca="1" si="69"/>
        <v>4228.8266772335255</v>
      </c>
    </row>
    <row r="56" spans="2:23" x14ac:dyDescent="0.2">
      <c r="B56" s="180" t="s">
        <v>264</v>
      </c>
      <c r="F56" s="337"/>
      <c r="G56" s="215">
        <v>0.12</v>
      </c>
      <c r="H56" s="215">
        <v>0.12</v>
      </c>
      <c r="I56" s="215">
        <v>0.12</v>
      </c>
      <c r="J56" s="215">
        <v>0.12</v>
      </c>
      <c r="K56" s="215">
        <v>0.12</v>
      </c>
      <c r="L56" s="215">
        <v>0.12</v>
      </c>
      <c r="M56" s="215">
        <v>0.12</v>
      </c>
      <c r="N56" s="215">
        <v>0.12</v>
      </c>
      <c r="O56" s="215">
        <v>0.12</v>
      </c>
      <c r="P56" s="215">
        <v>0.12</v>
      </c>
      <c r="Q56" s="215">
        <v>0.12</v>
      </c>
      <c r="R56" s="215">
        <v>0.12</v>
      </c>
      <c r="S56" s="215">
        <v>0.12</v>
      </c>
      <c r="T56" s="215">
        <v>0.12</v>
      </c>
      <c r="U56" s="215">
        <v>0.12</v>
      </c>
      <c r="V56" s="215">
        <v>0.12</v>
      </c>
      <c r="W56" s="215">
        <v>0.12</v>
      </c>
    </row>
    <row r="57" spans="2:23" ht="3" customHeight="1" x14ac:dyDescent="0.2">
      <c r="F57" s="336"/>
    </row>
    <row r="58" spans="2:23" x14ac:dyDescent="0.2">
      <c r="B58" s="184" t="s">
        <v>265</v>
      </c>
      <c r="C58" s="184"/>
      <c r="D58" s="184"/>
      <c r="E58" s="184"/>
      <c r="F58" s="335"/>
      <c r="G58" s="213">
        <f ca="1">G53-G55</f>
        <v>-3784.0086670393284</v>
      </c>
      <c r="H58" s="213">
        <f t="shared" ref="H58:K58" ca="1" si="70">H53-H55</f>
        <v>-2655.067270101179</v>
      </c>
      <c r="I58" s="213">
        <f t="shared" ca="1" si="70"/>
        <v>-1498.0585882395972</v>
      </c>
      <c r="J58" s="213">
        <f t="shared" ca="1" si="70"/>
        <v>-312.2809393314455</v>
      </c>
      <c r="K58" s="213">
        <f t="shared" ca="1" si="70"/>
        <v>-7010.8231793205341</v>
      </c>
      <c r="L58" s="213">
        <f t="shared" ref="L58:W58" ca="1" si="71">L53-L55</f>
        <v>-5765.3319431864147</v>
      </c>
      <c r="M58" s="213">
        <f t="shared" ca="1" si="71"/>
        <v>-4488.8596761489607</v>
      </c>
      <c r="N58" s="213">
        <f t="shared" ca="1" si="71"/>
        <v>-3181.7563684908664</v>
      </c>
      <c r="O58" s="213">
        <f t="shared" ca="1" si="71"/>
        <v>-1852.089661423875</v>
      </c>
      <c r="P58" s="213">
        <f t="shared" ca="1" si="71"/>
        <v>-487.18084284019255</v>
      </c>
      <c r="Q58" s="213">
        <f t="shared" ca="1" si="71"/>
        <v>739.62904569420721</v>
      </c>
      <c r="R58" s="213">
        <f t="shared" ca="1" si="71"/>
        <v>1945.3223728914543</v>
      </c>
      <c r="S58" s="213">
        <f ca="1">S53-S55</f>
        <v>-24569.277713597316</v>
      </c>
      <c r="T58" s="213">
        <f t="shared" ca="1" si="71"/>
        <v>142.29450716202149</v>
      </c>
      <c r="U58" s="213">
        <f t="shared" ca="1" si="71"/>
        <v>8509.6899719643261</v>
      </c>
      <c r="V58" s="213">
        <f t="shared" ca="1" si="71"/>
        <v>21141.828875101117</v>
      </c>
      <c r="W58" s="213">
        <f t="shared" ca="1" si="71"/>
        <v>31011.395633045853</v>
      </c>
    </row>
    <row r="59" spans="2:23" ht="3" customHeight="1" x14ac:dyDescent="0.2">
      <c r="F59" s="198"/>
    </row>
    <row r="60" spans="2:23" ht="11.25" customHeight="1" x14ac:dyDescent="0.2">
      <c r="B60" s="216" t="s">
        <v>329</v>
      </c>
      <c r="C60" s="217"/>
      <c r="D60" s="217"/>
      <c r="E60" s="217"/>
      <c r="F60" s="218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</row>
    <row r="61" spans="2:23" ht="11.25" customHeight="1" x14ac:dyDescent="0.2">
      <c r="B61" s="207" t="s">
        <v>259</v>
      </c>
      <c r="C61" s="196"/>
      <c r="D61" s="196"/>
      <c r="E61" s="196"/>
      <c r="F61" s="338"/>
      <c r="G61" s="208">
        <f t="shared" ref="G61" si="72">G49</f>
        <v>-3287.1336670393284</v>
      </c>
      <c r="H61" s="208">
        <f t="shared" ref="H61:W61" si="73">H49</f>
        <v>-2164.442270101179</v>
      </c>
      <c r="I61" s="208">
        <f t="shared" si="73"/>
        <v>-1013.6835882395972</v>
      </c>
      <c r="J61" s="208">
        <f t="shared" si="73"/>
        <v>165.84406066855445</v>
      </c>
      <c r="K61" s="208">
        <f t="shared" si="73"/>
        <v>-6538.9481793205341</v>
      </c>
      <c r="L61" s="208">
        <f t="shared" si="73"/>
        <v>-5299.7069431864147</v>
      </c>
      <c r="M61" s="208">
        <f t="shared" si="73"/>
        <v>-4029.4846761489607</v>
      </c>
      <c r="N61" s="208">
        <f t="shared" si="73"/>
        <v>-2727.5068524355665</v>
      </c>
      <c r="O61" s="208">
        <f t="shared" si="73"/>
        <v>-1392.979583129345</v>
      </c>
      <c r="P61" s="208">
        <f t="shared" si="73"/>
        <v>-25.089132090448402</v>
      </c>
      <c r="Q61" s="208">
        <f t="shared" si="73"/>
        <v>1294.9985802244191</v>
      </c>
      <c r="R61" s="208">
        <f t="shared" si="73"/>
        <v>2648.4984853471396</v>
      </c>
      <c r="S61" s="208">
        <f t="shared" si="73"/>
        <v>-22369.633765451494</v>
      </c>
      <c r="T61" s="208">
        <f t="shared" si="73"/>
        <v>4811.6983035932062</v>
      </c>
      <c r="U61" s="208">
        <f t="shared" si="73"/>
        <v>13420.102240868553</v>
      </c>
      <c r="V61" s="208">
        <f t="shared" si="73"/>
        <v>26874.805539887631</v>
      </c>
      <c r="W61" s="208">
        <f t="shared" si="73"/>
        <v>37190.22231027938</v>
      </c>
    </row>
    <row r="62" spans="2:23" x14ac:dyDescent="0.2">
      <c r="B62" s="207" t="s">
        <v>266</v>
      </c>
      <c r="C62" s="196"/>
      <c r="D62" s="196"/>
      <c r="E62" s="196"/>
      <c r="F62" s="327"/>
      <c r="G62" s="208">
        <f>G193</f>
        <v>1041.5277777777778</v>
      </c>
      <c r="H62" s="208">
        <f t="shared" ref="H62:W62" si="74">H193</f>
        <v>1041.5277777777778</v>
      </c>
      <c r="I62" s="208">
        <f t="shared" si="74"/>
        <v>1041.5277777777778</v>
      </c>
      <c r="J62" s="208">
        <f t="shared" si="74"/>
        <v>1041.5277777777778</v>
      </c>
      <c r="K62" s="208">
        <f t="shared" si="74"/>
        <v>1041.5277777777778</v>
      </c>
      <c r="L62" s="208">
        <f t="shared" si="74"/>
        <v>1041.5277777777778</v>
      </c>
      <c r="M62" s="208">
        <f t="shared" si="74"/>
        <v>1041.5277777777778</v>
      </c>
      <c r="N62" s="208">
        <f t="shared" si="74"/>
        <v>1041.5277777777778</v>
      </c>
      <c r="O62" s="208">
        <f t="shared" si="74"/>
        <v>1041.5277777777778</v>
      </c>
      <c r="P62" s="208">
        <f t="shared" si="74"/>
        <v>1041.5277777777778</v>
      </c>
      <c r="Q62" s="208">
        <f t="shared" si="74"/>
        <v>1041.5277777777778</v>
      </c>
      <c r="R62" s="208">
        <f t="shared" si="74"/>
        <v>1041.5277777777778</v>
      </c>
      <c r="S62" s="208">
        <f t="shared" si="74"/>
        <v>12498.333333333332</v>
      </c>
      <c r="T62" s="208">
        <f t="shared" si="74"/>
        <v>12498.333333333334</v>
      </c>
      <c r="U62" s="208">
        <f t="shared" si="74"/>
        <v>12498.333333333334</v>
      </c>
      <c r="V62" s="208">
        <f t="shared" si="74"/>
        <v>8478.3333333333339</v>
      </c>
      <c r="W62" s="208">
        <f t="shared" si="74"/>
        <v>8478.3333333333339</v>
      </c>
    </row>
    <row r="63" spans="2:23" x14ac:dyDescent="0.2">
      <c r="B63" s="207" t="s">
        <v>267</v>
      </c>
      <c r="C63" s="196"/>
      <c r="D63" s="196"/>
      <c r="E63" s="196"/>
      <c r="F63" s="327"/>
      <c r="G63" s="208">
        <f>F63</f>
        <v>0</v>
      </c>
      <c r="H63" s="208">
        <f t="shared" ref="H63:W63" si="75">G63</f>
        <v>0</v>
      </c>
      <c r="I63" s="208">
        <f t="shared" si="75"/>
        <v>0</v>
      </c>
      <c r="J63" s="208">
        <f t="shared" si="75"/>
        <v>0</v>
      </c>
      <c r="K63" s="208">
        <f t="shared" si="75"/>
        <v>0</v>
      </c>
      <c r="L63" s="208">
        <f t="shared" si="75"/>
        <v>0</v>
      </c>
      <c r="M63" s="208">
        <f t="shared" si="75"/>
        <v>0</v>
      </c>
      <c r="N63" s="208">
        <f t="shared" si="75"/>
        <v>0</v>
      </c>
      <c r="O63" s="208">
        <f t="shared" si="75"/>
        <v>0</v>
      </c>
      <c r="P63" s="208">
        <f t="shared" si="75"/>
        <v>0</v>
      </c>
      <c r="Q63" s="208">
        <f t="shared" si="75"/>
        <v>0</v>
      </c>
      <c r="R63" s="208">
        <f t="shared" si="75"/>
        <v>0</v>
      </c>
      <c r="S63" s="208">
        <f>SUM(G63:R63)</f>
        <v>0</v>
      </c>
      <c r="T63" s="208">
        <f t="shared" si="75"/>
        <v>0</v>
      </c>
      <c r="U63" s="208">
        <f t="shared" si="75"/>
        <v>0</v>
      </c>
      <c r="V63" s="208">
        <f t="shared" si="75"/>
        <v>0</v>
      </c>
      <c r="W63" s="208">
        <f t="shared" si="75"/>
        <v>0</v>
      </c>
    </row>
    <row r="64" spans="2:23" x14ac:dyDescent="0.2">
      <c r="B64" s="221" t="s">
        <v>268</v>
      </c>
      <c r="C64" s="221"/>
      <c r="D64" s="221"/>
      <c r="E64" s="221"/>
      <c r="F64" s="210"/>
      <c r="G64" s="209">
        <f t="shared" ref="G64" si="76">SUM(G61:G63)</f>
        <v>-2245.6058892615506</v>
      </c>
      <c r="H64" s="209">
        <f t="shared" ref="H64:W64" si="77">SUM(H61:H63)</f>
        <v>-1122.9144923234012</v>
      </c>
      <c r="I64" s="209">
        <f t="shared" si="77"/>
        <v>27.844189538180672</v>
      </c>
      <c r="J64" s="209">
        <f t="shared" si="77"/>
        <v>1207.3718384463323</v>
      </c>
      <c r="K64" s="209">
        <f t="shared" si="77"/>
        <v>-5497.4204015427567</v>
      </c>
      <c r="L64" s="209">
        <f t="shared" si="77"/>
        <v>-4258.1791654086373</v>
      </c>
      <c r="M64" s="209">
        <f t="shared" si="77"/>
        <v>-2987.9568983711829</v>
      </c>
      <c r="N64" s="209">
        <f t="shared" si="77"/>
        <v>-1685.9790746577887</v>
      </c>
      <c r="O64" s="209">
        <f t="shared" si="77"/>
        <v>-351.45180535156715</v>
      </c>
      <c r="P64" s="209">
        <f t="shared" si="77"/>
        <v>1016.4386456873294</v>
      </c>
      <c r="Q64" s="209">
        <f t="shared" si="77"/>
        <v>2336.526358002197</v>
      </c>
      <c r="R64" s="209">
        <f t="shared" si="77"/>
        <v>3690.0262631249175</v>
      </c>
      <c r="S64" s="209">
        <f t="shared" si="77"/>
        <v>-9871.3004321181616</v>
      </c>
      <c r="T64" s="209">
        <f t="shared" si="77"/>
        <v>17310.031636926542</v>
      </c>
      <c r="U64" s="209">
        <f t="shared" si="77"/>
        <v>25918.435574201889</v>
      </c>
      <c r="V64" s="209">
        <f t="shared" si="77"/>
        <v>35353.138873220967</v>
      </c>
      <c r="W64" s="209">
        <f t="shared" si="77"/>
        <v>45668.555643612715</v>
      </c>
    </row>
    <row r="65" spans="1:23" ht="5.0999999999999996" customHeight="1" x14ac:dyDescent="0.2">
      <c r="B65" s="223"/>
      <c r="C65" s="223"/>
      <c r="D65" s="223"/>
      <c r="E65" s="223"/>
      <c r="F65" s="225"/>
      <c r="G65" s="224"/>
      <c r="H65" s="224"/>
      <c r="I65" s="224"/>
      <c r="J65" s="224"/>
      <c r="K65" s="224"/>
      <c r="M65" s="222"/>
    </row>
    <row r="66" spans="1:23" x14ac:dyDescent="0.2">
      <c r="A66" s="179" t="s">
        <v>327</v>
      </c>
      <c r="B66" s="216" t="s">
        <v>330</v>
      </c>
      <c r="C66" s="226"/>
      <c r="D66" s="226"/>
      <c r="E66" s="226"/>
      <c r="F66" s="228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</row>
    <row r="67" spans="1:23" ht="5.0999999999999996" hidden="1" customHeight="1" outlineLevel="1" x14ac:dyDescent="0.2">
      <c r="B67" s="181"/>
      <c r="C67" s="223"/>
      <c r="D67" s="223"/>
      <c r="E67" s="223"/>
      <c r="F67" s="225"/>
      <c r="G67" s="224"/>
      <c r="H67" s="224"/>
      <c r="I67" s="224"/>
      <c r="J67" s="224"/>
      <c r="K67" s="224"/>
      <c r="M67" s="222"/>
    </row>
    <row r="68" spans="1:23" ht="11.25" hidden="1" customHeight="1" outlineLevel="1" x14ac:dyDescent="0.2">
      <c r="B68" s="196" t="s">
        <v>331</v>
      </c>
      <c r="C68" s="223"/>
      <c r="D68" s="223"/>
      <c r="E68" s="223"/>
      <c r="F68" s="225"/>
      <c r="G68" s="268"/>
      <c r="H68" s="224"/>
      <c r="I68" s="224"/>
      <c r="J68" s="224"/>
      <c r="K68" s="224"/>
      <c r="M68" s="222"/>
      <c r="S68" s="267"/>
    </row>
    <row r="69" spans="1:23" ht="11.25" hidden="1" customHeight="1" outlineLevel="1" x14ac:dyDescent="0.2">
      <c r="B69" s="199" t="s">
        <v>253</v>
      </c>
      <c r="C69" s="186"/>
      <c r="D69" s="186"/>
      <c r="E69" s="193"/>
      <c r="F69" s="190"/>
      <c r="G69" s="215">
        <v>0.05</v>
      </c>
      <c r="H69" s="215">
        <v>0.05</v>
      </c>
      <c r="I69" s="215">
        <v>0.05</v>
      </c>
      <c r="J69" s="215">
        <v>0.05</v>
      </c>
      <c r="K69" s="215">
        <v>0.05</v>
      </c>
      <c r="L69" s="215">
        <v>0.05</v>
      </c>
      <c r="M69" s="215">
        <v>0.05</v>
      </c>
      <c r="N69" s="215">
        <v>0.05</v>
      </c>
      <c r="O69" s="215">
        <v>0.05</v>
      </c>
      <c r="P69" s="215">
        <v>0.05</v>
      </c>
      <c r="Q69" s="215">
        <v>0.05</v>
      </c>
      <c r="R69" s="215">
        <v>0.05</v>
      </c>
      <c r="S69" s="215">
        <v>0.15</v>
      </c>
      <c r="T69" s="215">
        <v>0.15</v>
      </c>
      <c r="U69" s="215">
        <v>0.15</v>
      </c>
      <c r="V69" s="215">
        <v>0.15</v>
      </c>
      <c r="W69" s="215">
        <v>0.15</v>
      </c>
    </row>
    <row r="70" spans="1:23" ht="11.25" hidden="1" customHeight="1" outlineLevel="1" x14ac:dyDescent="0.2">
      <c r="B70" s="199" t="s">
        <v>254</v>
      </c>
      <c r="C70" s="186"/>
      <c r="D70" s="186"/>
      <c r="E70" s="193"/>
      <c r="F70" s="190"/>
      <c r="G70" s="215">
        <v>2.5000000000000001E-2</v>
      </c>
      <c r="H70" s="215">
        <v>2.5000000000000001E-2</v>
      </c>
      <c r="I70" s="215">
        <v>2.5000000000000001E-2</v>
      </c>
      <c r="J70" s="215">
        <v>2.5000000000000001E-2</v>
      </c>
      <c r="K70" s="215">
        <v>2.5000000000000001E-2</v>
      </c>
      <c r="L70" s="215">
        <v>2.5000000000000001E-2</v>
      </c>
      <c r="M70" s="215">
        <v>2.5000000000000001E-2</v>
      </c>
      <c r="N70" s="215">
        <v>2.5000000000000001E-2</v>
      </c>
      <c r="O70" s="215">
        <v>2.5000000000000001E-2</v>
      </c>
      <c r="P70" s="215">
        <v>2.5000000000000001E-2</v>
      </c>
      <c r="Q70" s="215">
        <v>2.5000000000000001E-2</v>
      </c>
      <c r="R70" s="215">
        <v>2.5000000000000001E-2</v>
      </c>
      <c r="S70" s="215">
        <v>7.0000000000000007E-2</v>
      </c>
      <c r="T70" s="215">
        <v>7.0000000000000007E-2</v>
      </c>
      <c r="U70" s="215">
        <v>7.0000000000000007E-2</v>
      </c>
      <c r="V70" s="215">
        <v>7.0000000000000007E-2</v>
      </c>
      <c r="W70" s="215">
        <v>7.0000000000000007E-2</v>
      </c>
    </row>
    <row r="71" spans="1:23" ht="11.25" hidden="1" customHeight="1" outlineLevel="1" x14ac:dyDescent="0.2">
      <c r="B71" s="199" t="s">
        <v>255</v>
      </c>
      <c r="C71" s="186"/>
      <c r="D71" s="186"/>
      <c r="E71" s="193"/>
      <c r="F71" s="190"/>
      <c r="G71" s="215">
        <v>0</v>
      </c>
      <c r="H71" s="215">
        <v>0</v>
      </c>
      <c r="I71" s="215">
        <v>0</v>
      </c>
      <c r="J71" s="215">
        <v>0</v>
      </c>
      <c r="K71" s="215">
        <v>0</v>
      </c>
      <c r="L71" s="215">
        <v>0</v>
      </c>
      <c r="M71" s="215">
        <v>0</v>
      </c>
      <c r="N71" s="215">
        <v>0</v>
      </c>
      <c r="O71" s="215">
        <v>0</v>
      </c>
      <c r="P71" s="215">
        <v>0</v>
      </c>
      <c r="Q71" s="215">
        <v>0</v>
      </c>
      <c r="R71" s="215">
        <v>0</v>
      </c>
      <c r="S71" s="215">
        <v>0</v>
      </c>
      <c r="T71" s="215">
        <v>0</v>
      </c>
      <c r="U71" s="215">
        <v>0</v>
      </c>
      <c r="V71" s="215">
        <v>0</v>
      </c>
      <c r="W71" s="215">
        <v>0</v>
      </c>
    </row>
    <row r="72" spans="1:23" ht="5.0999999999999996" hidden="1" customHeight="1" outlineLevel="1" x14ac:dyDescent="0.2">
      <c r="B72" s="181"/>
      <c r="C72" s="223"/>
      <c r="D72" s="223"/>
      <c r="E72" s="223"/>
      <c r="F72" s="225"/>
      <c r="G72" s="224"/>
      <c r="H72" s="224"/>
      <c r="I72" s="224"/>
      <c r="J72" s="224"/>
      <c r="K72" s="224"/>
      <c r="M72" s="222"/>
    </row>
    <row r="73" spans="1:23" s="196" customFormat="1" ht="11.25" hidden="1" customHeight="1" outlineLevel="1" x14ac:dyDescent="0.2">
      <c r="A73" s="192"/>
      <c r="B73" s="229" t="s">
        <v>339</v>
      </c>
      <c r="C73" s="180"/>
      <c r="D73" s="180"/>
      <c r="F73" s="194"/>
      <c r="G73" s="224"/>
      <c r="H73" s="224"/>
      <c r="I73" s="224"/>
      <c r="J73" s="224"/>
      <c r="K73" s="224"/>
    </row>
    <row r="74" spans="1:23" s="196" customFormat="1" ht="11.25" hidden="1" customHeight="1" outlineLevel="1" x14ac:dyDescent="0.2">
      <c r="A74" s="192"/>
      <c r="B74" s="199" t="s">
        <v>253</v>
      </c>
      <c r="C74" s="180"/>
      <c r="D74" s="180"/>
      <c r="F74" s="194"/>
      <c r="G74" s="215">
        <v>0</v>
      </c>
      <c r="H74" s="215">
        <v>0</v>
      </c>
      <c r="I74" s="215">
        <v>0</v>
      </c>
      <c r="J74" s="215">
        <v>0</v>
      </c>
      <c r="K74" s="215">
        <v>0</v>
      </c>
      <c r="L74" s="215">
        <v>0</v>
      </c>
      <c r="M74" s="215">
        <v>0</v>
      </c>
      <c r="N74" s="215">
        <v>0</v>
      </c>
      <c r="O74" s="215">
        <v>0</v>
      </c>
      <c r="P74" s="215">
        <v>0</v>
      </c>
      <c r="Q74" s="215">
        <v>0</v>
      </c>
      <c r="R74" s="215">
        <v>0</v>
      </c>
      <c r="S74" s="215">
        <v>0.12</v>
      </c>
      <c r="T74" s="215">
        <v>0.12</v>
      </c>
      <c r="U74" s="215">
        <v>0.12</v>
      </c>
      <c r="V74" s="215">
        <v>0.12</v>
      </c>
      <c r="W74" s="215">
        <v>0.12</v>
      </c>
    </row>
    <row r="75" spans="1:23" s="196" customFormat="1" ht="11.25" hidden="1" customHeight="1" outlineLevel="1" x14ac:dyDescent="0.2">
      <c r="A75" s="192"/>
      <c r="B75" s="199" t="s">
        <v>254</v>
      </c>
      <c r="C75" s="180"/>
      <c r="D75" s="180"/>
      <c r="F75" s="194"/>
      <c r="G75" s="215">
        <v>0</v>
      </c>
      <c r="H75" s="215">
        <v>0</v>
      </c>
      <c r="I75" s="215">
        <v>0</v>
      </c>
      <c r="J75" s="215">
        <v>0</v>
      </c>
      <c r="K75" s="215">
        <v>0</v>
      </c>
      <c r="L75" s="215">
        <v>0</v>
      </c>
      <c r="M75" s="215">
        <v>0</v>
      </c>
      <c r="N75" s="215">
        <v>0</v>
      </c>
      <c r="O75" s="215">
        <v>0</v>
      </c>
      <c r="P75" s="215">
        <v>0</v>
      </c>
      <c r="Q75" s="215">
        <v>0</v>
      </c>
      <c r="R75" s="215">
        <v>0</v>
      </c>
      <c r="S75" s="215">
        <v>0.05</v>
      </c>
      <c r="T75" s="215">
        <v>0.05</v>
      </c>
      <c r="U75" s="215">
        <v>0.05</v>
      </c>
      <c r="V75" s="215">
        <v>0.05</v>
      </c>
      <c r="W75" s="215">
        <v>0.05</v>
      </c>
    </row>
    <row r="76" spans="1:23" s="196" customFormat="1" ht="11.25" hidden="1" customHeight="1" outlineLevel="1" x14ac:dyDescent="0.2">
      <c r="A76" s="192"/>
      <c r="B76" s="199" t="s">
        <v>255</v>
      </c>
      <c r="C76" s="180"/>
      <c r="D76" s="180"/>
      <c r="F76" s="194"/>
      <c r="G76" s="215">
        <v>0</v>
      </c>
      <c r="H76" s="215">
        <v>0</v>
      </c>
      <c r="I76" s="215">
        <v>0</v>
      </c>
      <c r="J76" s="215">
        <v>0</v>
      </c>
      <c r="K76" s="215">
        <v>0</v>
      </c>
      <c r="L76" s="215">
        <v>0</v>
      </c>
      <c r="M76" s="215">
        <v>0</v>
      </c>
      <c r="N76" s="215">
        <v>0</v>
      </c>
      <c r="O76" s="215">
        <v>0</v>
      </c>
      <c r="P76" s="215">
        <v>0</v>
      </c>
      <c r="Q76" s="215">
        <v>0</v>
      </c>
      <c r="R76" s="215">
        <v>0</v>
      </c>
      <c r="S76" s="215">
        <v>0.02</v>
      </c>
      <c r="T76" s="215">
        <v>0.02</v>
      </c>
      <c r="U76" s="215">
        <v>0.02</v>
      </c>
      <c r="V76" s="215">
        <v>0.02</v>
      </c>
      <c r="W76" s="215">
        <v>0.02</v>
      </c>
    </row>
    <row r="77" spans="1:23" s="270" customFormat="1" ht="5.0999999999999996" hidden="1" customHeight="1" outlineLevel="1" x14ac:dyDescent="0.2">
      <c r="A77" s="322"/>
      <c r="B77" s="323"/>
      <c r="F77" s="324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</row>
    <row r="78" spans="1:23" s="270" customFormat="1" ht="11.25" hidden="1" customHeight="1" outlineLevel="1" x14ac:dyDescent="0.2">
      <c r="A78" s="322"/>
      <c r="B78" s="229" t="s">
        <v>359</v>
      </c>
      <c r="F78" s="324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</row>
    <row r="79" spans="1:23" s="270" customFormat="1" ht="11.25" hidden="1" customHeight="1" outlineLevel="1" x14ac:dyDescent="0.2">
      <c r="A79" s="322"/>
      <c r="B79" s="199" t="s">
        <v>253</v>
      </c>
      <c r="F79" s="324"/>
      <c r="G79" s="215">
        <v>0.04</v>
      </c>
      <c r="H79" s="215">
        <v>0.04</v>
      </c>
      <c r="I79" s="215">
        <v>0.04</v>
      </c>
      <c r="J79" s="215">
        <v>0.04</v>
      </c>
      <c r="K79" s="215">
        <v>0.04</v>
      </c>
      <c r="L79" s="215">
        <v>0.04</v>
      </c>
      <c r="M79" s="215">
        <v>0.04</v>
      </c>
      <c r="N79" s="215">
        <v>0.04</v>
      </c>
      <c r="O79" s="215">
        <v>0.04</v>
      </c>
      <c r="P79" s="215">
        <v>0.04</v>
      </c>
      <c r="Q79" s="215">
        <v>0.04</v>
      </c>
      <c r="R79" s="215">
        <v>0.04</v>
      </c>
      <c r="S79" s="215">
        <v>0.04</v>
      </c>
      <c r="T79" s="215">
        <v>0.04</v>
      </c>
      <c r="U79" s="215">
        <v>0.04</v>
      </c>
      <c r="V79" s="215">
        <v>0.04</v>
      </c>
      <c r="W79" s="215">
        <v>0.04</v>
      </c>
    </row>
    <row r="80" spans="1:23" s="270" customFormat="1" ht="11.25" hidden="1" customHeight="1" outlineLevel="1" x14ac:dyDescent="0.2">
      <c r="A80" s="322"/>
      <c r="B80" s="199" t="s">
        <v>254</v>
      </c>
      <c r="F80" s="324"/>
      <c r="G80" s="215">
        <v>0.02</v>
      </c>
      <c r="H80" s="215">
        <v>0.02</v>
      </c>
      <c r="I80" s="215">
        <v>0.02</v>
      </c>
      <c r="J80" s="215">
        <v>0.02</v>
      </c>
      <c r="K80" s="215">
        <v>0.02</v>
      </c>
      <c r="L80" s="215">
        <v>0.02</v>
      </c>
      <c r="M80" s="215">
        <v>0.02</v>
      </c>
      <c r="N80" s="215">
        <v>0.02</v>
      </c>
      <c r="O80" s="215">
        <v>0.02</v>
      </c>
      <c r="P80" s="215">
        <v>0.02</v>
      </c>
      <c r="Q80" s="215">
        <v>0.02</v>
      </c>
      <c r="R80" s="215">
        <v>0.02</v>
      </c>
      <c r="S80" s="215">
        <v>0.02</v>
      </c>
      <c r="T80" s="215">
        <v>0.02</v>
      </c>
      <c r="U80" s="215">
        <v>0.02</v>
      </c>
      <c r="V80" s="215">
        <v>0.02</v>
      </c>
      <c r="W80" s="215">
        <v>0.02</v>
      </c>
    </row>
    <row r="81" spans="1:25" s="270" customFormat="1" ht="11.25" hidden="1" customHeight="1" outlineLevel="1" x14ac:dyDescent="0.2">
      <c r="A81" s="322"/>
      <c r="B81" s="199" t="s">
        <v>255</v>
      </c>
      <c r="F81" s="324"/>
      <c r="G81" s="215">
        <v>0</v>
      </c>
      <c r="H81" s="215">
        <v>0</v>
      </c>
      <c r="I81" s="215">
        <v>0</v>
      </c>
      <c r="J81" s="215">
        <v>0</v>
      </c>
      <c r="K81" s="215">
        <v>0</v>
      </c>
      <c r="L81" s="215">
        <v>0</v>
      </c>
      <c r="M81" s="215">
        <v>0</v>
      </c>
      <c r="N81" s="215">
        <v>0</v>
      </c>
      <c r="O81" s="215">
        <v>0</v>
      </c>
      <c r="P81" s="215">
        <v>0</v>
      </c>
      <c r="Q81" s="215">
        <v>0</v>
      </c>
      <c r="R81" s="215">
        <v>0</v>
      </c>
      <c r="S81" s="215">
        <v>0</v>
      </c>
      <c r="T81" s="215">
        <v>0</v>
      </c>
      <c r="U81" s="215">
        <v>0</v>
      </c>
      <c r="V81" s="215">
        <v>0</v>
      </c>
      <c r="W81" s="215">
        <v>0</v>
      </c>
    </row>
    <row r="82" spans="1:25" s="196" customFormat="1" ht="11.25" customHeight="1" collapsed="1" x14ac:dyDescent="0.2">
      <c r="A82" s="192"/>
      <c r="B82" s="229"/>
      <c r="C82" s="180"/>
      <c r="D82" s="180"/>
      <c r="F82" s="194"/>
      <c r="G82" s="269"/>
      <c r="H82" s="269"/>
      <c r="I82" s="269"/>
      <c r="J82" s="269"/>
      <c r="K82" s="269"/>
      <c r="L82" s="270"/>
      <c r="M82" s="270"/>
      <c r="N82" s="270"/>
      <c r="O82" s="270"/>
      <c r="P82" s="270"/>
    </row>
    <row r="83" spans="1:25" ht="3" customHeight="1" x14ac:dyDescent="0.2">
      <c r="F83" s="230"/>
    </row>
    <row r="84" spans="1:25" x14ac:dyDescent="0.2">
      <c r="A84" s="179" t="s">
        <v>327</v>
      </c>
      <c r="B84" s="266" t="s">
        <v>269</v>
      </c>
      <c r="C84" s="266"/>
      <c r="D84" s="266"/>
      <c r="E84" s="266"/>
      <c r="F84" s="46" t="str">
        <f t="shared" ref="F84:W84" si="78">F6</f>
        <v>20X7</v>
      </c>
      <c r="G84" s="46" t="str">
        <f t="shared" si="78"/>
        <v>20X8</v>
      </c>
      <c r="H84" s="46" t="str">
        <f t="shared" si="78"/>
        <v>20X8</v>
      </c>
      <c r="I84" s="46" t="str">
        <f t="shared" si="78"/>
        <v>20X8</v>
      </c>
      <c r="J84" s="46" t="str">
        <f t="shared" si="78"/>
        <v>20X8</v>
      </c>
      <c r="K84" s="46" t="str">
        <f t="shared" si="78"/>
        <v>20X8</v>
      </c>
      <c r="L84" s="46" t="str">
        <f t="shared" si="78"/>
        <v>20X8</v>
      </c>
      <c r="M84" s="46" t="str">
        <f t="shared" si="78"/>
        <v>20X8</v>
      </c>
      <c r="N84" s="46" t="str">
        <f t="shared" si="78"/>
        <v>20X8</v>
      </c>
      <c r="O84" s="46" t="str">
        <f t="shared" si="78"/>
        <v>20X8</v>
      </c>
      <c r="P84" s="46" t="str">
        <f t="shared" si="78"/>
        <v>20X8</v>
      </c>
      <c r="Q84" s="46" t="str">
        <f t="shared" si="78"/>
        <v>20X8</v>
      </c>
      <c r="R84" s="46" t="str">
        <f t="shared" si="78"/>
        <v>20X8</v>
      </c>
      <c r="S84" s="46" t="str">
        <f t="shared" si="78"/>
        <v>20X8</v>
      </c>
      <c r="T84" s="46" t="str">
        <f t="shared" si="78"/>
        <v>20X9</v>
      </c>
      <c r="U84" s="46" t="str">
        <f t="shared" si="78"/>
        <v>20Y1</v>
      </c>
      <c r="V84" s="46" t="str">
        <f t="shared" si="78"/>
        <v>20Y2</v>
      </c>
      <c r="W84" s="46" t="str">
        <f t="shared" si="78"/>
        <v>20Y3</v>
      </c>
    </row>
    <row r="85" spans="1:25" ht="3" customHeight="1" x14ac:dyDescent="0.2">
      <c r="F85" s="230"/>
    </row>
    <row r="86" spans="1:25" x14ac:dyDescent="0.2">
      <c r="B86" s="231" t="s">
        <v>270</v>
      </c>
      <c r="C86" s="231"/>
      <c r="D86" s="231"/>
      <c r="E86" s="231"/>
      <c r="F86" s="232"/>
    </row>
    <row r="87" spans="1:25" x14ac:dyDescent="0.2">
      <c r="B87" s="233" t="s">
        <v>271</v>
      </c>
      <c r="C87" s="233"/>
      <c r="D87" s="233"/>
      <c r="E87" s="233"/>
      <c r="F87" s="201">
        <v>100000</v>
      </c>
      <c r="G87" s="206">
        <f ca="1">G148</f>
        <v>25604.443086102867</v>
      </c>
      <c r="H87" s="206">
        <f ca="1">H148</f>
        <v>21427.164815441865</v>
      </c>
      <c r="I87" s="206">
        <f ca="1">I148</f>
        <v>21727.282400024724</v>
      </c>
      <c r="J87" s="206">
        <f ca="1">J148</f>
        <v>20992.15859932017</v>
      </c>
      <c r="K87" s="206">
        <f ca="1">K148</f>
        <v>14894.568634597941</v>
      </c>
      <c r="L87" s="206">
        <f t="shared" ref="L87:W87" ca="1" si="79">L148</f>
        <v>8664.7329655004432</v>
      </c>
      <c r="M87" s="206">
        <f t="shared" ca="1" si="79"/>
        <v>4832.5558018399206</v>
      </c>
      <c r="N87" s="206">
        <f t="shared" ca="1" si="79"/>
        <v>2000</v>
      </c>
      <c r="O87" s="206">
        <f t="shared" ca="1" si="79"/>
        <v>2000</v>
      </c>
      <c r="P87" s="206">
        <f t="shared" ca="1" si="79"/>
        <v>2000</v>
      </c>
      <c r="Q87" s="206">
        <f t="shared" ca="1" si="79"/>
        <v>2000</v>
      </c>
      <c r="R87" s="206">
        <f t="shared" ca="1" si="79"/>
        <v>2274.5860385223455</v>
      </c>
      <c r="S87" s="206">
        <f t="shared" ca="1" si="79"/>
        <v>8227.7981714842026</v>
      </c>
      <c r="T87" s="206">
        <f t="shared" ca="1" si="79"/>
        <v>13608.561183906484</v>
      </c>
      <c r="U87" s="206">
        <f t="shared" ca="1" si="79"/>
        <v>27267.575129863144</v>
      </c>
      <c r="V87" s="206">
        <f t="shared" ca="1" si="79"/>
        <v>49432.281932204634</v>
      </c>
      <c r="W87" s="206">
        <f t="shared" ca="1" si="79"/>
        <v>81375.406493982242</v>
      </c>
      <c r="X87" s="206"/>
    </row>
    <row r="88" spans="1:25" x14ac:dyDescent="0.2">
      <c r="B88" s="233" t="s">
        <v>272</v>
      </c>
      <c r="C88" s="233"/>
      <c r="D88" s="233"/>
      <c r="E88" s="233"/>
      <c r="F88" s="327"/>
      <c r="G88" s="202">
        <f>G8/G$3*G117</f>
        <v>17596.017239963126</v>
      </c>
      <c r="H88" s="202">
        <f t="shared" ref="H88:R88" si="80">H8/H$3*H117</f>
        <v>19968.337421422439</v>
      </c>
      <c r="I88" s="202">
        <f t="shared" si="80"/>
        <v>18486.815612736256</v>
      </c>
      <c r="J88" s="202">
        <f t="shared" si="80"/>
        <v>19580.618869823153</v>
      </c>
      <c r="K88" s="202">
        <f t="shared" si="80"/>
        <v>19422.710653131027</v>
      </c>
      <c r="L88" s="202">
        <f t="shared" si="80"/>
        <v>20571.887700107942</v>
      </c>
      <c r="M88" s="202">
        <f t="shared" si="80"/>
        <v>20405.985379945781</v>
      </c>
      <c r="N88" s="202">
        <f t="shared" si="80"/>
        <v>20916.135014444422</v>
      </c>
      <c r="O88" s="202">
        <f t="shared" si="80"/>
        <v>22153.673002799049</v>
      </c>
      <c r="P88" s="202">
        <f t="shared" si="80"/>
        <v>21975.014349550671</v>
      </c>
      <c r="Q88" s="202">
        <f t="shared" si="80"/>
        <v>23275.202698565754</v>
      </c>
      <c r="R88" s="202">
        <f t="shared" si="80"/>
        <v>23087.499450996675</v>
      </c>
      <c r="S88" s="202">
        <f>S8/365*S117</f>
        <v>20616.850478527431</v>
      </c>
      <c r="T88" s="202">
        <f>T8/365*T117</f>
        <v>22060.030012024348</v>
      </c>
      <c r="U88" s="202">
        <f>U8/365*U117</f>
        <v>23604.232112866051</v>
      </c>
      <c r="V88" s="202">
        <f>V8/365*V117</f>
        <v>25256.528360766679</v>
      </c>
      <c r="W88" s="202">
        <f>W8/365*W117</f>
        <v>27024.485346020352</v>
      </c>
      <c r="X88" s="206"/>
    </row>
    <row r="89" spans="1:25" x14ac:dyDescent="0.2">
      <c r="B89" s="233" t="s">
        <v>273</v>
      </c>
      <c r="C89" s="233"/>
      <c r="D89" s="233"/>
      <c r="E89" s="233"/>
      <c r="F89" s="327"/>
      <c r="G89" s="202">
        <f>G25/G$3*G118</f>
        <v>7358.8236459826076</v>
      </c>
      <c r="H89" s="202">
        <f t="shared" ref="H89:R89" si="81">H25/H$3*H118</f>
        <v>8284.5678553477501</v>
      </c>
      <c r="I89" s="202">
        <f t="shared" si="81"/>
        <v>7609.9476144232303</v>
      </c>
      <c r="J89" s="202">
        <f t="shared" si="81"/>
        <v>7998.2454682312591</v>
      </c>
      <c r="K89" s="202">
        <f t="shared" si="81"/>
        <v>8639.6371286164722</v>
      </c>
      <c r="L89" s="202">
        <f t="shared" si="81"/>
        <v>9069.0737584806338</v>
      </c>
      <c r="M89" s="202">
        <f t="shared" si="81"/>
        <v>8916.831002126135</v>
      </c>
      <c r="N89" s="202">
        <f t="shared" si="81"/>
        <v>9060.6467124254395</v>
      </c>
      <c r="O89" s="202">
        <f t="shared" si="81"/>
        <v>9514.9930759983017</v>
      </c>
      <c r="P89" s="202">
        <f t="shared" si="81"/>
        <v>9359.1541961154344</v>
      </c>
      <c r="Q89" s="202">
        <f t="shared" si="81"/>
        <v>9831.1622524732866</v>
      </c>
      <c r="R89" s="202">
        <f t="shared" si="81"/>
        <v>9672.7736211672345</v>
      </c>
      <c r="S89" s="202">
        <f>S25/365*S118</f>
        <v>8776.7790908268362</v>
      </c>
      <c r="T89" s="202">
        <f>T25/365*T118</f>
        <v>9326.7232070983646</v>
      </c>
      <c r="U89" s="202">
        <f>U25/365*U118</f>
        <v>9912.3014316004774</v>
      </c>
      <c r="V89" s="202">
        <f>V25/365*V118</f>
        <v>10502.82395702348</v>
      </c>
      <c r="W89" s="202">
        <f>W25/365*W118</f>
        <v>11166.881698979791</v>
      </c>
      <c r="X89" s="206"/>
    </row>
    <row r="90" spans="1:25" x14ac:dyDescent="0.2">
      <c r="B90" s="234" t="s">
        <v>274</v>
      </c>
      <c r="C90" s="234"/>
      <c r="D90" s="234"/>
      <c r="E90" s="234"/>
      <c r="F90" s="327"/>
      <c r="G90" s="206">
        <f>F90</f>
        <v>0</v>
      </c>
      <c r="H90" s="206">
        <f t="shared" ref="H90:K90" si="82">G90</f>
        <v>0</v>
      </c>
      <c r="I90" s="206">
        <f t="shared" si="82"/>
        <v>0</v>
      </c>
      <c r="J90" s="206">
        <f t="shared" si="82"/>
        <v>0</v>
      </c>
      <c r="K90" s="206">
        <f t="shared" si="82"/>
        <v>0</v>
      </c>
      <c r="L90" s="206">
        <f t="shared" ref="L90" si="83">K90</f>
        <v>0</v>
      </c>
      <c r="M90" s="206">
        <f t="shared" ref="M90" si="84">L90</f>
        <v>0</v>
      </c>
      <c r="N90" s="206">
        <f t="shared" ref="N90" si="85">M90</f>
        <v>0</v>
      </c>
      <c r="O90" s="206">
        <f t="shared" ref="O90" si="86">N90</f>
        <v>0</v>
      </c>
      <c r="P90" s="206">
        <f t="shared" ref="P90" si="87">O90</f>
        <v>0</v>
      </c>
      <c r="Q90" s="206">
        <f t="shared" ref="Q90" si="88">P90</f>
        <v>0</v>
      </c>
      <c r="R90" s="206">
        <f t="shared" ref="R90:S90" si="89">Q90</f>
        <v>0</v>
      </c>
      <c r="S90" s="206">
        <f t="shared" si="89"/>
        <v>0</v>
      </c>
      <c r="T90" s="206">
        <f t="shared" ref="T90" si="90">S90</f>
        <v>0</v>
      </c>
      <c r="U90" s="206">
        <f t="shared" ref="U90" si="91">T90</f>
        <v>0</v>
      </c>
      <c r="V90" s="206">
        <f t="shared" ref="V90" si="92">U90</f>
        <v>0</v>
      </c>
      <c r="W90" s="206">
        <f t="shared" ref="W90" si="93">V90</f>
        <v>0</v>
      </c>
      <c r="X90" s="206"/>
    </row>
    <row r="91" spans="1:25" x14ac:dyDescent="0.2">
      <c r="B91" s="235" t="s">
        <v>275</v>
      </c>
      <c r="C91" s="235"/>
      <c r="D91" s="235"/>
      <c r="E91" s="235"/>
      <c r="F91" s="237"/>
      <c r="G91" s="236">
        <f ca="1">SUM(G87:G90)</f>
        <v>50559.283972048601</v>
      </c>
      <c r="H91" s="236">
        <f t="shared" ref="H91:K91" ca="1" si="94">SUM(H87:H90)</f>
        <v>49680.070092212052</v>
      </c>
      <c r="I91" s="236">
        <f t="shared" ca="1" si="94"/>
        <v>47824.045627184212</v>
      </c>
      <c r="J91" s="236">
        <f t="shared" ca="1" si="94"/>
        <v>48571.022937374582</v>
      </c>
      <c r="K91" s="236">
        <f t="shared" ca="1" si="94"/>
        <v>42956.916416345441</v>
      </c>
      <c r="L91" s="236">
        <f t="shared" ref="L91:R91" ca="1" si="95">SUM(L87:L90)</f>
        <v>38305.694424089015</v>
      </c>
      <c r="M91" s="236">
        <f t="shared" ca="1" si="95"/>
        <v>34155.372183911837</v>
      </c>
      <c r="N91" s="236">
        <f t="shared" ca="1" si="95"/>
        <v>31976.781726869864</v>
      </c>
      <c r="O91" s="236">
        <f t="shared" ca="1" si="95"/>
        <v>33668.666078797352</v>
      </c>
      <c r="P91" s="236">
        <f t="shared" ca="1" si="95"/>
        <v>33334.168545666107</v>
      </c>
      <c r="Q91" s="236">
        <f t="shared" ca="1" si="95"/>
        <v>35106.364951039039</v>
      </c>
      <c r="R91" s="236">
        <f t="shared" ca="1" si="95"/>
        <v>35034.859110686259</v>
      </c>
      <c r="S91" s="236">
        <f t="shared" ref="S91:W91" ca="1" si="96">SUM(S87:S90)</f>
        <v>37621.427740838466</v>
      </c>
      <c r="T91" s="236">
        <f t="shared" ca="1" si="96"/>
        <v>44995.314403029195</v>
      </c>
      <c r="U91" s="236">
        <f t="shared" ca="1" si="96"/>
        <v>60784.108674329669</v>
      </c>
      <c r="V91" s="236">
        <f t="shared" ca="1" si="96"/>
        <v>85191.634249994793</v>
      </c>
      <c r="W91" s="236">
        <f t="shared" ca="1" si="96"/>
        <v>119566.77353898238</v>
      </c>
      <c r="X91" s="206"/>
    </row>
    <row r="92" spans="1:25" ht="3" customHeight="1" x14ac:dyDescent="0.2">
      <c r="B92" s="199"/>
      <c r="C92" s="199"/>
      <c r="D92" s="199"/>
      <c r="E92" s="199"/>
      <c r="F92" s="232"/>
      <c r="M92" s="206"/>
    </row>
    <row r="93" spans="1:25" x14ac:dyDescent="0.2">
      <c r="B93" s="231" t="s">
        <v>276</v>
      </c>
      <c r="C93" s="231"/>
      <c r="D93" s="231"/>
      <c r="E93" s="231"/>
      <c r="F93" s="232"/>
      <c r="M93" s="206"/>
    </row>
    <row r="94" spans="1:25" x14ac:dyDescent="0.2">
      <c r="B94" s="233" t="s">
        <v>277</v>
      </c>
      <c r="C94" s="233"/>
      <c r="D94" s="233"/>
      <c r="E94" s="233"/>
      <c r="F94" s="327"/>
      <c r="G94" s="206">
        <f>G195</f>
        <v>54968.472222222219</v>
      </c>
      <c r="H94" s="206">
        <f t="shared" ref="H94:W94" si="97">H195</f>
        <v>53926.944444444438</v>
      </c>
      <c r="I94" s="206">
        <f t="shared" si="97"/>
        <v>52885.416666666657</v>
      </c>
      <c r="J94" s="206">
        <f t="shared" si="97"/>
        <v>51843.888888888876</v>
      </c>
      <c r="K94" s="206">
        <f t="shared" si="97"/>
        <v>50802.361111111095</v>
      </c>
      <c r="L94" s="206">
        <f t="shared" si="97"/>
        <v>49760.833333333314</v>
      </c>
      <c r="M94" s="206">
        <f t="shared" si="97"/>
        <v>48719.305555555533</v>
      </c>
      <c r="N94" s="206">
        <f t="shared" si="97"/>
        <v>47677.777777777752</v>
      </c>
      <c r="O94" s="206">
        <f t="shared" si="97"/>
        <v>46636.249999999971</v>
      </c>
      <c r="P94" s="206">
        <f t="shared" si="97"/>
        <v>45594.72222222219</v>
      </c>
      <c r="Q94" s="206">
        <f t="shared" si="97"/>
        <v>44553.194444444409</v>
      </c>
      <c r="R94" s="206">
        <f t="shared" si="97"/>
        <v>43511.666666666628</v>
      </c>
      <c r="S94" s="206">
        <f t="shared" si="97"/>
        <v>43511.666666666672</v>
      </c>
      <c r="T94" s="206">
        <f t="shared" si="97"/>
        <v>31013.333333333336</v>
      </c>
      <c r="U94" s="206">
        <f t="shared" si="97"/>
        <v>18515</v>
      </c>
      <c r="V94" s="206">
        <f t="shared" si="97"/>
        <v>10036.666666666666</v>
      </c>
      <c r="W94" s="206">
        <f t="shared" si="97"/>
        <v>1558.3333333333321</v>
      </c>
      <c r="X94" s="206"/>
    </row>
    <row r="95" spans="1:25" ht="3" customHeight="1" x14ac:dyDescent="0.2">
      <c r="F95" s="232"/>
      <c r="M95" s="206"/>
    </row>
    <row r="96" spans="1:25" x14ac:dyDescent="0.2">
      <c r="B96" s="238" t="s">
        <v>278</v>
      </c>
      <c r="C96" s="238"/>
      <c r="D96" s="238"/>
      <c r="E96" s="238"/>
      <c r="F96" s="237"/>
      <c r="G96" s="236">
        <f t="shared" ref="G96:V96" ca="1" si="98">G91+G94</f>
        <v>105527.75619427083</v>
      </c>
      <c r="H96" s="236">
        <f t="shared" ca="1" si="98"/>
        <v>103607.0145366565</v>
      </c>
      <c r="I96" s="236">
        <f t="shared" ca="1" si="98"/>
        <v>100709.46229385087</v>
      </c>
      <c r="J96" s="236">
        <f t="shared" ca="1" si="98"/>
        <v>100414.91182626346</v>
      </c>
      <c r="K96" s="236">
        <f t="shared" ca="1" si="98"/>
        <v>93759.277527456536</v>
      </c>
      <c r="L96" s="236">
        <f t="shared" ca="1" si="98"/>
        <v>88066.527757422329</v>
      </c>
      <c r="M96" s="236">
        <f t="shared" ca="1" si="98"/>
        <v>82874.67773946737</v>
      </c>
      <c r="N96" s="236">
        <f t="shared" ca="1" si="98"/>
        <v>79654.559504647623</v>
      </c>
      <c r="O96" s="236">
        <f t="shared" ca="1" si="98"/>
        <v>80304.916078797323</v>
      </c>
      <c r="P96" s="236">
        <f t="shared" ca="1" si="98"/>
        <v>78928.890767888297</v>
      </c>
      <c r="Q96" s="236">
        <f t="shared" ca="1" si="98"/>
        <v>79659.559395483448</v>
      </c>
      <c r="R96" s="236">
        <f t="shared" ca="1" si="98"/>
        <v>78546.525777352887</v>
      </c>
      <c r="S96" s="236">
        <f t="shared" ca="1" si="98"/>
        <v>81133.094407505137</v>
      </c>
      <c r="T96" s="236">
        <f t="shared" ca="1" si="98"/>
        <v>76008.647736362531</v>
      </c>
      <c r="U96" s="236">
        <f t="shared" ca="1" si="98"/>
        <v>79299.108674329676</v>
      </c>
      <c r="V96" s="236">
        <f t="shared" ca="1" si="98"/>
        <v>95228.300916661465</v>
      </c>
      <c r="W96" s="236">
        <f ca="1">W91+W94</f>
        <v>121125.10687231571</v>
      </c>
      <c r="X96" s="206"/>
      <c r="Y96" s="206"/>
    </row>
    <row r="97" spans="2:25" ht="3" customHeight="1" x14ac:dyDescent="0.2">
      <c r="F97" s="232"/>
      <c r="M97" s="206"/>
    </row>
    <row r="98" spans="2:25" x14ac:dyDescent="0.2">
      <c r="B98" s="231" t="s">
        <v>279</v>
      </c>
      <c r="C98" s="231"/>
      <c r="D98" s="231"/>
      <c r="E98" s="231"/>
      <c r="F98" s="232"/>
      <c r="M98" s="206"/>
      <c r="S98" s="206"/>
    </row>
    <row r="99" spans="2:25" x14ac:dyDescent="0.2">
      <c r="B99" s="233" t="s">
        <v>280</v>
      </c>
      <c r="C99" s="233"/>
      <c r="D99" s="233"/>
      <c r="E99" s="233"/>
      <c r="F99" s="327"/>
      <c r="G99" s="202">
        <f>G25/G$3*G119</f>
        <v>9811.7648613101428</v>
      </c>
      <c r="H99" s="202">
        <f t="shared" ref="H99:R99" si="99">H25/H$3*H119</f>
        <v>11046.090473797</v>
      </c>
      <c r="I99" s="202">
        <f t="shared" si="99"/>
        <v>10146.596819230974</v>
      </c>
      <c r="J99" s="202">
        <f t="shared" si="99"/>
        <v>10664.327290975012</v>
      </c>
      <c r="K99" s="202">
        <f t="shared" si="99"/>
        <v>11519.516171488629</v>
      </c>
      <c r="L99" s="202">
        <f t="shared" si="99"/>
        <v>12092.098344640845</v>
      </c>
      <c r="M99" s="202">
        <f t="shared" si="99"/>
        <v>11889.108002834846</v>
      </c>
      <c r="N99" s="202">
        <f t="shared" si="99"/>
        <v>12080.862283233919</v>
      </c>
      <c r="O99" s="202">
        <f t="shared" si="99"/>
        <v>12686.657434664403</v>
      </c>
      <c r="P99" s="202">
        <f t="shared" si="99"/>
        <v>12478.872261487246</v>
      </c>
      <c r="Q99" s="202">
        <f t="shared" si="99"/>
        <v>13108.216336631049</v>
      </c>
      <c r="R99" s="202">
        <f t="shared" si="99"/>
        <v>12897.031494889647</v>
      </c>
      <c r="S99" s="202">
        <f>S25/365*S119</f>
        <v>11702.372121102448</v>
      </c>
      <c r="T99" s="202">
        <f>T25/365*T119</f>
        <v>12435.630942797819</v>
      </c>
      <c r="U99" s="202">
        <f>U25/365*U119</f>
        <v>13216.401908800635</v>
      </c>
      <c r="V99" s="202">
        <f>V25/365*V119</f>
        <v>14003.765276031307</v>
      </c>
      <c r="W99" s="202">
        <f>W25/365*W119</f>
        <v>14889.17559863972</v>
      </c>
      <c r="X99" s="206"/>
    </row>
    <row r="100" spans="2:25" x14ac:dyDescent="0.2">
      <c r="B100" s="233" t="s">
        <v>281</v>
      </c>
      <c r="C100" s="233"/>
      <c r="D100" s="233"/>
      <c r="E100" s="233"/>
      <c r="F100" s="327"/>
      <c r="G100" s="206">
        <f t="shared" ref="G100:L100" ca="1" si="100">G160</f>
        <v>0</v>
      </c>
      <c r="H100" s="206">
        <f t="shared" ca="1" si="100"/>
        <v>0</v>
      </c>
      <c r="I100" s="206">
        <f t="shared" ca="1" si="100"/>
        <v>0</v>
      </c>
      <c r="J100" s="206">
        <f t="shared" ca="1" si="100"/>
        <v>0</v>
      </c>
      <c r="K100" s="206">
        <f t="shared" ca="1" si="100"/>
        <v>0</v>
      </c>
      <c r="L100" s="206">
        <f t="shared" ca="1" si="100"/>
        <v>0</v>
      </c>
      <c r="M100" s="206">
        <f t="shared" ref="M100:W100" ca="1" si="101">M160</f>
        <v>0</v>
      </c>
      <c r="N100" s="206">
        <f t="shared" ca="1" si="101"/>
        <v>269.8838532720406</v>
      </c>
      <c r="O100" s="206">
        <f t="shared" ca="1" si="101"/>
        <v>2666.5349374151424</v>
      </c>
      <c r="P100" s="206">
        <f t="shared" ca="1" si="101"/>
        <v>2485.4756425234687</v>
      </c>
      <c r="Q100" s="206">
        <f t="shared" ca="1" si="101"/>
        <v>2347.1711492806157</v>
      </c>
      <c r="R100" s="206">
        <f t="shared" ca="1" si="101"/>
        <v>0</v>
      </c>
      <c r="S100" s="206">
        <f t="shared" ca="1" si="101"/>
        <v>0</v>
      </c>
      <c r="T100" s="206">
        <f t="shared" ca="1" si="101"/>
        <v>0</v>
      </c>
      <c r="U100" s="206">
        <f t="shared" ca="1" si="101"/>
        <v>0</v>
      </c>
      <c r="V100" s="206">
        <f t="shared" ca="1" si="101"/>
        <v>0</v>
      </c>
      <c r="W100" s="206">
        <f t="shared" ca="1" si="101"/>
        <v>0</v>
      </c>
      <c r="X100" s="206"/>
    </row>
    <row r="101" spans="2:25" x14ac:dyDescent="0.2">
      <c r="B101" s="234" t="s">
        <v>282</v>
      </c>
      <c r="C101" s="234"/>
      <c r="D101" s="234"/>
      <c r="E101" s="234"/>
      <c r="F101" s="327"/>
      <c r="G101" s="206">
        <f>G165</f>
        <v>500</v>
      </c>
      <c r="H101" s="206">
        <f t="shared" ref="H101:K101" si="102">H165</f>
        <v>500</v>
      </c>
      <c r="I101" s="206">
        <f t="shared" si="102"/>
        <v>500</v>
      </c>
      <c r="J101" s="206">
        <f t="shared" si="102"/>
        <v>500</v>
      </c>
      <c r="K101" s="206">
        <f t="shared" si="102"/>
        <v>500</v>
      </c>
      <c r="L101" s="206">
        <f t="shared" ref="L101:W101" si="103">L165</f>
        <v>500</v>
      </c>
      <c r="M101" s="206">
        <f t="shared" si="103"/>
        <v>500</v>
      </c>
      <c r="N101" s="206">
        <f t="shared" si="103"/>
        <v>500</v>
      </c>
      <c r="O101" s="206">
        <f t="shared" si="103"/>
        <v>500</v>
      </c>
      <c r="P101" s="206">
        <f t="shared" si="103"/>
        <v>500</v>
      </c>
      <c r="Q101" s="206">
        <f t="shared" si="103"/>
        <v>500</v>
      </c>
      <c r="R101" s="206">
        <f t="shared" si="103"/>
        <v>500</v>
      </c>
      <c r="S101" s="206">
        <f t="shared" si="103"/>
        <v>6000</v>
      </c>
      <c r="T101" s="206">
        <f t="shared" si="103"/>
        <v>6000</v>
      </c>
      <c r="U101" s="206">
        <f t="shared" si="103"/>
        <v>6000</v>
      </c>
      <c r="V101" s="206">
        <f t="shared" si="103"/>
        <v>6000</v>
      </c>
      <c r="W101" s="206">
        <f t="shared" si="103"/>
        <v>6000</v>
      </c>
      <c r="X101" s="206"/>
    </row>
    <row r="102" spans="2:25" x14ac:dyDescent="0.2">
      <c r="B102" s="235" t="s">
        <v>283</v>
      </c>
      <c r="C102" s="235"/>
      <c r="D102" s="235"/>
      <c r="E102" s="235"/>
      <c r="F102" s="237"/>
      <c r="G102" s="236">
        <f t="shared" ref="G102:K102" ca="1" si="104">SUM(G99:G101)</f>
        <v>10311.764861310143</v>
      </c>
      <c r="H102" s="236">
        <f t="shared" ca="1" si="104"/>
        <v>11546.090473797</v>
      </c>
      <c r="I102" s="236">
        <f t="shared" ca="1" si="104"/>
        <v>10646.596819230974</v>
      </c>
      <c r="J102" s="236">
        <f t="shared" ca="1" si="104"/>
        <v>11164.327290975012</v>
      </c>
      <c r="K102" s="236">
        <f t="shared" ca="1" si="104"/>
        <v>12019.516171488629</v>
      </c>
      <c r="L102" s="236">
        <f t="shared" ref="L102:W102" ca="1" si="105">SUM(L99:L101)</f>
        <v>12592.098344640845</v>
      </c>
      <c r="M102" s="236">
        <f t="shared" ca="1" si="105"/>
        <v>12389.108002834846</v>
      </c>
      <c r="N102" s="236">
        <f t="shared" ca="1" si="105"/>
        <v>12850.746136505959</v>
      </c>
      <c r="O102" s="236">
        <f t="shared" ca="1" si="105"/>
        <v>15853.192372079546</v>
      </c>
      <c r="P102" s="236">
        <f t="shared" ca="1" si="105"/>
        <v>15464.347904010714</v>
      </c>
      <c r="Q102" s="236">
        <f t="shared" ca="1" si="105"/>
        <v>15955.387485911664</v>
      </c>
      <c r="R102" s="236">
        <f t="shared" ca="1" si="105"/>
        <v>13397.031494889647</v>
      </c>
      <c r="S102" s="236">
        <f t="shared" ca="1" si="105"/>
        <v>17702.372121102446</v>
      </c>
      <c r="T102" s="236">
        <f t="shared" ca="1" si="105"/>
        <v>18435.630942797819</v>
      </c>
      <c r="U102" s="236">
        <f t="shared" ca="1" si="105"/>
        <v>19216.401908800635</v>
      </c>
      <c r="V102" s="236">
        <f t="shared" ca="1" si="105"/>
        <v>20003.765276031307</v>
      </c>
      <c r="W102" s="236">
        <f t="shared" ca="1" si="105"/>
        <v>20889.175598639718</v>
      </c>
      <c r="X102" s="206"/>
      <c r="Y102" s="206"/>
    </row>
    <row r="103" spans="2:25" ht="3" customHeight="1" x14ac:dyDescent="0.2">
      <c r="B103" s="199"/>
      <c r="C103" s="199"/>
      <c r="D103" s="199"/>
      <c r="E103" s="199"/>
      <c r="F103" s="232"/>
      <c r="M103" s="206"/>
    </row>
    <row r="104" spans="2:25" x14ac:dyDescent="0.2">
      <c r="B104" s="231" t="s">
        <v>284</v>
      </c>
      <c r="C104" s="231"/>
      <c r="D104" s="231"/>
      <c r="E104" s="231"/>
      <c r="F104" s="232"/>
      <c r="M104" s="206"/>
    </row>
    <row r="105" spans="2:25" x14ac:dyDescent="0.2">
      <c r="B105" s="233" t="s">
        <v>285</v>
      </c>
      <c r="C105" s="233"/>
      <c r="D105" s="233"/>
      <c r="E105" s="233"/>
      <c r="F105" s="201">
        <v>40000</v>
      </c>
      <c r="G105" s="206">
        <f>G164</f>
        <v>39000</v>
      </c>
      <c r="H105" s="206">
        <f t="shared" ref="H105:K105" si="106">H164</f>
        <v>38500</v>
      </c>
      <c r="I105" s="206">
        <f t="shared" si="106"/>
        <v>38000</v>
      </c>
      <c r="J105" s="206">
        <f t="shared" si="106"/>
        <v>37500</v>
      </c>
      <c r="K105" s="206">
        <f t="shared" si="106"/>
        <v>37000</v>
      </c>
      <c r="L105" s="206">
        <f t="shared" ref="L105:W105" si="107">L164</f>
        <v>36500</v>
      </c>
      <c r="M105" s="206">
        <f t="shared" si="107"/>
        <v>36000</v>
      </c>
      <c r="N105" s="206">
        <f t="shared" si="107"/>
        <v>35500</v>
      </c>
      <c r="O105" s="206">
        <f t="shared" si="107"/>
        <v>35000</v>
      </c>
      <c r="P105" s="206">
        <f t="shared" si="107"/>
        <v>34500</v>
      </c>
      <c r="Q105" s="206">
        <f t="shared" si="107"/>
        <v>34000</v>
      </c>
      <c r="R105" s="206">
        <f t="shared" si="107"/>
        <v>33500</v>
      </c>
      <c r="S105" s="206">
        <f t="shared" si="107"/>
        <v>28000</v>
      </c>
      <c r="T105" s="206">
        <f t="shared" si="107"/>
        <v>22000</v>
      </c>
      <c r="U105" s="206">
        <f t="shared" si="107"/>
        <v>16000</v>
      </c>
      <c r="V105" s="206">
        <f t="shared" si="107"/>
        <v>10000</v>
      </c>
      <c r="W105" s="206">
        <f t="shared" si="107"/>
        <v>4000</v>
      </c>
      <c r="X105" s="206"/>
    </row>
    <row r="106" spans="2:25" ht="3" customHeight="1" x14ac:dyDescent="0.2">
      <c r="B106" s="199"/>
      <c r="C106" s="199"/>
      <c r="D106" s="199"/>
      <c r="E106" s="199"/>
      <c r="F106" s="232"/>
    </row>
    <row r="107" spans="2:25" x14ac:dyDescent="0.2">
      <c r="B107" s="238" t="s">
        <v>286</v>
      </c>
      <c r="C107" s="238"/>
      <c r="D107" s="238"/>
      <c r="E107" s="238"/>
      <c r="F107" s="237"/>
      <c r="G107" s="236">
        <f t="shared" ref="G107:K107" ca="1" si="108">G102+G105</f>
        <v>49311.764861310141</v>
      </c>
      <c r="H107" s="236">
        <f t="shared" ca="1" si="108"/>
        <v>50046.090473796998</v>
      </c>
      <c r="I107" s="236">
        <f t="shared" ca="1" si="108"/>
        <v>48646.596819230974</v>
      </c>
      <c r="J107" s="236">
        <f t="shared" ca="1" si="108"/>
        <v>48664.327290975009</v>
      </c>
      <c r="K107" s="236">
        <f t="shared" ca="1" si="108"/>
        <v>49019.516171488627</v>
      </c>
      <c r="L107" s="236">
        <f t="shared" ref="L107:R107" ca="1" si="109">L102+L105</f>
        <v>49092.098344640843</v>
      </c>
      <c r="M107" s="236">
        <f t="shared" ca="1" si="109"/>
        <v>48389.108002834844</v>
      </c>
      <c r="N107" s="236">
        <f t="shared" ca="1" si="109"/>
        <v>48350.746136505957</v>
      </c>
      <c r="O107" s="236">
        <f t="shared" ca="1" si="109"/>
        <v>50853.192372079546</v>
      </c>
      <c r="P107" s="236">
        <f t="shared" ca="1" si="109"/>
        <v>49964.347904010712</v>
      </c>
      <c r="Q107" s="236">
        <f t="shared" ca="1" si="109"/>
        <v>49955.387485911662</v>
      </c>
      <c r="R107" s="236">
        <f t="shared" ca="1" si="109"/>
        <v>46897.031494889648</v>
      </c>
      <c r="S107" s="236">
        <f t="shared" ref="S107:W107" ca="1" si="110">S102+S105</f>
        <v>45702.372121102446</v>
      </c>
      <c r="T107" s="236">
        <f t="shared" ca="1" si="110"/>
        <v>40435.630942797819</v>
      </c>
      <c r="U107" s="236">
        <f t="shared" ca="1" si="110"/>
        <v>35216.401908800632</v>
      </c>
      <c r="V107" s="236">
        <f t="shared" ca="1" si="110"/>
        <v>30003.765276031307</v>
      </c>
      <c r="W107" s="236">
        <f t="shared" ca="1" si="110"/>
        <v>24889.175598639718</v>
      </c>
      <c r="X107" s="206"/>
    </row>
    <row r="108" spans="2:25" ht="3" customHeight="1" x14ac:dyDescent="0.2">
      <c r="F108" s="326"/>
      <c r="M108" s="206"/>
    </row>
    <row r="109" spans="2:25" x14ac:dyDescent="0.2">
      <c r="B109" s="199" t="s">
        <v>362</v>
      </c>
      <c r="C109" s="199"/>
      <c r="D109" s="199"/>
      <c r="E109" s="199"/>
      <c r="F109" s="201">
        <v>60000</v>
      </c>
      <c r="G109" s="206">
        <f>F109</f>
        <v>60000</v>
      </c>
      <c r="H109" s="206">
        <f t="shared" ref="H109:K109" si="111">G109</f>
        <v>60000</v>
      </c>
      <c r="I109" s="206">
        <f t="shared" si="111"/>
        <v>60000</v>
      </c>
      <c r="J109" s="206">
        <f t="shared" si="111"/>
        <v>60000</v>
      </c>
      <c r="K109" s="206">
        <f t="shared" si="111"/>
        <v>60000</v>
      </c>
      <c r="L109" s="206">
        <f t="shared" ref="L109" si="112">K109</f>
        <v>60000</v>
      </c>
      <c r="M109" s="206">
        <f t="shared" ref="M109" si="113">L109</f>
        <v>60000</v>
      </c>
      <c r="N109" s="206">
        <f t="shared" ref="N109" si="114">M109</f>
        <v>60000</v>
      </c>
      <c r="O109" s="206">
        <f t="shared" ref="O109" si="115">N109</f>
        <v>60000</v>
      </c>
      <c r="P109" s="206">
        <f t="shared" ref="P109" si="116">O109</f>
        <v>60000</v>
      </c>
      <c r="Q109" s="206">
        <f t="shared" ref="Q109" si="117">P109</f>
        <v>60000</v>
      </c>
      <c r="R109" s="206">
        <f t="shared" ref="R109" si="118">Q109</f>
        <v>60000</v>
      </c>
      <c r="S109" s="206">
        <f t="shared" ref="S109" si="119">R109</f>
        <v>60000</v>
      </c>
      <c r="T109" s="206">
        <f t="shared" ref="T109" si="120">S109</f>
        <v>60000</v>
      </c>
      <c r="U109" s="206">
        <f t="shared" ref="U109" si="121">T109</f>
        <v>60000</v>
      </c>
      <c r="V109" s="206">
        <f t="shared" ref="V109" si="122">U109</f>
        <v>60000</v>
      </c>
      <c r="W109" s="206">
        <f t="shared" ref="W109" si="123">V109</f>
        <v>60000</v>
      </c>
      <c r="X109" s="206"/>
    </row>
    <row r="110" spans="2:25" x14ac:dyDescent="0.2">
      <c r="B110" s="199" t="s">
        <v>287</v>
      </c>
      <c r="C110" s="199"/>
      <c r="D110" s="199"/>
      <c r="E110" s="199"/>
      <c r="F110" s="327"/>
      <c r="G110" s="206">
        <f t="shared" ref="G110:R110" ca="1" si="124">F110+G58</f>
        <v>-3784.0086670393284</v>
      </c>
      <c r="H110" s="206">
        <f t="shared" ca="1" si="124"/>
        <v>-6439.0759371405074</v>
      </c>
      <c r="I110" s="206">
        <f t="shared" ca="1" si="124"/>
        <v>-7937.1345253801046</v>
      </c>
      <c r="J110" s="206">
        <f t="shared" ca="1" si="124"/>
        <v>-8249.4154647115502</v>
      </c>
      <c r="K110" s="206">
        <f t="shared" ca="1" si="124"/>
        <v>-15260.238644032084</v>
      </c>
      <c r="L110" s="206">
        <f t="shared" ca="1" si="124"/>
        <v>-21025.570587218499</v>
      </c>
      <c r="M110" s="206">
        <f t="shared" ca="1" si="124"/>
        <v>-25514.43026336746</v>
      </c>
      <c r="N110" s="206">
        <f t="shared" ca="1" si="124"/>
        <v>-28696.186631858327</v>
      </c>
      <c r="O110" s="206">
        <f t="shared" ca="1" si="124"/>
        <v>-30548.276293282201</v>
      </c>
      <c r="P110" s="206">
        <f t="shared" ca="1" si="124"/>
        <v>-31035.457136122393</v>
      </c>
      <c r="Q110" s="206">
        <f t="shared" ca="1" si="124"/>
        <v>-30295.828090428186</v>
      </c>
      <c r="R110" s="206">
        <f t="shared" ca="1" si="124"/>
        <v>-28350.505717536733</v>
      </c>
      <c r="S110" s="206">
        <f ca="1">F110+S58</f>
        <v>-24569.277713597316</v>
      </c>
      <c r="T110" s="206">
        <f ca="1">S110+T58</f>
        <v>-24426.983206435296</v>
      </c>
      <c r="U110" s="206">
        <f ca="1">T110+U58</f>
        <v>-15917.29323447097</v>
      </c>
      <c r="V110" s="206">
        <f ca="1">U110+V58</f>
        <v>5224.5356406301471</v>
      </c>
      <c r="W110" s="206">
        <f ca="1">V110+W58</f>
        <v>36235.931273676004</v>
      </c>
      <c r="X110" s="206"/>
    </row>
    <row r="111" spans="2:25" x14ac:dyDescent="0.2">
      <c r="B111" s="238" t="s">
        <v>288</v>
      </c>
      <c r="C111" s="238"/>
      <c r="D111" s="238"/>
      <c r="E111" s="238"/>
      <c r="F111" s="237"/>
      <c r="G111" s="236">
        <f t="shared" ref="G111:R111" ca="1" si="125">SUM(G109:G110)</f>
        <v>56215.991332960672</v>
      </c>
      <c r="H111" s="236">
        <f t="shared" ca="1" si="125"/>
        <v>53560.924062859493</v>
      </c>
      <c r="I111" s="236">
        <f t="shared" ca="1" si="125"/>
        <v>52062.865474619895</v>
      </c>
      <c r="J111" s="236">
        <f t="shared" ca="1" si="125"/>
        <v>51750.58453528845</v>
      </c>
      <c r="K111" s="236">
        <f t="shared" ca="1" si="125"/>
        <v>44739.761355967916</v>
      </c>
      <c r="L111" s="236">
        <f t="shared" ca="1" si="125"/>
        <v>38974.429412781501</v>
      </c>
      <c r="M111" s="236">
        <f t="shared" ca="1" si="125"/>
        <v>34485.56973663254</v>
      </c>
      <c r="N111" s="236">
        <f t="shared" ca="1" si="125"/>
        <v>31303.813368141673</v>
      </c>
      <c r="O111" s="236">
        <f t="shared" ca="1" si="125"/>
        <v>29451.723706717799</v>
      </c>
      <c r="P111" s="236">
        <f t="shared" ca="1" si="125"/>
        <v>28964.542863877607</v>
      </c>
      <c r="Q111" s="236">
        <f t="shared" ca="1" si="125"/>
        <v>29704.171909571814</v>
      </c>
      <c r="R111" s="236">
        <f t="shared" ca="1" si="125"/>
        <v>31649.494282463267</v>
      </c>
      <c r="S111" s="236">
        <f t="shared" ref="S111:W111" ca="1" si="126">SUM(S109:S110)</f>
        <v>35430.722286402684</v>
      </c>
      <c r="T111" s="236">
        <f t="shared" ca="1" si="126"/>
        <v>35573.016793564704</v>
      </c>
      <c r="U111" s="236">
        <f t="shared" ca="1" si="126"/>
        <v>44082.70676552903</v>
      </c>
      <c r="V111" s="236">
        <f t="shared" ca="1" si="126"/>
        <v>65224.535640630143</v>
      </c>
      <c r="W111" s="236">
        <f t="shared" ca="1" si="126"/>
        <v>96235.931273676004</v>
      </c>
      <c r="X111" s="206"/>
    </row>
    <row r="112" spans="2:25" ht="3" customHeight="1" x14ac:dyDescent="0.2">
      <c r="F112" s="232"/>
    </row>
    <row r="113" spans="1:24" x14ac:dyDescent="0.2">
      <c r="B113" s="184" t="s">
        <v>289</v>
      </c>
      <c r="C113" s="184"/>
      <c r="D113" s="184"/>
      <c r="E113" s="184"/>
      <c r="F113" s="214"/>
      <c r="G113" s="213">
        <f t="shared" ref="G113:R113" ca="1" si="127">G107+G111</f>
        <v>105527.75619427081</v>
      </c>
      <c r="H113" s="213">
        <f t="shared" ca="1" si="127"/>
        <v>103607.0145366565</v>
      </c>
      <c r="I113" s="213">
        <f t="shared" ca="1" si="127"/>
        <v>100709.46229385087</v>
      </c>
      <c r="J113" s="213">
        <f t="shared" ca="1" si="127"/>
        <v>100414.91182626346</v>
      </c>
      <c r="K113" s="213">
        <f t="shared" ca="1" si="127"/>
        <v>93759.27752745655</v>
      </c>
      <c r="L113" s="213">
        <f t="shared" ca="1" si="127"/>
        <v>88066.527757422344</v>
      </c>
      <c r="M113" s="213">
        <f t="shared" ca="1" si="127"/>
        <v>82874.677739467385</v>
      </c>
      <c r="N113" s="213">
        <f t="shared" ca="1" si="127"/>
        <v>79654.559504647623</v>
      </c>
      <c r="O113" s="213">
        <f t="shared" ca="1" si="127"/>
        <v>80304.916078797338</v>
      </c>
      <c r="P113" s="213">
        <f t="shared" ca="1" si="127"/>
        <v>78928.890767888312</v>
      </c>
      <c r="Q113" s="213">
        <f t="shared" ca="1" si="127"/>
        <v>79659.559395483477</v>
      </c>
      <c r="R113" s="213">
        <f t="shared" ca="1" si="127"/>
        <v>78546.525777352916</v>
      </c>
      <c r="S113" s="213">
        <f t="shared" ref="S113:W113" ca="1" si="128">S107+S111</f>
        <v>81133.094407505123</v>
      </c>
      <c r="T113" s="213">
        <f t="shared" ca="1" si="128"/>
        <v>76008.647736362531</v>
      </c>
      <c r="U113" s="213">
        <f t="shared" ca="1" si="128"/>
        <v>79299.108674329662</v>
      </c>
      <c r="V113" s="213">
        <f t="shared" ca="1" si="128"/>
        <v>95228.30091666145</v>
      </c>
      <c r="W113" s="213">
        <f t="shared" ca="1" si="128"/>
        <v>121125.10687231572</v>
      </c>
      <c r="X113" s="206"/>
    </row>
    <row r="114" spans="1:24" s="260" customFormat="1" x14ac:dyDescent="0.2">
      <c r="A114" s="259"/>
      <c r="B114" s="186" t="s">
        <v>290</v>
      </c>
      <c r="C114" s="186"/>
      <c r="D114" s="186"/>
      <c r="E114" s="186"/>
      <c r="F114" s="325"/>
      <c r="G114" s="263">
        <f ca="1">G96-G113</f>
        <v>0</v>
      </c>
      <c r="H114" s="263">
        <f t="shared" ref="G114:W114" ca="1" si="129">H96-H113</f>
        <v>0</v>
      </c>
      <c r="I114" s="263">
        <f t="shared" ca="1" si="129"/>
        <v>0</v>
      </c>
      <c r="J114" s="263">
        <f t="shared" ca="1" si="129"/>
        <v>0</v>
      </c>
      <c r="K114" s="263">
        <f t="shared" ca="1" si="129"/>
        <v>0</v>
      </c>
      <c r="L114" s="263">
        <f t="shared" ca="1" si="129"/>
        <v>0</v>
      </c>
      <c r="M114" s="263">
        <f t="shared" ca="1" si="129"/>
        <v>0</v>
      </c>
      <c r="N114" s="263">
        <f t="shared" ca="1" si="129"/>
        <v>0</v>
      </c>
      <c r="O114" s="263">
        <f t="shared" ca="1" si="129"/>
        <v>0</v>
      </c>
      <c r="P114" s="263">
        <f t="shared" ca="1" si="129"/>
        <v>0</v>
      </c>
      <c r="Q114" s="263">
        <f t="shared" ca="1" si="129"/>
        <v>0</v>
      </c>
      <c r="R114" s="263">
        <f t="shared" ca="1" si="129"/>
        <v>0</v>
      </c>
      <c r="S114" s="263">
        <f ca="1">S96-S113</f>
        <v>0</v>
      </c>
      <c r="T114" s="263">
        <f t="shared" ca="1" si="129"/>
        <v>0</v>
      </c>
      <c r="U114" s="263">
        <f t="shared" ca="1" si="129"/>
        <v>0</v>
      </c>
      <c r="V114" s="263">
        <f t="shared" ca="1" si="129"/>
        <v>0</v>
      </c>
      <c r="W114" s="263">
        <f t="shared" ca="1" si="129"/>
        <v>0</v>
      </c>
      <c r="X114" s="206"/>
    </row>
    <row r="115" spans="1:24" ht="3" customHeight="1" x14ac:dyDescent="0.2">
      <c r="F115" s="232"/>
    </row>
    <row r="116" spans="1:24" x14ac:dyDescent="0.2">
      <c r="A116" s="179" t="s">
        <v>327</v>
      </c>
      <c r="B116" s="216" t="s">
        <v>291</v>
      </c>
      <c r="C116" s="216"/>
      <c r="D116" s="216"/>
      <c r="E116" s="216"/>
      <c r="F116" s="239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</row>
    <row r="117" spans="1:24" x14ac:dyDescent="0.2">
      <c r="B117" s="207" t="s">
        <v>292</v>
      </c>
      <c r="C117" s="207"/>
      <c r="D117" s="207"/>
      <c r="E117" s="207"/>
      <c r="F117" s="220"/>
      <c r="G117" s="208">
        <v>5</v>
      </c>
      <c r="H117" s="208">
        <v>5</v>
      </c>
      <c r="I117" s="208">
        <v>5</v>
      </c>
      <c r="J117" s="208">
        <v>5</v>
      </c>
      <c r="K117" s="208">
        <v>5</v>
      </c>
      <c r="L117" s="208">
        <v>5</v>
      </c>
      <c r="M117" s="208">
        <v>5</v>
      </c>
      <c r="N117" s="208">
        <v>5</v>
      </c>
      <c r="O117" s="208">
        <v>5</v>
      </c>
      <c r="P117" s="208">
        <v>5</v>
      </c>
      <c r="Q117" s="208">
        <v>5</v>
      </c>
      <c r="R117" s="208">
        <v>5</v>
      </c>
      <c r="S117" s="208">
        <v>5</v>
      </c>
      <c r="T117" s="208">
        <v>5</v>
      </c>
      <c r="U117" s="208">
        <v>5</v>
      </c>
      <c r="V117" s="208">
        <v>5</v>
      </c>
      <c r="W117" s="208">
        <v>5</v>
      </c>
    </row>
    <row r="118" spans="1:24" x14ac:dyDescent="0.2">
      <c r="B118" s="207" t="s">
        <v>293</v>
      </c>
      <c r="C118" s="207"/>
      <c r="D118" s="207"/>
      <c r="E118" s="207"/>
      <c r="F118" s="220"/>
      <c r="G118" s="208">
        <v>3</v>
      </c>
      <c r="H118" s="208">
        <v>3</v>
      </c>
      <c r="I118" s="208">
        <v>3</v>
      </c>
      <c r="J118" s="208">
        <v>3</v>
      </c>
      <c r="K118" s="208">
        <v>3</v>
      </c>
      <c r="L118" s="208">
        <v>3</v>
      </c>
      <c r="M118" s="208">
        <v>3</v>
      </c>
      <c r="N118" s="208">
        <v>3</v>
      </c>
      <c r="O118" s="208">
        <v>3</v>
      </c>
      <c r="P118" s="208">
        <v>3</v>
      </c>
      <c r="Q118" s="208">
        <v>3</v>
      </c>
      <c r="R118" s="208">
        <v>3</v>
      </c>
      <c r="S118" s="208">
        <v>3</v>
      </c>
      <c r="T118" s="208">
        <v>3</v>
      </c>
      <c r="U118" s="208">
        <v>3</v>
      </c>
      <c r="V118" s="208">
        <v>3</v>
      </c>
      <c r="W118" s="208">
        <v>3</v>
      </c>
    </row>
    <row r="119" spans="1:24" x14ac:dyDescent="0.2">
      <c r="B119" s="207" t="s">
        <v>294</v>
      </c>
      <c r="C119" s="207"/>
      <c r="D119" s="207"/>
      <c r="E119" s="207"/>
      <c r="F119" s="220"/>
      <c r="G119" s="208">
        <v>4</v>
      </c>
      <c r="H119" s="208">
        <v>4</v>
      </c>
      <c r="I119" s="208">
        <v>4</v>
      </c>
      <c r="J119" s="208">
        <v>4</v>
      </c>
      <c r="K119" s="208">
        <v>4</v>
      </c>
      <c r="L119" s="208">
        <v>4</v>
      </c>
      <c r="M119" s="208">
        <v>4</v>
      </c>
      <c r="N119" s="208">
        <v>4</v>
      </c>
      <c r="O119" s="208">
        <v>4</v>
      </c>
      <c r="P119" s="208">
        <v>4</v>
      </c>
      <c r="Q119" s="208">
        <v>4</v>
      </c>
      <c r="R119" s="208">
        <v>4</v>
      </c>
      <c r="S119" s="208">
        <v>4</v>
      </c>
      <c r="T119" s="208">
        <v>4</v>
      </c>
      <c r="U119" s="208">
        <v>4</v>
      </c>
      <c r="V119" s="208">
        <v>4</v>
      </c>
      <c r="W119" s="208">
        <v>4</v>
      </c>
    </row>
    <row r="120" spans="1:24" ht="5.0999999999999996" customHeight="1" x14ac:dyDescent="0.2">
      <c r="F120" s="230"/>
    </row>
    <row r="121" spans="1:24" x14ac:dyDescent="0.2">
      <c r="A121" s="179" t="s">
        <v>327</v>
      </c>
      <c r="B121" s="266" t="s">
        <v>295</v>
      </c>
      <c r="C121" s="266"/>
      <c r="D121" s="266"/>
      <c r="E121" s="266"/>
      <c r="F121" s="46" t="str">
        <f t="shared" ref="F121:W121" si="130">F84</f>
        <v>20X7</v>
      </c>
      <c r="G121" s="46" t="str">
        <f t="shared" si="130"/>
        <v>20X8</v>
      </c>
      <c r="H121" s="46" t="str">
        <f t="shared" si="130"/>
        <v>20X8</v>
      </c>
      <c r="I121" s="46" t="str">
        <f t="shared" si="130"/>
        <v>20X8</v>
      </c>
      <c r="J121" s="46" t="str">
        <f t="shared" si="130"/>
        <v>20X8</v>
      </c>
      <c r="K121" s="46" t="str">
        <f t="shared" si="130"/>
        <v>20X8</v>
      </c>
      <c r="L121" s="46" t="str">
        <f t="shared" si="130"/>
        <v>20X8</v>
      </c>
      <c r="M121" s="46" t="str">
        <f t="shared" si="130"/>
        <v>20X8</v>
      </c>
      <c r="N121" s="46" t="str">
        <f t="shared" si="130"/>
        <v>20X8</v>
      </c>
      <c r="O121" s="46" t="str">
        <f t="shared" si="130"/>
        <v>20X8</v>
      </c>
      <c r="P121" s="46" t="str">
        <f t="shared" si="130"/>
        <v>20X8</v>
      </c>
      <c r="Q121" s="46" t="str">
        <f t="shared" si="130"/>
        <v>20X8</v>
      </c>
      <c r="R121" s="46" t="str">
        <f t="shared" si="130"/>
        <v>20X8</v>
      </c>
      <c r="S121" s="46" t="str">
        <f t="shared" si="130"/>
        <v>20X8</v>
      </c>
      <c r="T121" s="46" t="str">
        <f t="shared" si="130"/>
        <v>20X9</v>
      </c>
      <c r="U121" s="46" t="str">
        <f t="shared" si="130"/>
        <v>20Y1</v>
      </c>
      <c r="V121" s="46" t="str">
        <f t="shared" si="130"/>
        <v>20Y2</v>
      </c>
      <c r="W121" s="46" t="str">
        <f t="shared" si="130"/>
        <v>20Y3</v>
      </c>
    </row>
    <row r="122" spans="1:24" ht="3" customHeight="1" x14ac:dyDescent="0.2"/>
    <row r="123" spans="1:24" ht="11.25" customHeight="1" x14ac:dyDescent="0.2">
      <c r="B123" s="184" t="s">
        <v>296</v>
      </c>
      <c r="C123" s="184"/>
      <c r="D123" s="184"/>
      <c r="E123" s="184"/>
    </row>
    <row r="124" spans="1:24" x14ac:dyDescent="0.2">
      <c r="B124" s="231" t="s">
        <v>265</v>
      </c>
      <c r="C124" s="231"/>
      <c r="D124" s="231"/>
      <c r="E124" s="231"/>
      <c r="F124" s="206"/>
      <c r="G124" s="206">
        <f t="shared" ref="G124:W124" ca="1" si="131">G58</f>
        <v>-3784.0086670393284</v>
      </c>
      <c r="H124" s="206">
        <f t="shared" ca="1" si="131"/>
        <v>-2655.067270101179</v>
      </c>
      <c r="I124" s="206">
        <f t="shared" ca="1" si="131"/>
        <v>-1498.0585882395972</v>
      </c>
      <c r="J124" s="206">
        <f t="shared" ca="1" si="131"/>
        <v>-312.2809393314455</v>
      </c>
      <c r="K124" s="206">
        <f t="shared" ca="1" si="131"/>
        <v>-7010.8231793205341</v>
      </c>
      <c r="L124" s="206">
        <f t="shared" ca="1" si="131"/>
        <v>-5765.3319431864147</v>
      </c>
      <c r="M124" s="206">
        <f t="shared" ca="1" si="131"/>
        <v>-4488.8596761489607</v>
      </c>
      <c r="N124" s="206">
        <f t="shared" ca="1" si="131"/>
        <v>-3181.7563684908664</v>
      </c>
      <c r="O124" s="206">
        <f t="shared" ca="1" si="131"/>
        <v>-1852.089661423875</v>
      </c>
      <c r="P124" s="206">
        <f t="shared" ca="1" si="131"/>
        <v>-487.18084284019255</v>
      </c>
      <c r="Q124" s="206">
        <f t="shared" ca="1" si="131"/>
        <v>739.62904569420721</v>
      </c>
      <c r="R124" s="206">
        <f t="shared" ca="1" si="131"/>
        <v>1945.3223728914543</v>
      </c>
      <c r="S124" s="206">
        <f t="shared" ca="1" si="131"/>
        <v>-24569.277713597316</v>
      </c>
      <c r="T124" s="206">
        <f t="shared" ca="1" si="131"/>
        <v>142.29450716202149</v>
      </c>
      <c r="U124" s="206">
        <f t="shared" ca="1" si="131"/>
        <v>8509.6899719643261</v>
      </c>
      <c r="V124" s="206">
        <f t="shared" ca="1" si="131"/>
        <v>21141.828875101117</v>
      </c>
      <c r="W124" s="206">
        <f t="shared" ca="1" si="131"/>
        <v>31011.395633045853</v>
      </c>
    </row>
    <row r="125" spans="1:24" ht="3" customHeight="1" x14ac:dyDescent="0.2">
      <c r="B125" s="231"/>
      <c r="C125" s="231"/>
      <c r="D125" s="231"/>
      <c r="E125" s="231"/>
      <c r="F125" s="206"/>
      <c r="G125" s="206"/>
      <c r="H125" s="206"/>
      <c r="I125" s="206"/>
      <c r="J125" s="206"/>
      <c r="K125" s="206"/>
    </row>
    <row r="126" spans="1:24" x14ac:dyDescent="0.2">
      <c r="B126" s="240" t="s">
        <v>297</v>
      </c>
      <c r="C126" s="240"/>
      <c r="D126" s="240"/>
      <c r="E126" s="240"/>
    </row>
    <row r="127" spans="1:24" x14ac:dyDescent="0.2">
      <c r="B127" s="233" t="s">
        <v>266</v>
      </c>
      <c r="C127" s="233"/>
      <c r="D127" s="233"/>
      <c r="E127" s="233"/>
      <c r="F127" s="206"/>
      <c r="G127" s="206">
        <f>G193</f>
        <v>1041.5277777777778</v>
      </c>
      <c r="H127" s="206">
        <f t="shared" ref="H127:W127" si="132">H193</f>
        <v>1041.5277777777778</v>
      </c>
      <c r="I127" s="206">
        <f t="shared" si="132"/>
        <v>1041.5277777777778</v>
      </c>
      <c r="J127" s="206">
        <f t="shared" si="132"/>
        <v>1041.5277777777778</v>
      </c>
      <c r="K127" s="206">
        <f t="shared" si="132"/>
        <v>1041.5277777777778</v>
      </c>
      <c r="L127" s="206">
        <f t="shared" si="132"/>
        <v>1041.5277777777778</v>
      </c>
      <c r="M127" s="206">
        <f t="shared" si="132"/>
        <v>1041.5277777777778</v>
      </c>
      <c r="N127" s="206">
        <f t="shared" si="132"/>
        <v>1041.5277777777778</v>
      </c>
      <c r="O127" s="206">
        <f t="shared" si="132"/>
        <v>1041.5277777777778</v>
      </c>
      <c r="P127" s="206">
        <f t="shared" si="132"/>
        <v>1041.5277777777778</v>
      </c>
      <c r="Q127" s="206">
        <f t="shared" si="132"/>
        <v>1041.5277777777778</v>
      </c>
      <c r="R127" s="206">
        <f t="shared" si="132"/>
        <v>1041.5277777777778</v>
      </c>
      <c r="S127" s="206">
        <f t="shared" si="132"/>
        <v>12498.333333333332</v>
      </c>
      <c r="T127" s="206">
        <f t="shared" si="132"/>
        <v>12498.333333333334</v>
      </c>
      <c r="U127" s="206">
        <f t="shared" si="132"/>
        <v>12498.333333333334</v>
      </c>
      <c r="V127" s="206">
        <f t="shared" si="132"/>
        <v>8478.3333333333339</v>
      </c>
      <c r="W127" s="206">
        <f t="shared" si="132"/>
        <v>8478.3333333333339</v>
      </c>
    </row>
    <row r="128" spans="1:24" x14ac:dyDescent="0.2">
      <c r="B128" s="233" t="s">
        <v>267</v>
      </c>
      <c r="C128" s="233"/>
      <c r="D128" s="233"/>
      <c r="E128" s="233"/>
      <c r="F128" s="206"/>
      <c r="G128" s="206">
        <f t="shared" ref="G128:W128" si="133">G63</f>
        <v>0</v>
      </c>
      <c r="H128" s="206">
        <f t="shared" si="133"/>
        <v>0</v>
      </c>
      <c r="I128" s="206">
        <f t="shared" si="133"/>
        <v>0</v>
      </c>
      <c r="J128" s="206">
        <f t="shared" si="133"/>
        <v>0</v>
      </c>
      <c r="K128" s="206">
        <f t="shared" si="133"/>
        <v>0</v>
      </c>
      <c r="L128" s="206">
        <f t="shared" si="133"/>
        <v>0</v>
      </c>
      <c r="M128" s="206">
        <f t="shared" si="133"/>
        <v>0</v>
      </c>
      <c r="N128" s="206">
        <f t="shared" si="133"/>
        <v>0</v>
      </c>
      <c r="O128" s="206">
        <f t="shared" si="133"/>
        <v>0</v>
      </c>
      <c r="P128" s="206">
        <f t="shared" si="133"/>
        <v>0</v>
      </c>
      <c r="Q128" s="206">
        <f t="shared" si="133"/>
        <v>0</v>
      </c>
      <c r="R128" s="206">
        <f t="shared" si="133"/>
        <v>0</v>
      </c>
      <c r="S128" s="206">
        <f t="shared" si="133"/>
        <v>0</v>
      </c>
      <c r="T128" s="206">
        <f t="shared" si="133"/>
        <v>0</v>
      </c>
      <c r="U128" s="206">
        <f t="shared" si="133"/>
        <v>0</v>
      </c>
      <c r="V128" s="206">
        <f t="shared" si="133"/>
        <v>0</v>
      </c>
      <c r="W128" s="206">
        <f t="shared" si="133"/>
        <v>0</v>
      </c>
    </row>
    <row r="129" spans="2:23" ht="3" customHeight="1" x14ac:dyDescent="0.2"/>
    <row r="130" spans="2:23" x14ac:dyDescent="0.2">
      <c r="B130" s="240" t="s">
        <v>298</v>
      </c>
      <c r="C130" s="240"/>
      <c r="D130" s="240"/>
      <c r="E130" s="240"/>
    </row>
    <row r="131" spans="2:23" x14ac:dyDescent="0.2">
      <c r="B131" s="233" t="s">
        <v>272</v>
      </c>
      <c r="C131" s="233"/>
      <c r="D131" s="233"/>
      <c r="E131" s="233"/>
      <c r="G131" s="206">
        <f t="shared" ref="G131:R131" si="134">F88-G88</f>
        <v>-17596.017239963126</v>
      </c>
      <c r="H131" s="206">
        <f t="shared" si="134"/>
        <v>-2372.3201814593122</v>
      </c>
      <c r="I131" s="206">
        <f t="shared" si="134"/>
        <v>1481.5218086861823</v>
      </c>
      <c r="J131" s="206">
        <f t="shared" si="134"/>
        <v>-1093.8032570868963</v>
      </c>
      <c r="K131" s="206">
        <f t="shared" si="134"/>
        <v>157.90821669212528</v>
      </c>
      <c r="L131" s="206">
        <f t="shared" si="134"/>
        <v>-1149.1770469769144</v>
      </c>
      <c r="M131" s="206">
        <f t="shared" si="134"/>
        <v>165.90232016216032</v>
      </c>
      <c r="N131" s="206">
        <f t="shared" si="134"/>
        <v>-510.14963449864081</v>
      </c>
      <c r="O131" s="206">
        <f t="shared" si="134"/>
        <v>-1237.5379883546266</v>
      </c>
      <c r="P131" s="206">
        <f t="shared" si="134"/>
        <v>178.65865324837796</v>
      </c>
      <c r="Q131" s="206">
        <f t="shared" si="134"/>
        <v>-1300.1883490150831</v>
      </c>
      <c r="R131" s="206">
        <f t="shared" si="134"/>
        <v>187.70324756907939</v>
      </c>
      <c r="S131" s="206">
        <f>F88-S88</f>
        <v>-20616.850478527431</v>
      </c>
      <c r="T131" s="206">
        <f t="shared" ref="T131:W132" si="135">S88-T88</f>
        <v>-1443.1795334969174</v>
      </c>
      <c r="U131" s="206">
        <f t="shared" si="135"/>
        <v>-1544.2021008417032</v>
      </c>
      <c r="V131" s="206">
        <f t="shared" si="135"/>
        <v>-1652.2962479006273</v>
      </c>
      <c r="W131" s="206">
        <f t="shared" si="135"/>
        <v>-1767.9569852536733</v>
      </c>
    </row>
    <row r="132" spans="2:23" x14ac:dyDescent="0.2">
      <c r="B132" s="233" t="s">
        <v>273</v>
      </c>
      <c r="C132" s="233"/>
      <c r="D132" s="233"/>
      <c r="E132" s="233"/>
      <c r="G132" s="206">
        <f t="shared" ref="G132:R132" si="136">F89-G89</f>
        <v>-7358.8236459826076</v>
      </c>
      <c r="H132" s="206">
        <f t="shared" si="136"/>
        <v>-925.74420936514252</v>
      </c>
      <c r="I132" s="206">
        <f t="shared" si="136"/>
        <v>674.62024092451975</v>
      </c>
      <c r="J132" s="206">
        <f t="shared" si="136"/>
        <v>-388.29785380802878</v>
      </c>
      <c r="K132" s="206">
        <f t="shared" si="136"/>
        <v>-641.39166038521307</v>
      </c>
      <c r="L132" s="206">
        <f t="shared" si="136"/>
        <v>-429.43662986416166</v>
      </c>
      <c r="M132" s="206">
        <f t="shared" si="136"/>
        <v>152.24275635449885</v>
      </c>
      <c r="N132" s="206">
        <f t="shared" si="136"/>
        <v>-143.81571029930456</v>
      </c>
      <c r="O132" s="206">
        <f t="shared" si="136"/>
        <v>-454.34636357286217</v>
      </c>
      <c r="P132" s="206">
        <f t="shared" si="136"/>
        <v>155.83887988286733</v>
      </c>
      <c r="Q132" s="206">
        <f t="shared" si="136"/>
        <v>-472.00805635785218</v>
      </c>
      <c r="R132" s="206">
        <f t="shared" si="136"/>
        <v>158.38863130605205</v>
      </c>
      <c r="S132" s="206">
        <f>F89-S89</f>
        <v>-8776.7790908268362</v>
      </c>
      <c r="T132" s="206">
        <f t="shared" si="135"/>
        <v>-549.9441162715284</v>
      </c>
      <c r="U132" s="206">
        <f t="shared" si="135"/>
        <v>-585.57822450211279</v>
      </c>
      <c r="V132" s="206">
        <f t="shared" si="135"/>
        <v>-590.52252542300266</v>
      </c>
      <c r="W132" s="206">
        <f t="shared" si="135"/>
        <v>-664.05774195631057</v>
      </c>
    </row>
    <row r="133" spans="2:23" x14ac:dyDescent="0.2">
      <c r="B133" s="233" t="s">
        <v>280</v>
      </c>
      <c r="C133" s="233"/>
      <c r="D133" s="233"/>
      <c r="E133" s="233"/>
      <c r="F133" s="241"/>
      <c r="G133" s="206">
        <f t="shared" ref="G133:R133" si="137">G99-F99</f>
        <v>9811.7648613101428</v>
      </c>
      <c r="H133" s="206">
        <f t="shared" si="137"/>
        <v>1234.3256124868567</v>
      </c>
      <c r="I133" s="206">
        <f t="shared" si="137"/>
        <v>-899.49365456602573</v>
      </c>
      <c r="J133" s="206">
        <f t="shared" si="137"/>
        <v>517.73047174403837</v>
      </c>
      <c r="K133" s="206">
        <f t="shared" si="137"/>
        <v>855.18888051361682</v>
      </c>
      <c r="L133" s="206">
        <f t="shared" si="137"/>
        <v>572.58217315221555</v>
      </c>
      <c r="M133" s="206">
        <f t="shared" si="137"/>
        <v>-202.99034180599847</v>
      </c>
      <c r="N133" s="206">
        <f t="shared" si="137"/>
        <v>191.75428039907274</v>
      </c>
      <c r="O133" s="206">
        <f t="shared" si="137"/>
        <v>605.79515143048411</v>
      </c>
      <c r="P133" s="206">
        <f t="shared" si="137"/>
        <v>-207.78517317715705</v>
      </c>
      <c r="Q133" s="206">
        <f t="shared" si="137"/>
        <v>629.34407514380291</v>
      </c>
      <c r="R133" s="206">
        <f t="shared" si="137"/>
        <v>-211.18484174140212</v>
      </c>
      <c r="S133" s="206">
        <f>S99-F99</f>
        <v>11702.372121102448</v>
      </c>
      <c r="T133" s="206">
        <f>T99-S99</f>
        <v>733.25882169537181</v>
      </c>
      <c r="U133" s="206">
        <f>U99-T99</f>
        <v>780.77096600281584</v>
      </c>
      <c r="V133" s="206">
        <f>V99-U99</f>
        <v>787.36336723067143</v>
      </c>
      <c r="W133" s="206">
        <f>W99-V99</f>
        <v>885.41032260841348</v>
      </c>
    </row>
    <row r="134" spans="2:23" ht="5.0999999999999996" customHeight="1" x14ac:dyDescent="0.2">
      <c r="B134" s="242"/>
      <c r="C134" s="242"/>
      <c r="D134" s="242"/>
      <c r="E134" s="242"/>
      <c r="F134" s="243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</row>
    <row r="135" spans="2:23" x14ac:dyDescent="0.2">
      <c r="B135" s="245" t="s">
        <v>299</v>
      </c>
      <c r="C135" s="245"/>
      <c r="D135" s="245"/>
      <c r="E135" s="245"/>
      <c r="F135" s="246"/>
      <c r="G135" s="247">
        <f ca="1">G124+G127+G128+G131+G132+G133</f>
        <v>-17885.55691389714</v>
      </c>
      <c r="H135" s="247">
        <f t="shared" ref="H135:W135" ca="1" si="138">H124+H127+H128+H131+H132+H133</f>
        <v>-3677.2782706609996</v>
      </c>
      <c r="I135" s="247">
        <f t="shared" ca="1" si="138"/>
        <v>800.11758458285703</v>
      </c>
      <c r="J135" s="247">
        <f t="shared" ca="1" si="138"/>
        <v>-235.12380070455447</v>
      </c>
      <c r="K135" s="247">
        <f t="shared" ca="1" si="138"/>
        <v>-5597.5899647222277</v>
      </c>
      <c r="L135" s="247">
        <f t="shared" ca="1" si="138"/>
        <v>-5729.8356690974979</v>
      </c>
      <c r="M135" s="247">
        <f t="shared" ca="1" si="138"/>
        <v>-3332.1771636605222</v>
      </c>
      <c r="N135" s="247">
        <f t="shared" ca="1" si="138"/>
        <v>-2602.4396551119612</v>
      </c>
      <c r="O135" s="247">
        <f t="shared" ca="1" si="138"/>
        <v>-1896.6510841431018</v>
      </c>
      <c r="P135" s="247">
        <f t="shared" ca="1" si="138"/>
        <v>681.05929489167352</v>
      </c>
      <c r="Q135" s="247">
        <f t="shared" ca="1" si="138"/>
        <v>638.30449324285269</v>
      </c>
      <c r="R135" s="247">
        <f t="shared" ca="1" si="138"/>
        <v>3121.7571878029612</v>
      </c>
      <c r="S135" s="247">
        <f t="shared" ca="1" si="138"/>
        <v>-29762.201828515805</v>
      </c>
      <c r="T135" s="247">
        <f t="shared" ca="1" si="138"/>
        <v>11380.763012422281</v>
      </c>
      <c r="U135" s="247">
        <f t="shared" ca="1" si="138"/>
        <v>19659.01394595666</v>
      </c>
      <c r="V135" s="247">
        <f t="shared" ca="1" si="138"/>
        <v>28164.70680234149</v>
      </c>
      <c r="W135" s="247">
        <f t="shared" ca="1" si="138"/>
        <v>37943.124561777615</v>
      </c>
    </row>
    <row r="136" spans="2:23" ht="3" customHeight="1" x14ac:dyDescent="0.2"/>
    <row r="137" spans="2:23" x14ac:dyDescent="0.2">
      <c r="B137" s="184" t="s">
        <v>300</v>
      </c>
      <c r="C137" s="184"/>
      <c r="D137" s="184"/>
      <c r="E137" s="184"/>
    </row>
    <row r="138" spans="2:23" x14ac:dyDescent="0.2">
      <c r="B138" s="233" t="s">
        <v>301</v>
      </c>
      <c r="C138" s="233"/>
      <c r="D138" s="233"/>
      <c r="E138" s="233"/>
      <c r="G138" s="206">
        <f>-G180</f>
        <v>-56010</v>
      </c>
      <c r="H138" s="206">
        <f>-H180</f>
        <v>0</v>
      </c>
      <c r="I138" s="206">
        <f>-I180</f>
        <v>0</v>
      </c>
      <c r="J138" s="206">
        <f>-J180</f>
        <v>0</v>
      </c>
      <c r="K138" s="206">
        <f>-K180</f>
        <v>0</v>
      </c>
      <c r="L138" s="206">
        <f t="shared" ref="L138:S138" si="139">-L180</f>
        <v>0</v>
      </c>
      <c r="M138" s="206">
        <f t="shared" si="139"/>
        <v>0</v>
      </c>
      <c r="N138" s="206">
        <f t="shared" si="139"/>
        <v>0</v>
      </c>
      <c r="O138" s="206">
        <f t="shared" si="139"/>
        <v>0</v>
      </c>
      <c r="P138" s="206">
        <f t="shared" si="139"/>
        <v>0</v>
      </c>
      <c r="Q138" s="206">
        <f t="shared" si="139"/>
        <v>0</v>
      </c>
      <c r="R138" s="206">
        <f t="shared" si="139"/>
        <v>0</v>
      </c>
      <c r="S138" s="206">
        <f>SUM(G138:R138)</f>
        <v>-56010</v>
      </c>
      <c r="T138" s="206">
        <f>-T180</f>
        <v>0</v>
      </c>
      <c r="U138" s="206">
        <f>-U180</f>
        <v>0</v>
      </c>
      <c r="V138" s="206">
        <f>-V180</f>
        <v>0</v>
      </c>
      <c r="W138" s="206">
        <f>-W180</f>
        <v>0</v>
      </c>
    </row>
    <row r="139" spans="2:23" x14ac:dyDescent="0.2">
      <c r="B139" s="245" t="s">
        <v>302</v>
      </c>
      <c r="C139" s="245"/>
      <c r="D139" s="245"/>
      <c r="E139" s="245"/>
      <c r="F139" s="246"/>
      <c r="G139" s="247">
        <f>G138</f>
        <v>-56010</v>
      </c>
      <c r="H139" s="247">
        <f t="shared" ref="H139:K139" si="140">H138</f>
        <v>0</v>
      </c>
      <c r="I139" s="247">
        <f t="shared" si="140"/>
        <v>0</v>
      </c>
      <c r="J139" s="247">
        <f t="shared" si="140"/>
        <v>0</v>
      </c>
      <c r="K139" s="247">
        <f t="shared" si="140"/>
        <v>0</v>
      </c>
      <c r="L139" s="247">
        <f t="shared" ref="L139:W139" si="141">L138</f>
        <v>0</v>
      </c>
      <c r="M139" s="247">
        <f t="shared" si="141"/>
        <v>0</v>
      </c>
      <c r="N139" s="247">
        <f t="shared" si="141"/>
        <v>0</v>
      </c>
      <c r="O139" s="247">
        <f t="shared" si="141"/>
        <v>0</v>
      </c>
      <c r="P139" s="247">
        <f t="shared" si="141"/>
        <v>0</v>
      </c>
      <c r="Q139" s="247">
        <f t="shared" si="141"/>
        <v>0</v>
      </c>
      <c r="R139" s="247">
        <f t="shared" si="141"/>
        <v>0</v>
      </c>
      <c r="S139" s="247">
        <f t="shared" si="141"/>
        <v>-56010</v>
      </c>
      <c r="T139" s="247">
        <f t="shared" si="141"/>
        <v>0</v>
      </c>
      <c r="U139" s="247">
        <f t="shared" si="141"/>
        <v>0</v>
      </c>
      <c r="V139" s="247">
        <f t="shared" si="141"/>
        <v>0</v>
      </c>
      <c r="W139" s="247">
        <f t="shared" si="141"/>
        <v>0</v>
      </c>
    </row>
    <row r="140" spans="2:23" ht="3" customHeight="1" x14ac:dyDescent="0.2"/>
    <row r="141" spans="2:23" x14ac:dyDescent="0.2">
      <c r="B141" s="184" t="s">
        <v>303</v>
      </c>
      <c r="C141" s="184"/>
      <c r="D141" s="184"/>
      <c r="E141" s="184"/>
    </row>
    <row r="142" spans="2:23" x14ac:dyDescent="0.2">
      <c r="B142" s="233" t="s">
        <v>304</v>
      </c>
      <c r="C142" s="233"/>
      <c r="D142" s="233"/>
      <c r="E142" s="233"/>
      <c r="G142" s="206">
        <f ca="1">G160-F160</f>
        <v>0</v>
      </c>
      <c r="H142" s="206">
        <f t="shared" ref="H142:K142" ca="1" si="142">H160-G160</f>
        <v>0</v>
      </c>
      <c r="I142" s="206">
        <f t="shared" ca="1" si="142"/>
        <v>0</v>
      </c>
      <c r="J142" s="206">
        <f t="shared" ca="1" si="142"/>
        <v>0</v>
      </c>
      <c r="K142" s="206">
        <f t="shared" ca="1" si="142"/>
        <v>0</v>
      </c>
      <c r="L142" s="206">
        <f t="shared" ref="L142" ca="1" si="143">L160-K160</f>
        <v>0</v>
      </c>
      <c r="M142" s="206">
        <f t="shared" ref="M142" ca="1" si="144">M160-L160</f>
        <v>0</v>
      </c>
      <c r="N142" s="206">
        <f t="shared" ref="N142" ca="1" si="145">N160-M160</f>
        <v>269.8838532720406</v>
      </c>
      <c r="O142" s="206">
        <f t="shared" ref="O142" ca="1" si="146">O160-N160</f>
        <v>2396.6510841431018</v>
      </c>
      <c r="P142" s="206">
        <f t="shared" ref="P142" ca="1" si="147">P160-O160</f>
        <v>-181.05929489167374</v>
      </c>
      <c r="Q142" s="206">
        <f t="shared" ref="Q142" ca="1" si="148">Q160-P160</f>
        <v>-138.30449324285291</v>
      </c>
      <c r="R142" s="206">
        <f t="shared" ref="R142:T142" ca="1" si="149">R160-Q160</f>
        <v>-2347.1711492806157</v>
      </c>
      <c r="S142" s="206">
        <f ca="1">S160-F160</f>
        <v>0</v>
      </c>
      <c r="T142" s="206">
        <f t="shared" ca="1" si="149"/>
        <v>0</v>
      </c>
      <c r="U142" s="206">
        <f t="shared" ref="U142" ca="1" si="150">U160-T160</f>
        <v>0</v>
      </c>
      <c r="V142" s="206">
        <f t="shared" ref="V142" ca="1" si="151">V160-U160</f>
        <v>0</v>
      </c>
      <c r="W142" s="206">
        <f t="shared" ref="W142" ca="1" si="152">W160-V160</f>
        <v>0</v>
      </c>
    </row>
    <row r="143" spans="2:23" x14ac:dyDescent="0.2">
      <c r="B143" s="233" t="s">
        <v>305</v>
      </c>
      <c r="C143" s="233"/>
      <c r="D143" s="233"/>
      <c r="E143" s="233"/>
      <c r="G143" s="206">
        <f>G164-F164</f>
        <v>-500</v>
      </c>
      <c r="H143" s="206">
        <f t="shared" ref="H143:K143" si="153">H164-G164</f>
        <v>-500</v>
      </c>
      <c r="I143" s="206">
        <f t="shared" si="153"/>
        <v>-500</v>
      </c>
      <c r="J143" s="206">
        <f t="shared" si="153"/>
        <v>-500</v>
      </c>
      <c r="K143" s="206">
        <f t="shared" si="153"/>
        <v>-500</v>
      </c>
      <c r="L143" s="206">
        <f t="shared" ref="L143" si="154">L164-K164</f>
        <v>-500</v>
      </c>
      <c r="M143" s="206">
        <f t="shared" ref="M143" si="155">M164-L164</f>
        <v>-500</v>
      </c>
      <c r="N143" s="206">
        <f t="shared" ref="N143" si="156">N164-M164</f>
        <v>-500</v>
      </c>
      <c r="O143" s="206">
        <f t="shared" ref="O143" si="157">O164-N164</f>
        <v>-500</v>
      </c>
      <c r="P143" s="206">
        <f t="shared" ref="P143" si="158">P164-O164</f>
        <v>-500</v>
      </c>
      <c r="Q143" s="206">
        <f t="shared" ref="Q143" si="159">Q164-P164</f>
        <v>-500</v>
      </c>
      <c r="R143" s="206">
        <f t="shared" ref="R143:T143" si="160">R164-Q164</f>
        <v>-500</v>
      </c>
      <c r="S143" s="206">
        <f>S164-E164</f>
        <v>-6000</v>
      </c>
      <c r="T143" s="206">
        <f t="shared" si="160"/>
        <v>-6000</v>
      </c>
      <c r="U143" s="206">
        <f t="shared" ref="U143" si="161">U164-T164</f>
        <v>-6000</v>
      </c>
      <c r="V143" s="206">
        <f t="shared" ref="V143" si="162">V164-U164</f>
        <v>-6000</v>
      </c>
      <c r="W143" s="206">
        <f t="shared" ref="W143" si="163">W164-V164</f>
        <v>-6000</v>
      </c>
    </row>
    <row r="144" spans="2:23" x14ac:dyDescent="0.2">
      <c r="B144" s="245" t="s">
        <v>306</v>
      </c>
      <c r="C144" s="245"/>
      <c r="D144" s="245"/>
      <c r="E144" s="245"/>
      <c r="F144" s="246"/>
      <c r="G144" s="247">
        <f ca="1">SUM(G142:G143)</f>
        <v>-500</v>
      </c>
      <c r="H144" s="247">
        <f t="shared" ref="H144:K144" ca="1" si="164">SUM(H142:H143)</f>
        <v>-500</v>
      </c>
      <c r="I144" s="247">
        <f t="shared" ca="1" si="164"/>
        <v>-500</v>
      </c>
      <c r="J144" s="247">
        <f t="shared" ca="1" si="164"/>
        <v>-500</v>
      </c>
      <c r="K144" s="247">
        <f t="shared" ca="1" si="164"/>
        <v>-500</v>
      </c>
      <c r="L144" s="247">
        <f t="shared" ref="L144:W144" ca="1" si="165">SUM(L142:L143)</f>
        <v>-500</v>
      </c>
      <c r="M144" s="247">
        <f t="shared" ca="1" si="165"/>
        <v>-500</v>
      </c>
      <c r="N144" s="247">
        <f t="shared" ca="1" si="165"/>
        <v>-230.1161467279594</v>
      </c>
      <c r="O144" s="247">
        <f t="shared" ca="1" si="165"/>
        <v>1896.6510841431018</v>
      </c>
      <c r="P144" s="247">
        <f t="shared" ca="1" si="165"/>
        <v>-681.05929489167374</v>
      </c>
      <c r="Q144" s="247">
        <f t="shared" ca="1" si="165"/>
        <v>-638.30449324285291</v>
      </c>
      <c r="R144" s="247">
        <f t="shared" ca="1" si="165"/>
        <v>-2847.1711492806157</v>
      </c>
      <c r="S144" s="247">
        <f t="shared" ca="1" si="165"/>
        <v>-6000</v>
      </c>
      <c r="T144" s="247">
        <f t="shared" ca="1" si="165"/>
        <v>-6000</v>
      </c>
      <c r="U144" s="247">
        <f t="shared" ca="1" si="165"/>
        <v>-6000</v>
      </c>
      <c r="V144" s="247">
        <f t="shared" ca="1" si="165"/>
        <v>-6000</v>
      </c>
      <c r="W144" s="247">
        <f t="shared" ca="1" si="165"/>
        <v>-6000</v>
      </c>
    </row>
    <row r="145" spans="1:23" ht="3" customHeight="1" x14ac:dyDescent="0.2"/>
    <row r="146" spans="1:23" x14ac:dyDescent="0.2">
      <c r="B146" s="180" t="s">
        <v>307</v>
      </c>
      <c r="G146" s="206">
        <f ca="1">G135+G139+G144</f>
        <v>-74395.556913897133</v>
      </c>
      <c r="H146" s="206">
        <f t="shared" ref="H146:K146" ca="1" si="166">H135+H139+H144</f>
        <v>-4177.2782706609996</v>
      </c>
      <c r="I146" s="206">
        <f t="shared" ca="1" si="166"/>
        <v>300.11758458285703</v>
      </c>
      <c r="J146" s="206">
        <f t="shared" ca="1" si="166"/>
        <v>-735.12380070455447</v>
      </c>
      <c r="K146" s="206">
        <f t="shared" ca="1" si="166"/>
        <v>-6097.5899647222277</v>
      </c>
      <c r="L146" s="206">
        <f t="shared" ref="L146:W146" ca="1" si="167">L135+L139+L144</f>
        <v>-6229.8356690974979</v>
      </c>
      <c r="M146" s="206">
        <f t="shared" ca="1" si="167"/>
        <v>-3832.1771636605222</v>
      </c>
      <c r="N146" s="206">
        <f t="shared" ca="1" si="167"/>
        <v>-2832.5558018399206</v>
      </c>
      <c r="O146" s="206">
        <f t="shared" ca="1" si="167"/>
        <v>0</v>
      </c>
      <c r="P146" s="206">
        <f t="shared" ca="1" si="167"/>
        <v>0</v>
      </c>
      <c r="Q146" s="206">
        <f t="shared" ca="1" si="167"/>
        <v>0</v>
      </c>
      <c r="R146" s="206">
        <f t="shared" ca="1" si="167"/>
        <v>274.58603852234546</v>
      </c>
      <c r="S146" s="206">
        <f t="shared" ca="1" si="167"/>
        <v>-91772.201828515797</v>
      </c>
      <c r="T146" s="206">
        <f t="shared" ca="1" si="167"/>
        <v>5380.7630124222815</v>
      </c>
      <c r="U146" s="206">
        <f t="shared" ca="1" si="167"/>
        <v>13659.01394595666</v>
      </c>
      <c r="V146" s="206">
        <f t="shared" ca="1" si="167"/>
        <v>22164.70680234149</v>
      </c>
      <c r="W146" s="206">
        <f t="shared" ca="1" si="167"/>
        <v>31943.124561777615</v>
      </c>
    </row>
    <row r="147" spans="1:23" x14ac:dyDescent="0.2">
      <c r="B147" s="248" t="s">
        <v>308</v>
      </c>
      <c r="C147" s="248"/>
      <c r="D147" s="248"/>
      <c r="E147" s="248"/>
      <c r="F147" s="248"/>
      <c r="G147" s="249">
        <f t="shared" ref="G147:T147" si="168">F87</f>
        <v>100000</v>
      </c>
      <c r="H147" s="249">
        <f t="shared" ca="1" si="168"/>
        <v>25604.443086102867</v>
      </c>
      <c r="I147" s="249">
        <f t="shared" ca="1" si="168"/>
        <v>21427.164815441865</v>
      </c>
      <c r="J147" s="249">
        <f t="shared" ca="1" si="168"/>
        <v>21727.282400024724</v>
      </c>
      <c r="K147" s="249">
        <f t="shared" ca="1" si="168"/>
        <v>20992.15859932017</v>
      </c>
      <c r="L147" s="249">
        <f t="shared" ca="1" si="168"/>
        <v>14894.568634597941</v>
      </c>
      <c r="M147" s="249">
        <f t="shared" ca="1" si="168"/>
        <v>8664.7329655004432</v>
      </c>
      <c r="N147" s="249">
        <f t="shared" ca="1" si="168"/>
        <v>4832.5558018399206</v>
      </c>
      <c r="O147" s="249">
        <f t="shared" ca="1" si="168"/>
        <v>2000</v>
      </c>
      <c r="P147" s="249">
        <f t="shared" ca="1" si="168"/>
        <v>2000</v>
      </c>
      <c r="Q147" s="249">
        <f t="shared" ca="1" si="168"/>
        <v>2000</v>
      </c>
      <c r="R147" s="249">
        <f t="shared" ca="1" si="168"/>
        <v>2000</v>
      </c>
      <c r="S147" s="249">
        <f>F87</f>
        <v>100000</v>
      </c>
      <c r="T147" s="249">
        <f ca="1">S87</f>
        <v>8227.7981714842026</v>
      </c>
      <c r="U147" s="249">
        <f t="shared" ref="U147" ca="1" si="169">T87</f>
        <v>13608.561183906484</v>
      </c>
      <c r="V147" s="249">
        <f t="shared" ref="V147" ca="1" si="170">U87</f>
        <v>27267.575129863144</v>
      </c>
      <c r="W147" s="249">
        <f t="shared" ref="W147" ca="1" si="171">V87</f>
        <v>49432.281932204634</v>
      </c>
    </row>
    <row r="148" spans="1:23" ht="10.8" thickBot="1" x14ac:dyDescent="0.25">
      <c r="B148" s="250" t="s">
        <v>309</v>
      </c>
      <c r="C148" s="250"/>
      <c r="D148" s="250"/>
      <c r="E148" s="250"/>
      <c r="F148" s="250"/>
      <c r="G148" s="251">
        <f ca="1">G146+G147</f>
        <v>25604.443086102867</v>
      </c>
      <c r="H148" s="251">
        <f t="shared" ref="H148:K148" ca="1" si="172">H146+H147</f>
        <v>21427.164815441865</v>
      </c>
      <c r="I148" s="251">
        <f t="shared" ca="1" si="172"/>
        <v>21727.282400024724</v>
      </c>
      <c r="J148" s="251">
        <f t="shared" ca="1" si="172"/>
        <v>20992.15859932017</v>
      </c>
      <c r="K148" s="251">
        <f t="shared" ca="1" si="172"/>
        <v>14894.568634597941</v>
      </c>
      <c r="L148" s="251">
        <f t="shared" ref="L148:W148" ca="1" si="173">L146+L147</f>
        <v>8664.7329655004432</v>
      </c>
      <c r="M148" s="251">
        <f t="shared" ca="1" si="173"/>
        <v>4832.5558018399206</v>
      </c>
      <c r="N148" s="251">
        <f t="shared" ca="1" si="173"/>
        <v>2000</v>
      </c>
      <c r="O148" s="251">
        <f t="shared" ca="1" si="173"/>
        <v>2000</v>
      </c>
      <c r="P148" s="251">
        <f t="shared" ca="1" si="173"/>
        <v>2000</v>
      </c>
      <c r="Q148" s="251">
        <f t="shared" ca="1" si="173"/>
        <v>2000</v>
      </c>
      <c r="R148" s="251">
        <f t="shared" ca="1" si="173"/>
        <v>2274.5860385223455</v>
      </c>
      <c r="S148" s="251">
        <f t="shared" ca="1" si="173"/>
        <v>8227.7981714842026</v>
      </c>
      <c r="T148" s="251">
        <f t="shared" ca="1" si="173"/>
        <v>13608.561183906484</v>
      </c>
      <c r="U148" s="251">
        <f t="shared" ca="1" si="173"/>
        <v>27267.575129863144</v>
      </c>
      <c r="V148" s="251">
        <f t="shared" ca="1" si="173"/>
        <v>49432.281932204634</v>
      </c>
      <c r="W148" s="251">
        <f t="shared" ca="1" si="173"/>
        <v>81375.406493982242</v>
      </c>
    </row>
    <row r="150" spans="1:23" x14ac:dyDescent="0.2">
      <c r="B150" s="181" t="s">
        <v>310</v>
      </c>
      <c r="C150" s="181"/>
      <c r="D150" s="181"/>
      <c r="E150" s="181"/>
      <c r="F150" s="264"/>
      <c r="G150" s="264"/>
      <c r="H150" s="264"/>
      <c r="I150" s="264"/>
      <c r="J150" s="264"/>
      <c r="K150" s="264"/>
    </row>
    <row r="151" spans="1:23" ht="12.75" customHeight="1" x14ac:dyDescent="0.2">
      <c r="B151" s="181" t="str">
        <f>B3</f>
        <v>"Plum Sweets" SRL</v>
      </c>
      <c r="C151" s="181"/>
      <c r="D151" s="181"/>
      <c r="E151" s="181"/>
      <c r="F151" s="264"/>
      <c r="G151" s="264"/>
      <c r="H151" s="264"/>
      <c r="I151" s="264"/>
      <c r="J151" s="264"/>
      <c r="K151" s="264"/>
    </row>
    <row r="152" spans="1:23" ht="5.0999999999999996" customHeight="1" x14ac:dyDescent="0.2"/>
    <row r="153" spans="1:23" x14ac:dyDescent="0.2">
      <c r="A153" s="179" t="s">
        <v>327</v>
      </c>
      <c r="B153" s="328" t="s">
        <v>311</v>
      </c>
      <c r="C153" s="328"/>
      <c r="D153" s="328"/>
      <c r="E153" s="328"/>
      <c r="F153" s="329" t="str">
        <f>'Financial Statements'!F6</f>
        <v>20X7</v>
      </c>
      <c r="G153" s="329" t="str">
        <f>'Financial Statements'!G6</f>
        <v>20X8</v>
      </c>
      <c r="H153" s="329" t="str">
        <f>'Financial Statements'!H6</f>
        <v>20X8</v>
      </c>
      <c r="I153" s="329" t="str">
        <f>'Financial Statements'!I6</f>
        <v>20X8</v>
      </c>
      <c r="J153" s="329" t="str">
        <f>'Financial Statements'!J6</f>
        <v>20X8</v>
      </c>
      <c r="K153" s="329" t="str">
        <f>'Financial Statements'!K6</f>
        <v>20X8</v>
      </c>
      <c r="L153" s="329" t="str">
        <f>'Financial Statements'!L6</f>
        <v>20X8</v>
      </c>
      <c r="M153" s="329" t="str">
        <f>'Financial Statements'!M6</f>
        <v>20X8</v>
      </c>
      <c r="N153" s="329" t="str">
        <f>'Financial Statements'!N6</f>
        <v>20X8</v>
      </c>
      <c r="O153" s="329" t="str">
        <f>'Financial Statements'!O6</f>
        <v>20X8</v>
      </c>
      <c r="P153" s="329" t="str">
        <f>'Financial Statements'!P6</f>
        <v>20X8</v>
      </c>
      <c r="Q153" s="329" t="str">
        <f>'Financial Statements'!Q6</f>
        <v>20X8</v>
      </c>
      <c r="R153" s="329" t="str">
        <f>'Financial Statements'!R6</f>
        <v>20X8</v>
      </c>
      <c r="S153" s="329" t="str">
        <f>'Financial Statements'!S6</f>
        <v>20X8</v>
      </c>
      <c r="T153" s="329" t="str">
        <f>'Financial Statements'!T6</f>
        <v>20X9</v>
      </c>
      <c r="U153" s="329" t="str">
        <f>'Financial Statements'!U6</f>
        <v>20Y1</v>
      </c>
      <c r="V153" s="329" t="str">
        <f>'Financial Statements'!V6</f>
        <v>20Y2</v>
      </c>
      <c r="W153" s="329" t="str">
        <f>'Financial Statements'!W6</f>
        <v>20Y3</v>
      </c>
    </row>
    <row r="154" spans="1:23" ht="5.0999999999999996" customHeight="1" x14ac:dyDescent="0.2">
      <c r="B154" s="262"/>
      <c r="C154" s="262"/>
      <c r="D154" s="262"/>
      <c r="E154" s="262"/>
      <c r="F154" s="182"/>
    </row>
    <row r="155" spans="1:23" x14ac:dyDescent="0.2">
      <c r="B155" s="199" t="s">
        <v>312</v>
      </c>
      <c r="C155" s="199"/>
      <c r="D155" s="199"/>
      <c r="E155" s="199"/>
      <c r="F155" s="252"/>
      <c r="G155" s="206">
        <f t="shared" ref="G155:T155" si="174">F87</f>
        <v>100000</v>
      </c>
      <c r="H155" s="206">
        <f t="shared" ca="1" si="174"/>
        <v>25604.443086102867</v>
      </c>
      <c r="I155" s="206">
        <f t="shared" ca="1" si="174"/>
        <v>21427.164815441865</v>
      </c>
      <c r="J155" s="206">
        <f t="shared" ca="1" si="174"/>
        <v>21727.282400024724</v>
      </c>
      <c r="K155" s="206">
        <f t="shared" ca="1" si="174"/>
        <v>20992.15859932017</v>
      </c>
      <c r="L155" s="206">
        <f t="shared" ca="1" si="174"/>
        <v>14894.568634597941</v>
      </c>
      <c r="M155" s="206">
        <f t="shared" ca="1" si="174"/>
        <v>8664.7329655004432</v>
      </c>
      <c r="N155" s="206">
        <f t="shared" ca="1" si="174"/>
        <v>4832.5558018399206</v>
      </c>
      <c r="O155" s="206">
        <f t="shared" ca="1" si="174"/>
        <v>2000</v>
      </c>
      <c r="P155" s="206">
        <f t="shared" ca="1" si="174"/>
        <v>2000</v>
      </c>
      <c r="Q155" s="206">
        <f t="shared" ca="1" si="174"/>
        <v>2000</v>
      </c>
      <c r="R155" s="206">
        <f t="shared" ca="1" si="174"/>
        <v>2000</v>
      </c>
      <c r="S155" s="206">
        <f>F87</f>
        <v>100000</v>
      </c>
      <c r="T155" s="206">
        <f t="shared" ca="1" si="174"/>
        <v>8227.7981714842026</v>
      </c>
      <c r="U155" s="206">
        <f t="shared" ref="U155" ca="1" si="175">T87</f>
        <v>13608.561183906484</v>
      </c>
      <c r="V155" s="206">
        <f t="shared" ref="V155" ca="1" si="176">U87</f>
        <v>27267.575129863144</v>
      </c>
      <c r="W155" s="206">
        <f t="shared" ref="W155" ca="1" si="177">V87</f>
        <v>49432.281932204634</v>
      </c>
    </row>
    <row r="156" spans="1:23" x14ac:dyDescent="0.2">
      <c r="B156" s="199" t="s">
        <v>313</v>
      </c>
      <c r="C156" s="199"/>
      <c r="D156" s="199"/>
      <c r="E156" s="199"/>
      <c r="F156" s="252"/>
      <c r="G156" s="206">
        <f t="shared" ref="G156:R156" ca="1" si="178">G135+G139</f>
        <v>-73895.556913897133</v>
      </c>
      <c r="H156" s="206">
        <f t="shared" ca="1" si="178"/>
        <v>-3677.2782706609996</v>
      </c>
      <c r="I156" s="206">
        <f t="shared" ca="1" si="178"/>
        <v>800.11758458285703</v>
      </c>
      <c r="J156" s="206">
        <f t="shared" ca="1" si="178"/>
        <v>-235.12380070455447</v>
      </c>
      <c r="K156" s="206">
        <f t="shared" ca="1" si="178"/>
        <v>-5597.5899647222277</v>
      </c>
      <c r="L156" s="206">
        <f t="shared" ca="1" si="178"/>
        <v>-5729.8356690974979</v>
      </c>
      <c r="M156" s="206">
        <f t="shared" ca="1" si="178"/>
        <v>-3332.1771636605222</v>
      </c>
      <c r="N156" s="206">
        <f t="shared" ca="1" si="178"/>
        <v>-2602.4396551119612</v>
      </c>
      <c r="O156" s="206">
        <f t="shared" ca="1" si="178"/>
        <v>-1896.6510841431018</v>
      </c>
      <c r="P156" s="206">
        <f t="shared" ca="1" si="178"/>
        <v>681.05929489167352</v>
      </c>
      <c r="Q156" s="206">
        <f t="shared" ca="1" si="178"/>
        <v>638.30449324285269</v>
      </c>
      <c r="R156" s="206">
        <f t="shared" ca="1" si="178"/>
        <v>3121.7571878029612</v>
      </c>
      <c r="S156" s="206">
        <f ca="1">S135+S139</f>
        <v>-85772.201828515797</v>
      </c>
      <c r="T156" s="206">
        <f t="shared" ref="S156:W156" ca="1" si="179">T135+T139</f>
        <v>11380.763012422281</v>
      </c>
      <c r="U156" s="206">
        <f t="shared" ca="1" si="179"/>
        <v>19659.01394595666</v>
      </c>
      <c r="V156" s="206">
        <f t="shared" ca="1" si="179"/>
        <v>28164.70680234149</v>
      </c>
      <c r="W156" s="206">
        <f t="shared" ca="1" si="179"/>
        <v>37943.124561777615</v>
      </c>
    </row>
    <row r="157" spans="1:23" x14ac:dyDescent="0.2">
      <c r="B157" s="199" t="s">
        <v>314</v>
      </c>
      <c r="C157" s="199"/>
      <c r="D157" s="199"/>
      <c r="E157" s="199"/>
      <c r="F157" s="252"/>
      <c r="G157" s="206">
        <f t="shared" ref="G157:R157" si="180">G143</f>
        <v>-500</v>
      </c>
      <c r="H157" s="206">
        <f t="shared" si="180"/>
        <v>-500</v>
      </c>
      <c r="I157" s="206">
        <f t="shared" si="180"/>
        <v>-500</v>
      </c>
      <c r="J157" s="206">
        <f t="shared" si="180"/>
        <v>-500</v>
      </c>
      <c r="K157" s="206">
        <f t="shared" si="180"/>
        <v>-500</v>
      </c>
      <c r="L157" s="206">
        <f t="shared" si="180"/>
        <v>-500</v>
      </c>
      <c r="M157" s="206">
        <f t="shared" si="180"/>
        <v>-500</v>
      </c>
      <c r="N157" s="206">
        <f t="shared" si="180"/>
        <v>-500</v>
      </c>
      <c r="O157" s="206">
        <f t="shared" si="180"/>
        <v>-500</v>
      </c>
      <c r="P157" s="206">
        <f t="shared" si="180"/>
        <v>-500</v>
      </c>
      <c r="Q157" s="206">
        <f t="shared" si="180"/>
        <v>-500</v>
      </c>
      <c r="R157" s="206">
        <f t="shared" si="180"/>
        <v>-500</v>
      </c>
      <c r="S157" s="206">
        <f t="shared" ref="S157:W157" si="181">S143</f>
        <v>-6000</v>
      </c>
      <c r="T157" s="206">
        <f t="shared" si="181"/>
        <v>-6000</v>
      </c>
      <c r="U157" s="206">
        <f t="shared" si="181"/>
        <v>-6000</v>
      </c>
      <c r="V157" s="206">
        <f t="shared" si="181"/>
        <v>-6000</v>
      </c>
      <c r="W157" s="206">
        <f t="shared" si="181"/>
        <v>-6000</v>
      </c>
    </row>
    <row r="158" spans="1:23" x14ac:dyDescent="0.2">
      <c r="B158" s="199" t="s">
        <v>315</v>
      </c>
      <c r="C158" s="199"/>
      <c r="D158" s="199"/>
      <c r="E158" s="199"/>
      <c r="F158" s="252"/>
      <c r="G158" s="200">
        <v>2000</v>
      </c>
      <c r="H158" s="200">
        <v>2000</v>
      </c>
      <c r="I158" s="200">
        <v>2000</v>
      </c>
      <c r="J158" s="200">
        <v>2000</v>
      </c>
      <c r="K158" s="200">
        <v>2000</v>
      </c>
      <c r="L158" s="200">
        <v>2000</v>
      </c>
      <c r="M158" s="200">
        <v>2000</v>
      </c>
      <c r="N158" s="200">
        <v>2000</v>
      </c>
      <c r="O158" s="200">
        <v>2000</v>
      </c>
      <c r="P158" s="200">
        <v>2000</v>
      </c>
      <c r="Q158" s="200">
        <v>2000</v>
      </c>
      <c r="R158" s="200">
        <v>2000</v>
      </c>
      <c r="S158" s="200">
        <v>2000</v>
      </c>
      <c r="T158" s="200">
        <v>2000</v>
      </c>
      <c r="U158" s="200">
        <v>2000</v>
      </c>
      <c r="V158" s="200">
        <v>2000</v>
      </c>
      <c r="W158" s="200">
        <v>2000</v>
      </c>
    </row>
    <row r="159" spans="1:23" x14ac:dyDescent="0.2">
      <c r="B159" s="253" t="s">
        <v>316</v>
      </c>
      <c r="C159" s="253"/>
      <c r="D159" s="253"/>
      <c r="E159" s="253"/>
      <c r="F159" s="254"/>
      <c r="G159" s="244">
        <f ca="1">G155+G156+G157-G158</f>
        <v>23604.443086102867</v>
      </c>
      <c r="H159" s="244">
        <f t="shared" ref="H159:K159" ca="1" si="182">H155+H156+H157-H158</f>
        <v>19427.164815441865</v>
      </c>
      <c r="I159" s="244">
        <f t="shared" ca="1" si="182"/>
        <v>19727.282400024724</v>
      </c>
      <c r="J159" s="244">
        <f t="shared" ca="1" si="182"/>
        <v>18992.15859932017</v>
      </c>
      <c r="K159" s="244">
        <f t="shared" ca="1" si="182"/>
        <v>12894.568634597941</v>
      </c>
      <c r="L159" s="244">
        <f t="shared" ref="L159:R159" ca="1" si="183">L155+L156+L157-L158</f>
        <v>6664.7329655004432</v>
      </c>
      <c r="M159" s="244">
        <f t="shared" ca="1" si="183"/>
        <v>2832.5558018399206</v>
      </c>
      <c r="N159" s="244">
        <f t="shared" ca="1" si="183"/>
        <v>-269.8838532720406</v>
      </c>
      <c r="O159" s="244">
        <f t="shared" ca="1" si="183"/>
        <v>-2396.6510841431018</v>
      </c>
      <c r="P159" s="244">
        <f t="shared" ca="1" si="183"/>
        <v>181.05929489167374</v>
      </c>
      <c r="Q159" s="244">
        <f t="shared" ca="1" si="183"/>
        <v>138.30449324285291</v>
      </c>
      <c r="R159" s="244">
        <f t="shared" ca="1" si="183"/>
        <v>2621.7571878029612</v>
      </c>
      <c r="S159" s="244">
        <f t="shared" ref="S159:W159" ca="1" si="184">S155+S156+S157-S158</f>
        <v>6227.7981714842026</v>
      </c>
      <c r="T159" s="244">
        <f t="shared" ca="1" si="184"/>
        <v>11608.561183906484</v>
      </c>
      <c r="U159" s="244">
        <f t="shared" ca="1" si="184"/>
        <v>25267.575129863144</v>
      </c>
      <c r="V159" s="244">
        <f t="shared" ca="1" si="184"/>
        <v>47432.281932204634</v>
      </c>
      <c r="W159" s="244">
        <f t="shared" ca="1" si="184"/>
        <v>79375.406493982242</v>
      </c>
    </row>
    <row r="160" spans="1:23" ht="11.25" customHeight="1" thickBot="1" x14ac:dyDescent="0.25">
      <c r="B160" s="255" t="s">
        <v>281</v>
      </c>
      <c r="C160" s="255"/>
      <c r="D160" s="255"/>
      <c r="E160" s="255"/>
      <c r="F160" s="256"/>
      <c r="G160" s="256">
        <f ca="1">MAX(0,F160-G159)</f>
        <v>0</v>
      </c>
      <c r="H160" s="256">
        <f ca="1">MAX(0,G160-H159)</f>
        <v>0</v>
      </c>
      <c r="I160" s="256">
        <f ca="1">MAX(0,H160-I159)</f>
        <v>0</v>
      </c>
      <c r="J160" s="256">
        <f ca="1">MAX(0,I160-J159)</f>
        <v>0</v>
      </c>
      <c r="K160" s="256">
        <f ca="1">MAX(0,J160-K159)</f>
        <v>0</v>
      </c>
      <c r="L160" s="256">
        <f t="shared" ref="L160:T160" ca="1" si="185">MAX(0,K160-L159)</f>
        <v>0</v>
      </c>
      <c r="M160" s="256">
        <f t="shared" ca="1" si="185"/>
        <v>0</v>
      </c>
      <c r="N160" s="256">
        <f t="shared" ca="1" si="185"/>
        <v>269.8838532720406</v>
      </c>
      <c r="O160" s="256">
        <f t="shared" ca="1" si="185"/>
        <v>2666.5349374151424</v>
      </c>
      <c r="P160" s="256">
        <f t="shared" ca="1" si="185"/>
        <v>2485.4756425234687</v>
      </c>
      <c r="Q160" s="256">
        <f t="shared" ca="1" si="185"/>
        <v>2347.1711492806157</v>
      </c>
      <c r="R160" s="256">
        <f t="shared" ca="1" si="185"/>
        <v>0</v>
      </c>
      <c r="S160" s="256">
        <f ca="1">MAX(0,F160-S159)</f>
        <v>0</v>
      </c>
      <c r="T160" s="256">
        <f t="shared" ca="1" si="185"/>
        <v>0</v>
      </c>
      <c r="U160" s="256">
        <f t="shared" ref="U160" ca="1" si="186">MAX(0,T160-U159)</f>
        <v>0</v>
      </c>
      <c r="V160" s="256">
        <f t="shared" ref="V160" ca="1" si="187">MAX(0,U160-V159)</f>
        <v>0</v>
      </c>
      <c r="W160" s="256">
        <f t="shared" ref="W160" ca="1" si="188">MAX(0,V160-W159)</f>
        <v>0</v>
      </c>
    </row>
    <row r="161" spans="2:25" ht="5.0999999999999996" customHeight="1" x14ac:dyDescent="0.2">
      <c r="B161" s="243"/>
      <c r="C161" s="243"/>
      <c r="D161" s="243"/>
      <c r="E161" s="243"/>
      <c r="F161" s="244"/>
      <c r="G161" s="244"/>
      <c r="H161" s="244"/>
      <c r="I161" s="244"/>
      <c r="J161" s="244"/>
      <c r="K161" s="244"/>
    </row>
    <row r="162" spans="2:25" x14ac:dyDescent="0.2">
      <c r="B162" s="184" t="s">
        <v>317</v>
      </c>
      <c r="C162" s="184"/>
      <c r="D162" s="184"/>
      <c r="E162" s="184"/>
      <c r="F162" s="185"/>
      <c r="G162" s="185"/>
      <c r="H162" s="185"/>
      <c r="I162" s="185"/>
      <c r="J162" s="185"/>
      <c r="K162" s="185"/>
    </row>
    <row r="163" spans="2:25" ht="5.0999999999999996" customHeight="1" x14ac:dyDescent="0.2">
      <c r="B163" s="184"/>
      <c r="C163" s="184"/>
      <c r="D163" s="184"/>
      <c r="E163" s="184"/>
      <c r="F163" s="185"/>
      <c r="G163" s="185"/>
      <c r="H163" s="185"/>
      <c r="I163" s="185"/>
      <c r="J163" s="185"/>
      <c r="K163" s="185"/>
    </row>
    <row r="164" spans="2:25" x14ac:dyDescent="0.2">
      <c r="B164" s="199" t="s">
        <v>285</v>
      </c>
      <c r="C164" s="199"/>
      <c r="D164" s="199"/>
      <c r="E164" s="206">
        <v>34000</v>
      </c>
      <c r="F164" s="206">
        <v>39500</v>
      </c>
      <c r="G164" s="206">
        <f>F164-G165</f>
        <v>39000</v>
      </c>
      <c r="H164" s="206">
        <f>G164-H165</f>
        <v>38500</v>
      </c>
      <c r="I164" s="206">
        <f>H164-I165</f>
        <v>38000</v>
      </c>
      <c r="J164" s="206">
        <f>I164-J165</f>
        <v>37500</v>
      </c>
      <c r="K164" s="206">
        <f>J164-K165</f>
        <v>37000</v>
      </c>
      <c r="L164" s="206">
        <f t="shared" ref="L164:T164" si="189">K164-L165</f>
        <v>36500</v>
      </c>
      <c r="M164" s="206">
        <f t="shared" si="189"/>
        <v>36000</v>
      </c>
      <c r="N164" s="206">
        <f t="shared" si="189"/>
        <v>35500</v>
      </c>
      <c r="O164" s="206">
        <f t="shared" si="189"/>
        <v>35000</v>
      </c>
      <c r="P164" s="206">
        <f t="shared" si="189"/>
        <v>34500</v>
      </c>
      <c r="Q164" s="206">
        <f t="shared" si="189"/>
        <v>34000</v>
      </c>
      <c r="R164" s="206">
        <f t="shared" si="189"/>
        <v>33500</v>
      </c>
      <c r="S164" s="206">
        <f>E164-S165</f>
        <v>28000</v>
      </c>
      <c r="T164" s="206">
        <f>MAX(S164-T165,0)</f>
        <v>22000</v>
      </c>
      <c r="U164" s="206">
        <f t="shared" ref="U164:W164" si="190">MAX(T164-U165,0)</f>
        <v>16000</v>
      </c>
      <c r="V164" s="206">
        <f t="shared" si="190"/>
        <v>10000</v>
      </c>
      <c r="W164" s="206">
        <f t="shared" si="190"/>
        <v>4000</v>
      </c>
      <c r="X164" s="206"/>
      <c r="Y164" s="206"/>
    </row>
    <row r="165" spans="2:25" x14ac:dyDescent="0.2">
      <c r="B165" s="199" t="s">
        <v>318</v>
      </c>
      <c r="C165" s="199"/>
      <c r="D165" s="199"/>
      <c r="E165" s="206">
        <v>6000</v>
      </c>
      <c r="F165" s="206">
        <v>500</v>
      </c>
      <c r="G165" s="206">
        <v>500</v>
      </c>
      <c r="H165" s="206">
        <f>G165</f>
        <v>500</v>
      </c>
      <c r="I165" s="206">
        <f>H165</f>
        <v>500</v>
      </c>
      <c r="J165" s="206">
        <f>I165</f>
        <v>500</v>
      </c>
      <c r="K165" s="206">
        <f>J165</f>
        <v>500</v>
      </c>
      <c r="L165" s="206">
        <f t="shared" ref="L165:R165" si="191">K165</f>
        <v>500</v>
      </c>
      <c r="M165" s="206">
        <f t="shared" si="191"/>
        <v>500</v>
      </c>
      <c r="N165" s="206">
        <f t="shared" si="191"/>
        <v>500</v>
      </c>
      <c r="O165" s="206">
        <f t="shared" si="191"/>
        <v>500</v>
      </c>
      <c r="P165" s="206">
        <f t="shared" si="191"/>
        <v>500</v>
      </c>
      <c r="Q165" s="206">
        <f t="shared" si="191"/>
        <v>500</v>
      </c>
      <c r="R165" s="206">
        <f t="shared" si="191"/>
        <v>500</v>
      </c>
      <c r="S165" s="206">
        <f>F165*12</f>
        <v>6000</v>
      </c>
      <c r="T165" s="206">
        <f t="shared" ref="T165:W165" si="192">G165*12</f>
        <v>6000</v>
      </c>
      <c r="U165" s="206">
        <f t="shared" si="192"/>
        <v>6000</v>
      </c>
      <c r="V165" s="206">
        <f t="shared" si="192"/>
        <v>6000</v>
      </c>
      <c r="W165" s="206">
        <f t="shared" si="192"/>
        <v>6000</v>
      </c>
    </row>
    <row r="166" spans="2:25" ht="5.0999999999999996" customHeight="1" x14ac:dyDescent="0.2">
      <c r="F166" s="185"/>
      <c r="G166" s="185"/>
      <c r="H166" s="185"/>
      <c r="I166" s="185"/>
      <c r="J166" s="185"/>
      <c r="K166" s="185"/>
    </row>
    <row r="167" spans="2:25" x14ac:dyDescent="0.2">
      <c r="B167" s="184" t="s">
        <v>260</v>
      </c>
      <c r="C167" s="184"/>
      <c r="D167" s="184"/>
      <c r="E167" s="184"/>
      <c r="F167" s="257"/>
      <c r="G167" s="257"/>
      <c r="H167" s="257"/>
      <c r="I167" s="257"/>
      <c r="J167" s="257"/>
      <c r="K167" s="257"/>
      <c r="S167" s="206"/>
      <c r="T167" s="206"/>
      <c r="U167" s="206"/>
      <c r="V167" s="206"/>
      <c r="W167" s="206"/>
    </row>
    <row r="168" spans="2:25" ht="5.0999999999999996" customHeight="1" x14ac:dyDescent="0.2">
      <c r="F168" s="185"/>
      <c r="G168" s="185"/>
      <c r="H168" s="185"/>
      <c r="I168" s="185"/>
      <c r="J168" s="185"/>
      <c r="K168" s="185"/>
    </row>
    <row r="169" spans="2:25" x14ac:dyDescent="0.2">
      <c r="B169" s="199" t="s">
        <v>319</v>
      </c>
      <c r="C169" s="199"/>
      <c r="D169" s="199"/>
      <c r="E169" s="199"/>
      <c r="F169" s="185"/>
      <c r="G169" s="258">
        <v>0.15</v>
      </c>
      <c r="H169" s="258">
        <v>0.15</v>
      </c>
      <c r="I169" s="258">
        <v>0.15</v>
      </c>
      <c r="J169" s="258">
        <v>0.15</v>
      </c>
      <c r="K169" s="258">
        <v>0.15</v>
      </c>
      <c r="L169" s="258">
        <v>0.15</v>
      </c>
      <c r="M169" s="258">
        <v>0.15</v>
      </c>
      <c r="N169" s="258">
        <v>0.15</v>
      </c>
      <c r="O169" s="258">
        <v>0.15</v>
      </c>
      <c r="P169" s="258">
        <v>0.15</v>
      </c>
      <c r="Q169" s="258">
        <v>0.15</v>
      </c>
      <c r="R169" s="258">
        <v>0.15</v>
      </c>
      <c r="S169" s="258">
        <v>0.15</v>
      </c>
      <c r="T169" s="258">
        <v>0.15</v>
      </c>
      <c r="U169" s="258">
        <v>0.15</v>
      </c>
      <c r="V169" s="258">
        <v>0.15</v>
      </c>
      <c r="W169" s="258">
        <v>0.15</v>
      </c>
    </row>
    <row r="170" spans="2:25" x14ac:dyDescent="0.2">
      <c r="B170" s="199" t="s">
        <v>320</v>
      </c>
      <c r="C170" s="199"/>
      <c r="D170" s="199"/>
      <c r="E170" s="199"/>
      <c r="F170" s="185"/>
      <c r="G170" s="258">
        <v>0.1</v>
      </c>
      <c r="H170" s="258">
        <v>0.1</v>
      </c>
      <c r="I170" s="258">
        <v>0.1</v>
      </c>
      <c r="J170" s="258">
        <v>0.1</v>
      </c>
      <c r="K170" s="258">
        <v>0.1</v>
      </c>
      <c r="L170" s="258">
        <v>0.1</v>
      </c>
      <c r="M170" s="258">
        <v>0.1</v>
      </c>
      <c r="N170" s="258">
        <v>0.1</v>
      </c>
      <c r="O170" s="258">
        <v>0.1</v>
      </c>
      <c r="P170" s="258">
        <v>0.1</v>
      </c>
      <c r="Q170" s="258">
        <v>0.1</v>
      </c>
      <c r="R170" s="258">
        <v>0.1</v>
      </c>
      <c r="S170" s="258">
        <v>0.1</v>
      </c>
      <c r="T170" s="258">
        <v>0.1</v>
      </c>
      <c r="U170" s="258">
        <v>0.1</v>
      </c>
      <c r="V170" s="258">
        <v>0.1</v>
      </c>
      <c r="W170" s="258">
        <v>0.1</v>
      </c>
    </row>
    <row r="171" spans="2:25" ht="5.0999999999999996" customHeight="1" x14ac:dyDescent="0.2">
      <c r="B171" s="199"/>
      <c r="C171" s="199"/>
      <c r="D171" s="199"/>
      <c r="E171" s="199"/>
      <c r="F171" s="185"/>
      <c r="G171" s="185"/>
      <c r="H171" s="185"/>
      <c r="I171" s="185"/>
      <c r="J171" s="185"/>
      <c r="K171" s="185"/>
    </row>
    <row r="172" spans="2:25" x14ac:dyDescent="0.2">
      <c r="B172" s="199" t="s">
        <v>321</v>
      </c>
      <c r="C172" s="199"/>
      <c r="D172" s="199"/>
      <c r="E172" s="199"/>
      <c r="F172" s="185"/>
      <c r="G172" s="206">
        <f>AVERAGE(SUM(F164:F165),SUM(G164:G165))*(G169/12)</f>
        <v>496.87499999999994</v>
      </c>
      <c r="H172" s="206">
        <f t="shared" ref="H172:J172" si="193">AVERAGE(SUM(G164:G165),SUM(H164:H165))*(H169/12)</f>
        <v>490.62499999999994</v>
      </c>
      <c r="I172" s="206">
        <f t="shared" si="193"/>
        <v>484.37499999999994</v>
      </c>
      <c r="J172" s="206">
        <f t="shared" si="193"/>
        <v>478.12499999999994</v>
      </c>
      <c r="K172" s="206">
        <f>AVERAGE(SUM(J164:J165),SUM(K164:K165))*(K169/12)</f>
        <v>471.87499999999994</v>
      </c>
      <c r="L172" s="206">
        <f t="shared" ref="L172:T172" si="194">AVERAGE(SUM(K164:K165),SUM(L164:L165))*(L169/12)</f>
        <v>465.62499999999994</v>
      </c>
      <c r="M172" s="206">
        <f t="shared" si="194"/>
        <v>459.37499999999994</v>
      </c>
      <c r="N172" s="206">
        <f t="shared" si="194"/>
        <v>453.12499999999994</v>
      </c>
      <c r="O172" s="206">
        <f t="shared" si="194"/>
        <v>446.87499999999994</v>
      </c>
      <c r="P172" s="206">
        <f t="shared" si="194"/>
        <v>440.62499999999994</v>
      </c>
      <c r="Q172" s="206">
        <f t="shared" si="194"/>
        <v>434.37499999999994</v>
      </c>
      <c r="R172" s="206">
        <f t="shared" si="194"/>
        <v>428.12499999999994</v>
      </c>
      <c r="S172" s="206">
        <f>AVERAGE(SUM(F164:F165),SUM(S164:S165))*S169</f>
        <v>5550</v>
      </c>
      <c r="T172" s="206">
        <f>AVERAGE(SUM(S164:S165),SUM(T164:T165))*T169</f>
        <v>4650</v>
      </c>
      <c r="U172" s="206">
        <f t="shared" ref="U172:W172" si="195">AVERAGE(SUM(T164:T165),SUM(U164:U165))*U169</f>
        <v>3750</v>
      </c>
      <c r="V172" s="206">
        <f t="shared" si="195"/>
        <v>2850</v>
      </c>
      <c r="W172" s="206">
        <f t="shared" si="195"/>
        <v>1950</v>
      </c>
    </row>
    <row r="173" spans="2:25" x14ac:dyDescent="0.2">
      <c r="B173" s="199" t="s">
        <v>322</v>
      </c>
      <c r="C173" s="199"/>
      <c r="D173" s="199"/>
      <c r="E173" s="199"/>
      <c r="F173" s="185"/>
      <c r="G173" s="206">
        <f ca="1">AVERAGE(F160:G160)*(G170/12)</f>
        <v>0</v>
      </c>
      <c r="H173" s="206">
        <f t="shared" ref="H173:T173" ca="1" si="196">AVERAGE(G160:H160)*(H170/12)</f>
        <v>0</v>
      </c>
      <c r="I173" s="206">
        <f t="shared" ca="1" si="196"/>
        <v>0</v>
      </c>
      <c r="J173" s="206">
        <f t="shared" ca="1" si="196"/>
        <v>0</v>
      </c>
      <c r="K173" s="206">
        <f t="shared" ca="1" si="196"/>
        <v>0</v>
      </c>
      <c r="L173" s="206">
        <f t="shared" ca="1" si="196"/>
        <v>0</v>
      </c>
      <c r="M173" s="206">
        <f t="shared" ca="1" si="196"/>
        <v>0</v>
      </c>
      <c r="N173" s="206">
        <f t="shared" ca="1" si="196"/>
        <v>1.1245160553001692</v>
      </c>
      <c r="O173" s="206">
        <f t="shared" ca="1" si="196"/>
        <v>12.235078294529929</v>
      </c>
      <c r="P173" s="206">
        <f t="shared" ca="1" si="196"/>
        <v>21.466710749744212</v>
      </c>
      <c r="Q173" s="206">
        <f t="shared" ca="1" si="196"/>
        <v>20.136028299183685</v>
      </c>
      <c r="R173" s="206">
        <f t="shared" ca="1" si="196"/>
        <v>9.7798797886692324</v>
      </c>
      <c r="S173" s="206">
        <f ca="1">AVERAGE(F160,S160)*(S170/12)</f>
        <v>0</v>
      </c>
      <c r="T173" s="206">
        <f ca="1">AVERAGE(S160:T160)*T170</f>
        <v>0</v>
      </c>
      <c r="U173" s="206">
        <f t="shared" ref="U173:W173" ca="1" si="197">AVERAGE(T160:U160)*U170</f>
        <v>0</v>
      </c>
      <c r="V173" s="206">
        <f t="shared" ca="1" si="197"/>
        <v>0</v>
      </c>
      <c r="W173" s="206">
        <f t="shared" ca="1" si="197"/>
        <v>0</v>
      </c>
    </row>
    <row r="174" spans="2:25" ht="5.0999999999999996" customHeight="1" x14ac:dyDescent="0.2">
      <c r="F174" s="185"/>
      <c r="G174" s="185"/>
      <c r="H174" s="185"/>
      <c r="I174" s="185"/>
      <c r="J174" s="185"/>
      <c r="K174" s="185"/>
    </row>
    <row r="175" spans="2:25" ht="10.8" thickBot="1" x14ac:dyDescent="0.25">
      <c r="B175" s="255" t="s">
        <v>323</v>
      </c>
      <c r="C175" s="255"/>
      <c r="D175" s="255"/>
      <c r="E175" s="255"/>
      <c r="F175" s="256"/>
      <c r="G175" s="256">
        <f ca="1">SUM(G172:G173)</f>
        <v>496.87499999999994</v>
      </c>
      <c r="H175" s="256">
        <f ca="1">SUM(H172:H173)</f>
        <v>490.62499999999994</v>
      </c>
      <c r="I175" s="256">
        <f ca="1">SUM(I172:I173)</f>
        <v>484.37499999999994</v>
      </c>
      <c r="J175" s="256">
        <f ca="1">SUM(J172:J173)</f>
        <v>478.12499999999994</v>
      </c>
      <c r="K175" s="256">
        <f ca="1">SUM(K172:K173)</f>
        <v>471.87499999999994</v>
      </c>
      <c r="L175" s="256">
        <f t="shared" ref="L175:W175" ca="1" si="198">SUM(L172:L173)</f>
        <v>465.62499999999994</v>
      </c>
      <c r="M175" s="256">
        <f t="shared" ca="1" si="198"/>
        <v>459.37499999999994</v>
      </c>
      <c r="N175" s="256">
        <f t="shared" ca="1" si="198"/>
        <v>454.24951605530009</v>
      </c>
      <c r="O175" s="256">
        <f t="shared" ca="1" si="198"/>
        <v>459.1100782945299</v>
      </c>
      <c r="P175" s="256">
        <f t="shared" ca="1" si="198"/>
        <v>462.09171074974415</v>
      </c>
      <c r="Q175" s="256">
        <f t="shared" ca="1" si="198"/>
        <v>454.51102829918364</v>
      </c>
      <c r="R175" s="256">
        <f t="shared" ca="1" si="198"/>
        <v>437.90487978866918</v>
      </c>
      <c r="S175" s="256">
        <f t="shared" ca="1" si="198"/>
        <v>5550</v>
      </c>
      <c r="T175" s="256">
        <f t="shared" ca="1" si="198"/>
        <v>4650</v>
      </c>
      <c r="U175" s="256">
        <f t="shared" ca="1" si="198"/>
        <v>3750</v>
      </c>
      <c r="V175" s="256">
        <f t="shared" ca="1" si="198"/>
        <v>2850</v>
      </c>
      <c r="W175" s="256">
        <f t="shared" ca="1" si="198"/>
        <v>1950</v>
      </c>
    </row>
    <row r="176" spans="2:25" x14ac:dyDescent="0.2">
      <c r="B176" s="243"/>
      <c r="C176" s="243"/>
      <c r="D176" s="243"/>
      <c r="E176" s="243"/>
      <c r="F176" s="244"/>
      <c r="G176" s="244"/>
      <c r="H176" s="244"/>
      <c r="I176" s="244"/>
      <c r="J176" s="244"/>
      <c r="K176" s="244"/>
    </row>
    <row r="177" spans="1:23" s="309" customFormat="1" x14ac:dyDescent="0.2">
      <c r="A177" s="179" t="s">
        <v>327</v>
      </c>
      <c r="B177" s="330" t="s">
        <v>324</v>
      </c>
      <c r="C177" s="331"/>
      <c r="D177" s="331"/>
      <c r="E177" s="331"/>
      <c r="F177" s="332">
        <v>0</v>
      </c>
      <c r="G177" s="332">
        <f>+F177+1</f>
        <v>1</v>
      </c>
      <c r="H177" s="332">
        <f t="shared" ref="H177:R177" si="199">+G177+1</f>
        <v>2</v>
      </c>
      <c r="I177" s="332">
        <f t="shared" si="199"/>
        <v>3</v>
      </c>
      <c r="J177" s="332">
        <f t="shared" si="199"/>
        <v>4</v>
      </c>
      <c r="K177" s="332">
        <f t="shared" si="199"/>
        <v>5</v>
      </c>
      <c r="L177" s="332">
        <f t="shared" si="199"/>
        <v>6</v>
      </c>
      <c r="M177" s="332">
        <f t="shared" si="199"/>
        <v>7</v>
      </c>
      <c r="N177" s="332">
        <f t="shared" si="199"/>
        <v>8</v>
      </c>
      <c r="O177" s="332">
        <f t="shared" si="199"/>
        <v>9</v>
      </c>
      <c r="P177" s="332">
        <f t="shared" si="199"/>
        <v>10</v>
      </c>
      <c r="Q177" s="332">
        <f t="shared" si="199"/>
        <v>11</v>
      </c>
      <c r="R177" s="332">
        <f t="shared" si="199"/>
        <v>12</v>
      </c>
      <c r="S177" s="310">
        <f>G177</f>
        <v>1</v>
      </c>
      <c r="T177" s="310">
        <f t="shared" ref="T177:W177" si="200">H177</f>
        <v>2</v>
      </c>
      <c r="U177" s="310">
        <f t="shared" si="200"/>
        <v>3</v>
      </c>
      <c r="V177" s="310">
        <f t="shared" si="200"/>
        <v>4</v>
      </c>
      <c r="W177" s="310">
        <f t="shared" si="200"/>
        <v>5</v>
      </c>
    </row>
    <row r="178" spans="1:23" ht="13.8" x14ac:dyDescent="0.25">
      <c r="A178" s="278"/>
      <c r="B178" s="280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</row>
    <row r="179" spans="1:23" ht="13.8" x14ac:dyDescent="0.25">
      <c r="A179" s="278"/>
      <c r="B179" s="280" t="s">
        <v>325</v>
      </c>
      <c r="C179" s="196"/>
      <c r="D179" s="196"/>
      <c r="E179" s="196"/>
      <c r="F179" s="315">
        <f>SUM(D185:D191)</f>
        <v>56010</v>
      </c>
      <c r="G179" s="316">
        <f>F179</f>
        <v>56010</v>
      </c>
      <c r="H179" s="316">
        <f>G195</f>
        <v>54968.472222222219</v>
      </c>
      <c r="I179" s="316">
        <f t="shared" ref="I179:R179" si="201">H195</f>
        <v>53926.944444444438</v>
      </c>
      <c r="J179" s="316">
        <f t="shared" si="201"/>
        <v>52885.416666666657</v>
      </c>
      <c r="K179" s="316">
        <f t="shared" si="201"/>
        <v>51843.888888888876</v>
      </c>
      <c r="L179" s="316">
        <f t="shared" si="201"/>
        <v>50802.361111111095</v>
      </c>
      <c r="M179" s="316">
        <f t="shared" si="201"/>
        <v>49760.833333333314</v>
      </c>
      <c r="N179" s="316">
        <f t="shared" si="201"/>
        <v>48719.305555555533</v>
      </c>
      <c r="O179" s="316">
        <f t="shared" si="201"/>
        <v>47677.777777777752</v>
      </c>
      <c r="P179" s="316">
        <f t="shared" si="201"/>
        <v>46636.249999999971</v>
      </c>
      <c r="Q179" s="316">
        <f t="shared" si="201"/>
        <v>45594.72222222219</v>
      </c>
      <c r="R179" s="316">
        <f t="shared" si="201"/>
        <v>44553.194444444409</v>
      </c>
      <c r="S179" s="316">
        <f>R179</f>
        <v>44553.194444444409</v>
      </c>
      <c r="T179" s="316">
        <f>S195</f>
        <v>43511.666666666672</v>
      </c>
      <c r="U179" s="316">
        <f>T195</f>
        <v>31013.333333333336</v>
      </c>
      <c r="V179" s="316">
        <f t="shared" ref="V179:W179" si="202">U195</f>
        <v>18515</v>
      </c>
      <c r="W179" s="316">
        <f t="shared" si="202"/>
        <v>10036.666666666666</v>
      </c>
    </row>
    <row r="180" spans="1:23" ht="13.8" x14ac:dyDescent="0.25">
      <c r="A180" s="278"/>
      <c r="B180" s="311" t="s">
        <v>342</v>
      </c>
      <c r="C180" s="196"/>
      <c r="D180" s="196"/>
      <c r="E180" s="196"/>
      <c r="F180" s="281"/>
      <c r="G180" s="282">
        <f t="shared" ref="G180:U180" si="203">SUMIF($E185:$E191,G$177,$D185:$D191)</f>
        <v>56010</v>
      </c>
      <c r="H180" s="282">
        <f t="shared" si="203"/>
        <v>0</v>
      </c>
      <c r="I180" s="282">
        <f t="shared" si="203"/>
        <v>0</v>
      </c>
      <c r="J180" s="282">
        <f t="shared" si="203"/>
        <v>0</v>
      </c>
      <c r="K180" s="282">
        <f t="shared" si="203"/>
        <v>0</v>
      </c>
      <c r="L180" s="282">
        <f t="shared" si="203"/>
        <v>0</v>
      </c>
      <c r="M180" s="282">
        <f t="shared" si="203"/>
        <v>0</v>
      </c>
      <c r="N180" s="282">
        <f t="shared" si="203"/>
        <v>0</v>
      </c>
      <c r="O180" s="282">
        <f t="shared" si="203"/>
        <v>0</v>
      </c>
      <c r="P180" s="282">
        <f t="shared" si="203"/>
        <v>0</v>
      </c>
      <c r="Q180" s="282">
        <f t="shared" si="203"/>
        <v>0</v>
      </c>
      <c r="R180" s="282">
        <f t="shared" si="203"/>
        <v>0</v>
      </c>
      <c r="S180" s="282">
        <f t="shared" si="203"/>
        <v>56010</v>
      </c>
      <c r="T180" s="282">
        <f t="shared" si="203"/>
        <v>0</v>
      </c>
      <c r="U180" s="282">
        <f t="shared" si="203"/>
        <v>0</v>
      </c>
      <c r="V180" s="282">
        <f t="shared" ref="V180:W180" si="204">SUMIF($E185:$E191,V$177,$D185:$D191)</f>
        <v>0</v>
      </c>
      <c r="W180" s="282">
        <f t="shared" si="204"/>
        <v>0</v>
      </c>
    </row>
    <row r="181" spans="1:23" ht="13.8" x14ac:dyDescent="0.25">
      <c r="A181" s="278"/>
      <c r="B181" s="280"/>
      <c r="C181" s="196"/>
      <c r="D181" s="196"/>
      <c r="E181" s="196"/>
      <c r="F181" s="282"/>
      <c r="G181" s="282"/>
      <c r="H181" s="282"/>
      <c r="I181" s="282"/>
      <c r="J181" s="282"/>
      <c r="K181" s="282"/>
      <c r="L181" s="282"/>
      <c r="M181" s="282"/>
      <c r="N181" s="282"/>
      <c r="O181" s="282"/>
      <c r="P181" s="282"/>
      <c r="Q181" s="282"/>
      <c r="R181" s="282"/>
      <c r="S181" s="282"/>
      <c r="T181" s="282"/>
      <c r="U181" s="282"/>
      <c r="V181" s="282"/>
      <c r="W181" s="282"/>
    </row>
    <row r="182" spans="1:23" ht="13.8" x14ac:dyDescent="0.25">
      <c r="A182" s="278"/>
      <c r="B182" s="283" t="s">
        <v>343</v>
      </c>
      <c r="C182" s="284"/>
      <c r="D182" s="284"/>
      <c r="E182" s="284"/>
      <c r="F182" s="285"/>
      <c r="G182" s="285">
        <f t="shared" ref="G182:U182" si="205">F182+G180</f>
        <v>56010</v>
      </c>
      <c r="H182" s="285">
        <f t="shared" si="205"/>
        <v>56010</v>
      </c>
      <c r="I182" s="285">
        <f t="shared" si="205"/>
        <v>56010</v>
      </c>
      <c r="J182" s="285">
        <f t="shared" si="205"/>
        <v>56010</v>
      </c>
      <c r="K182" s="285">
        <f t="shared" si="205"/>
        <v>56010</v>
      </c>
      <c r="L182" s="285">
        <f t="shared" si="205"/>
        <v>56010</v>
      </c>
      <c r="M182" s="285">
        <f t="shared" si="205"/>
        <v>56010</v>
      </c>
      <c r="N182" s="285">
        <f t="shared" si="205"/>
        <v>56010</v>
      </c>
      <c r="O182" s="285">
        <f t="shared" si="205"/>
        <v>56010</v>
      </c>
      <c r="P182" s="285">
        <f t="shared" si="205"/>
        <v>56010</v>
      </c>
      <c r="Q182" s="285">
        <f t="shared" si="205"/>
        <v>56010</v>
      </c>
      <c r="R182" s="285">
        <f t="shared" si="205"/>
        <v>56010</v>
      </c>
      <c r="S182" s="285">
        <f>R182</f>
        <v>56010</v>
      </c>
      <c r="T182" s="285">
        <f t="shared" si="205"/>
        <v>56010</v>
      </c>
      <c r="U182" s="285">
        <f t="shared" si="205"/>
        <v>56010</v>
      </c>
      <c r="V182" s="285">
        <f t="shared" ref="V182" si="206">U182+V180</f>
        <v>56010</v>
      </c>
      <c r="W182" s="285">
        <f t="shared" ref="W182" si="207">V182+W180</f>
        <v>56010</v>
      </c>
    </row>
    <row r="183" spans="1:23" ht="13.8" x14ac:dyDescent="0.25">
      <c r="A183" s="278"/>
      <c r="B183" s="280"/>
      <c r="C183" s="196"/>
      <c r="D183" s="196"/>
      <c r="E183" s="196"/>
      <c r="F183" s="282"/>
      <c r="G183" s="282"/>
      <c r="H183" s="282"/>
      <c r="I183" s="282"/>
      <c r="J183" s="282"/>
      <c r="K183" s="282"/>
      <c r="L183" s="282"/>
      <c r="M183" s="282"/>
      <c r="N183" s="282"/>
      <c r="O183" s="282"/>
      <c r="P183" s="282"/>
      <c r="Q183" s="282"/>
      <c r="R183" s="282"/>
      <c r="S183" s="282"/>
      <c r="T183" s="282"/>
      <c r="U183" s="282"/>
      <c r="V183" s="282"/>
      <c r="W183" s="282"/>
    </row>
    <row r="184" spans="1:23" ht="13.8" x14ac:dyDescent="0.25">
      <c r="A184" s="278"/>
      <c r="B184" s="286" t="s">
        <v>94</v>
      </c>
      <c r="C184" s="287" t="s">
        <v>344</v>
      </c>
      <c r="D184" s="288" t="s">
        <v>345</v>
      </c>
      <c r="E184" s="288" t="s">
        <v>346</v>
      </c>
      <c r="F184" s="289"/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289"/>
      <c r="S184" s="289"/>
      <c r="T184" s="289"/>
      <c r="U184" s="289"/>
      <c r="V184" s="289"/>
      <c r="W184" s="289"/>
    </row>
    <row r="185" spans="1:23" ht="13.8" x14ac:dyDescent="0.25">
      <c r="A185" s="278"/>
      <c r="B185" s="300" t="s">
        <v>98</v>
      </c>
      <c r="C185" s="290">
        <f t="shared" ref="C185:C191" si="208">VLOOKUP($B185,$B$197:$D$207,2,0)</f>
        <v>6</v>
      </c>
      <c r="D185" s="303">
        <f>PPE!D5</f>
        <v>4050</v>
      </c>
      <c r="E185" s="292">
        <v>1</v>
      </c>
      <c r="F185" s="282"/>
      <c r="G185" s="282">
        <f>IF($E185&lt;=G$177,MIN($D185/($C185*12),$D185-SUM($F185:F185)),0)</f>
        <v>56.25</v>
      </c>
      <c r="H185" s="282">
        <f>IF($E185&lt;=H$177,MIN($D185/($C185*12),$D185-SUM($F185:G185)),0)</f>
        <v>56.25</v>
      </c>
      <c r="I185" s="282">
        <f>IF($E185&lt;=I$177,MIN($D185/($C185*12),$D185-SUM($F185:H185)),0)</f>
        <v>56.25</v>
      </c>
      <c r="J185" s="282">
        <f>IF($E185&lt;=J$177,MIN($D185/($C185*12),$D185-SUM($F185:I185)),0)</f>
        <v>56.25</v>
      </c>
      <c r="K185" s="282">
        <f>IF($E185&lt;=K$177,MIN($D185/($C185*12),$D185-SUM($F185:J185)),0)</f>
        <v>56.25</v>
      </c>
      <c r="L185" s="282">
        <f>IF($E185&lt;=L$177,MIN($D185/($C185*12),$D185-SUM($F185:K185)),0)</f>
        <v>56.25</v>
      </c>
      <c r="M185" s="282">
        <f>IF($E185&lt;=M$177,MIN($D185/($C185*12),$D185-SUM($F185:L185)),0)</f>
        <v>56.25</v>
      </c>
      <c r="N185" s="282">
        <f>IF($E185&lt;=N$177,MIN($D185/($C185*12),$D185-SUM($F185:M185)),0)</f>
        <v>56.25</v>
      </c>
      <c r="O185" s="282">
        <f>IF($E185&lt;=O$177,MIN($D185/($C185*12),$D185-SUM($F185:N185)),0)</f>
        <v>56.25</v>
      </c>
      <c r="P185" s="282">
        <f>IF($E185&lt;=P$177,MIN($D185/($C185*12),$D185-SUM($F185:O185)),0)</f>
        <v>56.25</v>
      </c>
      <c r="Q185" s="282">
        <f>IF($E185&lt;=Q$177,MIN($D185/($C185*12),$D185-SUM($F185:P185)),0)</f>
        <v>56.25</v>
      </c>
      <c r="R185" s="282">
        <f>IF($E185&lt;=R$177,MIN($D185/($C185*12),$D185-SUM($F185:Q185)),0)</f>
        <v>56.25</v>
      </c>
      <c r="S185" s="282">
        <f>SUM(G185:R185)</f>
        <v>675</v>
      </c>
      <c r="T185" s="282">
        <f>IF($E185&lt;=T$177,MIN($D185/($C185),$D185-SUM($S185:S185)),0)</f>
        <v>675</v>
      </c>
      <c r="U185" s="282">
        <f>IF($E185&lt;=U$177,MIN($D185/($C185),$D185-SUM($S185:T185)),0)</f>
        <v>675</v>
      </c>
      <c r="V185" s="282">
        <f>IF($E185&lt;=V$177,MIN($D185/($C185),$D185-SUM($S185:U185)),0)</f>
        <v>675</v>
      </c>
      <c r="W185" s="282">
        <f>IF($E185&lt;=W$177,MIN($D185/($C185),$D185-SUM($S185:V185)),0)</f>
        <v>675</v>
      </c>
    </row>
    <row r="186" spans="1:23" ht="13.8" x14ac:dyDescent="0.25">
      <c r="A186" s="278"/>
      <c r="B186" s="300" t="s">
        <v>104</v>
      </c>
      <c r="C186" s="290">
        <f t="shared" si="208"/>
        <v>6</v>
      </c>
      <c r="D186" s="303">
        <f>PPE!D6</f>
        <v>5300</v>
      </c>
      <c r="E186" s="292">
        <v>1</v>
      </c>
      <c r="F186" s="282"/>
      <c r="G186" s="282">
        <f>IF($E186&lt;=G$177,MIN($D186/($C186*12),$D186-SUM($F186:F186)),0)</f>
        <v>73.611111111111114</v>
      </c>
      <c r="H186" s="282">
        <f>IF($E186&lt;=H$177,MIN($D186/($C186*12),$D186-SUM($F186:G186)),0)</f>
        <v>73.611111111111114</v>
      </c>
      <c r="I186" s="282">
        <f>IF($E186&lt;=I$177,MIN($D186/($C186*12),$D186-SUM($F186:H186)),0)</f>
        <v>73.611111111111114</v>
      </c>
      <c r="J186" s="282">
        <f>IF($E186&lt;=J$177,MIN($D186/($C186*12),$D186-SUM($F186:I186)),0)</f>
        <v>73.611111111111114</v>
      </c>
      <c r="K186" s="282">
        <f>IF($E186&lt;=K$177,MIN($D186/($C186*12),$D186-SUM($F186:J186)),0)</f>
        <v>73.611111111111114</v>
      </c>
      <c r="L186" s="282">
        <f>IF($E186&lt;=L$177,MIN($D186/($C186*12),$D186-SUM($F186:K186)),0)</f>
        <v>73.611111111111114</v>
      </c>
      <c r="M186" s="282">
        <f>IF($E186&lt;=M$177,MIN($D186/($C186*12),$D186-SUM($F186:L186)),0)</f>
        <v>73.611111111111114</v>
      </c>
      <c r="N186" s="282">
        <f>IF($E186&lt;=N$177,MIN($D186/($C186*12),$D186-SUM($F186:M186)),0)</f>
        <v>73.611111111111114</v>
      </c>
      <c r="O186" s="282">
        <f>IF($E186&lt;=O$177,MIN($D186/($C186*12),$D186-SUM($F186:N186)),0)</f>
        <v>73.611111111111114</v>
      </c>
      <c r="P186" s="282">
        <f>IF($E186&lt;=P$177,MIN($D186/($C186*12),$D186-SUM($F186:O186)),0)</f>
        <v>73.611111111111114</v>
      </c>
      <c r="Q186" s="282">
        <f>IF($E186&lt;=Q$177,MIN($D186/($C186*12),$D186-SUM($F186:P186)),0)</f>
        <v>73.611111111111114</v>
      </c>
      <c r="R186" s="282">
        <f>IF($E186&lt;=R$177,MIN($D186/($C186*12),$D186-SUM($F186:Q186)),0)</f>
        <v>73.611111111111114</v>
      </c>
      <c r="S186" s="282">
        <f t="shared" ref="S186:S191" si="209">SUM(G186:R186)</f>
        <v>883.33333333333314</v>
      </c>
      <c r="T186" s="282">
        <f>IF($E186&lt;=T$177,MIN($D186/($C186),$D186-SUM($S186:S186)),0)</f>
        <v>883.33333333333337</v>
      </c>
      <c r="U186" s="282">
        <f>IF($E186&lt;=U$177,MIN($D186/($C186),$D186-SUM($S186:T186)),0)</f>
        <v>883.33333333333337</v>
      </c>
      <c r="V186" s="282">
        <f>IF($E186&lt;=V$177,MIN($D186/($C186),$D186-SUM($S186:U186)),0)</f>
        <v>883.33333333333337</v>
      </c>
      <c r="W186" s="282">
        <f>IF($E186&lt;=W$177,MIN($D186/($C186),$D186-SUM($S186:V186)),0)</f>
        <v>883.33333333333337</v>
      </c>
    </row>
    <row r="187" spans="1:23" ht="13.8" x14ac:dyDescent="0.25">
      <c r="A187" s="278"/>
      <c r="B187" s="300" t="s">
        <v>109</v>
      </c>
      <c r="C187" s="290">
        <f t="shared" si="208"/>
        <v>5</v>
      </c>
      <c r="D187" s="303">
        <f>PPE!D7</f>
        <v>4600</v>
      </c>
      <c r="E187" s="292">
        <v>1</v>
      </c>
      <c r="F187" s="282"/>
      <c r="G187" s="282">
        <f>IF($E187&lt;=G$177,MIN($D187/($C187*12),$D187-SUM($F187:F187)),0)</f>
        <v>76.666666666666671</v>
      </c>
      <c r="H187" s="282">
        <f>IF($E187&lt;=H$177,MIN($D187/($C187*12),$D187-SUM($F187:G187)),0)</f>
        <v>76.666666666666671</v>
      </c>
      <c r="I187" s="282">
        <f>IF($E187&lt;=I$177,MIN($D187/($C187*12),$D187-SUM($F187:H187)),0)</f>
        <v>76.666666666666671</v>
      </c>
      <c r="J187" s="282">
        <f>IF($E187&lt;=J$177,MIN($D187/($C187*12),$D187-SUM($F187:I187)),0)</f>
        <v>76.666666666666671</v>
      </c>
      <c r="K187" s="282">
        <f>IF($E187&lt;=K$177,MIN($D187/($C187*12),$D187-SUM($F187:J187)),0)</f>
        <v>76.666666666666671</v>
      </c>
      <c r="L187" s="282">
        <f>IF($E187&lt;=L$177,MIN($D187/($C187*12),$D187-SUM($F187:K187)),0)</f>
        <v>76.666666666666671</v>
      </c>
      <c r="M187" s="282">
        <f>IF($E187&lt;=M$177,MIN($D187/($C187*12),$D187-SUM($F187:L187)),0)</f>
        <v>76.666666666666671</v>
      </c>
      <c r="N187" s="282">
        <f>IF($E187&lt;=N$177,MIN($D187/($C187*12),$D187-SUM($F187:M187)),0)</f>
        <v>76.666666666666671</v>
      </c>
      <c r="O187" s="282">
        <f>IF($E187&lt;=O$177,MIN($D187/($C187*12),$D187-SUM($F187:N187)),0)</f>
        <v>76.666666666666671</v>
      </c>
      <c r="P187" s="282">
        <f>IF($E187&lt;=P$177,MIN($D187/($C187*12),$D187-SUM($F187:O187)),0)</f>
        <v>76.666666666666671</v>
      </c>
      <c r="Q187" s="282">
        <f>IF($E187&lt;=Q$177,MIN($D187/($C187*12),$D187-SUM($F187:P187)),0)</f>
        <v>76.666666666666671</v>
      </c>
      <c r="R187" s="282">
        <f>IF($E187&lt;=R$177,MIN($D187/($C187*12),$D187-SUM($F187:Q187)),0)</f>
        <v>76.666666666666671</v>
      </c>
      <c r="S187" s="282">
        <f t="shared" si="209"/>
        <v>919.99999999999989</v>
      </c>
      <c r="T187" s="282">
        <f>IF($E187&lt;=T$177,MIN($D187/($C187),$D187-SUM($S187:S187)),0)</f>
        <v>920</v>
      </c>
      <c r="U187" s="282">
        <f>IF($E187&lt;=U$177,MIN($D187/($C187),$D187-SUM($S187:T187)),0)</f>
        <v>920</v>
      </c>
      <c r="V187" s="282">
        <f>IF($E187&lt;=V$177,MIN($D187/($C187),$D187-SUM($S187:U187)),0)</f>
        <v>920</v>
      </c>
      <c r="W187" s="282">
        <f>IF($E187&lt;=W$177,MIN($D187/($C187),$D187-SUM($S187:V187)),0)</f>
        <v>920</v>
      </c>
    </row>
    <row r="188" spans="1:23" ht="13.8" x14ac:dyDescent="0.25">
      <c r="A188" s="278"/>
      <c r="B188" s="300" t="s">
        <v>153</v>
      </c>
      <c r="C188" s="290">
        <f t="shared" si="208"/>
        <v>3</v>
      </c>
      <c r="D188" s="303">
        <f>PPE!D8</f>
        <v>3375</v>
      </c>
      <c r="E188" s="292">
        <v>1</v>
      </c>
      <c r="F188" s="282"/>
      <c r="G188" s="282">
        <f>IF($E188&lt;=G$177,MIN($D188/($C188*12),$D188-SUM($F188:F188)),0)</f>
        <v>93.75</v>
      </c>
      <c r="H188" s="282">
        <f>IF($E188&lt;=H$177,MIN($D188/($C188*12),$D188-SUM($F188:G188)),0)</f>
        <v>93.75</v>
      </c>
      <c r="I188" s="282">
        <f>IF($E188&lt;=I$177,MIN($D188/($C188*12),$D188-SUM($F188:H188)),0)</f>
        <v>93.75</v>
      </c>
      <c r="J188" s="282">
        <f>IF($E188&lt;=J$177,MIN($D188/($C188*12),$D188-SUM($F188:I188)),0)</f>
        <v>93.75</v>
      </c>
      <c r="K188" s="282">
        <f>IF($E188&lt;=K$177,MIN($D188/($C188*12),$D188-SUM($F188:J188)),0)</f>
        <v>93.75</v>
      </c>
      <c r="L188" s="282">
        <f>IF($E188&lt;=L$177,MIN($D188/($C188*12),$D188-SUM($F188:K188)),0)</f>
        <v>93.75</v>
      </c>
      <c r="M188" s="282">
        <f>IF($E188&lt;=M$177,MIN($D188/($C188*12),$D188-SUM($F188:L188)),0)</f>
        <v>93.75</v>
      </c>
      <c r="N188" s="282">
        <f>IF($E188&lt;=N$177,MIN($D188/($C188*12),$D188-SUM($F188:M188)),0)</f>
        <v>93.75</v>
      </c>
      <c r="O188" s="282">
        <f>IF($E188&lt;=O$177,MIN($D188/($C188*12),$D188-SUM($F188:N188)),0)</f>
        <v>93.75</v>
      </c>
      <c r="P188" s="282">
        <f>IF($E188&lt;=P$177,MIN($D188/($C188*12),$D188-SUM($F188:O188)),0)</f>
        <v>93.75</v>
      </c>
      <c r="Q188" s="282">
        <f>IF($E188&lt;=Q$177,MIN($D188/($C188*12),$D188-SUM($F188:P188)),0)</f>
        <v>93.75</v>
      </c>
      <c r="R188" s="282">
        <f>IF($E188&lt;=R$177,MIN($D188/($C188*12),$D188-SUM($F188:Q188)),0)</f>
        <v>93.75</v>
      </c>
      <c r="S188" s="282">
        <f t="shared" si="209"/>
        <v>1125</v>
      </c>
      <c r="T188" s="282">
        <f>IF($E188&lt;=T$177,MIN($D188/($C188),$D188-SUM($S188:S188)),0)</f>
        <v>1125</v>
      </c>
      <c r="U188" s="282">
        <f>IF($E188&lt;=U$177,MIN($D188/($C188),$D188-SUM($S188:T188)),0)</f>
        <v>1125</v>
      </c>
      <c r="V188" s="282">
        <f>IF($E188&lt;=V$177,MIN($D188/($C188),$D188-SUM($S188:U188)),0)</f>
        <v>0</v>
      </c>
      <c r="W188" s="282">
        <f>IF($E188&lt;=W$177,MIN($D188/($C188),$D188-SUM($S188:V188)),0)</f>
        <v>0</v>
      </c>
    </row>
    <row r="189" spans="1:23" ht="13.8" x14ac:dyDescent="0.25">
      <c r="A189" s="278"/>
      <c r="B189" s="300" t="s">
        <v>154</v>
      </c>
      <c r="C189" s="290">
        <f t="shared" si="208"/>
        <v>3</v>
      </c>
      <c r="D189" s="303">
        <f>PPE!D9</f>
        <v>1620</v>
      </c>
      <c r="E189" s="292">
        <v>1</v>
      </c>
      <c r="F189" s="282"/>
      <c r="G189" s="282">
        <f>IF($E189&lt;=G$177,MIN($D189/($C189*12),$D189-SUM($F189:F189)),0)</f>
        <v>45</v>
      </c>
      <c r="H189" s="282">
        <f>IF($E189&lt;=H$177,MIN($D189/($C189*12),$D189-SUM($F189:G189)),0)</f>
        <v>45</v>
      </c>
      <c r="I189" s="282">
        <f>IF($E189&lt;=I$177,MIN($D189/($C189*12),$D189-SUM($F189:H189)),0)</f>
        <v>45</v>
      </c>
      <c r="J189" s="282">
        <f>IF($E189&lt;=J$177,MIN($D189/($C189*12),$D189-SUM($F189:I189)),0)</f>
        <v>45</v>
      </c>
      <c r="K189" s="282">
        <f>IF($E189&lt;=K$177,MIN($D189/($C189*12),$D189-SUM($F189:J189)),0)</f>
        <v>45</v>
      </c>
      <c r="L189" s="282">
        <f>IF($E189&lt;=L$177,MIN($D189/($C189*12),$D189-SUM($F189:K189)),0)</f>
        <v>45</v>
      </c>
      <c r="M189" s="282">
        <f>IF($E189&lt;=M$177,MIN($D189/($C189*12),$D189-SUM($F189:L189)),0)</f>
        <v>45</v>
      </c>
      <c r="N189" s="282">
        <f>IF($E189&lt;=N$177,MIN($D189/($C189*12),$D189-SUM($F189:M189)),0)</f>
        <v>45</v>
      </c>
      <c r="O189" s="282">
        <f>IF($E189&lt;=O$177,MIN($D189/($C189*12),$D189-SUM($F189:N189)),0)</f>
        <v>45</v>
      </c>
      <c r="P189" s="282">
        <f>IF($E189&lt;=P$177,MIN($D189/($C189*12),$D189-SUM($F189:O189)),0)</f>
        <v>45</v>
      </c>
      <c r="Q189" s="282">
        <f>IF($E189&lt;=Q$177,MIN($D189/($C189*12),$D189-SUM($F189:P189)),0)</f>
        <v>45</v>
      </c>
      <c r="R189" s="282">
        <f>IF($E189&lt;=R$177,MIN($D189/($C189*12),$D189-SUM($F189:Q189)),0)</f>
        <v>45</v>
      </c>
      <c r="S189" s="282">
        <f t="shared" si="209"/>
        <v>540</v>
      </c>
      <c r="T189" s="282">
        <f>IF($E189&lt;=T$177,MIN($D189/($C189),$D189-SUM($S189:S189)),0)</f>
        <v>540</v>
      </c>
      <c r="U189" s="282">
        <f>IF($E189&lt;=U$177,MIN($D189/($C189),$D189-SUM($S189:T189)),0)</f>
        <v>540</v>
      </c>
      <c r="V189" s="282">
        <f>IF($E189&lt;=V$177,MIN($D189/($C189),$D189-SUM($S189:U189)),0)</f>
        <v>0</v>
      </c>
      <c r="W189" s="282">
        <f>IF($E189&lt;=W$177,MIN($D189/($C189),$D189-SUM($S189:V189)),0)</f>
        <v>0</v>
      </c>
    </row>
    <row r="190" spans="1:23" ht="13.8" x14ac:dyDescent="0.25">
      <c r="A190" s="278"/>
      <c r="B190" s="300" t="s">
        <v>158</v>
      </c>
      <c r="C190" s="290">
        <f t="shared" si="208"/>
        <v>3</v>
      </c>
      <c r="D190" s="303">
        <f>PPE!D10</f>
        <v>7065</v>
      </c>
      <c r="E190" s="292">
        <v>1</v>
      </c>
      <c r="F190" s="282"/>
      <c r="G190" s="282">
        <f>IF($E190&lt;=G$177,MIN($D190/($C190*12),$D190-SUM($F190:F190)),0)</f>
        <v>196.25</v>
      </c>
      <c r="H190" s="282">
        <f>IF($E190&lt;=H$177,MIN($D190/($C190*12),$D190-SUM($F190:G190)),0)</f>
        <v>196.25</v>
      </c>
      <c r="I190" s="282">
        <f>IF($E190&lt;=I$177,MIN($D190/($C190*12),$D190-SUM($F190:H190)),0)</f>
        <v>196.25</v>
      </c>
      <c r="J190" s="282">
        <f>IF($E190&lt;=J$177,MIN($D190/($C190*12),$D190-SUM($F190:I190)),0)</f>
        <v>196.25</v>
      </c>
      <c r="K190" s="282">
        <f>IF($E190&lt;=K$177,MIN($D190/($C190*12),$D190-SUM($F190:J190)),0)</f>
        <v>196.25</v>
      </c>
      <c r="L190" s="282">
        <f>IF($E190&lt;=L$177,MIN($D190/($C190*12),$D190-SUM($F190:K190)),0)</f>
        <v>196.25</v>
      </c>
      <c r="M190" s="282">
        <f>IF($E190&lt;=M$177,MIN($D190/($C190*12),$D190-SUM($F190:L190)),0)</f>
        <v>196.25</v>
      </c>
      <c r="N190" s="282">
        <f>IF($E190&lt;=N$177,MIN($D190/($C190*12),$D190-SUM($F190:M190)),0)</f>
        <v>196.25</v>
      </c>
      <c r="O190" s="282">
        <f>IF($E190&lt;=O$177,MIN($D190/($C190*12),$D190-SUM($F190:N190)),0)</f>
        <v>196.25</v>
      </c>
      <c r="P190" s="282">
        <f>IF($E190&lt;=P$177,MIN($D190/($C190*12),$D190-SUM($F190:O190)),0)</f>
        <v>196.25</v>
      </c>
      <c r="Q190" s="282">
        <f>IF($E190&lt;=Q$177,MIN($D190/($C190*12),$D190-SUM($F190:P190)),0)</f>
        <v>196.25</v>
      </c>
      <c r="R190" s="282">
        <f>IF($E190&lt;=R$177,MIN($D190/($C190*12),$D190-SUM($F190:Q190)),0)</f>
        <v>196.25</v>
      </c>
      <c r="S190" s="282">
        <f t="shared" si="209"/>
        <v>2355</v>
      </c>
      <c r="T190" s="282">
        <f>IF($E190&lt;=T$177,MIN($D190/($C190),$D190-SUM($S190:S190)),0)</f>
        <v>2355</v>
      </c>
      <c r="U190" s="282">
        <f>IF($E190&lt;=U$177,MIN($D190/($C190),$D190-SUM($S190:T190)),0)</f>
        <v>2355</v>
      </c>
      <c r="V190" s="282">
        <f>IF($E190&lt;=V$177,MIN($D190/($C190),$D190-SUM($S190:U190)),0)</f>
        <v>0</v>
      </c>
      <c r="W190" s="282">
        <f>IF($E190&lt;=W$177,MIN($D190/($C190),$D190-SUM($S190:V190)),0)</f>
        <v>0</v>
      </c>
    </row>
    <row r="191" spans="1:23" ht="13.8" x14ac:dyDescent="0.25">
      <c r="A191" s="278"/>
      <c r="B191" s="300" t="s">
        <v>159</v>
      </c>
      <c r="C191" s="290">
        <f t="shared" si="208"/>
        <v>5</v>
      </c>
      <c r="D191" s="303">
        <v>30000</v>
      </c>
      <c r="E191" s="292">
        <v>1</v>
      </c>
      <c r="F191" s="282"/>
      <c r="G191" s="282">
        <f>IF($E191&lt;=G$177,MIN($D191/($C191*12),$D191-SUM($F191:F191)),0)</f>
        <v>500</v>
      </c>
      <c r="H191" s="282">
        <f>IF($E191&lt;=H$177,MIN($D191/($C191*12),$D191-SUM($F191:G191)),0)</f>
        <v>500</v>
      </c>
      <c r="I191" s="282">
        <f>IF($E191&lt;=I$177,MIN($D191/($C191*12),$D191-SUM($F191:H191)),0)</f>
        <v>500</v>
      </c>
      <c r="J191" s="282">
        <f>IF($E191&lt;=J$177,MIN($D191/($C191*12),$D191-SUM($F191:I191)),0)</f>
        <v>500</v>
      </c>
      <c r="K191" s="282">
        <f>IF($E191&lt;=K$177,MIN($D191/($C191*12),$D191-SUM($F191:J191)),0)</f>
        <v>500</v>
      </c>
      <c r="L191" s="282">
        <f>IF($E191&lt;=L$177,MIN($D191/($C191*12),$D191-SUM($F191:K191)),0)</f>
        <v>500</v>
      </c>
      <c r="M191" s="282">
        <f>IF($E191&lt;=M$177,MIN($D191/($C191*12),$D191-SUM($F191:L191)),0)</f>
        <v>500</v>
      </c>
      <c r="N191" s="282">
        <f>IF($E191&lt;=N$177,MIN($D191/($C191*12),$D191-SUM($F191:M191)),0)</f>
        <v>500</v>
      </c>
      <c r="O191" s="282">
        <f>IF($E191&lt;=O$177,MIN($D191/($C191*12),$D191-SUM($F191:N191)),0)</f>
        <v>500</v>
      </c>
      <c r="P191" s="282">
        <f>IF($E191&lt;=P$177,MIN($D191/($C191*12),$D191-SUM($F191:O191)),0)</f>
        <v>500</v>
      </c>
      <c r="Q191" s="282">
        <f>IF($E191&lt;=Q$177,MIN($D191/($C191*12),$D191-SUM($F191:P191)),0)</f>
        <v>500</v>
      </c>
      <c r="R191" s="282">
        <f>IF($E191&lt;=R$177,MIN($D191/($C191*12),$D191-SUM($F191:Q191)),0)</f>
        <v>500</v>
      </c>
      <c r="S191" s="282">
        <f t="shared" si="209"/>
        <v>6000</v>
      </c>
      <c r="T191" s="282">
        <f>IF($E191&lt;=T$177,MIN($D191/($C191),$D191-SUM($S191:S191)),0)</f>
        <v>6000</v>
      </c>
      <c r="U191" s="282">
        <f>IF($E191&lt;=U$177,MIN($D191/($C191),$D191-SUM($S191:T191)),0)</f>
        <v>6000</v>
      </c>
      <c r="V191" s="282">
        <f>IF($E191&lt;=V$177,MIN($D191/($C191),$D191-SUM($S191:U191)),0)</f>
        <v>6000</v>
      </c>
      <c r="W191" s="282">
        <f>IF($E191&lt;=W$177,MIN($D191/($C191),$D191-SUM($S191:V191)),0)</f>
        <v>6000</v>
      </c>
    </row>
    <row r="192" spans="1:23" ht="13.8" x14ac:dyDescent="0.25">
      <c r="A192" s="293"/>
      <c r="B192" s="300"/>
      <c r="C192" s="290"/>
      <c r="D192" s="291"/>
      <c r="E192" s="294"/>
      <c r="F192" s="289"/>
      <c r="G192" s="289"/>
      <c r="H192" s="289"/>
      <c r="I192" s="289"/>
      <c r="J192" s="289"/>
      <c r="K192" s="289"/>
      <c r="L192" s="289"/>
      <c r="M192" s="289"/>
      <c r="N192" s="289"/>
      <c r="O192" s="289"/>
      <c r="P192" s="289"/>
      <c r="Q192" s="289"/>
      <c r="R192" s="289"/>
      <c r="S192" s="289"/>
      <c r="T192" s="289"/>
      <c r="U192" s="289"/>
      <c r="V192" s="289"/>
      <c r="W192" s="289"/>
    </row>
    <row r="193" spans="1:23" ht="13.8" x14ac:dyDescent="0.25">
      <c r="A193" s="278"/>
      <c r="B193" s="295" t="s">
        <v>349</v>
      </c>
      <c r="C193" s="302"/>
      <c r="D193" s="302"/>
      <c r="E193" s="302"/>
      <c r="F193" s="296"/>
      <c r="G193" s="296">
        <f t="shared" ref="G193:U193" si="210">SUM(G185:G191)</f>
        <v>1041.5277777777778</v>
      </c>
      <c r="H193" s="296">
        <f t="shared" si="210"/>
        <v>1041.5277777777778</v>
      </c>
      <c r="I193" s="296">
        <f t="shared" si="210"/>
        <v>1041.5277777777778</v>
      </c>
      <c r="J193" s="296">
        <f t="shared" si="210"/>
        <v>1041.5277777777778</v>
      </c>
      <c r="K193" s="296">
        <f t="shared" si="210"/>
        <v>1041.5277777777778</v>
      </c>
      <c r="L193" s="296">
        <f t="shared" si="210"/>
        <v>1041.5277777777778</v>
      </c>
      <c r="M193" s="296">
        <f t="shared" si="210"/>
        <v>1041.5277777777778</v>
      </c>
      <c r="N193" s="296">
        <f t="shared" si="210"/>
        <v>1041.5277777777778</v>
      </c>
      <c r="O193" s="296">
        <f t="shared" si="210"/>
        <v>1041.5277777777778</v>
      </c>
      <c r="P193" s="296">
        <f t="shared" si="210"/>
        <v>1041.5277777777778</v>
      </c>
      <c r="Q193" s="296">
        <f t="shared" si="210"/>
        <v>1041.5277777777778</v>
      </c>
      <c r="R193" s="296">
        <f t="shared" si="210"/>
        <v>1041.5277777777778</v>
      </c>
      <c r="S193" s="296">
        <f t="shared" si="210"/>
        <v>12498.333333333332</v>
      </c>
      <c r="T193" s="296">
        <f t="shared" si="210"/>
        <v>12498.333333333334</v>
      </c>
      <c r="U193" s="296">
        <f t="shared" si="210"/>
        <v>12498.333333333334</v>
      </c>
      <c r="V193" s="296">
        <f t="shared" ref="V193:W193" si="211">SUM(V185:V191)</f>
        <v>8478.3333333333339</v>
      </c>
      <c r="W193" s="296">
        <f t="shared" si="211"/>
        <v>8478.3333333333339</v>
      </c>
    </row>
    <row r="194" spans="1:23" ht="13.8" x14ac:dyDescent="0.25">
      <c r="A194" s="278"/>
      <c r="B194" s="301"/>
      <c r="C194" s="301"/>
      <c r="D194" s="301"/>
      <c r="E194" s="301"/>
      <c r="F194" s="301"/>
      <c r="G194" s="301"/>
      <c r="H194" s="301"/>
      <c r="I194" s="301"/>
      <c r="J194" s="301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</row>
    <row r="195" spans="1:23" s="309" customFormat="1" ht="13.8" x14ac:dyDescent="0.25">
      <c r="A195" s="308"/>
      <c r="B195" s="312" t="s">
        <v>326</v>
      </c>
      <c r="C195" s="313"/>
      <c r="D195" s="313"/>
      <c r="E195" s="313"/>
      <c r="F195" s="314"/>
      <c r="G195" s="314">
        <f t="shared" ref="G195:S195" si="212">F195+G180-G193</f>
        <v>54968.472222222219</v>
      </c>
      <c r="H195" s="314">
        <f t="shared" si="212"/>
        <v>53926.944444444438</v>
      </c>
      <c r="I195" s="314">
        <f t="shared" si="212"/>
        <v>52885.416666666657</v>
      </c>
      <c r="J195" s="314">
        <f t="shared" si="212"/>
        <v>51843.888888888876</v>
      </c>
      <c r="K195" s="314">
        <f t="shared" si="212"/>
        <v>50802.361111111095</v>
      </c>
      <c r="L195" s="314">
        <f t="shared" si="212"/>
        <v>49760.833333333314</v>
      </c>
      <c r="M195" s="314">
        <f t="shared" si="212"/>
        <v>48719.305555555533</v>
      </c>
      <c r="N195" s="314">
        <f t="shared" si="212"/>
        <v>47677.777777777752</v>
      </c>
      <c r="O195" s="314">
        <f t="shared" si="212"/>
        <v>46636.249999999971</v>
      </c>
      <c r="P195" s="314">
        <f t="shared" si="212"/>
        <v>45594.72222222219</v>
      </c>
      <c r="Q195" s="314">
        <f t="shared" si="212"/>
        <v>44553.194444444409</v>
      </c>
      <c r="R195" s="314">
        <f t="shared" si="212"/>
        <v>43511.666666666628</v>
      </c>
      <c r="S195" s="314">
        <f>F195+S180-S193</f>
        <v>43511.666666666672</v>
      </c>
      <c r="T195" s="314">
        <f>S195+T180-T193</f>
        <v>31013.333333333336</v>
      </c>
      <c r="U195" s="314">
        <f>T195+U180-U193</f>
        <v>18515</v>
      </c>
      <c r="V195" s="314">
        <f t="shared" ref="V195:W195" si="213">U195+V180-V193</f>
        <v>10036.666666666666</v>
      </c>
      <c r="W195" s="314">
        <f t="shared" si="213"/>
        <v>1558.3333333333321</v>
      </c>
    </row>
    <row r="196" spans="1:23" ht="13.8" x14ac:dyDescent="0.25">
      <c r="A196" s="278"/>
      <c r="B196" s="301"/>
      <c r="C196" s="301"/>
      <c r="D196" s="301"/>
      <c r="E196" s="301"/>
      <c r="F196" s="301"/>
      <c r="G196" s="301"/>
      <c r="H196" s="301"/>
      <c r="I196" s="301"/>
      <c r="J196" s="301"/>
      <c r="K196" s="279"/>
      <c r="L196" s="279"/>
      <c r="M196" s="279"/>
      <c r="N196" s="279"/>
      <c r="O196" s="279"/>
      <c r="P196" s="279"/>
      <c r="Q196" s="279"/>
      <c r="R196" s="279"/>
      <c r="S196" s="317"/>
      <c r="T196" s="279"/>
      <c r="U196" s="279"/>
      <c r="V196" s="279"/>
      <c r="W196" s="279"/>
    </row>
    <row r="197" spans="1:23" ht="13.8" outlineLevel="1" x14ac:dyDescent="0.25">
      <c r="A197" s="278"/>
      <c r="B197" s="297" t="s">
        <v>350</v>
      </c>
      <c r="C197" s="287" t="s">
        <v>344</v>
      </c>
      <c r="D197" s="306"/>
      <c r="E197" s="301"/>
      <c r="F197" s="301"/>
      <c r="G197" s="301"/>
      <c r="H197" s="301"/>
      <c r="I197" s="301"/>
      <c r="J197" s="301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</row>
    <row r="198" spans="1:23" ht="13.8" outlineLevel="1" x14ac:dyDescent="0.25">
      <c r="A198" s="278"/>
      <c r="B198" s="298" t="s">
        <v>98</v>
      </c>
      <c r="C198" s="299">
        <v>6</v>
      </c>
      <c r="D198" s="307"/>
      <c r="E198" s="301"/>
      <c r="F198" s="301"/>
      <c r="G198" s="301"/>
      <c r="H198" s="301"/>
      <c r="I198" s="301"/>
      <c r="J198" s="301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</row>
    <row r="199" spans="1:23" ht="13.8" outlineLevel="1" x14ac:dyDescent="0.25">
      <c r="A199" s="278"/>
      <c r="B199" s="298" t="s">
        <v>104</v>
      </c>
      <c r="C199" s="299">
        <v>6</v>
      </c>
      <c r="D199" s="307"/>
      <c r="E199" s="301"/>
      <c r="F199" s="301"/>
      <c r="G199" s="301"/>
      <c r="H199" s="301"/>
      <c r="I199" s="301"/>
      <c r="J199" s="301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</row>
    <row r="200" spans="1:23" ht="13.8" outlineLevel="1" x14ac:dyDescent="0.25">
      <c r="A200" s="278"/>
      <c r="B200" s="298" t="s">
        <v>109</v>
      </c>
      <c r="C200" s="299">
        <v>5</v>
      </c>
      <c r="D200" s="307"/>
      <c r="E200" s="301"/>
      <c r="F200" s="301"/>
      <c r="G200" s="301"/>
      <c r="H200" s="301"/>
      <c r="I200" s="301"/>
      <c r="J200" s="301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</row>
    <row r="201" spans="1:23" ht="13.8" outlineLevel="1" x14ac:dyDescent="0.25">
      <c r="A201" s="278"/>
      <c r="B201" s="298" t="s">
        <v>153</v>
      </c>
      <c r="C201" s="299">
        <v>3</v>
      </c>
      <c r="D201" s="307"/>
      <c r="E201" s="301"/>
      <c r="F201" s="301"/>
      <c r="G201" s="301"/>
      <c r="H201" s="301"/>
      <c r="I201" s="301"/>
      <c r="J201" s="301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</row>
    <row r="202" spans="1:23" ht="13.8" outlineLevel="1" x14ac:dyDescent="0.25">
      <c r="A202" s="278"/>
      <c r="B202" s="298" t="s">
        <v>154</v>
      </c>
      <c r="C202" s="299">
        <v>3</v>
      </c>
      <c r="D202" s="307"/>
      <c r="E202" s="301"/>
      <c r="F202" s="301"/>
      <c r="G202" s="301"/>
      <c r="H202" s="301"/>
      <c r="I202" s="301"/>
      <c r="J202" s="301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</row>
    <row r="203" spans="1:23" ht="13.8" outlineLevel="1" x14ac:dyDescent="0.25">
      <c r="A203" s="278"/>
      <c r="B203" s="298" t="s">
        <v>158</v>
      </c>
      <c r="C203" s="299">
        <v>3</v>
      </c>
      <c r="D203" s="307"/>
      <c r="E203" s="301"/>
      <c r="F203" s="301"/>
      <c r="G203" s="301"/>
      <c r="H203" s="301"/>
      <c r="I203" s="301"/>
      <c r="J203" s="301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</row>
    <row r="204" spans="1:23" ht="13.8" outlineLevel="1" x14ac:dyDescent="0.25">
      <c r="A204" s="278"/>
      <c r="B204" s="298" t="s">
        <v>159</v>
      </c>
      <c r="C204" s="299">
        <v>5</v>
      </c>
      <c r="D204" s="307"/>
      <c r="E204" s="301"/>
      <c r="F204" s="301"/>
      <c r="G204" s="301"/>
      <c r="H204" s="301"/>
      <c r="I204" s="301"/>
      <c r="J204" s="301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</row>
    <row r="205" spans="1:23" ht="13.8" outlineLevel="1" x14ac:dyDescent="0.25">
      <c r="A205" s="278"/>
      <c r="B205" s="298" t="s">
        <v>351</v>
      </c>
      <c r="C205" s="299">
        <v>3</v>
      </c>
      <c r="D205" s="307"/>
      <c r="E205" s="301"/>
      <c r="F205" s="301"/>
      <c r="G205" s="301"/>
      <c r="H205" s="301"/>
      <c r="I205" s="301"/>
      <c r="J205" s="301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</row>
    <row r="206" spans="1:23" ht="13.8" outlineLevel="1" x14ac:dyDescent="0.25">
      <c r="A206" s="278"/>
      <c r="B206" s="298" t="s">
        <v>347</v>
      </c>
      <c r="C206" s="299">
        <v>7</v>
      </c>
      <c r="D206" s="307"/>
      <c r="E206" s="301"/>
      <c r="F206" s="301"/>
      <c r="G206" s="301"/>
      <c r="H206" s="301"/>
      <c r="I206" s="301"/>
      <c r="J206" s="301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</row>
    <row r="207" spans="1:23" ht="13.8" outlineLevel="1" x14ac:dyDescent="0.25">
      <c r="A207" s="179" t="s">
        <v>327</v>
      </c>
      <c r="B207" s="305" t="s">
        <v>348</v>
      </c>
      <c r="C207" s="299">
        <v>30</v>
      </c>
      <c r="D207" s="307"/>
      <c r="E207" s="301"/>
      <c r="F207" s="301"/>
      <c r="G207" s="301"/>
      <c r="H207" s="301"/>
      <c r="I207" s="301"/>
      <c r="J207" s="301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</row>
    <row r="208" spans="1:23" x14ac:dyDescent="0.2">
      <c r="D208" s="270"/>
    </row>
  </sheetData>
  <printOptions horizontalCentered="1"/>
  <pageMargins left="0.7" right="0.7" top="0.75" bottom="0.75" header="0.3" footer="0.3"/>
  <pageSetup paperSize="5" scale="66" orientation="portrait" r:id="rId1"/>
  <rowBreaks count="1" manualBreakCount="1">
    <brk id="120" min="1" max="8" man="1"/>
  </rowBreaks>
  <ignoredErrors>
    <ignoredError sqref="S110 S147 S8 S34 S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9"/>
  <sheetViews>
    <sheetView workbookViewId="0"/>
  </sheetViews>
  <sheetFormatPr defaultRowHeight="10.199999999999999" x14ac:dyDescent="0.2"/>
  <cols>
    <col min="1" max="1" width="10.5" style="23" bestFit="1" customWidth="1"/>
    <col min="2" max="2" width="16.19921875" style="1" customWidth="1"/>
    <col min="3" max="5" width="10.69921875" style="1" customWidth="1"/>
    <col min="6" max="6" width="69.5" style="1" customWidth="1"/>
    <col min="7" max="16384" width="8.796875" style="1"/>
  </cols>
  <sheetData>
    <row r="2" spans="1:6" ht="13.8" x14ac:dyDescent="0.25">
      <c r="B2" s="178" t="s">
        <v>247</v>
      </c>
    </row>
    <row r="4" spans="1:6" x14ac:dyDescent="0.2">
      <c r="A4" s="104"/>
      <c r="B4" s="46" t="s">
        <v>133</v>
      </c>
      <c r="C4" s="46" t="s">
        <v>29</v>
      </c>
      <c r="D4" s="46" t="s">
        <v>16</v>
      </c>
      <c r="E4" s="46" t="s">
        <v>175</v>
      </c>
    </row>
    <row r="5" spans="1:6" s="87" customFormat="1" ht="30.6" x14ac:dyDescent="0.25">
      <c r="A5" s="339"/>
      <c r="B5" s="156" t="s">
        <v>184</v>
      </c>
      <c r="C5" s="157">
        <f>Labor!T30</f>
        <v>747.45762711864438</v>
      </c>
      <c r="D5" s="157">
        <f>Labor!U30</f>
        <v>1131.3559322033902</v>
      </c>
      <c r="E5" s="158">
        <f>SUM(C5:D5)</f>
        <v>1878.8135593220345</v>
      </c>
    </row>
    <row r="6" spans="1:6" x14ac:dyDescent="0.2">
      <c r="A6" s="340"/>
      <c r="C6" s="146"/>
      <c r="D6" s="146"/>
    </row>
    <row r="7" spans="1:6" x14ac:dyDescent="0.2">
      <c r="A7" s="340"/>
      <c r="C7" s="146"/>
      <c r="D7" s="146"/>
    </row>
    <row r="8" spans="1:6" x14ac:dyDescent="0.2">
      <c r="B8" s="45" t="s">
        <v>183</v>
      </c>
      <c r="C8" s="46" t="s">
        <v>29</v>
      </c>
      <c r="D8" s="46" t="s">
        <v>16</v>
      </c>
      <c r="E8" s="46" t="s">
        <v>182</v>
      </c>
    </row>
    <row r="9" spans="1:6" x14ac:dyDescent="0.2">
      <c r="A9" s="23" t="s">
        <v>335</v>
      </c>
      <c r="B9" s="25" t="s">
        <v>180</v>
      </c>
      <c r="C9" s="113">
        <f>SUMPRODUCT('Raw Material Summary'!$C$14:$C$27,'Raw Material Summary'!$D$14:$D$27)/'Raw Material Summary'!$A$27*C5</f>
        <v>25008.981775423741</v>
      </c>
      <c r="D9" s="113">
        <f>SUMPRODUCT('Raw Material Summary'!$C$14:$C$27,'Raw Material Summary'!$D$14:$D$27)/'Raw Material Summary'!$A$27*D5</f>
        <v>37853.730918583547</v>
      </c>
      <c r="E9" s="113">
        <f>SUM(C9:D9)</f>
        <v>62862.712694007292</v>
      </c>
    </row>
    <row r="10" spans="1:6" x14ac:dyDescent="0.2">
      <c r="A10" s="23" t="s">
        <v>335</v>
      </c>
      <c r="B10" s="9" t="s">
        <v>186</v>
      </c>
      <c r="C10" s="42">
        <f>C5*'Raw Material Summary'!E14</f>
        <v>3961.525423728815</v>
      </c>
      <c r="D10" s="42">
        <f>D5*'Raw Material Summary'!E28</f>
        <v>5543.6440677966111</v>
      </c>
      <c r="E10" s="42">
        <f>SUM(C10:D10)</f>
        <v>9505.1694915254266</v>
      </c>
    </row>
    <row r="11" spans="1:6" x14ac:dyDescent="0.2">
      <c r="A11" s="23" t="s">
        <v>336</v>
      </c>
      <c r="B11" s="9" t="s">
        <v>181</v>
      </c>
      <c r="C11" s="42">
        <f>SUMIFS(Overheads!I39:I45,Overheads!J39:J45,"Variable")/2</f>
        <v>783.49109589041097</v>
      </c>
      <c r="D11" s="42">
        <f>C11</f>
        <v>783.49109589041097</v>
      </c>
      <c r="E11" s="42">
        <f t="shared" ref="E11:E12" si="0">SUM(C11:D11)</f>
        <v>1566.9821917808219</v>
      </c>
    </row>
    <row r="12" spans="1:6" x14ac:dyDescent="0.2">
      <c r="A12" s="23" t="s">
        <v>336</v>
      </c>
      <c r="B12" s="9" t="s">
        <v>96</v>
      </c>
      <c r="C12" s="9">
        <f>Overheads!D60/2</f>
        <v>275</v>
      </c>
      <c r="D12" s="9">
        <f>C12</f>
        <v>275</v>
      </c>
      <c r="E12" s="42">
        <f t="shared" si="0"/>
        <v>550</v>
      </c>
    </row>
    <row r="13" spans="1:6" s="87" customFormat="1" ht="31.2" thickBot="1" x14ac:dyDescent="0.3">
      <c r="A13" s="341" t="s">
        <v>336</v>
      </c>
      <c r="B13" s="175" t="s">
        <v>187</v>
      </c>
      <c r="C13" s="176">
        <f>15*C5/1.5</f>
        <v>7474.5762711864436</v>
      </c>
      <c r="D13" s="176">
        <f>15*D5/1.5</f>
        <v>11313.559322033901</v>
      </c>
      <c r="E13" s="176">
        <f>SUM(C13:D13)</f>
        <v>18788.135593220344</v>
      </c>
      <c r="F13" s="90" t="s">
        <v>244</v>
      </c>
    </row>
    <row r="14" spans="1:6" ht="10.8" thickTop="1" x14ac:dyDescent="0.2">
      <c r="B14" s="4" t="s">
        <v>175</v>
      </c>
      <c r="C14" s="47">
        <f>SUM(C9:C13)</f>
        <v>37503.574566229407</v>
      </c>
      <c r="D14" s="47">
        <f>SUM(D9:D13)</f>
        <v>55769.425404304464</v>
      </c>
      <c r="E14" s="56">
        <f>SUM(E9:E13)</f>
        <v>93272.999970533871</v>
      </c>
    </row>
    <row r="15" spans="1:6" x14ac:dyDescent="0.2">
      <c r="B15" s="4"/>
      <c r="E15" s="56"/>
    </row>
    <row r="16" spans="1:6" s="87" customFormat="1" ht="20.399999999999999" x14ac:dyDescent="0.25">
      <c r="A16" s="341"/>
      <c r="B16" s="88" t="s">
        <v>194</v>
      </c>
      <c r="C16" s="153">
        <f>SUM(C9:C13)/C5</f>
        <v>50.174850326701453</v>
      </c>
      <c r="D16" s="153">
        <f>SUM(D9:D13)/D5</f>
        <v>49.29432357833651</v>
      </c>
      <c r="E16" s="154">
        <f>E14/SUM(C5:D5)</f>
        <v>49.644627859824055</v>
      </c>
    </row>
    <row r="17" spans="1:7" x14ac:dyDescent="0.2">
      <c r="B17" s="4"/>
      <c r="E17" s="56"/>
    </row>
    <row r="19" spans="1:7" x14ac:dyDescent="0.2">
      <c r="B19" s="45" t="s">
        <v>189</v>
      </c>
      <c r="C19" s="46"/>
      <c r="D19" s="46"/>
      <c r="E19" s="46" t="s">
        <v>182</v>
      </c>
    </row>
    <row r="20" spans="1:7" x14ac:dyDescent="0.2">
      <c r="A20" s="23" t="s">
        <v>336</v>
      </c>
      <c r="B20" s="25" t="str">
        <f>Overheads!C5</f>
        <v>Rent</v>
      </c>
      <c r="C20" s="25"/>
      <c r="D20" s="25"/>
      <c r="E20" s="113">
        <f>Overheads!D5</f>
        <v>7380</v>
      </c>
    </row>
    <row r="21" spans="1:7" x14ac:dyDescent="0.2">
      <c r="A21" s="23" t="s">
        <v>336</v>
      </c>
      <c r="B21" s="9" t="str">
        <f>Overheads!C6</f>
        <v>Depreciation</v>
      </c>
      <c r="C21" s="9"/>
      <c r="D21" s="9"/>
      <c r="E21" s="42">
        <f>Overheads!D6</f>
        <v>1067.5</v>
      </c>
    </row>
    <row r="22" spans="1:7" x14ac:dyDescent="0.2">
      <c r="A22" s="23" t="s">
        <v>336</v>
      </c>
      <c r="B22" s="9" t="str">
        <f>Overheads!C7</f>
        <v>Electricity</v>
      </c>
      <c r="C22" s="9"/>
      <c r="D22" s="9"/>
      <c r="E22" s="42">
        <f>Overheads!D7-'Break-Even Point'!E11</f>
        <v>610.19999999999959</v>
      </c>
    </row>
    <row r="23" spans="1:7" x14ac:dyDescent="0.2">
      <c r="A23" s="23" t="s">
        <v>336</v>
      </c>
      <c r="B23" s="9" t="str">
        <f>Overheads!C8</f>
        <v>Gas/Heat</v>
      </c>
      <c r="C23" s="9"/>
      <c r="D23" s="9"/>
      <c r="E23" s="42">
        <f>Overheads!D8</f>
        <v>1410.5</v>
      </c>
    </row>
    <row r="24" spans="1:7" x14ac:dyDescent="0.2">
      <c r="A24" s="23" t="s">
        <v>336</v>
      </c>
      <c r="B24" s="9" t="str">
        <f>Overheads!C11</f>
        <v>Marketing Expenses</v>
      </c>
      <c r="C24" s="9"/>
      <c r="D24" s="9"/>
      <c r="E24" s="42">
        <f>Overheads!D11</f>
        <v>4100</v>
      </c>
    </row>
    <row r="25" spans="1:7" ht="10.8" thickBot="1" x14ac:dyDescent="0.25">
      <c r="A25" s="23" t="s">
        <v>337</v>
      </c>
      <c r="B25" s="30" t="s">
        <v>192</v>
      </c>
      <c r="C25" s="30"/>
      <c r="D25" s="30"/>
      <c r="E25" s="119">
        <f>Labor!O20</f>
        <v>41566.369846907153</v>
      </c>
    </row>
    <row r="26" spans="1:7" ht="10.8" thickTop="1" x14ac:dyDescent="0.2">
      <c r="B26" s="4" t="s">
        <v>175</v>
      </c>
      <c r="E26" s="56">
        <f>SUM(E20:E25)</f>
        <v>56134.56984690715</v>
      </c>
    </row>
    <row r="27" spans="1:7" x14ac:dyDescent="0.2">
      <c r="B27" s="4"/>
      <c r="E27" s="56"/>
    </row>
    <row r="29" spans="1:7" x14ac:dyDescent="0.2">
      <c r="B29" s="46" t="s">
        <v>190</v>
      </c>
      <c r="C29" s="46" t="s">
        <v>29</v>
      </c>
      <c r="D29" s="46" t="s">
        <v>16</v>
      </c>
      <c r="E29" s="46" t="s">
        <v>175</v>
      </c>
    </row>
    <row r="30" spans="1:7" x14ac:dyDescent="0.2">
      <c r="B30" s="3" t="s">
        <v>191</v>
      </c>
      <c r="C30" s="47">
        <f>AVERAGE('Raw Material Summary'!G14:G27)*'Break-Even Point'!C5</f>
        <v>73677.966101694939</v>
      </c>
      <c r="D30" s="47">
        <f>AVERAGE('Raw Material Summary'!G28:G31)*'Break-Even Point'!D5</f>
        <v>84851.694915254266</v>
      </c>
      <c r="E30" s="56">
        <f>SUM(C30:D30)</f>
        <v>158529.66101694922</v>
      </c>
      <c r="F30" s="7"/>
      <c r="G30" s="7"/>
    </row>
    <row r="31" spans="1:7" x14ac:dyDescent="0.2">
      <c r="B31" s="3"/>
      <c r="C31" s="47"/>
      <c r="D31" s="47"/>
      <c r="E31" s="56"/>
    </row>
    <row r="32" spans="1:7" s="87" customFormat="1" ht="20.399999999999999" x14ac:dyDescent="0.25">
      <c r="A32" s="341"/>
      <c r="B32" s="155" t="s">
        <v>195</v>
      </c>
      <c r="C32" s="153">
        <f>C30/C5</f>
        <v>98.571428571428569</v>
      </c>
      <c r="D32" s="153">
        <f>D30/D5</f>
        <v>75</v>
      </c>
      <c r="E32" s="154">
        <f>E30/SUM(C5:D5)</f>
        <v>84.377537212449269</v>
      </c>
    </row>
    <row r="33" spans="2:7" x14ac:dyDescent="0.2">
      <c r="D33" s="7"/>
    </row>
    <row r="34" spans="2:7" x14ac:dyDescent="0.2">
      <c r="B34" s="3" t="s">
        <v>193</v>
      </c>
      <c r="E34" s="56">
        <f>E32-E16</f>
        <v>34.732909352625214</v>
      </c>
    </row>
    <row r="35" spans="2:7" x14ac:dyDescent="0.2">
      <c r="B35" s="3"/>
      <c r="E35" s="56"/>
    </row>
    <row r="36" spans="2:7" x14ac:dyDescent="0.2">
      <c r="B36" s="162" t="s">
        <v>196</v>
      </c>
      <c r="C36" s="163"/>
      <c r="D36" s="163"/>
      <c r="E36" s="164">
        <f>E26/E34</f>
        <v>1616.1781691536974</v>
      </c>
      <c r="F36" s="47"/>
    </row>
    <row r="37" spans="2:7" x14ac:dyDescent="0.2">
      <c r="B37" s="159" t="s">
        <v>197</v>
      </c>
      <c r="C37" s="160"/>
      <c r="D37" s="160"/>
      <c r="E37" s="161">
        <f>E32*E36</f>
        <v>136369.13360971422</v>
      </c>
      <c r="F37" s="7"/>
    </row>
    <row r="38" spans="2:7" x14ac:dyDescent="0.2">
      <c r="B38" s="3"/>
      <c r="E38" s="56"/>
      <c r="F38" s="7"/>
    </row>
    <row r="39" spans="2:7" x14ac:dyDescent="0.2">
      <c r="B39" s="12" t="s">
        <v>243</v>
      </c>
      <c r="E39" s="47">
        <f>E5</f>
        <v>1878.8135593220345</v>
      </c>
    </row>
    <row r="40" spans="2:7" x14ac:dyDescent="0.2">
      <c r="B40" s="12" t="s">
        <v>198</v>
      </c>
      <c r="E40" s="47">
        <f>E36</f>
        <v>1616.1781691536974</v>
      </c>
    </row>
    <row r="41" spans="2:7" x14ac:dyDescent="0.2">
      <c r="B41" s="4" t="s">
        <v>199</v>
      </c>
      <c r="E41" s="56">
        <f>E39-E40</f>
        <v>262.63539016833715</v>
      </c>
    </row>
    <row r="42" spans="2:7" x14ac:dyDescent="0.2">
      <c r="B42" s="4"/>
      <c r="E42" s="47"/>
    </row>
    <row r="43" spans="2:7" x14ac:dyDescent="0.2">
      <c r="B43" s="3"/>
      <c r="E43" s="56"/>
      <c r="F43" s="47"/>
    </row>
    <row r="44" spans="2:7" x14ac:dyDescent="0.2">
      <c r="B44" s="165" t="s">
        <v>200</v>
      </c>
      <c r="C44" s="166"/>
      <c r="D44" s="166"/>
      <c r="E44" s="167">
        <f>E30-E14-E26</f>
        <v>9122.0911995081988</v>
      </c>
      <c r="F44" s="56"/>
      <c r="G44" s="47"/>
    </row>
    <row r="47" spans="2:7" x14ac:dyDescent="0.2">
      <c r="B47" s="4" t="s">
        <v>202</v>
      </c>
      <c r="E47" s="95">
        <v>20000</v>
      </c>
    </row>
    <row r="48" spans="2:7" x14ac:dyDescent="0.2">
      <c r="B48" s="4" t="s">
        <v>201</v>
      </c>
      <c r="E48" s="95">
        <f>E47/E34+E36</f>
        <v>2192.0009370350281</v>
      </c>
      <c r="F48" s="7"/>
    </row>
    <row r="49" spans="2:5" x14ac:dyDescent="0.2">
      <c r="B49" s="12" t="s">
        <v>245</v>
      </c>
      <c r="E49" s="47">
        <f>E48-E39</f>
        <v>313.18737771299357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2"/>
  <sheetViews>
    <sheetView zoomScale="90" zoomScaleNormal="90" workbookViewId="0">
      <selection activeCell="I28" sqref="I28"/>
    </sheetView>
  </sheetViews>
  <sheetFormatPr defaultRowHeight="10.199999999999999" x14ac:dyDescent="0.2"/>
  <cols>
    <col min="1" max="1" width="10.09765625" style="5" bestFit="1" customWidth="1"/>
    <col min="2" max="2" width="15.296875" style="1" bestFit="1" customWidth="1"/>
    <col min="3" max="3" width="10.09765625" style="1" bestFit="1" customWidth="1"/>
    <col min="4" max="4" width="17.09765625" style="1" bestFit="1" customWidth="1"/>
    <col min="5" max="5" width="14.5" style="1" bestFit="1" customWidth="1"/>
    <col min="6" max="6" width="16.59765625" style="1" bestFit="1" customWidth="1"/>
    <col min="7" max="7" width="10.3984375" style="1" bestFit="1" customWidth="1"/>
    <col min="8" max="8" width="17.69921875" style="1" bestFit="1" customWidth="1"/>
    <col min="9" max="9" width="23.19921875" style="5" bestFit="1" customWidth="1"/>
    <col min="10" max="16384" width="8.796875" style="1"/>
  </cols>
  <sheetData>
    <row r="2" spans="1:9" x14ac:dyDescent="0.2">
      <c r="A2" s="23" t="s">
        <v>75</v>
      </c>
    </row>
    <row r="4" spans="1:9" ht="13.2" x14ac:dyDescent="0.25">
      <c r="B4" s="41" t="s">
        <v>70</v>
      </c>
    </row>
    <row r="5" spans="1:9" ht="13.2" x14ac:dyDescent="0.25">
      <c r="B5" s="41"/>
    </row>
    <row r="6" spans="1:9" ht="13.2" x14ac:dyDescent="0.25">
      <c r="B6" s="41"/>
    </row>
    <row r="7" spans="1:9" x14ac:dyDescent="0.2">
      <c r="B7" s="4" t="s">
        <v>71</v>
      </c>
    </row>
    <row r="8" spans="1:9" x14ac:dyDescent="0.2">
      <c r="B8" s="3"/>
      <c r="C8" s="1" t="s">
        <v>72</v>
      </c>
    </row>
    <row r="9" spans="1:9" x14ac:dyDescent="0.2">
      <c r="B9" s="3"/>
    </row>
    <row r="10" spans="1:9" x14ac:dyDescent="0.2">
      <c r="B10" s="4" t="s">
        <v>73</v>
      </c>
    </row>
    <row r="11" spans="1:9" x14ac:dyDescent="0.2">
      <c r="B11" s="3"/>
      <c r="C11" s="1" t="s">
        <v>74</v>
      </c>
    </row>
    <row r="12" spans="1:9" x14ac:dyDescent="0.2">
      <c r="H12" s="40"/>
    </row>
    <row r="13" spans="1:9" s="6" customFormat="1" ht="19.95" customHeight="1" x14ac:dyDescent="0.25">
      <c r="A13" s="43" t="s">
        <v>9</v>
      </c>
      <c r="B13" s="44" t="s">
        <v>67</v>
      </c>
      <c r="C13" s="45" t="s">
        <v>50</v>
      </c>
      <c r="D13" s="45" t="s">
        <v>55</v>
      </c>
      <c r="E13" s="45" t="s">
        <v>56</v>
      </c>
      <c r="F13" s="45" t="s">
        <v>51</v>
      </c>
      <c r="G13" s="45" t="s">
        <v>52</v>
      </c>
      <c r="H13" s="45" t="s">
        <v>53</v>
      </c>
      <c r="I13" s="46" t="s">
        <v>64</v>
      </c>
    </row>
    <row r="14" spans="1:9" x14ac:dyDescent="0.2">
      <c r="A14" s="24">
        <v>1</v>
      </c>
      <c r="B14" s="25" t="s">
        <v>0</v>
      </c>
      <c r="C14" s="25">
        <f>HLOOKUP($B14,'Raw Materials Detailed'!$D$41:$AJ$48,MATCH(C13,'Raw Materials Detailed'!$D$41:$D$48,0),0)</f>
        <v>12</v>
      </c>
      <c r="D14" s="32">
        <f>HLOOKUP($B14,'Raw Materials Detailed'!$D$41:$AJ$48,MATCH(D13,'Raw Materials Detailed'!$D$41:$D$48,0),0)</f>
        <v>3.0539500000000004</v>
      </c>
      <c r="E14" s="32">
        <f>HLOOKUP($B14,'Raw Materials Detailed'!$D$41:$AJ$48,MATCH(E13,'Raw Materials Detailed'!$D$41:$D$48,0),0)</f>
        <v>5.3</v>
      </c>
      <c r="F14" s="32">
        <f>HLOOKUP($B14,'Raw Materials Detailed'!$D$41:$AJ$48,MATCH(F13,'Raw Materials Detailed'!$D$41:$D$48,0),0)</f>
        <v>41.947400000000002</v>
      </c>
      <c r="G14" s="33">
        <f>HLOOKUP($B14,'Raw Materials Detailed'!$D$41:$AJ$48,MATCH(G13,'Raw Materials Detailed'!$D$41:$D$48,0),0)</f>
        <v>90</v>
      </c>
      <c r="H14" s="32">
        <f>HLOOKUP($B14,'Raw Materials Detailed'!$D$41:$AJ$48,MATCH(H13,'Raw Materials Detailed'!$D$41:$D$48,0),0)</f>
        <v>48.052599999999998</v>
      </c>
      <c r="I14" s="34">
        <f>HLOOKUP($B14,'Raw Materials Detailed'!$D$41:$AJ$48,MATCH(I13,'Raw Materials Detailed'!$D$41:$D$48,0),0)</f>
        <v>0.53391777777777771</v>
      </c>
    </row>
    <row r="15" spans="1:9" x14ac:dyDescent="0.2">
      <c r="A15" s="8">
        <f>A14+1</f>
        <v>2</v>
      </c>
      <c r="B15" s="9" t="s">
        <v>1</v>
      </c>
      <c r="C15" s="9">
        <f>HLOOKUP(B15,'Raw Materials Detailed'!$D$41:$AJ$48,MATCH(C$13,'Raw Materials Detailed'!$D$41:$D$48,0),0)</f>
        <v>16</v>
      </c>
      <c r="D15" s="28">
        <f>HLOOKUP($B15,'Raw Materials Detailed'!$D$41:$AJ$48,MATCH(D$13,'Raw Materials Detailed'!$D$41:$D$48,0),0)</f>
        <v>2.2067749999999999</v>
      </c>
      <c r="E15" s="28">
        <f>HLOOKUP($B15,'Raw Materials Detailed'!$D$41:$AJ$48,MATCH(E$13,'Raw Materials Detailed'!$D$41:$D$48,0),0)</f>
        <v>5.3</v>
      </c>
      <c r="F15" s="28">
        <f>HLOOKUP($B15,'Raw Materials Detailed'!$D$41:$AJ$48,MATCH(F$13,'Raw Materials Detailed'!$D$41:$D$48,0),0)</f>
        <v>40.608399999999996</v>
      </c>
      <c r="G15" s="35">
        <f>HLOOKUP($B15,'Raw Materials Detailed'!$D$41:$AJ$48,MATCH(G$13,'Raw Materials Detailed'!$D$41:$D$48,0),0)</f>
        <v>100</v>
      </c>
      <c r="H15" s="28">
        <f>HLOOKUP($B15,'Raw Materials Detailed'!$D$41:$AJ$48,MATCH(H$13,'Raw Materials Detailed'!$D$41:$D$48,0),0)</f>
        <v>59.391600000000004</v>
      </c>
      <c r="I15" s="36">
        <f>HLOOKUP($B15,'Raw Materials Detailed'!$D$41:$AJ$48,MATCH(I$13,'Raw Materials Detailed'!$D$41:$D$48,0),0)</f>
        <v>0.593916</v>
      </c>
    </row>
    <row r="16" spans="1:9" x14ac:dyDescent="0.2">
      <c r="A16" s="8">
        <f t="shared" ref="A16:A31" si="0">A15+1</f>
        <v>3</v>
      </c>
      <c r="B16" s="9" t="s">
        <v>2</v>
      </c>
      <c r="C16" s="9">
        <f>HLOOKUP(B16,'Raw Materials Detailed'!$D$41:$AJ$48,MATCH(C$13,'Raw Materials Detailed'!$D$41:$D$48,0),0)</f>
        <v>36</v>
      </c>
      <c r="D16" s="28">
        <f>HLOOKUP($B16,'Raw Materials Detailed'!$D$41:$AJ$48,MATCH(D$13,'Raw Materials Detailed'!$D$41:$D$48,0),0)</f>
        <v>1.5006527777777778</v>
      </c>
      <c r="E16" s="28">
        <f>HLOOKUP($B16,'Raw Materials Detailed'!$D$41:$AJ$48,MATCH(E$13,'Raw Materials Detailed'!$D$41:$D$48,0),0)</f>
        <v>5.3</v>
      </c>
      <c r="F16" s="28">
        <f>HLOOKUP($B16,'Raw Materials Detailed'!$D$41:$AJ$48,MATCH(F$13,'Raw Materials Detailed'!$D$41:$D$48,0),0)</f>
        <v>59.323499999999996</v>
      </c>
      <c r="G16" s="35">
        <f>HLOOKUP($B16,'Raw Materials Detailed'!$D$41:$AJ$48,MATCH(G$13,'Raw Materials Detailed'!$D$41:$D$48,0),0)</f>
        <v>110</v>
      </c>
      <c r="H16" s="28">
        <f>HLOOKUP($B16,'Raw Materials Detailed'!$D$41:$AJ$48,MATCH(H$13,'Raw Materials Detailed'!$D$41:$D$48,0),0)</f>
        <v>50.676500000000004</v>
      </c>
      <c r="I16" s="36">
        <f>HLOOKUP($B16,'Raw Materials Detailed'!$D$41:$AJ$48,MATCH(I$13,'Raw Materials Detailed'!$D$41:$D$48,0),0)</f>
        <v>0.46069545454545457</v>
      </c>
    </row>
    <row r="17" spans="1:9" x14ac:dyDescent="0.2">
      <c r="A17" s="8">
        <f t="shared" si="0"/>
        <v>4</v>
      </c>
      <c r="B17" s="9" t="s">
        <v>3</v>
      </c>
      <c r="C17" s="9">
        <f>HLOOKUP(B17,'Raw Materials Detailed'!$D$41:$AJ$48,MATCH(C$13,'Raw Materials Detailed'!$D$41:$D$48,0),0)</f>
        <v>16</v>
      </c>
      <c r="D17" s="28">
        <f>HLOOKUP($B17,'Raw Materials Detailed'!$D$41:$AJ$48,MATCH(D$13,'Raw Materials Detailed'!$D$41:$D$48,0),0)</f>
        <v>1.1565355000000002</v>
      </c>
      <c r="E17" s="28">
        <f>HLOOKUP($B17,'Raw Materials Detailed'!$D$41:$AJ$48,MATCH(E$13,'Raw Materials Detailed'!$D$41:$D$48,0),0)</f>
        <v>5.3</v>
      </c>
      <c r="F17" s="28">
        <f>HLOOKUP($B17,'Raw Materials Detailed'!$D$41:$AJ$48,MATCH(F$13,'Raw Materials Detailed'!$D$41:$D$48,0),0)</f>
        <v>23.804568000000003</v>
      </c>
      <c r="G17" s="35">
        <f>HLOOKUP($B17,'Raw Materials Detailed'!$D$41:$AJ$48,MATCH(G$13,'Raw Materials Detailed'!$D$41:$D$48,0),0)</f>
        <v>60</v>
      </c>
      <c r="H17" s="28">
        <f>HLOOKUP($B17,'Raw Materials Detailed'!$D$41:$AJ$48,MATCH(H$13,'Raw Materials Detailed'!$D$41:$D$48,0),0)</f>
        <v>36.195431999999997</v>
      </c>
      <c r="I17" s="36">
        <f>HLOOKUP($B17,'Raw Materials Detailed'!$D$41:$AJ$48,MATCH(I$13,'Raw Materials Detailed'!$D$41:$D$48,0),0)</f>
        <v>0.60325719999999994</v>
      </c>
    </row>
    <row r="18" spans="1:9" x14ac:dyDescent="0.2">
      <c r="A18" s="8">
        <f t="shared" si="0"/>
        <v>5</v>
      </c>
      <c r="B18" s="9" t="s">
        <v>4</v>
      </c>
      <c r="C18" s="9">
        <f>HLOOKUP(B18,'Raw Materials Detailed'!$D$41:$AJ$48,MATCH(C$13,'Raw Materials Detailed'!$D$41:$D$48,0),0)</f>
        <v>9</v>
      </c>
      <c r="D18" s="28">
        <f>HLOOKUP($B18,'Raw Materials Detailed'!$D$41:$AJ$48,MATCH(D$13,'Raw Materials Detailed'!$D$41:$D$48,0),0)</f>
        <v>1.6274</v>
      </c>
      <c r="E18" s="28">
        <f>HLOOKUP($B18,'Raw Materials Detailed'!$D$41:$AJ$48,MATCH(E$13,'Raw Materials Detailed'!$D$41:$D$48,0),0)</f>
        <v>5.3</v>
      </c>
      <c r="F18" s="28">
        <f>HLOOKUP($B18,'Raw Materials Detailed'!$D$41:$AJ$48,MATCH(F$13,'Raw Materials Detailed'!$D$41:$D$48,0),0)</f>
        <v>19.9466</v>
      </c>
      <c r="G18" s="35">
        <f>HLOOKUP($B18,'Raw Materials Detailed'!$D$41:$AJ$48,MATCH(G$13,'Raw Materials Detailed'!$D$41:$D$48,0),0)</f>
        <v>80</v>
      </c>
      <c r="H18" s="28">
        <f>HLOOKUP($B18,'Raw Materials Detailed'!$D$41:$AJ$48,MATCH(H$13,'Raw Materials Detailed'!$D$41:$D$48,0),0)</f>
        <v>60.053399999999996</v>
      </c>
      <c r="I18" s="36">
        <f>HLOOKUP($B18,'Raw Materials Detailed'!$D$41:$AJ$48,MATCH(I$13,'Raw Materials Detailed'!$D$41:$D$48,0),0)</f>
        <v>0.75066749999999993</v>
      </c>
    </row>
    <row r="19" spans="1:9" x14ac:dyDescent="0.2">
      <c r="A19" s="8">
        <f t="shared" si="0"/>
        <v>6</v>
      </c>
      <c r="B19" s="9" t="s">
        <v>5</v>
      </c>
      <c r="C19" s="9">
        <f>HLOOKUP(B19,'Raw Materials Detailed'!$D$41:$AJ$48,MATCH(C$13,'Raw Materials Detailed'!$D$41:$D$48,0),0)</f>
        <v>9</v>
      </c>
      <c r="D19" s="28">
        <f>HLOOKUP($B19,'Raw Materials Detailed'!$D$41:$AJ$48,MATCH(D$13,'Raw Materials Detailed'!$D$41:$D$48,0),0)</f>
        <v>3.0282</v>
      </c>
      <c r="E19" s="28">
        <f>HLOOKUP($B19,'Raw Materials Detailed'!$D$41:$AJ$48,MATCH(E$13,'Raw Materials Detailed'!$D$41:$D$48,0),0)</f>
        <v>5.3</v>
      </c>
      <c r="F19" s="28">
        <f>HLOOKUP($B19,'Raw Materials Detailed'!$D$41:$AJ$48,MATCH(F$13,'Raw Materials Detailed'!$D$41:$D$48,0),0)</f>
        <v>32.553799999999995</v>
      </c>
      <c r="G19" s="35">
        <f>HLOOKUP($B19,'Raw Materials Detailed'!$D$41:$AJ$48,MATCH(G$13,'Raw Materials Detailed'!$D$41:$D$48,0),0)</f>
        <v>90</v>
      </c>
      <c r="H19" s="28">
        <f>HLOOKUP($B19,'Raw Materials Detailed'!$D$41:$AJ$48,MATCH(H$13,'Raw Materials Detailed'!$D$41:$D$48,0),0)</f>
        <v>57.446200000000005</v>
      </c>
      <c r="I19" s="36">
        <f>HLOOKUP($B19,'Raw Materials Detailed'!$D$41:$AJ$48,MATCH(I$13,'Raw Materials Detailed'!$D$41:$D$48,0),0)</f>
        <v>0.63829111111111114</v>
      </c>
    </row>
    <row r="20" spans="1:9" x14ac:dyDescent="0.2">
      <c r="A20" s="8">
        <f t="shared" si="0"/>
        <v>7</v>
      </c>
      <c r="B20" s="9" t="s">
        <v>6</v>
      </c>
      <c r="C20" s="9">
        <f>HLOOKUP(B20,'Raw Materials Detailed'!$D$41:$AJ$48,MATCH(C$13,'Raw Materials Detailed'!$D$41:$D$48,0),0)</f>
        <v>11</v>
      </c>
      <c r="D20" s="28">
        <f>HLOOKUP($B20,'Raw Materials Detailed'!$D$41:$AJ$48,MATCH(D$13,'Raw Materials Detailed'!$D$41:$D$48,0),0)</f>
        <v>3.5123000000000002</v>
      </c>
      <c r="E20" s="28">
        <f>HLOOKUP($B20,'Raw Materials Detailed'!$D$41:$AJ$48,MATCH(E$13,'Raw Materials Detailed'!$D$41:$D$48,0),0)</f>
        <v>5.3</v>
      </c>
      <c r="F20" s="28">
        <f>HLOOKUP($B20,'Raw Materials Detailed'!$D$41:$AJ$48,MATCH(F$13,'Raw Materials Detailed'!$D$41:$D$48,0),0)</f>
        <v>43.935299999999998</v>
      </c>
      <c r="G20" s="35">
        <f>HLOOKUP($B20,'Raw Materials Detailed'!$D$41:$AJ$48,MATCH(G$13,'Raw Materials Detailed'!$D$41:$D$48,0),0)</f>
        <v>90</v>
      </c>
      <c r="H20" s="28">
        <f>HLOOKUP($B20,'Raw Materials Detailed'!$D$41:$AJ$48,MATCH(H$13,'Raw Materials Detailed'!$D$41:$D$48,0),0)</f>
        <v>46.064700000000002</v>
      </c>
      <c r="I20" s="36">
        <f>HLOOKUP($B20,'Raw Materials Detailed'!$D$41:$AJ$48,MATCH(I$13,'Raw Materials Detailed'!$D$41:$D$48,0),0)</f>
        <v>0.51183000000000001</v>
      </c>
    </row>
    <row r="21" spans="1:9" x14ac:dyDescent="0.2">
      <c r="A21" s="8">
        <f t="shared" si="0"/>
        <v>8</v>
      </c>
      <c r="B21" s="9" t="s">
        <v>7</v>
      </c>
      <c r="C21" s="9">
        <f>HLOOKUP(B21,'Raw Materials Detailed'!$D$41:$AJ$48,MATCH(C$13,'Raw Materials Detailed'!$D$41:$D$48,0),0)</f>
        <v>16</v>
      </c>
      <c r="D21" s="28">
        <f>HLOOKUP($B21,'Raw Materials Detailed'!$D$41:$AJ$48,MATCH(D$13,'Raw Materials Detailed'!$D$41:$D$48,0),0)</f>
        <v>2.3060155</v>
      </c>
      <c r="E21" s="28">
        <f>HLOOKUP($B21,'Raw Materials Detailed'!$D$41:$AJ$48,MATCH(E$13,'Raw Materials Detailed'!$D$41:$D$48,0),0)</f>
        <v>5.3</v>
      </c>
      <c r="F21" s="28">
        <f>HLOOKUP($B21,'Raw Materials Detailed'!$D$41:$AJ$48,MATCH(F$13,'Raw Materials Detailed'!$D$41:$D$48,0),0)</f>
        <v>42.196247999999997</v>
      </c>
      <c r="G21" s="35">
        <f>HLOOKUP($B21,'Raw Materials Detailed'!$D$41:$AJ$48,MATCH(G$13,'Raw Materials Detailed'!$D$41:$D$48,0),0)</f>
        <v>100</v>
      </c>
      <c r="H21" s="28">
        <f>HLOOKUP($B21,'Raw Materials Detailed'!$D$41:$AJ$48,MATCH(H$13,'Raw Materials Detailed'!$D$41:$D$48,0),0)</f>
        <v>57.803752000000003</v>
      </c>
      <c r="I21" s="36">
        <f>HLOOKUP($B21,'Raw Materials Detailed'!$D$41:$AJ$48,MATCH(I$13,'Raw Materials Detailed'!$D$41:$D$48,0),0)</f>
        <v>0.57803752000000008</v>
      </c>
    </row>
    <row r="22" spans="1:9" x14ac:dyDescent="0.2">
      <c r="A22" s="8">
        <f t="shared" si="0"/>
        <v>9</v>
      </c>
      <c r="B22" s="9" t="s">
        <v>8</v>
      </c>
      <c r="C22" s="9">
        <f>HLOOKUP(B22,'Raw Materials Detailed'!$D$41:$AJ$48,MATCH(C$13,'Raw Materials Detailed'!$D$41:$D$48,0),0)</f>
        <v>9</v>
      </c>
      <c r="D22" s="28">
        <f>HLOOKUP($B22,'Raw Materials Detailed'!$D$41:$AJ$48,MATCH(D$13,'Raw Materials Detailed'!$D$41:$D$48,0),0)</f>
        <v>3.1640570000000001</v>
      </c>
      <c r="E22" s="28">
        <f>HLOOKUP($B22,'Raw Materials Detailed'!$D$41:$AJ$48,MATCH(E$13,'Raw Materials Detailed'!$D$41:$D$48,0),0)</f>
        <v>5.3</v>
      </c>
      <c r="F22" s="28">
        <f>HLOOKUP($B22,'Raw Materials Detailed'!$D$41:$AJ$48,MATCH(F$13,'Raw Materials Detailed'!$D$41:$D$48,0),0)</f>
        <v>33.776513000000001</v>
      </c>
      <c r="G22" s="35">
        <f>HLOOKUP($B22,'Raw Materials Detailed'!$D$41:$AJ$48,MATCH(G$13,'Raw Materials Detailed'!$D$41:$D$48,0),0)</f>
        <v>100</v>
      </c>
      <c r="H22" s="28">
        <f>HLOOKUP($B22,'Raw Materials Detailed'!$D$41:$AJ$48,MATCH(H$13,'Raw Materials Detailed'!$D$41:$D$48,0),0)</f>
        <v>66.223487000000006</v>
      </c>
      <c r="I22" s="36">
        <f>HLOOKUP($B22,'Raw Materials Detailed'!$D$41:$AJ$48,MATCH(I$13,'Raw Materials Detailed'!$D$41:$D$48,0),0)</f>
        <v>0.66223487000000003</v>
      </c>
    </row>
    <row r="23" spans="1:9" x14ac:dyDescent="0.2">
      <c r="A23" s="8">
        <f t="shared" si="0"/>
        <v>10</v>
      </c>
      <c r="B23" s="9" t="s">
        <v>57</v>
      </c>
      <c r="C23" s="9">
        <f>HLOOKUP(B23,'Raw Materials Detailed'!$D$41:$AJ$48,MATCH(C$13,'Raw Materials Detailed'!$D$41:$D$48,0),0)</f>
        <v>6</v>
      </c>
      <c r="D23" s="28">
        <f>HLOOKUP($B23,'Raw Materials Detailed'!$D$41:$AJ$48,MATCH(D$13,'Raw Materials Detailed'!$D$41:$D$48,0),0)</f>
        <v>3.9552000000000005</v>
      </c>
      <c r="E23" s="28">
        <f>HLOOKUP($B23,'Raw Materials Detailed'!$D$41:$AJ$48,MATCH(E$13,'Raw Materials Detailed'!$D$41:$D$48,0),0)</f>
        <v>5.3</v>
      </c>
      <c r="F23" s="28">
        <f>HLOOKUP($B23,'Raw Materials Detailed'!$D$41:$AJ$48,MATCH(F$13,'Raw Materials Detailed'!$D$41:$D$48,0),0)</f>
        <v>29.031200000000002</v>
      </c>
      <c r="G23" s="35">
        <f>HLOOKUP($B23,'Raw Materials Detailed'!$D$41:$AJ$48,MATCH(G$13,'Raw Materials Detailed'!$D$41:$D$48,0),0)</f>
        <v>90</v>
      </c>
      <c r="H23" s="28">
        <f>HLOOKUP($B23,'Raw Materials Detailed'!$D$41:$AJ$48,MATCH(H$13,'Raw Materials Detailed'!$D$41:$D$48,0),0)</f>
        <v>60.968800000000002</v>
      </c>
      <c r="I23" s="36">
        <f>HLOOKUP($B23,'Raw Materials Detailed'!$D$41:$AJ$48,MATCH(I$13,'Raw Materials Detailed'!$D$41:$D$48,0),0)</f>
        <v>0.6774311111111111</v>
      </c>
    </row>
    <row r="24" spans="1:9" x14ac:dyDescent="0.2">
      <c r="A24" s="8">
        <f t="shared" si="0"/>
        <v>11</v>
      </c>
      <c r="B24" s="9" t="s">
        <v>58</v>
      </c>
      <c r="C24" s="9">
        <f>HLOOKUP(B24,'Raw Materials Detailed'!$D$41:$AJ$48,MATCH(C$13,'Raw Materials Detailed'!$D$41:$D$48,0),0)</f>
        <v>9</v>
      </c>
      <c r="D24" s="28">
        <f>HLOOKUP($B24,'Raw Materials Detailed'!$D$41:$AJ$48,MATCH(D$13,'Raw Materials Detailed'!$D$41:$D$48,0),0)</f>
        <v>3.22905</v>
      </c>
      <c r="E24" s="28">
        <f>HLOOKUP($B24,'Raw Materials Detailed'!$D$41:$AJ$48,MATCH(E$13,'Raw Materials Detailed'!$D$41:$D$48,0),0)</f>
        <v>5.3</v>
      </c>
      <c r="F24" s="28">
        <f>HLOOKUP($B24,'Raw Materials Detailed'!$D$41:$AJ$48,MATCH(F$13,'Raw Materials Detailed'!$D$41:$D$48,0),0)</f>
        <v>34.361449999999998</v>
      </c>
      <c r="G24" s="35">
        <f>HLOOKUP($B24,'Raw Materials Detailed'!$D$41:$AJ$48,MATCH(G$13,'Raw Materials Detailed'!$D$41:$D$48,0),0)</f>
        <v>100</v>
      </c>
      <c r="H24" s="28">
        <f>HLOOKUP($B24,'Raw Materials Detailed'!$D$41:$AJ$48,MATCH(H$13,'Raw Materials Detailed'!$D$41:$D$48,0),0)</f>
        <v>65.638550000000009</v>
      </c>
      <c r="I24" s="36">
        <f>HLOOKUP($B24,'Raw Materials Detailed'!$D$41:$AJ$48,MATCH(I$13,'Raw Materials Detailed'!$D$41:$D$48,0),0)</f>
        <v>0.65638550000000007</v>
      </c>
    </row>
    <row r="25" spans="1:9" x14ac:dyDescent="0.2">
      <c r="A25" s="8">
        <f t="shared" si="0"/>
        <v>12</v>
      </c>
      <c r="B25" s="9" t="s">
        <v>59</v>
      </c>
      <c r="C25" s="9">
        <f>HLOOKUP(B25,'Raw Materials Detailed'!$D$41:$AJ$48,MATCH(C$13,'Raw Materials Detailed'!$D$41:$D$48,0),0)</f>
        <v>16</v>
      </c>
      <c r="D25" s="28">
        <f>HLOOKUP($B25,'Raw Materials Detailed'!$D$41:$AJ$48,MATCH(D$13,'Raw Materials Detailed'!$D$41:$D$48,0),0)</f>
        <v>3.0693999999999999</v>
      </c>
      <c r="E25" s="28">
        <f>HLOOKUP($B25,'Raw Materials Detailed'!$D$41:$AJ$48,MATCH(E$13,'Raw Materials Detailed'!$D$41:$D$48,0),0)</f>
        <v>5.3</v>
      </c>
      <c r="F25" s="28">
        <f>HLOOKUP($B25,'Raw Materials Detailed'!$D$41:$AJ$48,MATCH(F$13,'Raw Materials Detailed'!$D$41:$D$48,0),0)</f>
        <v>54.410399999999996</v>
      </c>
      <c r="G25" s="35">
        <f>HLOOKUP($B25,'Raw Materials Detailed'!$D$41:$AJ$48,MATCH(G$13,'Raw Materials Detailed'!$D$41:$D$48,0),0)</f>
        <v>130</v>
      </c>
      <c r="H25" s="28">
        <f>HLOOKUP($B25,'Raw Materials Detailed'!$D$41:$AJ$48,MATCH(H$13,'Raw Materials Detailed'!$D$41:$D$48,0),0)</f>
        <v>75.589600000000004</v>
      </c>
      <c r="I25" s="36">
        <f>HLOOKUP($B25,'Raw Materials Detailed'!$D$41:$AJ$48,MATCH(I$13,'Raw Materials Detailed'!$D$41:$D$48,0),0)</f>
        <v>0.58145846153846159</v>
      </c>
    </row>
    <row r="26" spans="1:9" x14ac:dyDescent="0.2">
      <c r="A26" s="8">
        <f t="shared" si="0"/>
        <v>13</v>
      </c>
      <c r="B26" s="9" t="s">
        <v>68</v>
      </c>
      <c r="C26" s="9">
        <f>HLOOKUP(B26,'Raw Materials Detailed'!$D$41:$AN$48,MATCH(C$13,'Raw Materials Detailed'!$D$41:$D$48,0),0)</f>
        <v>17</v>
      </c>
      <c r="D26" s="28">
        <f>HLOOKUP($B26,'Raw Materials Detailed'!$D$41:$AN$48,MATCH(D$13,'Raw Materials Detailed'!$D$41:$D$48,0),0)</f>
        <v>2.1492141568627452</v>
      </c>
      <c r="E26" s="28">
        <f>HLOOKUP($B26,'Raw Materials Detailed'!$D$41:$AN$48,MATCH(E$13,'Raw Materials Detailed'!$D$41:$D$48,0),0)</f>
        <v>5.3</v>
      </c>
      <c r="F26" s="28">
        <f>HLOOKUP($B26,'Raw Materials Detailed'!$D$41:$AN$48,MATCH(F$13,'Raw Materials Detailed'!$D$41:$D$48,0),0)</f>
        <v>41.836640666666668</v>
      </c>
      <c r="G26" s="42">
        <f>HLOOKUP($B26,'Raw Materials Detailed'!$D$41:$AN$48,MATCH(G$13,'Raw Materials Detailed'!$D$41:$D$48,0),0)</f>
        <v>120</v>
      </c>
      <c r="H26" s="28">
        <f>HLOOKUP($B26,'Raw Materials Detailed'!$D$41:$AN$48,MATCH(H$13,'Raw Materials Detailed'!$D$41:$D$48,0),0)</f>
        <v>78.163359333333332</v>
      </c>
      <c r="I26" s="36">
        <f>HLOOKUP($B26,'Raw Materials Detailed'!$D$41:$AN$48,MATCH(I$13,'Raw Materials Detailed'!$D$41:$D$48,0),0)</f>
        <v>0.65136132777777778</v>
      </c>
    </row>
    <row r="27" spans="1:9" x14ac:dyDescent="0.2">
      <c r="A27" s="8">
        <f t="shared" si="0"/>
        <v>14</v>
      </c>
      <c r="B27" s="9" t="s">
        <v>69</v>
      </c>
      <c r="C27" s="9">
        <f>HLOOKUP($B27,'Raw Materials Detailed'!$D$41:$AN$48,MATCH(C$13,'Raw Materials Detailed'!$D$41:$D$48,0),0)</f>
        <v>17</v>
      </c>
      <c r="D27" s="28">
        <f>HLOOKUP($B27,'Raw Materials Detailed'!$D$41:$AN$48,MATCH(D$13,'Raw Materials Detailed'!$D$41:$D$48,0),0)</f>
        <v>2.3288340392156863</v>
      </c>
      <c r="E27" s="28">
        <f>HLOOKUP($B27,'Raw Materials Detailed'!$D$41:$AN$48,MATCH(E$13,'Raw Materials Detailed'!$D$41:$D$48,0),0)</f>
        <v>5.3</v>
      </c>
      <c r="F27" s="28">
        <f>HLOOKUP($B27,'Raw Materials Detailed'!$D$41:$AN$48,MATCH(F$13,'Raw Materials Detailed'!$D$41:$D$48,0),0)</f>
        <v>44.890178666666664</v>
      </c>
      <c r="G27" s="42">
        <f>HLOOKUP($B27,'Raw Materials Detailed'!$D$41:$AN$48,MATCH(G$13,'Raw Materials Detailed'!$D$41:$D$48,0),0)</f>
        <v>120</v>
      </c>
      <c r="H27" s="28">
        <f>HLOOKUP($B27,'Raw Materials Detailed'!$D$41:$AN$48,MATCH(H$13,'Raw Materials Detailed'!$D$41:$D$48,0),0)</f>
        <v>75.109821333333343</v>
      </c>
      <c r="I27" s="36">
        <f>HLOOKUP($B27,'Raw Materials Detailed'!$D$41:$AN$48,MATCH(I$13,'Raw Materials Detailed'!$D$41:$D$48,0),0)</f>
        <v>0.62591517777777783</v>
      </c>
    </row>
    <row r="28" spans="1:9" x14ac:dyDescent="0.2">
      <c r="A28" s="8">
        <f t="shared" si="0"/>
        <v>15</v>
      </c>
      <c r="B28" s="9" t="s">
        <v>60</v>
      </c>
      <c r="C28" s="9">
        <f>HLOOKUP(B28,'Raw Materials Detailed'!$D$41:$AJ$48,MATCH(C$13,'Raw Materials Detailed'!$D$41:$D$48,0),0)</f>
        <v>1</v>
      </c>
      <c r="D28" s="28">
        <f>HLOOKUP($B28,'Raw Materials Detailed'!$D$41:$AJ$48,MATCH(D$13,'Raw Materials Detailed'!$D$41:$D$48,0),0)</f>
        <v>31.888800000000003</v>
      </c>
      <c r="E28" s="28">
        <f>HLOOKUP($B28,'Raw Materials Detailed'!$D$41:$AJ$48,MATCH(E$13,'Raw Materials Detailed'!$D$41:$D$48,0),0)</f>
        <v>4.8999999999999995</v>
      </c>
      <c r="F28" s="28">
        <f>HLOOKUP($B28,'Raw Materials Detailed'!$D$41:$AJ$48,MATCH(F$13,'Raw Materials Detailed'!$D$41:$D$48,0),0)</f>
        <v>36.788800000000002</v>
      </c>
      <c r="G28" s="35">
        <f>HLOOKUP($B28,'Raw Materials Detailed'!$D$41:$AJ$48,MATCH(G$13,'Raw Materials Detailed'!$D$41:$D$48,0),0)</f>
        <v>75</v>
      </c>
      <c r="H28" s="28">
        <f>HLOOKUP($B28,'Raw Materials Detailed'!$D$41:$AJ$48,MATCH(H$13,'Raw Materials Detailed'!$D$41:$D$48,0),0)</f>
        <v>38.211199999999998</v>
      </c>
      <c r="I28" s="36">
        <f>HLOOKUP($B28,'Raw Materials Detailed'!$D$41:$AJ$48,MATCH(I$13,'Raw Materials Detailed'!$D$41:$D$48,0),0)</f>
        <v>0.50948266666666664</v>
      </c>
    </row>
    <row r="29" spans="1:9" x14ac:dyDescent="0.2">
      <c r="A29" s="8">
        <f t="shared" si="0"/>
        <v>16</v>
      </c>
      <c r="B29" s="9" t="s">
        <v>61</v>
      </c>
      <c r="C29" s="9">
        <f>HLOOKUP(B29,'Raw Materials Detailed'!$D$41:$AJ$48,MATCH(C$13,'Raw Materials Detailed'!$D$41:$D$48,0),0)</f>
        <v>1</v>
      </c>
      <c r="D29" s="28">
        <f>HLOOKUP($B29,'Raw Materials Detailed'!$D$41:$AJ$48,MATCH(D$13,'Raw Materials Detailed'!$D$41:$D$48,0),0)</f>
        <v>23.957799999999999</v>
      </c>
      <c r="E29" s="28">
        <f>HLOOKUP($B29,'Raw Materials Detailed'!$D$41:$AJ$48,MATCH(E$13,'Raw Materials Detailed'!$D$41:$D$48,0),0)</f>
        <v>4.8999999999999995</v>
      </c>
      <c r="F29" s="28">
        <f>HLOOKUP($B29,'Raw Materials Detailed'!$D$41:$AJ$48,MATCH(F$13,'Raw Materials Detailed'!$D$41:$D$48,0),0)</f>
        <v>28.857799999999997</v>
      </c>
      <c r="G29" s="35">
        <f>HLOOKUP($B29,'Raw Materials Detailed'!$D$41:$AJ$48,MATCH(G$13,'Raw Materials Detailed'!$D$41:$D$48,0),0)</f>
        <v>75</v>
      </c>
      <c r="H29" s="28">
        <f>HLOOKUP($B29,'Raw Materials Detailed'!$D$41:$AJ$48,MATCH(H$13,'Raw Materials Detailed'!$D$41:$D$48,0),0)</f>
        <v>46.142200000000003</v>
      </c>
      <c r="I29" s="36">
        <f>HLOOKUP($B29,'Raw Materials Detailed'!$D$41:$AJ$48,MATCH(I$13,'Raw Materials Detailed'!$D$41:$D$48,0),0)</f>
        <v>0.61522933333333341</v>
      </c>
    </row>
    <row r="30" spans="1:9" x14ac:dyDescent="0.2">
      <c r="A30" s="8">
        <f t="shared" si="0"/>
        <v>17</v>
      </c>
      <c r="B30" s="9" t="s">
        <v>62</v>
      </c>
      <c r="C30" s="9">
        <f>HLOOKUP(B30,'Raw Materials Detailed'!$D$41:$AJ$48,MATCH(C$13,'Raw Materials Detailed'!$D$41:$D$48,0),0)</f>
        <v>1</v>
      </c>
      <c r="D30" s="28">
        <f>HLOOKUP($B30,'Raw Materials Detailed'!$D$41:$AJ$48,MATCH(D$13,'Raw Materials Detailed'!$D$41:$D$48,0),0)</f>
        <v>25.9663</v>
      </c>
      <c r="E30" s="28">
        <f>HLOOKUP($B30,'Raw Materials Detailed'!$D$41:$AJ$48,MATCH(E$13,'Raw Materials Detailed'!$D$41:$D$48,0),0)</f>
        <v>4.8999999999999995</v>
      </c>
      <c r="F30" s="28">
        <f>HLOOKUP($B30,'Raw Materials Detailed'!$D$41:$AJ$48,MATCH(F$13,'Raw Materials Detailed'!$D$41:$D$48,0),0)</f>
        <v>30.866299999999999</v>
      </c>
      <c r="G30" s="35">
        <f>HLOOKUP($B30,'Raw Materials Detailed'!$D$41:$AJ$48,MATCH(G$13,'Raw Materials Detailed'!$D$41:$D$48,0),0)</f>
        <v>75</v>
      </c>
      <c r="H30" s="28">
        <f>HLOOKUP($B30,'Raw Materials Detailed'!$D$41:$AJ$48,MATCH(H$13,'Raw Materials Detailed'!$D$41:$D$48,0),0)</f>
        <v>44.133700000000005</v>
      </c>
      <c r="I30" s="36">
        <f>HLOOKUP($B30,'Raw Materials Detailed'!$D$41:$AJ$48,MATCH(I$13,'Raw Materials Detailed'!$D$41:$D$48,0),0)</f>
        <v>0.58844933333333338</v>
      </c>
    </row>
    <row r="31" spans="1:9" ht="10.8" thickBot="1" x14ac:dyDescent="0.25">
      <c r="A31" s="29">
        <f t="shared" si="0"/>
        <v>18</v>
      </c>
      <c r="B31" s="30" t="s">
        <v>63</v>
      </c>
      <c r="C31" s="30">
        <f>HLOOKUP(B31,'Raw Materials Detailed'!$D$41:$AJ$48,MATCH(C$13,'Raw Materials Detailed'!$D$41:$D$48,0),0)</f>
        <v>1</v>
      </c>
      <c r="D31" s="37">
        <f>HLOOKUP($B31,'Raw Materials Detailed'!$D$41:$AJ$48,MATCH(D$13,'Raw Materials Detailed'!$D$41:$D$48,0),0)</f>
        <v>30.467400000000005</v>
      </c>
      <c r="E31" s="37">
        <f>HLOOKUP($B31,'Raw Materials Detailed'!$D$41:$AJ$48,MATCH(E$13,'Raw Materials Detailed'!$D$41:$D$48,0),0)</f>
        <v>4.8999999999999995</v>
      </c>
      <c r="F31" s="37">
        <f>HLOOKUP($B31,'Raw Materials Detailed'!$D$41:$AJ$48,MATCH(F$13,'Raw Materials Detailed'!$D$41:$D$48,0),0)</f>
        <v>35.367400000000004</v>
      </c>
      <c r="G31" s="38">
        <f>HLOOKUP($B31,'Raw Materials Detailed'!$D$41:$AJ$48,MATCH(G$13,'Raw Materials Detailed'!$D$41:$D$48,0),0)</f>
        <v>75</v>
      </c>
      <c r="H31" s="37">
        <f>HLOOKUP($B31,'Raw Materials Detailed'!$D$41:$AJ$48,MATCH(H$13,'Raw Materials Detailed'!$D$41:$D$48,0),0)</f>
        <v>39.632599999999996</v>
      </c>
      <c r="I31" s="39">
        <f>HLOOKUP($B31,'Raw Materials Detailed'!$D$41:$AJ$48,MATCH(I$13,'Raw Materials Detailed'!$D$41:$D$48,0),0)</f>
        <v>0.52843466666666661</v>
      </c>
    </row>
    <row r="32" spans="1:9" ht="10.8" thickTop="1" x14ac:dyDescent="0.2">
      <c r="F32" s="7"/>
      <c r="G32" s="7"/>
      <c r="H32" s="7"/>
    </row>
    <row r="33" spans="6:9" x14ac:dyDescent="0.2">
      <c r="H33" s="47"/>
    </row>
    <row r="34" spans="6:9" x14ac:dyDescent="0.2">
      <c r="H34" s="47"/>
      <c r="I34" s="7"/>
    </row>
    <row r="35" spans="6:9" x14ac:dyDescent="0.2">
      <c r="F35" s="7"/>
      <c r="G35" s="7"/>
      <c r="H35" s="47"/>
      <c r="I35" s="7"/>
    </row>
    <row r="36" spans="6:9" x14ac:dyDescent="0.2">
      <c r="H36" s="47"/>
      <c r="I36" s="1"/>
    </row>
    <row r="37" spans="6:9" x14ac:dyDescent="0.2">
      <c r="H37" s="47"/>
    </row>
    <row r="38" spans="6:9" x14ac:dyDescent="0.2">
      <c r="H38" s="47"/>
    </row>
    <row r="39" spans="6:9" x14ac:dyDescent="0.2">
      <c r="H39" s="47"/>
    </row>
    <row r="40" spans="6:9" x14ac:dyDescent="0.2">
      <c r="H40" s="47"/>
    </row>
    <row r="41" spans="6:9" x14ac:dyDescent="0.2">
      <c r="H41" s="47"/>
    </row>
    <row r="42" spans="6:9" x14ac:dyDescent="0.2">
      <c r="H42" s="47"/>
    </row>
  </sheetData>
  <autoFilter ref="A13:I31" xr:uid="{00000000-0009-0000-0000-000002000000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58"/>
  <sheetViews>
    <sheetView workbookViewId="0">
      <pane xSplit="4" ySplit="7" topLeftCell="E8" activePane="bottomRight" state="frozen"/>
      <selection activeCell="H11" sqref="H11"/>
      <selection pane="topRight" activeCell="H11" sqref="H11"/>
      <selection pane="bottomLeft" activeCell="H11" sqref="H11"/>
      <selection pane="bottomRight" activeCell="A11" sqref="A11"/>
    </sheetView>
  </sheetViews>
  <sheetFormatPr defaultRowHeight="10.199999999999999" x14ac:dyDescent="0.2"/>
  <cols>
    <col min="1" max="1" width="6.59765625" style="5" bestFit="1" customWidth="1"/>
    <col min="2" max="2" width="14.5" style="1" bestFit="1" customWidth="1"/>
    <col min="3" max="3" width="11" style="5" bestFit="1" customWidth="1"/>
    <col min="4" max="4" width="16" style="5" bestFit="1" customWidth="1"/>
    <col min="5" max="5" width="7" style="1" bestFit="1" customWidth="1"/>
    <col min="6" max="6" width="11.09765625" style="1" bestFit="1" customWidth="1"/>
    <col min="7" max="7" width="7" style="1" bestFit="1" customWidth="1"/>
    <col min="8" max="8" width="11.09765625" style="1" bestFit="1" customWidth="1"/>
    <col min="9" max="9" width="7" style="1" bestFit="1" customWidth="1"/>
    <col min="10" max="10" width="11.09765625" style="1" bestFit="1" customWidth="1"/>
    <col min="11" max="11" width="7" style="1" bestFit="1" customWidth="1"/>
    <col min="12" max="12" width="11.09765625" style="1" bestFit="1" customWidth="1"/>
    <col min="13" max="13" width="7" style="1" bestFit="1" customWidth="1"/>
    <col min="14" max="14" width="11.19921875" style="1" bestFit="1" customWidth="1"/>
    <col min="15" max="15" width="7" style="1" bestFit="1" customWidth="1"/>
    <col min="16" max="16" width="12.09765625" style="1" bestFit="1" customWidth="1"/>
    <col min="17" max="17" width="7" style="1" bestFit="1" customWidth="1"/>
    <col min="18" max="18" width="13.296875" style="1" bestFit="1" customWidth="1"/>
    <col min="19" max="19" width="7" style="1" bestFit="1" customWidth="1"/>
    <col min="20" max="20" width="11.09765625" style="1" bestFit="1" customWidth="1"/>
    <col min="21" max="21" width="7" style="1" bestFit="1" customWidth="1"/>
    <col min="22" max="22" width="11.09765625" style="1" bestFit="1" customWidth="1"/>
    <col min="23" max="23" width="7" style="1" bestFit="1" customWidth="1"/>
    <col min="24" max="24" width="14.3984375" style="1" bestFit="1" customWidth="1"/>
    <col min="25" max="25" width="7" style="1" bestFit="1" customWidth="1"/>
    <col min="26" max="26" width="12.19921875" style="1" bestFit="1" customWidth="1"/>
    <col min="27" max="27" width="7" style="1" bestFit="1" customWidth="1"/>
    <col min="28" max="28" width="11.09765625" style="1" bestFit="1" customWidth="1"/>
    <col min="29" max="29" width="7" style="1" bestFit="1" customWidth="1"/>
    <col min="30" max="30" width="11.09765625" style="1" bestFit="1" customWidth="1"/>
    <col min="31" max="31" width="7" style="1" bestFit="1" customWidth="1"/>
    <col min="32" max="32" width="11.09765625" style="1" bestFit="1" customWidth="1"/>
    <col min="33" max="33" width="7" style="1" bestFit="1" customWidth="1"/>
    <col min="34" max="34" width="11.09765625" style="1" bestFit="1" customWidth="1"/>
    <col min="35" max="35" width="7" style="1" bestFit="1" customWidth="1"/>
    <col min="36" max="36" width="11.09765625" style="1" bestFit="1" customWidth="1"/>
    <col min="37" max="37" width="7" style="1" bestFit="1" customWidth="1"/>
    <col min="38" max="38" width="11.09765625" style="1" bestFit="1" customWidth="1"/>
    <col min="39" max="39" width="7" style="1" bestFit="1" customWidth="1"/>
    <col min="40" max="40" width="11.09765625" style="1" bestFit="1" customWidth="1"/>
    <col min="41" max="16384" width="8.796875" style="1"/>
  </cols>
  <sheetData>
    <row r="2" spans="1:40" x14ac:dyDescent="0.2">
      <c r="A2" s="1"/>
      <c r="B2" s="11" t="s">
        <v>47</v>
      </c>
    </row>
    <row r="3" spans="1:40" x14ac:dyDescent="0.2">
      <c r="B3" s="1" t="s">
        <v>48</v>
      </c>
    </row>
    <row r="5" spans="1:40" x14ac:dyDescent="0.2">
      <c r="E5" s="15" t="s">
        <v>0</v>
      </c>
      <c r="F5" s="16"/>
      <c r="G5" s="13" t="s">
        <v>1</v>
      </c>
      <c r="H5" s="14"/>
      <c r="I5" s="13" t="s">
        <v>2</v>
      </c>
      <c r="J5" s="14"/>
      <c r="K5" s="13" t="s">
        <v>3</v>
      </c>
      <c r="L5" s="14"/>
      <c r="M5" s="13" t="s">
        <v>4</v>
      </c>
      <c r="N5" s="14"/>
      <c r="O5" s="13" t="s">
        <v>5</v>
      </c>
      <c r="P5" s="14"/>
      <c r="Q5" s="13" t="s">
        <v>6</v>
      </c>
      <c r="R5" s="14"/>
      <c r="S5" s="13" t="s">
        <v>7</v>
      </c>
      <c r="T5" s="14"/>
      <c r="U5" s="13" t="s">
        <v>8</v>
      </c>
      <c r="V5" s="14"/>
      <c r="W5" s="13" t="s">
        <v>57</v>
      </c>
      <c r="X5" s="14"/>
      <c r="Y5" s="13" t="s">
        <v>58</v>
      </c>
      <c r="Z5" s="14"/>
      <c r="AA5" s="13" t="s">
        <v>59</v>
      </c>
      <c r="AB5" s="14"/>
      <c r="AC5" s="13" t="s">
        <v>60</v>
      </c>
      <c r="AD5" s="14"/>
      <c r="AE5" s="13" t="s">
        <v>61</v>
      </c>
      <c r="AF5" s="14"/>
      <c r="AG5" s="13" t="s">
        <v>62</v>
      </c>
      <c r="AH5" s="14"/>
      <c r="AI5" s="13" t="s">
        <v>63</v>
      </c>
      <c r="AJ5" s="14"/>
      <c r="AK5" s="13" t="s">
        <v>68</v>
      </c>
      <c r="AL5" s="14"/>
      <c r="AM5" s="13" t="s">
        <v>69</v>
      </c>
      <c r="AN5" s="14"/>
    </row>
    <row r="6" spans="1:40" x14ac:dyDescent="0.2">
      <c r="E6" s="13"/>
      <c r="F6" s="14"/>
      <c r="G6" s="13"/>
      <c r="H6" s="14"/>
      <c r="I6" s="9"/>
    </row>
    <row r="7" spans="1:40" s="6" customFormat="1" ht="20.399999999999999" x14ac:dyDescent="0.25">
      <c r="A7" s="17" t="s">
        <v>9</v>
      </c>
      <c r="B7" s="18" t="s">
        <v>10</v>
      </c>
      <c r="C7" s="17" t="s">
        <v>11</v>
      </c>
      <c r="D7" s="21" t="s">
        <v>54</v>
      </c>
      <c r="E7" s="17" t="s">
        <v>46</v>
      </c>
      <c r="F7" s="17" t="s">
        <v>49</v>
      </c>
      <c r="G7" s="17" t="s">
        <v>46</v>
      </c>
      <c r="H7" s="17" t="s">
        <v>49</v>
      </c>
      <c r="I7" s="17" t="s">
        <v>46</v>
      </c>
      <c r="J7" s="17" t="s">
        <v>49</v>
      </c>
      <c r="K7" s="17" t="s">
        <v>46</v>
      </c>
      <c r="L7" s="17" t="s">
        <v>49</v>
      </c>
      <c r="M7" s="17" t="s">
        <v>46</v>
      </c>
      <c r="N7" s="17" t="s">
        <v>49</v>
      </c>
      <c r="O7" s="17" t="s">
        <v>46</v>
      </c>
      <c r="P7" s="17" t="s">
        <v>49</v>
      </c>
      <c r="Q7" s="17" t="s">
        <v>46</v>
      </c>
      <c r="R7" s="17" t="s">
        <v>49</v>
      </c>
      <c r="S7" s="17" t="s">
        <v>46</v>
      </c>
      <c r="T7" s="17" t="s">
        <v>49</v>
      </c>
      <c r="U7" s="17" t="s">
        <v>46</v>
      </c>
      <c r="V7" s="17" t="s">
        <v>49</v>
      </c>
      <c r="W7" s="17" t="s">
        <v>46</v>
      </c>
      <c r="X7" s="17" t="s">
        <v>49</v>
      </c>
      <c r="Y7" s="17" t="s">
        <v>46</v>
      </c>
      <c r="Z7" s="17" t="s">
        <v>49</v>
      </c>
      <c r="AA7" s="17" t="s">
        <v>46</v>
      </c>
      <c r="AB7" s="17" t="s">
        <v>49</v>
      </c>
      <c r="AC7" s="17" t="s">
        <v>46</v>
      </c>
      <c r="AD7" s="17" t="s">
        <v>49</v>
      </c>
      <c r="AE7" s="17" t="s">
        <v>46</v>
      </c>
      <c r="AF7" s="17" t="s">
        <v>49</v>
      </c>
      <c r="AG7" s="17" t="s">
        <v>46</v>
      </c>
      <c r="AH7" s="17" t="s">
        <v>49</v>
      </c>
      <c r="AI7" s="17" t="s">
        <v>46</v>
      </c>
      <c r="AJ7" s="17" t="s">
        <v>49</v>
      </c>
      <c r="AK7" s="17" t="s">
        <v>46</v>
      </c>
      <c r="AL7" s="17" t="s">
        <v>49</v>
      </c>
      <c r="AM7" s="17" t="s">
        <v>46</v>
      </c>
      <c r="AN7" s="17" t="s">
        <v>49</v>
      </c>
    </row>
    <row r="8" spans="1:40" x14ac:dyDescent="0.2">
      <c r="A8" s="24">
        <v>1</v>
      </c>
      <c r="B8" s="25" t="s">
        <v>31</v>
      </c>
      <c r="C8" s="24" t="s">
        <v>12</v>
      </c>
      <c r="D8" s="24">
        <v>55</v>
      </c>
      <c r="E8" s="26">
        <f>17*1.03</f>
        <v>17.510000000000002</v>
      </c>
      <c r="F8" s="26">
        <f>E8*$D8/1000</f>
        <v>0.96305000000000007</v>
      </c>
      <c r="G8" s="26">
        <v>0</v>
      </c>
      <c r="H8" s="26">
        <f>G8*$D8/1000</f>
        <v>0</v>
      </c>
      <c r="I8" s="26">
        <v>0</v>
      </c>
      <c r="J8" s="26">
        <f t="shared" ref="J8:L37" si="0">I8*$D8/1000</f>
        <v>0</v>
      </c>
      <c r="K8" s="26">
        <f>5.33*1.03</f>
        <v>5.4899000000000004</v>
      </c>
      <c r="L8" s="26">
        <f t="shared" si="0"/>
        <v>0.3019445</v>
      </c>
      <c r="M8" s="26">
        <v>0</v>
      </c>
      <c r="N8" s="26">
        <f t="shared" ref="N8:P8" si="1">M8*$D8/1000</f>
        <v>0</v>
      </c>
      <c r="O8" s="26">
        <v>0</v>
      </c>
      <c r="P8" s="26">
        <f t="shared" si="1"/>
        <v>0</v>
      </c>
      <c r="Q8" s="26">
        <v>0</v>
      </c>
      <c r="R8" s="26">
        <f t="shared" ref="R8:T8" si="2">Q8*$D8/1000</f>
        <v>0</v>
      </c>
      <c r="S8" s="26">
        <f>5.33*1.03</f>
        <v>5.4899000000000004</v>
      </c>
      <c r="T8" s="26">
        <f t="shared" si="2"/>
        <v>0.3019445</v>
      </c>
      <c r="U8" s="26">
        <v>0</v>
      </c>
      <c r="V8" s="26">
        <f t="shared" ref="V8:X8" si="3">U8*$D8/1000</f>
        <v>0</v>
      </c>
      <c r="W8" s="26">
        <v>0</v>
      </c>
      <c r="X8" s="26">
        <f t="shared" si="3"/>
        <v>0</v>
      </c>
      <c r="Y8" s="26">
        <v>0</v>
      </c>
      <c r="Z8" s="26">
        <f t="shared" ref="Z8:AB8" si="4">Y8*$D8/1000</f>
        <v>0</v>
      </c>
      <c r="AA8" s="26">
        <f>8*1.03</f>
        <v>8.24</v>
      </c>
      <c r="AB8" s="26">
        <f t="shared" si="4"/>
        <v>0.45319999999999999</v>
      </c>
      <c r="AC8" s="26">
        <v>0</v>
      </c>
      <c r="AD8" s="26">
        <f t="shared" ref="AD8:AF8" si="5">AC8*$D8/1000</f>
        <v>0</v>
      </c>
      <c r="AE8" s="26">
        <v>0</v>
      </c>
      <c r="AF8" s="26">
        <f t="shared" si="5"/>
        <v>0</v>
      </c>
      <c r="AG8" s="26">
        <v>0</v>
      </c>
      <c r="AH8" s="26">
        <f t="shared" ref="AH8:AJ8" si="6">AG8*$D8/1000</f>
        <v>0</v>
      </c>
      <c r="AI8" s="26">
        <v>0</v>
      </c>
      <c r="AJ8" s="26">
        <f t="shared" si="6"/>
        <v>0</v>
      </c>
      <c r="AK8" s="26">
        <v>0</v>
      </c>
      <c r="AL8" s="26">
        <f t="shared" ref="AL8" si="7">AK8*$D8/1000</f>
        <v>0</v>
      </c>
      <c r="AM8" s="26">
        <v>0</v>
      </c>
      <c r="AN8" s="26">
        <f t="shared" ref="AN8" si="8">AM8*$D8/1000</f>
        <v>0</v>
      </c>
    </row>
    <row r="9" spans="1:40" x14ac:dyDescent="0.2">
      <c r="A9" s="8">
        <f>A8+1</f>
        <v>2</v>
      </c>
      <c r="B9" s="9" t="s">
        <v>13</v>
      </c>
      <c r="C9" s="8" t="s">
        <v>12</v>
      </c>
      <c r="D9" s="8">
        <v>150</v>
      </c>
      <c r="E9" s="27">
        <f>3*1.03</f>
        <v>3.09</v>
      </c>
      <c r="F9" s="27">
        <f>E9*$D9/1000</f>
        <v>0.46350000000000002</v>
      </c>
      <c r="G9" s="27">
        <v>0</v>
      </c>
      <c r="H9" s="27">
        <f t="shared" ref="H9:I10" si="9">G9*$D9/1000</f>
        <v>0</v>
      </c>
      <c r="I9" s="27">
        <f t="shared" si="9"/>
        <v>0</v>
      </c>
      <c r="J9" s="27">
        <f t="shared" si="0"/>
        <v>0</v>
      </c>
      <c r="K9" s="27">
        <v>0</v>
      </c>
      <c r="L9" s="27">
        <f t="shared" si="0"/>
        <v>0</v>
      </c>
      <c r="M9" s="27">
        <v>0</v>
      </c>
      <c r="N9" s="27">
        <f t="shared" ref="N9:P9" si="10">M9*$D9/1000</f>
        <v>0</v>
      </c>
      <c r="O9" s="27">
        <v>0</v>
      </c>
      <c r="P9" s="27">
        <f t="shared" si="10"/>
        <v>0</v>
      </c>
      <c r="Q9" s="27">
        <v>0</v>
      </c>
      <c r="R9" s="27">
        <f t="shared" ref="R9:T9" si="11">Q9*$D9/1000</f>
        <v>0</v>
      </c>
      <c r="S9" s="27">
        <v>0</v>
      </c>
      <c r="T9" s="27">
        <f t="shared" si="11"/>
        <v>0</v>
      </c>
      <c r="U9" s="27">
        <v>0</v>
      </c>
      <c r="V9" s="27">
        <f t="shared" ref="V9:X9" si="12">U9*$D9/1000</f>
        <v>0</v>
      </c>
      <c r="W9" s="27">
        <v>0</v>
      </c>
      <c r="X9" s="27">
        <f t="shared" si="12"/>
        <v>0</v>
      </c>
      <c r="Y9" s="27">
        <v>0</v>
      </c>
      <c r="Z9" s="27">
        <f t="shared" ref="Z9:AB9" si="13">Y9*$D9/1000</f>
        <v>0</v>
      </c>
      <c r="AA9" s="27">
        <v>0</v>
      </c>
      <c r="AB9" s="27">
        <f t="shared" si="13"/>
        <v>0</v>
      </c>
      <c r="AC9" s="27">
        <v>0</v>
      </c>
      <c r="AD9" s="27">
        <f t="shared" ref="AD9:AF9" si="14">AC9*$D9/1000</f>
        <v>0</v>
      </c>
      <c r="AE9" s="27">
        <v>0</v>
      </c>
      <c r="AF9" s="27">
        <f t="shared" si="14"/>
        <v>0</v>
      </c>
      <c r="AG9" s="27">
        <v>0</v>
      </c>
      <c r="AH9" s="27">
        <f t="shared" ref="AH9:AJ9" si="15">AG9*$D9/1000</f>
        <v>0</v>
      </c>
      <c r="AI9" s="27">
        <v>0</v>
      </c>
      <c r="AJ9" s="27">
        <f t="shared" si="15"/>
        <v>0</v>
      </c>
      <c r="AK9" s="27">
        <v>0</v>
      </c>
      <c r="AL9" s="27">
        <f t="shared" ref="AL9" si="16">AK9*$D9/1000</f>
        <v>0</v>
      </c>
      <c r="AM9" s="27">
        <v>0</v>
      </c>
      <c r="AN9" s="27">
        <f t="shared" ref="AN9" si="17">AM9*$D9/1000</f>
        <v>0</v>
      </c>
    </row>
    <row r="10" spans="1:40" x14ac:dyDescent="0.2">
      <c r="A10" s="8">
        <f t="shared" ref="A10:A39" si="18">A9+1</f>
        <v>3</v>
      </c>
      <c r="B10" s="9" t="s">
        <v>16</v>
      </c>
      <c r="C10" s="8" t="s">
        <v>12</v>
      </c>
      <c r="D10" s="8">
        <v>158</v>
      </c>
      <c r="E10" s="27">
        <f>10*1.03</f>
        <v>10.3</v>
      </c>
      <c r="F10" s="27">
        <f>E10*$D10/1000</f>
        <v>1.6274000000000002</v>
      </c>
      <c r="G10" s="27">
        <v>0</v>
      </c>
      <c r="H10" s="27">
        <f t="shared" si="9"/>
        <v>0</v>
      </c>
      <c r="I10" s="27">
        <f>280/36*1.03</f>
        <v>8.0111111111111111</v>
      </c>
      <c r="J10" s="27">
        <f>I10*$D10/1000</f>
        <v>1.2657555555555555</v>
      </c>
      <c r="K10" s="27">
        <v>0</v>
      </c>
      <c r="L10" s="27">
        <f>K10*$D10/1000</f>
        <v>0</v>
      </c>
      <c r="M10" s="27">
        <v>0</v>
      </c>
      <c r="N10" s="27">
        <f>M10*$D10/1000</f>
        <v>0</v>
      </c>
      <c r="O10" s="27">
        <f>10*1.03</f>
        <v>10.3</v>
      </c>
      <c r="P10" s="27">
        <f>O10*$D10/1000</f>
        <v>1.6274000000000002</v>
      </c>
      <c r="Q10" s="27">
        <f>10*1.03</f>
        <v>10.3</v>
      </c>
      <c r="R10" s="27">
        <f>Q10*$D10/1000</f>
        <v>1.6274000000000002</v>
      </c>
      <c r="S10" s="27">
        <f>7*1.03</f>
        <v>7.21</v>
      </c>
      <c r="T10" s="27">
        <f>S10*$D10/1000</f>
        <v>1.1391800000000001</v>
      </c>
      <c r="U10" s="27">
        <f>10*1.03</f>
        <v>10.3</v>
      </c>
      <c r="V10" s="27">
        <f>U10*$D10/1000</f>
        <v>1.6274000000000002</v>
      </c>
      <c r="W10" s="27">
        <f>10*1.03</f>
        <v>10.3</v>
      </c>
      <c r="X10" s="27">
        <f>W10*$D10/1000</f>
        <v>1.6274000000000002</v>
      </c>
      <c r="Y10" s="27">
        <f>10*1.03</f>
        <v>10.3</v>
      </c>
      <c r="Z10" s="27">
        <f>Y10*$D10/1000</f>
        <v>1.6274000000000002</v>
      </c>
      <c r="AA10" s="27">
        <f>10*1.03</f>
        <v>10.3</v>
      </c>
      <c r="AB10" s="27">
        <f>AA10*$D10/1000</f>
        <v>1.6274000000000002</v>
      </c>
      <c r="AC10" s="27">
        <f>100*1.03</f>
        <v>103</v>
      </c>
      <c r="AD10" s="27">
        <f>AC10*$D10/1000</f>
        <v>16.274000000000001</v>
      </c>
      <c r="AE10" s="27">
        <f>100*1.03</f>
        <v>103</v>
      </c>
      <c r="AF10" s="27">
        <f>AE10*$D10/1000</f>
        <v>16.274000000000001</v>
      </c>
      <c r="AG10" s="27">
        <f>100*1.03</f>
        <v>103</v>
      </c>
      <c r="AH10" s="27">
        <f>AG10*$D10/1000</f>
        <v>16.274000000000001</v>
      </c>
      <c r="AI10" s="27">
        <f>100*1.03</f>
        <v>103</v>
      </c>
      <c r="AJ10" s="27">
        <f>AI10*$D10/1000</f>
        <v>16.274000000000001</v>
      </c>
      <c r="AK10" s="27">
        <v>0</v>
      </c>
      <c r="AL10" s="27">
        <f>AK10*$D10/1000</f>
        <v>0</v>
      </c>
      <c r="AM10" s="27">
        <v>0</v>
      </c>
      <c r="AN10" s="27">
        <f>AM10*$D10/1000</f>
        <v>0</v>
      </c>
    </row>
    <row r="11" spans="1:40" x14ac:dyDescent="0.2">
      <c r="A11" s="8">
        <f t="shared" si="18"/>
        <v>4</v>
      </c>
      <c r="B11" s="9" t="s">
        <v>65</v>
      </c>
      <c r="C11" s="8" t="s">
        <v>12</v>
      </c>
      <c r="D11" s="8">
        <v>60</v>
      </c>
      <c r="E11" s="27">
        <v>0</v>
      </c>
      <c r="F11" s="27">
        <f>E11*D11/1000</f>
        <v>0</v>
      </c>
      <c r="G11" s="27">
        <f>5.33*1.03</f>
        <v>5.4899000000000004</v>
      </c>
      <c r="H11" s="27">
        <f>G11*$D11/1000</f>
        <v>0.32939400000000002</v>
      </c>
      <c r="I11" s="27">
        <v>0</v>
      </c>
      <c r="J11" s="27">
        <f t="shared" si="0"/>
        <v>0</v>
      </c>
      <c r="K11" s="27">
        <v>0</v>
      </c>
      <c r="L11" s="27">
        <f t="shared" si="0"/>
        <v>0</v>
      </c>
      <c r="M11" s="27">
        <f>10*1.03</f>
        <v>10.3</v>
      </c>
      <c r="N11" s="27">
        <f t="shared" ref="N11:P11" si="19">M11*$D11/1000</f>
        <v>0.61799999999999999</v>
      </c>
      <c r="O11" s="27">
        <f>10*1.03</f>
        <v>10.3</v>
      </c>
      <c r="P11" s="27">
        <f t="shared" si="19"/>
        <v>0.61799999999999999</v>
      </c>
      <c r="Q11" s="27">
        <v>0</v>
      </c>
      <c r="R11" s="27">
        <f t="shared" ref="R11:T12" si="20">Q11*$D11/1000</f>
        <v>0</v>
      </c>
      <c r="S11" s="27">
        <v>0</v>
      </c>
      <c r="T11" s="27">
        <f t="shared" si="20"/>
        <v>0</v>
      </c>
      <c r="U11" s="27">
        <f>6.66*1.03</f>
        <v>6.8597999999999999</v>
      </c>
      <c r="V11" s="27">
        <f t="shared" ref="V11:X11" si="21">U11*$D11/1000</f>
        <v>0.41158799999999995</v>
      </c>
      <c r="W11" s="27">
        <v>0</v>
      </c>
      <c r="X11" s="27">
        <f t="shared" si="21"/>
        <v>0</v>
      </c>
      <c r="Y11" s="27">
        <v>0</v>
      </c>
      <c r="Z11" s="27">
        <f t="shared" ref="Z11:AB11" si="22">Y11*$D11/1000</f>
        <v>0</v>
      </c>
      <c r="AA11" s="27">
        <v>0</v>
      </c>
      <c r="AB11" s="27">
        <f t="shared" si="22"/>
        <v>0</v>
      </c>
      <c r="AC11" s="27">
        <v>0</v>
      </c>
      <c r="AD11" s="27">
        <f t="shared" ref="AD11:AF11" si="23">AC11*$D11/1000</f>
        <v>0</v>
      </c>
      <c r="AE11" s="27">
        <v>0</v>
      </c>
      <c r="AF11" s="27">
        <f t="shared" si="23"/>
        <v>0</v>
      </c>
      <c r="AG11" s="27">
        <v>0</v>
      </c>
      <c r="AH11" s="27">
        <f t="shared" ref="AH11:AJ11" si="24">AG11*$D11/1000</f>
        <v>0</v>
      </c>
      <c r="AI11" s="27">
        <v>0</v>
      </c>
      <c r="AJ11" s="27">
        <f t="shared" si="24"/>
        <v>0</v>
      </c>
      <c r="AK11" s="27">
        <v>0</v>
      </c>
      <c r="AL11" s="27">
        <f t="shared" ref="AL11" si="25">AK11*$D11/1000</f>
        <v>0</v>
      </c>
      <c r="AM11" s="27">
        <v>0</v>
      </c>
      <c r="AN11" s="27">
        <f t="shared" ref="AN11" si="26">AM11*$D11/1000</f>
        <v>0</v>
      </c>
    </row>
    <row r="12" spans="1:40" x14ac:dyDescent="0.2">
      <c r="A12" s="8">
        <f t="shared" si="18"/>
        <v>5</v>
      </c>
      <c r="B12" s="9" t="s">
        <v>66</v>
      </c>
      <c r="C12" s="8" t="s">
        <v>12</v>
      </c>
      <c r="D12" s="8">
        <v>110</v>
      </c>
      <c r="E12" s="27">
        <v>0</v>
      </c>
      <c r="F12" s="27">
        <f>E12*D12/1000</f>
        <v>0</v>
      </c>
      <c r="G12" s="27">
        <f t="shared" ref="G12:P12" si="27">F12*E12/1000</f>
        <v>0</v>
      </c>
      <c r="H12" s="27">
        <f t="shared" si="27"/>
        <v>0</v>
      </c>
      <c r="I12" s="27">
        <f t="shared" si="27"/>
        <v>0</v>
      </c>
      <c r="J12" s="27">
        <f t="shared" si="27"/>
        <v>0</v>
      </c>
      <c r="K12" s="27">
        <f t="shared" si="27"/>
        <v>0</v>
      </c>
      <c r="L12" s="27">
        <f t="shared" si="27"/>
        <v>0</v>
      </c>
      <c r="M12" s="27">
        <f t="shared" si="27"/>
        <v>0</v>
      </c>
      <c r="N12" s="27">
        <f t="shared" si="27"/>
        <v>0</v>
      </c>
      <c r="O12" s="27">
        <f t="shared" si="27"/>
        <v>0</v>
      </c>
      <c r="P12" s="27">
        <f t="shared" si="27"/>
        <v>0</v>
      </c>
      <c r="Q12" s="27">
        <f>15*1.03</f>
        <v>15.450000000000001</v>
      </c>
      <c r="R12" s="27">
        <f t="shared" si="20"/>
        <v>1.6995000000000002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</row>
    <row r="13" spans="1:40" x14ac:dyDescent="0.2">
      <c r="A13" s="8">
        <f t="shared" si="18"/>
        <v>6</v>
      </c>
      <c r="B13" s="9" t="s">
        <v>17</v>
      </c>
      <c r="C13" s="8" t="s">
        <v>12</v>
      </c>
      <c r="D13" s="8">
        <v>120</v>
      </c>
      <c r="E13" s="27">
        <v>0</v>
      </c>
      <c r="F13" s="27">
        <f t="shared" ref="F13:F37" si="28">E13*D13/1000</f>
        <v>0</v>
      </c>
      <c r="G13" s="27">
        <f>5.33*1.03</f>
        <v>5.4899000000000004</v>
      </c>
      <c r="H13" s="27">
        <f t="shared" ref="H13:H37" si="29">G13*$D13/1000</f>
        <v>0.65878800000000004</v>
      </c>
      <c r="I13" s="27">
        <v>0</v>
      </c>
      <c r="J13" s="27">
        <f t="shared" si="0"/>
        <v>0</v>
      </c>
      <c r="K13" s="27">
        <v>0</v>
      </c>
      <c r="L13" s="27">
        <f t="shared" si="0"/>
        <v>0</v>
      </c>
      <c r="M13" s="27">
        <v>0</v>
      </c>
      <c r="N13" s="27">
        <f t="shared" ref="N13:P13" si="30">M13*$D13/1000</f>
        <v>0</v>
      </c>
      <c r="O13" s="27">
        <v>0</v>
      </c>
      <c r="P13" s="27">
        <f t="shared" si="30"/>
        <v>0</v>
      </c>
      <c r="Q13" s="27">
        <v>0</v>
      </c>
      <c r="R13" s="27">
        <f t="shared" ref="R13:T13" si="31">Q13*$D13/1000</f>
        <v>0</v>
      </c>
      <c r="S13" s="27">
        <v>0</v>
      </c>
      <c r="T13" s="27">
        <f t="shared" si="31"/>
        <v>0</v>
      </c>
      <c r="U13" s="27">
        <v>0</v>
      </c>
      <c r="V13" s="27">
        <f t="shared" ref="V13:X13" si="32">U13*$D13/1000</f>
        <v>0</v>
      </c>
      <c r="W13" s="27">
        <v>0</v>
      </c>
      <c r="X13" s="27">
        <f t="shared" si="32"/>
        <v>0</v>
      </c>
      <c r="Y13" s="27">
        <f>5*1.03</f>
        <v>5.15</v>
      </c>
      <c r="Z13" s="27">
        <f t="shared" ref="Z13:AB13" si="33">Y13*$D13/1000</f>
        <v>0.61799999999999999</v>
      </c>
      <c r="AA13" s="27">
        <v>0</v>
      </c>
      <c r="AB13" s="27">
        <f t="shared" si="33"/>
        <v>0</v>
      </c>
      <c r="AC13" s="27">
        <v>0</v>
      </c>
      <c r="AD13" s="27">
        <f t="shared" ref="AD13:AF13" si="34">AC13*$D13/1000</f>
        <v>0</v>
      </c>
      <c r="AE13" s="27">
        <v>0</v>
      </c>
      <c r="AF13" s="27">
        <f t="shared" si="34"/>
        <v>0</v>
      </c>
      <c r="AG13" s="27">
        <v>0</v>
      </c>
      <c r="AH13" s="27">
        <f t="shared" ref="AH13:AJ13" si="35">AG13*$D13/1000</f>
        <v>0</v>
      </c>
      <c r="AI13" s="27">
        <v>0</v>
      </c>
      <c r="AJ13" s="27">
        <f t="shared" si="35"/>
        <v>0</v>
      </c>
      <c r="AK13" s="27">
        <v>0</v>
      </c>
      <c r="AL13" s="27">
        <f t="shared" ref="AL13" si="36">AK13*$D13/1000</f>
        <v>0</v>
      </c>
      <c r="AM13" s="27">
        <v>0</v>
      </c>
      <c r="AN13" s="27">
        <f t="shared" ref="AN13" si="37">AM13*$D13/1000</f>
        <v>0</v>
      </c>
    </row>
    <row r="14" spans="1:40" x14ac:dyDescent="0.2">
      <c r="A14" s="8">
        <f t="shared" si="18"/>
        <v>7</v>
      </c>
      <c r="B14" s="9" t="s">
        <v>18</v>
      </c>
      <c r="C14" s="8" t="s">
        <v>12</v>
      </c>
      <c r="D14" s="8">
        <v>70</v>
      </c>
      <c r="E14" s="27">
        <v>0</v>
      </c>
      <c r="F14" s="27">
        <f t="shared" si="28"/>
        <v>0</v>
      </c>
      <c r="G14" s="27">
        <f>5.33*1.03</f>
        <v>5.4899000000000004</v>
      </c>
      <c r="H14" s="27">
        <f t="shared" si="29"/>
        <v>0.384293</v>
      </c>
      <c r="I14" s="27">
        <v>0</v>
      </c>
      <c r="J14" s="27">
        <f t="shared" si="0"/>
        <v>0</v>
      </c>
      <c r="K14" s="27">
        <v>0</v>
      </c>
      <c r="L14" s="27">
        <f t="shared" si="0"/>
        <v>0</v>
      </c>
      <c r="M14" s="27">
        <f>10*1.03</f>
        <v>10.3</v>
      </c>
      <c r="N14" s="27">
        <f t="shared" ref="N14:P14" si="38">M14*$D14/1000</f>
        <v>0.72099999999999997</v>
      </c>
      <c r="O14" s="27">
        <f>10*1.03</f>
        <v>10.3</v>
      </c>
      <c r="P14" s="27">
        <f t="shared" si="38"/>
        <v>0.72099999999999997</v>
      </c>
      <c r="Q14" s="27">
        <v>0</v>
      </c>
      <c r="R14" s="27">
        <f t="shared" ref="R14:T14" si="39">Q14*$D14/1000</f>
        <v>0</v>
      </c>
      <c r="S14" s="27">
        <v>0</v>
      </c>
      <c r="T14" s="27">
        <f t="shared" si="39"/>
        <v>0</v>
      </c>
      <c r="U14" s="27">
        <v>0</v>
      </c>
      <c r="V14" s="27">
        <f t="shared" ref="V14:X14" si="40">U14*$D14/1000</f>
        <v>0</v>
      </c>
      <c r="W14" s="27">
        <v>0</v>
      </c>
      <c r="X14" s="27">
        <f t="shared" si="40"/>
        <v>0</v>
      </c>
      <c r="Y14" s="27">
        <v>0</v>
      </c>
      <c r="Z14" s="27">
        <f t="shared" ref="Z14:AB14" si="41">Y14*$D14/1000</f>
        <v>0</v>
      </c>
      <c r="AA14" s="27">
        <v>0</v>
      </c>
      <c r="AB14" s="27">
        <f t="shared" si="41"/>
        <v>0</v>
      </c>
      <c r="AC14" s="27">
        <v>0</v>
      </c>
      <c r="AD14" s="27">
        <f t="shared" ref="AD14:AF14" si="42">AC14*$D14/1000</f>
        <v>0</v>
      </c>
      <c r="AE14" s="27">
        <v>0</v>
      </c>
      <c r="AF14" s="27">
        <f t="shared" si="42"/>
        <v>0</v>
      </c>
      <c r="AG14" s="27">
        <v>0</v>
      </c>
      <c r="AH14" s="27">
        <f t="shared" ref="AH14:AJ14" si="43">AG14*$D14/1000</f>
        <v>0</v>
      </c>
      <c r="AI14" s="27">
        <v>0</v>
      </c>
      <c r="AJ14" s="27">
        <f t="shared" si="43"/>
        <v>0</v>
      </c>
      <c r="AK14" s="27">
        <v>0</v>
      </c>
      <c r="AL14" s="27">
        <f t="shared" ref="AL14" si="44">AK14*$D14/1000</f>
        <v>0</v>
      </c>
      <c r="AM14" s="27">
        <v>0</v>
      </c>
      <c r="AN14" s="27">
        <f t="shared" ref="AN14" si="45">AM14*$D14/1000</f>
        <v>0</v>
      </c>
    </row>
    <row r="15" spans="1:40" x14ac:dyDescent="0.2">
      <c r="A15" s="8">
        <f t="shared" si="18"/>
        <v>8</v>
      </c>
      <c r="B15" s="9" t="s">
        <v>19</v>
      </c>
      <c r="C15" s="8" t="s">
        <v>12</v>
      </c>
      <c r="D15" s="8">
        <v>270</v>
      </c>
      <c r="E15" s="27">
        <v>0</v>
      </c>
      <c r="F15" s="27">
        <f t="shared" si="28"/>
        <v>0</v>
      </c>
      <c r="G15" s="27">
        <f>3*1.03</f>
        <v>3.09</v>
      </c>
      <c r="H15" s="27">
        <f t="shared" si="29"/>
        <v>0.83429999999999993</v>
      </c>
      <c r="I15" s="27">
        <v>0</v>
      </c>
      <c r="J15" s="27">
        <f t="shared" si="0"/>
        <v>0</v>
      </c>
      <c r="K15" s="27">
        <v>0</v>
      </c>
      <c r="L15" s="27">
        <f t="shared" si="0"/>
        <v>0</v>
      </c>
      <c r="M15" s="27">
        <v>0</v>
      </c>
      <c r="N15" s="27">
        <f t="shared" ref="N15:P15" si="46">M15*$D15/1000</f>
        <v>0</v>
      </c>
      <c r="O15" s="27">
        <v>0</v>
      </c>
      <c r="P15" s="27">
        <f t="shared" si="46"/>
        <v>0</v>
      </c>
      <c r="Q15" s="27">
        <v>0</v>
      </c>
      <c r="R15" s="27">
        <f t="shared" ref="R15:T15" si="47">Q15*$D15/1000</f>
        <v>0</v>
      </c>
      <c r="S15" s="27">
        <v>0</v>
      </c>
      <c r="T15" s="27">
        <f t="shared" si="47"/>
        <v>0</v>
      </c>
      <c r="U15" s="27">
        <v>0</v>
      </c>
      <c r="V15" s="27">
        <f t="shared" ref="V15:X15" si="48">U15*$D15/1000</f>
        <v>0</v>
      </c>
      <c r="W15" s="27">
        <v>0</v>
      </c>
      <c r="X15" s="27">
        <f t="shared" si="48"/>
        <v>0</v>
      </c>
      <c r="Y15" s="27">
        <v>0</v>
      </c>
      <c r="Z15" s="27">
        <f t="shared" ref="Z15:AB15" si="49">Y15*$D15/1000</f>
        <v>0</v>
      </c>
      <c r="AA15" s="27">
        <v>0</v>
      </c>
      <c r="AB15" s="27">
        <f t="shared" si="49"/>
        <v>0</v>
      </c>
      <c r="AC15" s="27">
        <v>0</v>
      </c>
      <c r="AD15" s="27">
        <f t="shared" ref="AD15:AF15" si="50">AC15*$D15/1000</f>
        <v>0</v>
      </c>
      <c r="AE15" s="27">
        <v>0</v>
      </c>
      <c r="AF15" s="27">
        <f t="shared" si="50"/>
        <v>0</v>
      </c>
      <c r="AG15" s="27">
        <v>0</v>
      </c>
      <c r="AH15" s="27">
        <f t="shared" ref="AH15:AJ15" si="51">AG15*$D15/1000</f>
        <v>0</v>
      </c>
      <c r="AI15" s="27">
        <v>0</v>
      </c>
      <c r="AJ15" s="27">
        <f t="shared" si="51"/>
        <v>0</v>
      </c>
      <c r="AK15" s="27">
        <v>0</v>
      </c>
      <c r="AL15" s="27">
        <f t="shared" ref="AL15" si="52">AK15*$D15/1000</f>
        <v>0</v>
      </c>
      <c r="AM15" s="27">
        <v>0</v>
      </c>
      <c r="AN15" s="27">
        <f t="shared" ref="AN15" si="53">AM15*$D15/1000</f>
        <v>0</v>
      </c>
    </row>
    <row r="16" spans="1:40" x14ac:dyDescent="0.2">
      <c r="A16" s="8">
        <f t="shared" si="18"/>
        <v>9</v>
      </c>
      <c r="B16" s="9" t="s">
        <v>20</v>
      </c>
      <c r="C16" s="8" t="s">
        <v>12</v>
      </c>
      <c r="D16" s="8">
        <v>180</v>
      </c>
      <c r="E16" s="27">
        <v>0</v>
      </c>
      <c r="F16" s="27">
        <f t="shared" si="28"/>
        <v>0</v>
      </c>
      <c r="G16" s="27">
        <v>0</v>
      </c>
      <c r="H16" s="27">
        <f t="shared" si="29"/>
        <v>0</v>
      </c>
      <c r="I16" s="27">
        <f>9/36*1.03</f>
        <v>0.25750000000000001</v>
      </c>
      <c r="J16" s="27">
        <f t="shared" si="0"/>
        <v>4.6350000000000002E-2</v>
      </c>
      <c r="K16" s="27">
        <v>0</v>
      </c>
      <c r="L16" s="27">
        <f t="shared" si="0"/>
        <v>0</v>
      </c>
      <c r="M16" s="27">
        <f>1*1.03</f>
        <v>1.03</v>
      </c>
      <c r="N16" s="27">
        <f t="shared" ref="N16:P16" si="54">M16*$D16/1000</f>
        <v>0.18540000000000001</v>
      </c>
      <c r="O16" s="27">
        <v>0</v>
      </c>
      <c r="P16" s="27">
        <f t="shared" si="54"/>
        <v>0</v>
      </c>
      <c r="Q16" s="27">
        <f>1*1.03</f>
        <v>1.03</v>
      </c>
      <c r="R16" s="27">
        <f t="shared" ref="R16:T16" si="55">Q16*$D16/1000</f>
        <v>0.18540000000000001</v>
      </c>
      <c r="S16" s="27">
        <v>0</v>
      </c>
      <c r="T16" s="27">
        <f t="shared" si="55"/>
        <v>0</v>
      </c>
      <c r="U16" s="27">
        <v>0</v>
      </c>
      <c r="V16" s="27">
        <f t="shared" ref="V16:X16" si="56">U16*$D16/1000</f>
        <v>0</v>
      </c>
      <c r="W16" s="27">
        <v>0</v>
      </c>
      <c r="X16" s="27">
        <f t="shared" si="56"/>
        <v>0</v>
      </c>
      <c r="Y16" s="27">
        <f>1*1.03</f>
        <v>1.03</v>
      </c>
      <c r="Z16" s="27">
        <f t="shared" ref="Z16:AB16" si="57">Y16*$D16/1000</f>
        <v>0.18540000000000001</v>
      </c>
      <c r="AA16" s="27">
        <v>0</v>
      </c>
      <c r="AB16" s="27">
        <f t="shared" si="57"/>
        <v>0</v>
      </c>
      <c r="AC16" s="27">
        <v>0</v>
      </c>
      <c r="AD16" s="27">
        <f t="shared" ref="AD16:AF16" si="58">AC16*$D16/1000</f>
        <v>0</v>
      </c>
      <c r="AE16" s="27">
        <v>0</v>
      </c>
      <c r="AF16" s="27">
        <f t="shared" si="58"/>
        <v>0</v>
      </c>
      <c r="AG16" s="27">
        <v>0</v>
      </c>
      <c r="AH16" s="27">
        <f t="shared" ref="AH16:AJ16" si="59">AG16*$D16/1000</f>
        <v>0</v>
      </c>
      <c r="AI16" s="27">
        <f>20*1.03</f>
        <v>20.6</v>
      </c>
      <c r="AJ16" s="27">
        <f t="shared" si="59"/>
        <v>3.7080000000000006</v>
      </c>
      <c r="AK16" s="27">
        <v>0</v>
      </c>
      <c r="AL16" s="27">
        <f t="shared" ref="AL16" si="60">AK16*$D16/1000</f>
        <v>0</v>
      </c>
      <c r="AM16" s="27">
        <v>0</v>
      </c>
      <c r="AN16" s="27">
        <f t="shared" ref="AN16" si="61">AM16*$D16/1000</f>
        <v>0</v>
      </c>
    </row>
    <row r="17" spans="1:40" x14ac:dyDescent="0.2">
      <c r="A17" s="8">
        <f t="shared" si="18"/>
        <v>10</v>
      </c>
      <c r="B17" s="9" t="s">
        <v>21</v>
      </c>
      <c r="C17" s="8" t="s">
        <v>12</v>
      </c>
      <c r="D17" s="8">
        <v>300</v>
      </c>
      <c r="E17" s="27">
        <v>0</v>
      </c>
      <c r="F17" s="27">
        <f t="shared" si="28"/>
        <v>0</v>
      </c>
      <c r="G17" s="27">
        <v>0</v>
      </c>
      <c r="H17" s="27">
        <f t="shared" si="29"/>
        <v>0</v>
      </c>
      <c r="I17" s="27">
        <f>9/36*1.03</f>
        <v>0.25750000000000001</v>
      </c>
      <c r="J17" s="27">
        <f t="shared" si="0"/>
        <v>7.7249999999999999E-2</v>
      </c>
      <c r="K17" s="27">
        <v>0</v>
      </c>
      <c r="L17" s="27">
        <f t="shared" si="0"/>
        <v>0</v>
      </c>
      <c r="M17" s="27">
        <v>0</v>
      </c>
      <c r="N17" s="27">
        <f t="shared" ref="N17:P17" si="62">M17*$D17/1000</f>
        <v>0</v>
      </c>
      <c r="O17" s="27">
        <v>0</v>
      </c>
      <c r="P17" s="27">
        <f t="shared" si="62"/>
        <v>0</v>
      </c>
      <c r="Q17" s="27">
        <v>0</v>
      </c>
      <c r="R17" s="27">
        <f t="shared" ref="R17:T17" si="63">Q17*$D17/1000</f>
        <v>0</v>
      </c>
      <c r="S17" s="27">
        <f>1*1.03</f>
        <v>1.03</v>
      </c>
      <c r="T17" s="27">
        <f t="shared" si="63"/>
        <v>0.309</v>
      </c>
      <c r="U17" s="27">
        <v>0</v>
      </c>
      <c r="V17" s="27">
        <f t="shared" ref="V17:X17" si="64">U17*$D17/1000</f>
        <v>0</v>
      </c>
      <c r="W17" s="27">
        <v>0</v>
      </c>
      <c r="X17" s="27">
        <f t="shared" si="64"/>
        <v>0</v>
      </c>
      <c r="Y17" s="27">
        <v>0</v>
      </c>
      <c r="Z17" s="27">
        <f t="shared" ref="Z17:AB17" si="65">Y17*$D17/1000</f>
        <v>0</v>
      </c>
      <c r="AA17" s="27">
        <v>0</v>
      </c>
      <c r="AB17" s="27">
        <f t="shared" si="65"/>
        <v>0</v>
      </c>
      <c r="AC17" s="27">
        <v>0</v>
      </c>
      <c r="AD17" s="27">
        <f t="shared" ref="AD17:AF17" si="66">AC17*$D17/1000</f>
        <v>0</v>
      </c>
      <c r="AE17" s="27">
        <v>0</v>
      </c>
      <c r="AF17" s="27">
        <f t="shared" si="66"/>
        <v>0</v>
      </c>
      <c r="AG17" s="27">
        <v>0</v>
      </c>
      <c r="AH17" s="27">
        <f t="shared" ref="AH17:AJ17" si="67">AG17*$D17/1000</f>
        <v>0</v>
      </c>
      <c r="AI17" s="27">
        <v>0</v>
      </c>
      <c r="AJ17" s="27">
        <f t="shared" si="67"/>
        <v>0</v>
      </c>
      <c r="AK17" s="27">
        <v>0</v>
      </c>
      <c r="AL17" s="27">
        <f t="shared" ref="AL17" si="68">AK17*$D17/1000</f>
        <v>0</v>
      </c>
      <c r="AM17" s="27">
        <v>0</v>
      </c>
      <c r="AN17" s="27">
        <f t="shared" ref="AN17" si="69">AM17*$D17/1000</f>
        <v>0</v>
      </c>
    </row>
    <row r="18" spans="1:40" x14ac:dyDescent="0.2">
      <c r="A18" s="8">
        <f t="shared" si="18"/>
        <v>11</v>
      </c>
      <c r="B18" s="9" t="s">
        <v>22</v>
      </c>
      <c r="C18" s="8" t="s">
        <v>12</v>
      </c>
      <c r="D18" s="8">
        <v>110</v>
      </c>
      <c r="E18" s="27">
        <v>0</v>
      </c>
      <c r="F18" s="27">
        <f t="shared" si="28"/>
        <v>0</v>
      </c>
      <c r="G18" s="27">
        <v>0</v>
      </c>
      <c r="H18" s="27">
        <f t="shared" si="29"/>
        <v>0</v>
      </c>
      <c r="I18" s="27">
        <f>9/36*1.03</f>
        <v>0.25750000000000001</v>
      </c>
      <c r="J18" s="27">
        <f t="shared" si="0"/>
        <v>2.8324999999999999E-2</v>
      </c>
      <c r="K18" s="27">
        <v>0</v>
      </c>
      <c r="L18" s="27">
        <f t="shared" si="0"/>
        <v>0</v>
      </c>
      <c r="M18" s="27">
        <v>0</v>
      </c>
      <c r="N18" s="27">
        <f t="shared" ref="N18:P18" si="70">M18*$D18/1000</f>
        <v>0</v>
      </c>
      <c r="O18" s="27">
        <v>0</v>
      </c>
      <c r="P18" s="27">
        <f t="shared" si="70"/>
        <v>0</v>
      </c>
      <c r="Q18" s="27">
        <v>0</v>
      </c>
      <c r="R18" s="27">
        <f t="shared" ref="R18:T18" si="71">Q18*$D18/1000</f>
        <v>0</v>
      </c>
      <c r="S18" s="27">
        <v>0</v>
      </c>
      <c r="T18" s="27">
        <f t="shared" si="71"/>
        <v>0</v>
      </c>
      <c r="U18" s="27">
        <f>6.66*1.03</f>
        <v>6.8597999999999999</v>
      </c>
      <c r="V18" s="27">
        <f t="shared" ref="V18:X18" si="72">U18*$D18/1000</f>
        <v>0.75457799999999997</v>
      </c>
      <c r="W18" s="27">
        <v>0</v>
      </c>
      <c r="X18" s="27">
        <f t="shared" si="72"/>
        <v>0</v>
      </c>
      <c r="Y18" s="27">
        <f>5*1.03</f>
        <v>5.15</v>
      </c>
      <c r="Z18" s="27">
        <f t="shared" ref="Z18:AB18" si="73">Y18*$D18/1000</f>
        <v>0.5665</v>
      </c>
      <c r="AA18" s="27">
        <v>0</v>
      </c>
      <c r="AB18" s="27">
        <f t="shared" si="73"/>
        <v>0</v>
      </c>
      <c r="AC18" s="27">
        <v>0</v>
      </c>
      <c r="AD18" s="27">
        <f t="shared" ref="AD18:AF18" si="74">AC18*$D18/1000</f>
        <v>0</v>
      </c>
      <c r="AE18" s="27">
        <v>0</v>
      </c>
      <c r="AF18" s="27">
        <f t="shared" si="74"/>
        <v>0</v>
      </c>
      <c r="AG18" s="27">
        <v>0</v>
      </c>
      <c r="AH18" s="27">
        <f t="shared" ref="AH18:AJ18" si="75">AG18*$D18/1000</f>
        <v>0</v>
      </c>
      <c r="AI18" s="27">
        <f>30*1.03</f>
        <v>30.900000000000002</v>
      </c>
      <c r="AJ18" s="27">
        <f t="shared" si="75"/>
        <v>3.3990000000000005</v>
      </c>
      <c r="AK18" s="27">
        <v>0</v>
      </c>
      <c r="AL18" s="27">
        <f t="shared" ref="AL18" si="76">AK18*$D18/1000</f>
        <v>0</v>
      </c>
      <c r="AM18" s="27">
        <v>0</v>
      </c>
      <c r="AN18" s="27">
        <f t="shared" ref="AN18" si="77">AM18*$D18/1000</f>
        <v>0</v>
      </c>
    </row>
    <row r="19" spans="1:40" x14ac:dyDescent="0.2">
      <c r="A19" s="8">
        <f t="shared" si="18"/>
        <v>12</v>
      </c>
      <c r="B19" s="9" t="s">
        <v>23</v>
      </c>
      <c r="C19" s="8" t="s">
        <v>12</v>
      </c>
      <c r="D19" s="8">
        <v>100</v>
      </c>
      <c r="E19" s="27">
        <v>0</v>
      </c>
      <c r="F19" s="27">
        <f t="shared" si="28"/>
        <v>0</v>
      </c>
      <c r="G19" s="27">
        <v>0</v>
      </c>
      <c r="H19" s="27">
        <f t="shared" si="29"/>
        <v>0</v>
      </c>
      <c r="I19" s="27">
        <f>9/36*1.03</f>
        <v>0.25750000000000001</v>
      </c>
      <c r="J19" s="27">
        <f t="shared" si="0"/>
        <v>2.5749999999999999E-2</v>
      </c>
      <c r="K19" s="27">
        <v>0</v>
      </c>
      <c r="L19" s="27">
        <f t="shared" si="0"/>
        <v>0</v>
      </c>
      <c r="M19" s="27">
        <v>0</v>
      </c>
      <c r="N19" s="27">
        <f t="shared" ref="N19:P19" si="78">M19*$D19/1000</f>
        <v>0</v>
      </c>
      <c r="O19" s="27">
        <v>0</v>
      </c>
      <c r="P19" s="27">
        <f t="shared" si="78"/>
        <v>0</v>
      </c>
      <c r="Q19" s="27">
        <v>0</v>
      </c>
      <c r="R19" s="27">
        <f t="shared" ref="R19:T19" si="79">Q19*$D19/1000</f>
        <v>0</v>
      </c>
      <c r="S19" s="27">
        <v>0</v>
      </c>
      <c r="T19" s="27">
        <f t="shared" si="79"/>
        <v>0</v>
      </c>
      <c r="U19" s="27">
        <v>0</v>
      </c>
      <c r="V19" s="27">
        <f t="shared" ref="V19:X19" si="80">U19*$D19/1000</f>
        <v>0</v>
      </c>
      <c r="W19" s="27">
        <v>0</v>
      </c>
      <c r="X19" s="27">
        <f t="shared" si="80"/>
        <v>0</v>
      </c>
      <c r="Y19" s="27">
        <v>0</v>
      </c>
      <c r="Z19" s="27">
        <f t="shared" ref="Z19:AB19" si="81">Y19*$D19/1000</f>
        <v>0</v>
      </c>
      <c r="AA19" s="27">
        <v>0</v>
      </c>
      <c r="AB19" s="27">
        <f t="shared" si="81"/>
        <v>0</v>
      </c>
      <c r="AC19" s="27">
        <v>0</v>
      </c>
      <c r="AD19" s="27">
        <f t="shared" ref="AD19:AF19" si="82">AC19*$D19/1000</f>
        <v>0</v>
      </c>
      <c r="AE19" s="27">
        <v>0</v>
      </c>
      <c r="AF19" s="27">
        <f t="shared" si="82"/>
        <v>0</v>
      </c>
      <c r="AG19" s="27">
        <v>0</v>
      </c>
      <c r="AH19" s="27">
        <f t="shared" ref="AH19:AJ19" si="83">AG19*$D19/1000</f>
        <v>0</v>
      </c>
      <c r="AI19" s="27">
        <v>0</v>
      </c>
      <c r="AJ19" s="27">
        <f t="shared" si="83"/>
        <v>0</v>
      </c>
      <c r="AK19" s="27">
        <v>0</v>
      </c>
      <c r="AL19" s="27">
        <f t="shared" ref="AL19" si="84">AK19*$D19/1000</f>
        <v>0</v>
      </c>
      <c r="AM19" s="27">
        <v>0</v>
      </c>
      <c r="AN19" s="27">
        <f t="shared" ref="AN19" si="85">AM19*$D19/1000</f>
        <v>0</v>
      </c>
    </row>
    <row r="20" spans="1:40" x14ac:dyDescent="0.2">
      <c r="A20" s="8">
        <f t="shared" si="18"/>
        <v>13</v>
      </c>
      <c r="B20" s="9" t="s">
        <v>24</v>
      </c>
      <c r="C20" s="8" t="s">
        <v>12</v>
      </c>
      <c r="D20" s="8">
        <v>100</v>
      </c>
      <c r="E20" s="27">
        <v>0</v>
      </c>
      <c r="F20" s="27">
        <f t="shared" si="28"/>
        <v>0</v>
      </c>
      <c r="G20" s="27">
        <v>0</v>
      </c>
      <c r="H20" s="27">
        <f t="shared" si="29"/>
        <v>0</v>
      </c>
      <c r="I20" s="27">
        <f>20/36*1.03</f>
        <v>0.5722222222222223</v>
      </c>
      <c r="J20" s="27">
        <f t="shared" si="0"/>
        <v>5.722222222222223E-2</v>
      </c>
      <c r="K20" s="27">
        <f>1*1.03</f>
        <v>1.03</v>
      </c>
      <c r="L20" s="27">
        <f t="shared" si="0"/>
        <v>0.10299999999999999</v>
      </c>
      <c r="M20" s="27">
        <f>1*1.03</f>
        <v>1.03</v>
      </c>
      <c r="N20" s="27">
        <f t="shared" ref="N20:P20" si="86">M20*$D20/1000</f>
        <v>0.10299999999999999</v>
      </c>
      <c r="O20" s="27">
        <v>0</v>
      </c>
      <c r="P20" s="27">
        <f t="shared" si="86"/>
        <v>0</v>
      </c>
      <c r="Q20" s="27">
        <v>0</v>
      </c>
      <c r="R20" s="27">
        <f t="shared" ref="R20:T20" si="87">Q20*$D20/1000</f>
        <v>0</v>
      </c>
      <c r="S20" s="27">
        <v>0</v>
      </c>
      <c r="T20" s="27">
        <f t="shared" si="87"/>
        <v>0</v>
      </c>
      <c r="U20" s="27">
        <v>0</v>
      </c>
      <c r="V20" s="27">
        <f t="shared" ref="V20:X20" si="88">U20*$D20/1000</f>
        <v>0</v>
      </c>
      <c r="W20" s="27">
        <v>0</v>
      </c>
      <c r="X20" s="27">
        <f t="shared" si="88"/>
        <v>0</v>
      </c>
      <c r="Y20" s="27">
        <v>0</v>
      </c>
      <c r="Z20" s="27">
        <f t="shared" ref="Z20:AB20" si="89">Y20*$D20/1000</f>
        <v>0</v>
      </c>
      <c r="AA20" s="27">
        <v>0</v>
      </c>
      <c r="AB20" s="27">
        <f t="shared" si="89"/>
        <v>0</v>
      </c>
      <c r="AC20" s="27">
        <v>0</v>
      </c>
      <c r="AD20" s="27">
        <f t="shared" ref="AD20:AF20" si="90">AC20*$D20/1000</f>
        <v>0</v>
      </c>
      <c r="AE20" s="27">
        <v>0</v>
      </c>
      <c r="AF20" s="27">
        <f t="shared" si="90"/>
        <v>0</v>
      </c>
      <c r="AG20" s="27">
        <v>0</v>
      </c>
      <c r="AH20" s="27">
        <f t="shared" ref="AH20:AJ20" si="91">AG20*$D20/1000</f>
        <v>0</v>
      </c>
      <c r="AI20" s="27">
        <v>0</v>
      </c>
      <c r="AJ20" s="27">
        <f t="shared" si="91"/>
        <v>0</v>
      </c>
      <c r="AK20" s="27">
        <v>0</v>
      </c>
      <c r="AL20" s="27">
        <f t="shared" ref="AL20" si="92">AK20*$D20/1000</f>
        <v>0</v>
      </c>
      <c r="AM20" s="27">
        <v>0</v>
      </c>
      <c r="AN20" s="27">
        <f t="shared" ref="AN20" si="93">AM20*$D20/1000</f>
        <v>0</v>
      </c>
    </row>
    <row r="21" spans="1:40" x14ac:dyDescent="0.2">
      <c r="A21" s="8">
        <f t="shared" si="18"/>
        <v>14</v>
      </c>
      <c r="B21" s="9" t="s">
        <v>25</v>
      </c>
      <c r="C21" s="8" t="s">
        <v>12</v>
      </c>
      <c r="D21" s="8">
        <v>45</v>
      </c>
      <c r="E21" s="27">
        <v>0</v>
      </c>
      <c r="F21" s="27">
        <f t="shared" si="28"/>
        <v>0</v>
      </c>
      <c r="G21" s="27">
        <v>0</v>
      </c>
      <c r="H21" s="27">
        <f t="shared" si="29"/>
        <v>0</v>
      </c>
      <c r="I21" s="27">
        <v>0</v>
      </c>
      <c r="J21" s="27">
        <f t="shared" si="0"/>
        <v>0</v>
      </c>
      <c r="K21" s="27">
        <f>5.33*1.03</f>
        <v>5.4899000000000004</v>
      </c>
      <c r="L21" s="27">
        <f t="shared" si="0"/>
        <v>0.24704550000000003</v>
      </c>
      <c r="M21" s="27">
        <v>0</v>
      </c>
      <c r="N21" s="27">
        <f t="shared" ref="N21:P21" si="94">M21*$D21/1000</f>
        <v>0</v>
      </c>
      <c r="O21" s="27">
        <v>0</v>
      </c>
      <c r="P21" s="27">
        <f t="shared" si="94"/>
        <v>0</v>
      </c>
      <c r="Q21" s="27">
        <v>0</v>
      </c>
      <c r="R21" s="27">
        <f t="shared" ref="R21:T21" si="95">Q21*$D21/1000</f>
        <v>0</v>
      </c>
      <c r="S21" s="27">
        <f>5.33*1.03</f>
        <v>5.4899000000000004</v>
      </c>
      <c r="T21" s="27">
        <f t="shared" si="95"/>
        <v>0.24704550000000003</v>
      </c>
      <c r="U21" s="27">
        <f>6.66*1.03</f>
        <v>6.8597999999999999</v>
      </c>
      <c r="V21" s="27">
        <f t="shared" ref="V21:X21" si="96">U21*$D21/1000</f>
        <v>0.30869099999999999</v>
      </c>
      <c r="W21" s="27">
        <v>0</v>
      </c>
      <c r="X21" s="27">
        <f t="shared" si="96"/>
        <v>0</v>
      </c>
      <c r="Y21" s="27">
        <f>5*1.03</f>
        <v>5.15</v>
      </c>
      <c r="Z21" s="27">
        <f t="shared" ref="Z21:AB21" si="97">Y21*$D21/1000</f>
        <v>0.23175000000000004</v>
      </c>
      <c r="AA21" s="27">
        <v>0</v>
      </c>
      <c r="AB21" s="27">
        <f t="shared" si="97"/>
        <v>0</v>
      </c>
      <c r="AC21" s="27">
        <v>0</v>
      </c>
      <c r="AD21" s="27">
        <f t="shared" ref="AD21:AF21" si="98">AC21*$D21/1000</f>
        <v>0</v>
      </c>
      <c r="AE21" s="27">
        <v>0</v>
      </c>
      <c r="AF21" s="27">
        <f t="shared" si="98"/>
        <v>0</v>
      </c>
      <c r="AG21" s="27">
        <v>0</v>
      </c>
      <c r="AH21" s="27">
        <f t="shared" ref="AH21:AJ21" si="99">AG21*$D21/1000</f>
        <v>0</v>
      </c>
      <c r="AI21" s="27">
        <v>0</v>
      </c>
      <c r="AJ21" s="27">
        <f t="shared" si="99"/>
        <v>0</v>
      </c>
      <c r="AK21" s="27">
        <v>0</v>
      </c>
      <c r="AL21" s="27">
        <f t="shared" ref="AL21" si="100">AK21*$D21/1000</f>
        <v>0</v>
      </c>
      <c r="AM21" s="27">
        <v>0</v>
      </c>
      <c r="AN21" s="27">
        <f t="shared" ref="AN21" si="101">AM21*$D21/1000</f>
        <v>0</v>
      </c>
    </row>
    <row r="22" spans="1:40" x14ac:dyDescent="0.2">
      <c r="A22" s="8">
        <f t="shared" si="18"/>
        <v>15</v>
      </c>
      <c r="B22" s="9" t="s">
        <v>26</v>
      </c>
      <c r="C22" s="8" t="s">
        <v>12</v>
      </c>
      <c r="D22" s="8">
        <v>45</v>
      </c>
      <c r="E22" s="27">
        <v>0</v>
      </c>
      <c r="F22" s="27">
        <f t="shared" si="28"/>
        <v>0</v>
      </c>
      <c r="G22" s="27">
        <v>0</v>
      </c>
      <c r="H22" s="27">
        <f t="shared" si="29"/>
        <v>0</v>
      </c>
      <c r="I22" s="27">
        <v>0</v>
      </c>
      <c r="J22" s="27">
        <f t="shared" si="0"/>
        <v>0</v>
      </c>
      <c r="K22" s="27">
        <f>5.33*1.03</f>
        <v>5.4899000000000004</v>
      </c>
      <c r="L22" s="27">
        <f t="shared" si="0"/>
        <v>0.24704550000000003</v>
      </c>
      <c r="M22" s="27">
        <v>0</v>
      </c>
      <c r="N22" s="27">
        <f t="shared" ref="N22:P22" si="102">M22*$D22/1000</f>
        <v>0</v>
      </c>
      <c r="O22" s="27">
        <v>0</v>
      </c>
      <c r="P22" s="27">
        <f t="shared" si="102"/>
        <v>0</v>
      </c>
      <c r="Q22" s="27">
        <v>0</v>
      </c>
      <c r="R22" s="27">
        <f t="shared" ref="R22:T22" si="103">Q22*$D22/1000</f>
        <v>0</v>
      </c>
      <c r="S22" s="27">
        <f>5.33*1.03</f>
        <v>5.4899000000000004</v>
      </c>
      <c r="T22" s="27">
        <f t="shared" si="103"/>
        <v>0.24704550000000003</v>
      </c>
      <c r="U22" s="27">
        <v>0</v>
      </c>
      <c r="V22" s="27">
        <f t="shared" ref="V22:X22" si="104">U22*$D22/1000</f>
        <v>0</v>
      </c>
      <c r="W22" s="27">
        <v>0</v>
      </c>
      <c r="X22" s="27">
        <f t="shared" si="104"/>
        <v>0</v>
      </c>
      <c r="Y22" s="27">
        <v>0</v>
      </c>
      <c r="Z22" s="27">
        <f t="shared" ref="Z22:AB22" si="105">Y22*$D22/1000</f>
        <v>0</v>
      </c>
      <c r="AA22" s="27">
        <v>0</v>
      </c>
      <c r="AB22" s="27">
        <f t="shared" si="105"/>
        <v>0</v>
      </c>
      <c r="AC22" s="27">
        <v>0</v>
      </c>
      <c r="AD22" s="27">
        <f t="shared" ref="AD22:AF22" si="106">AC22*$D22/1000</f>
        <v>0</v>
      </c>
      <c r="AE22" s="27">
        <v>0</v>
      </c>
      <c r="AF22" s="27">
        <f t="shared" si="106"/>
        <v>0</v>
      </c>
      <c r="AG22" s="27">
        <v>0</v>
      </c>
      <c r="AH22" s="27">
        <f t="shared" ref="AH22:AJ22" si="107">AG22*$D22/1000</f>
        <v>0</v>
      </c>
      <c r="AI22" s="27">
        <v>0</v>
      </c>
      <c r="AJ22" s="27">
        <f t="shared" si="107"/>
        <v>0</v>
      </c>
      <c r="AK22" s="27">
        <v>0</v>
      </c>
      <c r="AL22" s="27">
        <f t="shared" ref="AL22" si="108">AK22*$D22/1000</f>
        <v>0</v>
      </c>
      <c r="AM22" s="27">
        <v>0</v>
      </c>
      <c r="AN22" s="27">
        <f t="shared" ref="AN22" si="109">AM22*$D22/1000</f>
        <v>0</v>
      </c>
    </row>
    <row r="23" spans="1:40" x14ac:dyDescent="0.2">
      <c r="A23" s="8">
        <f t="shared" si="18"/>
        <v>16</v>
      </c>
      <c r="B23" s="9" t="s">
        <v>27</v>
      </c>
      <c r="C23" s="8" t="s">
        <v>12</v>
      </c>
      <c r="D23" s="8">
        <v>100</v>
      </c>
      <c r="E23" s="27">
        <v>0</v>
      </c>
      <c r="F23" s="27">
        <f t="shared" si="28"/>
        <v>0</v>
      </c>
      <c r="G23" s="27">
        <v>0</v>
      </c>
      <c r="H23" s="27">
        <f t="shared" si="29"/>
        <v>0</v>
      </c>
      <c r="I23" s="27">
        <v>0</v>
      </c>
      <c r="J23" s="27">
        <f t="shared" si="0"/>
        <v>0</v>
      </c>
      <c r="K23" s="27">
        <f>1*1.03</f>
        <v>1.03</v>
      </c>
      <c r="L23" s="27">
        <f t="shared" si="0"/>
        <v>0.10299999999999999</v>
      </c>
      <c r="M23" s="27">
        <v>0</v>
      </c>
      <c r="N23" s="27">
        <f t="shared" ref="N23:P23" si="110">M23*$D23/1000</f>
        <v>0</v>
      </c>
      <c r="O23" s="27">
        <v>0</v>
      </c>
      <c r="P23" s="27">
        <f t="shared" si="110"/>
        <v>0</v>
      </c>
      <c r="Q23" s="27">
        <v>0</v>
      </c>
      <c r="R23" s="27">
        <f t="shared" ref="R23:T23" si="111">Q23*$D23/1000</f>
        <v>0</v>
      </c>
      <c r="S23" s="27">
        <v>0</v>
      </c>
      <c r="T23" s="27">
        <f t="shared" si="111"/>
        <v>0</v>
      </c>
      <c r="U23" s="27">
        <v>0</v>
      </c>
      <c r="V23" s="27">
        <f t="shared" ref="V23:X23" si="112">U23*$D23/1000</f>
        <v>0</v>
      </c>
      <c r="W23" s="27">
        <v>0</v>
      </c>
      <c r="X23" s="27">
        <f t="shared" si="112"/>
        <v>0</v>
      </c>
      <c r="Y23" s="27">
        <v>0</v>
      </c>
      <c r="Z23" s="27">
        <f t="shared" ref="Z23:AB23" si="113">Y23*$D23/1000</f>
        <v>0</v>
      </c>
      <c r="AA23" s="27">
        <v>0</v>
      </c>
      <c r="AB23" s="27">
        <f t="shared" si="113"/>
        <v>0</v>
      </c>
      <c r="AC23" s="27">
        <v>0</v>
      </c>
      <c r="AD23" s="27">
        <f t="shared" ref="AD23:AF23" si="114">AC23*$D23/1000</f>
        <v>0</v>
      </c>
      <c r="AE23" s="27">
        <v>0</v>
      </c>
      <c r="AF23" s="27">
        <f t="shared" si="114"/>
        <v>0</v>
      </c>
      <c r="AG23" s="27">
        <v>0</v>
      </c>
      <c r="AH23" s="27">
        <f t="shared" ref="AH23:AJ23" si="115">AG23*$D23/1000</f>
        <v>0</v>
      </c>
      <c r="AI23" s="27">
        <v>0</v>
      </c>
      <c r="AJ23" s="27">
        <f t="shared" si="115"/>
        <v>0</v>
      </c>
      <c r="AK23" s="27">
        <v>0</v>
      </c>
      <c r="AL23" s="27">
        <f t="shared" ref="AL23" si="116">AK23*$D23/1000</f>
        <v>0</v>
      </c>
      <c r="AM23" s="27">
        <v>0</v>
      </c>
      <c r="AN23" s="27">
        <f t="shared" ref="AN23" si="117">AM23*$D23/1000</f>
        <v>0</v>
      </c>
    </row>
    <row r="24" spans="1:40" x14ac:dyDescent="0.2">
      <c r="A24" s="8">
        <f t="shared" si="18"/>
        <v>17</v>
      </c>
      <c r="B24" s="9" t="s">
        <v>28</v>
      </c>
      <c r="C24" s="8" t="s">
        <v>12</v>
      </c>
      <c r="D24" s="8">
        <v>150</v>
      </c>
      <c r="E24" s="27">
        <v>0</v>
      </c>
      <c r="F24" s="27">
        <f t="shared" si="28"/>
        <v>0</v>
      </c>
      <c r="G24" s="27">
        <v>0</v>
      </c>
      <c r="H24" s="27">
        <f t="shared" si="29"/>
        <v>0</v>
      </c>
      <c r="I24" s="27">
        <v>0</v>
      </c>
      <c r="J24" s="27">
        <f t="shared" si="0"/>
        <v>0</v>
      </c>
      <c r="K24" s="27">
        <f>1*1.03</f>
        <v>1.03</v>
      </c>
      <c r="L24" s="27">
        <f t="shared" si="0"/>
        <v>0.1545</v>
      </c>
      <c r="M24" s="27">
        <v>0</v>
      </c>
      <c r="N24" s="27">
        <f t="shared" ref="N24:P24" si="118">M24*$D24/1000</f>
        <v>0</v>
      </c>
      <c r="O24" s="27">
        <v>0</v>
      </c>
      <c r="P24" s="27">
        <f t="shared" si="118"/>
        <v>0</v>
      </c>
      <c r="Q24" s="27">
        <v>0</v>
      </c>
      <c r="R24" s="27">
        <f t="shared" ref="R24:T24" si="119">Q24*$D24/1000</f>
        <v>0</v>
      </c>
      <c r="S24" s="27">
        <v>0</v>
      </c>
      <c r="T24" s="27">
        <f t="shared" si="119"/>
        <v>0</v>
      </c>
      <c r="U24" s="27">
        <v>0</v>
      </c>
      <c r="V24" s="27">
        <f t="shared" ref="V24:X24" si="120">U24*$D24/1000</f>
        <v>0</v>
      </c>
      <c r="W24" s="27">
        <v>0</v>
      </c>
      <c r="X24" s="27">
        <f t="shared" si="120"/>
        <v>0</v>
      </c>
      <c r="Y24" s="27">
        <v>0</v>
      </c>
      <c r="Z24" s="27">
        <f t="shared" ref="Z24:AB24" si="121">Y24*$D24/1000</f>
        <v>0</v>
      </c>
      <c r="AA24" s="27">
        <v>0</v>
      </c>
      <c r="AB24" s="27">
        <f t="shared" si="121"/>
        <v>0</v>
      </c>
      <c r="AC24" s="27">
        <v>0</v>
      </c>
      <c r="AD24" s="27">
        <f t="shared" ref="AD24:AF24" si="122">AC24*$D24/1000</f>
        <v>0</v>
      </c>
      <c r="AE24" s="27">
        <v>0</v>
      </c>
      <c r="AF24" s="27">
        <f t="shared" si="122"/>
        <v>0</v>
      </c>
      <c r="AG24" s="27">
        <v>0</v>
      </c>
      <c r="AH24" s="27">
        <f t="shared" ref="AH24:AJ24" si="123">AG24*$D24/1000</f>
        <v>0</v>
      </c>
      <c r="AI24" s="27">
        <v>0</v>
      </c>
      <c r="AJ24" s="27">
        <f t="shared" si="123"/>
        <v>0</v>
      </c>
      <c r="AK24" s="27">
        <v>0</v>
      </c>
      <c r="AL24" s="27">
        <f t="shared" ref="AL24" si="124">AK24*$D24/1000</f>
        <v>0</v>
      </c>
      <c r="AM24" s="27">
        <v>0</v>
      </c>
      <c r="AN24" s="27">
        <f t="shared" ref="AN24" si="125">AM24*$D24/1000</f>
        <v>0</v>
      </c>
    </row>
    <row r="25" spans="1:40" x14ac:dyDescent="0.2">
      <c r="A25" s="8">
        <f t="shared" si="18"/>
        <v>18</v>
      </c>
      <c r="B25" s="9" t="s">
        <v>30</v>
      </c>
      <c r="C25" s="8" t="s">
        <v>12</v>
      </c>
      <c r="D25" s="8">
        <v>60</v>
      </c>
      <c r="E25" s="27">
        <v>0</v>
      </c>
      <c r="F25" s="27">
        <f t="shared" si="28"/>
        <v>0</v>
      </c>
      <c r="G25" s="27">
        <v>0</v>
      </c>
      <c r="H25" s="27">
        <f t="shared" si="29"/>
        <v>0</v>
      </c>
      <c r="I25" s="27">
        <v>0</v>
      </c>
      <c r="J25" s="27">
        <f t="shared" si="0"/>
        <v>0</v>
      </c>
      <c r="K25" s="27">
        <v>0</v>
      </c>
      <c r="L25" s="27">
        <f t="shared" si="0"/>
        <v>0</v>
      </c>
      <c r="M25" s="27">
        <v>0</v>
      </c>
      <c r="N25" s="27">
        <f t="shared" ref="N25:P25" si="126">M25*$D25/1000</f>
        <v>0</v>
      </c>
      <c r="O25" s="27">
        <f>1*1.03</f>
        <v>1.03</v>
      </c>
      <c r="P25" s="27">
        <f t="shared" si="126"/>
        <v>6.1800000000000008E-2</v>
      </c>
      <c r="Q25" s="27">
        <v>0</v>
      </c>
      <c r="R25" s="27">
        <f t="shared" ref="R25:T25" si="127">Q25*$D25/1000</f>
        <v>0</v>
      </c>
      <c r="S25" s="27">
        <f>1*1.03</f>
        <v>1.03</v>
      </c>
      <c r="T25" s="27">
        <f t="shared" si="127"/>
        <v>6.1800000000000008E-2</v>
      </c>
      <c r="U25" s="27">
        <f>1*1.03</f>
        <v>1.03</v>
      </c>
      <c r="V25" s="27">
        <f t="shared" ref="V25:X25" si="128">U25*$D25/1000</f>
        <v>6.1800000000000008E-2</v>
      </c>
      <c r="W25" s="27">
        <f>1*1.03</f>
        <v>1.03</v>
      </c>
      <c r="X25" s="27">
        <f t="shared" si="128"/>
        <v>6.1800000000000008E-2</v>
      </c>
      <c r="Y25" s="27">
        <v>0</v>
      </c>
      <c r="Z25" s="27">
        <f t="shared" ref="Z25:AB25" si="129">Y25*$D25/1000</f>
        <v>0</v>
      </c>
      <c r="AA25" s="27">
        <v>0</v>
      </c>
      <c r="AB25" s="27">
        <f t="shared" si="129"/>
        <v>0</v>
      </c>
      <c r="AC25" s="27">
        <v>0</v>
      </c>
      <c r="AD25" s="27">
        <f t="shared" ref="AD25:AF25" si="130">AC25*$D25/1000</f>
        <v>0</v>
      </c>
      <c r="AE25" s="27">
        <v>0</v>
      </c>
      <c r="AF25" s="27">
        <f t="shared" si="130"/>
        <v>0</v>
      </c>
      <c r="AG25" s="27">
        <v>0</v>
      </c>
      <c r="AH25" s="27">
        <f t="shared" ref="AH25:AJ25" si="131">AG25*$D25/1000</f>
        <v>0</v>
      </c>
      <c r="AI25" s="27">
        <v>0</v>
      </c>
      <c r="AJ25" s="27">
        <f t="shared" si="131"/>
        <v>0</v>
      </c>
      <c r="AK25" s="27">
        <v>0</v>
      </c>
      <c r="AL25" s="27">
        <f t="shared" ref="AL25" si="132">AK25*$D25/1000</f>
        <v>0</v>
      </c>
      <c r="AM25" s="27">
        <v>0</v>
      </c>
      <c r="AN25" s="27">
        <f t="shared" ref="AN25" si="133">AM25*$D25/1000</f>
        <v>0</v>
      </c>
    </row>
    <row r="26" spans="1:40" x14ac:dyDescent="0.2">
      <c r="A26" s="8">
        <f t="shared" si="18"/>
        <v>19</v>
      </c>
      <c r="B26" s="9" t="s">
        <v>32</v>
      </c>
      <c r="C26" s="8" t="s">
        <v>12</v>
      </c>
      <c r="D26" s="8">
        <v>110</v>
      </c>
      <c r="E26" s="27">
        <v>0</v>
      </c>
      <c r="F26" s="27">
        <f t="shared" si="28"/>
        <v>0</v>
      </c>
      <c r="G26" s="27">
        <v>0</v>
      </c>
      <c r="H26" s="27">
        <f t="shared" si="29"/>
        <v>0</v>
      </c>
      <c r="I26" s="27">
        <v>0</v>
      </c>
      <c r="J26" s="27">
        <f t="shared" si="0"/>
        <v>0</v>
      </c>
      <c r="K26" s="27">
        <v>0</v>
      </c>
      <c r="L26" s="27">
        <f t="shared" si="0"/>
        <v>0</v>
      </c>
      <c r="M26" s="27">
        <v>0</v>
      </c>
      <c r="N26" s="27">
        <f t="shared" ref="N26:P26" si="134">M26*$D26/1000</f>
        <v>0</v>
      </c>
      <c r="O26" s="27">
        <v>0</v>
      </c>
      <c r="P26" s="27">
        <f t="shared" si="134"/>
        <v>0</v>
      </c>
      <c r="Q26" s="27">
        <v>0</v>
      </c>
      <c r="R26" s="27">
        <f t="shared" ref="R26:T26" si="135">Q26*$D26/1000</f>
        <v>0</v>
      </c>
      <c r="S26" s="27">
        <v>0</v>
      </c>
      <c r="T26" s="27">
        <f t="shared" si="135"/>
        <v>0</v>
      </c>
      <c r="U26" s="27">
        <v>0</v>
      </c>
      <c r="V26" s="27">
        <f t="shared" ref="V26:X26" si="136">U26*$D26/1000</f>
        <v>0</v>
      </c>
      <c r="W26" s="27">
        <f>20*1.03</f>
        <v>20.6</v>
      </c>
      <c r="X26" s="27">
        <f t="shared" si="136"/>
        <v>2.266</v>
      </c>
      <c r="Y26" s="27">
        <v>0</v>
      </c>
      <c r="Z26" s="27">
        <f t="shared" ref="Z26:AB26" si="137">Y26*$D26/1000</f>
        <v>0</v>
      </c>
      <c r="AA26" s="27">
        <v>0</v>
      </c>
      <c r="AB26" s="27">
        <f t="shared" si="137"/>
        <v>0</v>
      </c>
      <c r="AC26" s="27">
        <v>0</v>
      </c>
      <c r="AD26" s="27">
        <f t="shared" ref="AD26:AF26" si="138">AC26*$D26/1000</f>
        <v>0</v>
      </c>
      <c r="AE26" s="27">
        <v>0</v>
      </c>
      <c r="AF26" s="27">
        <f t="shared" si="138"/>
        <v>0</v>
      </c>
      <c r="AG26" s="27">
        <f>25*1.03</f>
        <v>25.75</v>
      </c>
      <c r="AH26" s="27">
        <f t="shared" ref="AH26:AJ26" si="139">AG26*$D26/1000</f>
        <v>2.8325</v>
      </c>
      <c r="AI26" s="27">
        <v>0</v>
      </c>
      <c r="AJ26" s="27">
        <f t="shared" si="139"/>
        <v>0</v>
      </c>
      <c r="AK26" s="27">
        <v>0</v>
      </c>
      <c r="AL26" s="27">
        <f t="shared" ref="AL26" si="140">AK26*$D26/1000</f>
        <v>0</v>
      </c>
      <c r="AM26" s="27">
        <v>0</v>
      </c>
      <c r="AN26" s="27">
        <f t="shared" ref="AN26" si="141">AM26*$D26/1000</f>
        <v>0</v>
      </c>
    </row>
    <row r="27" spans="1:40" x14ac:dyDescent="0.2">
      <c r="A27" s="8">
        <f t="shared" si="18"/>
        <v>20</v>
      </c>
      <c r="B27" s="9" t="s">
        <v>33</v>
      </c>
      <c r="C27" s="8" t="s">
        <v>12</v>
      </c>
      <c r="D27" s="8">
        <v>120</v>
      </c>
      <c r="E27" s="27">
        <v>0</v>
      </c>
      <c r="F27" s="27">
        <f t="shared" ref="F27" si="142">E27*D27/1000</f>
        <v>0</v>
      </c>
      <c r="G27" s="27">
        <v>0</v>
      </c>
      <c r="H27" s="27">
        <f t="shared" si="29"/>
        <v>0</v>
      </c>
      <c r="I27" s="27">
        <v>0</v>
      </c>
      <c r="J27" s="27">
        <f t="shared" si="0"/>
        <v>0</v>
      </c>
      <c r="K27" s="27">
        <v>0</v>
      </c>
      <c r="L27" s="27">
        <f t="shared" si="0"/>
        <v>0</v>
      </c>
      <c r="M27" s="27">
        <v>0</v>
      </c>
      <c r="N27" s="27">
        <f t="shared" ref="N27:P27" si="143">M27*$D27/1000</f>
        <v>0</v>
      </c>
      <c r="O27" s="27">
        <v>0</v>
      </c>
      <c r="P27" s="27">
        <f t="shared" si="143"/>
        <v>0</v>
      </c>
      <c r="Q27" s="27">
        <v>0</v>
      </c>
      <c r="R27" s="27">
        <f t="shared" ref="R27:T27" si="144">Q27*$D27/1000</f>
        <v>0</v>
      </c>
      <c r="S27" s="27">
        <v>0</v>
      </c>
      <c r="T27" s="27">
        <f t="shared" si="144"/>
        <v>0</v>
      </c>
      <c r="U27" s="27">
        <v>0</v>
      </c>
      <c r="V27" s="27">
        <f t="shared" ref="V27:AA28" si="145">U27*$D27/1000</f>
        <v>0</v>
      </c>
      <c r="W27" s="27">
        <v>0</v>
      </c>
      <c r="X27" s="27">
        <f t="shared" si="145"/>
        <v>0</v>
      </c>
      <c r="Y27" s="27">
        <f t="shared" si="145"/>
        <v>0</v>
      </c>
      <c r="Z27" s="27">
        <f t="shared" si="145"/>
        <v>0</v>
      </c>
      <c r="AA27" s="27">
        <f>8*1.03</f>
        <v>8.24</v>
      </c>
      <c r="AB27" s="27">
        <f t="shared" ref="AB27" si="146">AA27*$D27/1000</f>
        <v>0.98880000000000012</v>
      </c>
      <c r="AC27" s="27">
        <v>0</v>
      </c>
      <c r="AD27" s="27">
        <f t="shared" ref="AD27:AF27" si="147">AC27*$D27/1000</f>
        <v>0</v>
      </c>
      <c r="AE27" s="27">
        <v>0</v>
      </c>
      <c r="AF27" s="27">
        <f t="shared" si="147"/>
        <v>0</v>
      </c>
      <c r="AG27" s="27">
        <v>0</v>
      </c>
      <c r="AH27" s="27">
        <f t="shared" ref="AH27:AJ27" si="148">AG27*$D27/1000</f>
        <v>0</v>
      </c>
      <c r="AI27" s="27">
        <v>0</v>
      </c>
      <c r="AJ27" s="27">
        <f t="shared" si="148"/>
        <v>0</v>
      </c>
      <c r="AK27" s="27">
        <v>0</v>
      </c>
      <c r="AL27" s="27">
        <f t="shared" ref="AL27" si="149">AK27*$D27/1000</f>
        <v>0</v>
      </c>
      <c r="AM27" s="27">
        <v>0</v>
      </c>
      <c r="AN27" s="27">
        <f t="shared" ref="AN27" si="150">AM27*$D27/1000</f>
        <v>0</v>
      </c>
    </row>
    <row r="28" spans="1:40" x14ac:dyDescent="0.2">
      <c r="A28" s="8">
        <f t="shared" si="18"/>
        <v>21</v>
      </c>
      <c r="B28" s="9" t="s">
        <v>34</v>
      </c>
      <c r="C28" s="8" t="s">
        <v>12</v>
      </c>
      <c r="D28" s="8">
        <v>260</v>
      </c>
      <c r="E28" s="27">
        <v>0</v>
      </c>
      <c r="F28" s="27">
        <f t="shared" si="28"/>
        <v>0</v>
      </c>
      <c r="G28" s="27">
        <v>0</v>
      </c>
      <c r="H28" s="27">
        <f t="shared" si="29"/>
        <v>0</v>
      </c>
      <c r="I28" s="27">
        <v>0</v>
      </c>
      <c r="J28" s="27">
        <f t="shared" si="0"/>
        <v>0</v>
      </c>
      <c r="K28" s="27">
        <v>0</v>
      </c>
      <c r="L28" s="27">
        <f t="shared" si="0"/>
        <v>0</v>
      </c>
      <c r="M28" s="27">
        <v>0</v>
      </c>
      <c r="N28" s="27">
        <f t="shared" ref="N28:P28" si="151">M28*$D28/1000</f>
        <v>0</v>
      </c>
      <c r="O28" s="27">
        <v>0</v>
      </c>
      <c r="P28" s="27">
        <f t="shared" si="151"/>
        <v>0</v>
      </c>
      <c r="Q28" s="27">
        <v>0</v>
      </c>
      <c r="R28" s="27">
        <f t="shared" ref="R28:T28" si="152">Q28*$D28/1000</f>
        <v>0</v>
      </c>
      <c r="S28" s="27">
        <v>0</v>
      </c>
      <c r="T28" s="27">
        <f t="shared" si="152"/>
        <v>0</v>
      </c>
      <c r="U28" s="27">
        <v>0</v>
      </c>
      <c r="V28" s="27">
        <f t="shared" ref="V28:X28" si="153">U28*$D28/1000</f>
        <v>0</v>
      </c>
      <c r="W28" s="27">
        <v>0</v>
      </c>
      <c r="X28" s="27">
        <f t="shared" si="153"/>
        <v>0</v>
      </c>
      <c r="Y28" s="27">
        <v>0</v>
      </c>
      <c r="Z28" s="27">
        <f t="shared" ref="Z28:AB28" si="154">Y28*$D28/1000</f>
        <v>0</v>
      </c>
      <c r="AA28" s="27">
        <f t="shared" si="145"/>
        <v>0</v>
      </c>
      <c r="AB28" s="27">
        <f t="shared" si="154"/>
        <v>0</v>
      </c>
      <c r="AC28" s="27">
        <v>0</v>
      </c>
      <c r="AD28" s="27">
        <f t="shared" ref="AD28:AF28" si="155">AC28*$D28/1000</f>
        <v>0</v>
      </c>
      <c r="AE28" s="27">
        <v>0</v>
      </c>
      <c r="AF28" s="27">
        <f t="shared" si="155"/>
        <v>0</v>
      </c>
      <c r="AG28" s="27">
        <v>0</v>
      </c>
      <c r="AH28" s="27">
        <f t="shared" ref="AH28:AJ28" si="156">AG28*$D28/1000</f>
        <v>0</v>
      </c>
      <c r="AI28" s="27">
        <v>0</v>
      </c>
      <c r="AJ28" s="27">
        <f t="shared" si="156"/>
        <v>0</v>
      </c>
      <c r="AK28" s="27">
        <v>0</v>
      </c>
      <c r="AL28" s="27">
        <f t="shared" ref="AL28" si="157">AK28*$D28/1000</f>
        <v>0</v>
      </c>
      <c r="AM28" s="27">
        <v>0</v>
      </c>
      <c r="AN28" s="27">
        <f t="shared" ref="AN28" si="158">AM28*$D28/1000</f>
        <v>0</v>
      </c>
    </row>
    <row r="29" spans="1:40" x14ac:dyDescent="0.2">
      <c r="A29" s="8">
        <f t="shared" si="18"/>
        <v>22</v>
      </c>
      <c r="B29" s="9" t="s">
        <v>35</v>
      </c>
      <c r="C29" s="8" t="s">
        <v>12</v>
      </c>
      <c r="D29" s="8">
        <v>500</v>
      </c>
      <c r="E29" s="27">
        <v>0</v>
      </c>
      <c r="F29" s="27">
        <f t="shared" si="28"/>
        <v>0</v>
      </c>
      <c r="G29" s="27">
        <v>0</v>
      </c>
      <c r="H29" s="27">
        <f t="shared" si="29"/>
        <v>0</v>
      </c>
      <c r="I29" s="27">
        <v>0</v>
      </c>
      <c r="J29" s="27">
        <f t="shared" si="0"/>
        <v>0</v>
      </c>
      <c r="K29" s="27">
        <v>0</v>
      </c>
      <c r="L29" s="27">
        <f t="shared" si="0"/>
        <v>0</v>
      </c>
      <c r="M29" s="27">
        <v>0</v>
      </c>
      <c r="N29" s="27">
        <f t="shared" ref="N29:P29" si="159">M29*$D29/1000</f>
        <v>0</v>
      </c>
      <c r="O29" s="27">
        <v>0</v>
      </c>
      <c r="P29" s="27">
        <f t="shared" si="159"/>
        <v>0</v>
      </c>
      <c r="Q29" s="27">
        <v>0</v>
      </c>
      <c r="R29" s="27">
        <f t="shared" ref="R29:T29" si="160">Q29*$D29/1000</f>
        <v>0</v>
      </c>
      <c r="S29" s="27">
        <v>0</v>
      </c>
      <c r="T29" s="27">
        <f t="shared" si="160"/>
        <v>0</v>
      </c>
      <c r="U29" s="27">
        <v>0</v>
      </c>
      <c r="V29" s="27">
        <f t="shared" ref="V29:X29" si="161">U29*$D29/1000</f>
        <v>0</v>
      </c>
      <c r="W29" s="27">
        <v>0</v>
      </c>
      <c r="X29" s="27">
        <f t="shared" si="161"/>
        <v>0</v>
      </c>
      <c r="Y29" s="27">
        <v>0</v>
      </c>
      <c r="Z29" s="27">
        <f t="shared" ref="Z29:AB29" si="162">Y29*$D29/1000</f>
        <v>0</v>
      </c>
      <c r="AA29" s="27">
        <v>0</v>
      </c>
      <c r="AB29" s="27">
        <f t="shared" si="162"/>
        <v>0</v>
      </c>
      <c r="AC29" s="27">
        <f>20*1.03</f>
        <v>20.6</v>
      </c>
      <c r="AD29" s="27">
        <f t="shared" ref="AD29:AF29" si="163">AC29*$D29/1000</f>
        <v>10.3</v>
      </c>
      <c r="AE29" s="27">
        <v>0</v>
      </c>
      <c r="AF29" s="27">
        <f t="shared" si="163"/>
        <v>0</v>
      </c>
      <c r="AG29" s="27">
        <v>0</v>
      </c>
      <c r="AH29" s="27">
        <f t="shared" ref="AH29:AJ29" si="164">AG29*$D29/1000</f>
        <v>0</v>
      </c>
      <c r="AI29" s="27">
        <v>0</v>
      </c>
      <c r="AJ29" s="27">
        <f t="shared" si="164"/>
        <v>0</v>
      </c>
      <c r="AK29" s="27">
        <v>0</v>
      </c>
      <c r="AL29" s="27">
        <f t="shared" ref="AL29" si="165">AK29*$D29/1000</f>
        <v>0</v>
      </c>
      <c r="AM29" s="27">
        <v>0</v>
      </c>
      <c r="AN29" s="27">
        <f t="shared" ref="AN29" si="166">AM29*$D29/1000</f>
        <v>0</v>
      </c>
    </row>
    <row r="30" spans="1:40" x14ac:dyDescent="0.2">
      <c r="A30" s="8">
        <f t="shared" si="18"/>
        <v>23</v>
      </c>
      <c r="B30" s="28" t="s">
        <v>36</v>
      </c>
      <c r="C30" s="8" t="s">
        <v>37</v>
      </c>
      <c r="D30" s="8">
        <v>1.72</v>
      </c>
      <c r="E30" s="27">
        <v>0</v>
      </c>
      <c r="F30" s="27">
        <f t="shared" si="28"/>
        <v>0</v>
      </c>
      <c r="G30" s="27">
        <v>0</v>
      </c>
      <c r="H30" s="27">
        <f t="shared" si="29"/>
        <v>0</v>
      </c>
      <c r="I30" s="27">
        <v>0</v>
      </c>
      <c r="J30" s="27">
        <f t="shared" si="0"/>
        <v>0</v>
      </c>
      <c r="K30" s="27">
        <v>0</v>
      </c>
      <c r="L30" s="27">
        <f t="shared" si="0"/>
        <v>0</v>
      </c>
      <c r="M30" s="27">
        <v>0</v>
      </c>
      <c r="N30" s="27">
        <f t="shared" ref="N30:P30" si="167">M30*$D30/1000</f>
        <v>0</v>
      </c>
      <c r="O30" s="27">
        <v>0</v>
      </c>
      <c r="P30" s="27">
        <f t="shared" si="167"/>
        <v>0</v>
      </c>
      <c r="Q30" s="27">
        <v>0</v>
      </c>
      <c r="R30" s="27">
        <f t="shared" ref="R30:T30" si="168">Q30*$D30/1000</f>
        <v>0</v>
      </c>
      <c r="S30" s="27">
        <v>0</v>
      </c>
      <c r="T30" s="27">
        <f t="shared" si="168"/>
        <v>0</v>
      </c>
      <c r="U30" s="27">
        <v>0</v>
      </c>
      <c r="V30" s="27">
        <f t="shared" ref="V30:X30" si="169">U30*$D30/1000</f>
        <v>0</v>
      </c>
      <c r="W30" s="27">
        <v>0</v>
      </c>
      <c r="X30" s="27">
        <f t="shared" si="169"/>
        <v>0</v>
      </c>
      <c r="Y30" s="27">
        <v>0</v>
      </c>
      <c r="Z30" s="27">
        <f t="shared" ref="Z30:AB30" si="170">Y30*$D30/1000</f>
        <v>0</v>
      </c>
      <c r="AA30" s="27">
        <v>0</v>
      </c>
      <c r="AB30" s="27">
        <f t="shared" si="170"/>
        <v>0</v>
      </c>
      <c r="AC30" s="27">
        <f>3*1.03</f>
        <v>3.09</v>
      </c>
      <c r="AD30" s="27">
        <f>AC30*$D30</f>
        <v>5.3148</v>
      </c>
      <c r="AE30" s="27">
        <v>0</v>
      </c>
      <c r="AF30" s="27">
        <f>AE30*F30</f>
        <v>0</v>
      </c>
      <c r="AG30" s="27">
        <v>0</v>
      </c>
      <c r="AH30" s="27">
        <f>AG30*H30</f>
        <v>0</v>
      </c>
      <c r="AI30" s="27">
        <v>0</v>
      </c>
      <c r="AJ30" s="27">
        <f>AI30*J30</f>
        <v>0</v>
      </c>
      <c r="AK30" s="27">
        <v>0</v>
      </c>
      <c r="AL30" s="27">
        <f>AK30*L30</f>
        <v>0</v>
      </c>
      <c r="AM30" s="27">
        <v>0</v>
      </c>
      <c r="AN30" s="27">
        <f>AM30*N30</f>
        <v>0</v>
      </c>
    </row>
    <row r="31" spans="1:40" x14ac:dyDescent="0.2">
      <c r="A31" s="8">
        <f t="shared" si="18"/>
        <v>24</v>
      </c>
      <c r="B31" s="9" t="s">
        <v>39</v>
      </c>
      <c r="C31" s="8" t="s">
        <v>12</v>
      </c>
      <c r="D31" s="8">
        <v>110</v>
      </c>
      <c r="E31" s="27">
        <v>0</v>
      </c>
      <c r="F31" s="27">
        <f t="shared" si="28"/>
        <v>0</v>
      </c>
      <c r="G31" s="27">
        <v>0</v>
      </c>
      <c r="H31" s="27">
        <f t="shared" si="29"/>
        <v>0</v>
      </c>
      <c r="I31" s="27">
        <v>0</v>
      </c>
      <c r="J31" s="27">
        <f t="shared" si="0"/>
        <v>0</v>
      </c>
      <c r="K31" s="27">
        <v>0</v>
      </c>
      <c r="L31" s="27">
        <f t="shared" si="0"/>
        <v>0</v>
      </c>
      <c r="M31" s="27">
        <v>0</v>
      </c>
      <c r="N31" s="27">
        <f t="shared" ref="N31:P31" si="171">M31*$D31/1000</f>
        <v>0</v>
      </c>
      <c r="O31" s="27">
        <v>0</v>
      </c>
      <c r="P31" s="27">
        <f t="shared" si="171"/>
        <v>0</v>
      </c>
      <c r="Q31" s="27">
        <v>0</v>
      </c>
      <c r="R31" s="27">
        <f t="shared" ref="R31:T31" si="172">Q31*$D31/1000</f>
        <v>0</v>
      </c>
      <c r="S31" s="27">
        <v>0</v>
      </c>
      <c r="T31" s="27">
        <f t="shared" si="172"/>
        <v>0</v>
      </c>
      <c r="U31" s="27">
        <v>0</v>
      </c>
      <c r="V31" s="27">
        <f t="shared" ref="V31:X31" si="173">U31*$D31/1000</f>
        <v>0</v>
      </c>
      <c r="W31" s="27">
        <v>0</v>
      </c>
      <c r="X31" s="27">
        <f t="shared" si="173"/>
        <v>0</v>
      </c>
      <c r="Y31" s="27">
        <v>0</v>
      </c>
      <c r="Z31" s="27">
        <f t="shared" ref="Z31:AB31" si="174">Y31*$D31/1000</f>
        <v>0</v>
      </c>
      <c r="AA31" s="27">
        <v>0</v>
      </c>
      <c r="AB31" s="27">
        <f t="shared" si="174"/>
        <v>0</v>
      </c>
      <c r="AC31" s="27">
        <v>0</v>
      </c>
      <c r="AD31" s="27">
        <f t="shared" ref="AD31:AF31" si="175">AC31*$D31/1000</f>
        <v>0</v>
      </c>
      <c r="AE31" s="27">
        <f>20*1.03</f>
        <v>20.6</v>
      </c>
      <c r="AF31" s="27">
        <f t="shared" si="175"/>
        <v>2.266</v>
      </c>
      <c r="AG31" s="27">
        <v>0</v>
      </c>
      <c r="AH31" s="27">
        <f t="shared" ref="AH31:AJ31" si="176">AG31*$D31/1000</f>
        <v>0</v>
      </c>
      <c r="AI31" s="27">
        <v>0</v>
      </c>
      <c r="AJ31" s="27">
        <f t="shared" si="176"/>
        <v>0</v>
      </c>
      <c r="AK31" s="27">
        <v>0</v>
      </c>
      <c r="AL31" s="27">
        <f t="shared" ref="AL31" si="177">AK31*$D31/1000</f>
        <v>0</v>
      </c>
      <c r="AM31" s="27">
        <v>0</v>
      </c>
      <c r="AN31" s="27">
        <f t="shared" ref="AN31" si="178">AM31*$D31/1000</f>
        <v>0</v>
      </c>
    </row>
    <row r="32" spans="1:40" x14ac:dyDescent="0.2">
      <c r="A32" s="8">
        <f t="shared" si="18"/>
        <v>25</v>
      </c>
      <c r="B32" s="28" t="s">
        <v>40</v>
      </c>
      <c r="C32" s="8" t="s">
        <v>37</v>
      </c>
      <c r="D32" s="8">
        <v>1.04</v>
      </c>
      <c r="E32" s="27">
        <v>0</v>
      </c>
      <c r="F32" s="27">
        <f t="shared" si="28"/>
        <v>0</v>
      </c>
      <c r="G32" s="27">
        <v>0</v>
      </c>
      <c r="H32" s="27">
        <f t="shared" si="29"/>
        <v>0</v>
      </c>
      <c r="I32" s="27">
        <v>0</v>
      </c>
      <c r="J32" s="27">
        <f t="shared" si="0"/>
        <v>0</v>
      </c>
      <c r="K32" s="27">
        <v>0</v>
      </c>
      <c r="L32" s="27">
        <f t="shared" si="0"/>
        <v>0</v>
      </c>
      <c r="M32" s="27">
        <v>0</v>
      </c>
      <c r="N32" s="27">
        <f t="shared" ref="N32:P32" si="179">M32*$D32/1000</f>
        <v>0</v>
      </c>
      <c r="O32" s="27">
        <v>0</v>
      </c>
      <c r="P32" s="27">
        <f t="shared" si="179"/>
        <v>0</v>
      </c>
      <c r="Q32" s="27">
        <v>0</v>
      </c>
      <c r="R32" s="27">
        <f t="shared" ref="R32:T32" si="180">Q32*$D32/1000</f>
        <v>0</v>
      </c>
      <c r="S32" s="27">
        <v>0</v>
      </c>
      <c r="T32" s="27">
        <f t="shared" si="180"/>
        <v>0</v>
      </c>
      <c r="U32" s="27">
        <v>0</v>
      </c>
      <c r="V32" s="27">
        <f t="shared" ref="V32:X32" si="181">U32*$D32/1000</f>
        <v>0</v>
      </c>
      <c r="W32" s="27">
        <v>0</v>
      </c>
      <c r="X32" s="27">
        <f t="shared" si="181"/>
        <v>0</v>
      </c>
      <c r="Y32" s="27">
        <v>0</v>
      </c>
      <c r="Z32" s="27">
        <f t="shared" ref="Z32:AB32" si="182">Y32*$D32/1000</f>
        <v>0</v>
      </c>
      <c r="AA32" s="27">
        <v>0</v>
      </c>
      <c r="AB32" s="27">
        <f t="shared" si="182"/>
        <v>0</v>
      </c>
      <c r="AC32" s="27">
        <v>0</v>
      </c>
      <c r="AD32" s="27">
        <f t="shared" ref="AD32" si="183">AC32*$D32/1000</f>
        <v>0</v>
      </c>
      <c r="AE32" s="27">
        <f>4*1.03</f>
        <v>4.12</v>
      </c>
      <c r="AF32" s="27">
        <f>AE32*$D32</f>
        <v>4.2848000000000006</v>
      </c>
      <c r="AG32" s="27">
        <v>0</v>
      </c>
      <c r="AH32" s="27">
        <f>AG32*$D32</f>
        <v>0</v>
      </c>
      <c r="AI32" s="27">
        <v>0</v>
      </c>
      <c r="AJ32" s="27">
        <f>AI32*$D32</f>
        <v>0</v>
      </c>
      <c r="AK32" s="27">
        <v>0</v>
      </c>
      <c r="AL32" s="27">
        <f>AK32*$D32</f>
        <v>0</v>
      </c>
      <c r="AM32" s="27">
        <v>0</v>
      </c>
      <c r="AN32" s="27">
        <f>AM32*$D32</f>
        <v>0</v>
      </c>
    </row>
    <row r="33" spans="1:42" x14ac:dyDescent="0.2">
      <c r="A33" s="8">
        <f t="shared" si="18"/>
        <v>26</v>
      </c>
      <c r="B33" s="9" t="s">
        <v>41</v>
      </c>
      <c r="C33" s="8" t="s">
        <v>12</v>
      </c>
      <c r="D33" s="8">
        <v>110</v>
      </c>
      <c r="E33" s="27">
        <v>0</v>
      </c>
      <c r="F33" s="27">
        <f t="shared" si="28"/>
        <v>0</v>
      </c>
      <c r="G33" s="27">
        <v>0</v>
      </c>
      <c r="H33" s="27">
        <f t="shared" si="29"/>
        <v>0</v>
      </c>
      <c r="I33" s="27">
        <v>0</v>
      </c>
      <c r="J33" s="27">
        <f t="shared" si="0"/>
        <v>0</v>
      </c>
      <c r="K33" s="27">
        <v>0</v>
      </c>
      <c r="L33" s="27">
        <f t="shared" si="0"/>
        <v>0</v>
      </c>
      <c r="M33" s="27">
        <v>0</v>
      </c>
      <c r="N33" s="27">
        <f t="shared" ref="N33:P33" si="184">M33*$D33/1000</f>
        <v>0</v>
      </c>
      <c r="O33" s="27">
        <v>0</v>
      </c>
      <c r="P33" s="27">
        <f t="shared" si="184"/>
        <v>0</v>
      </c>
      <c r="Q33" s="27">
        <v>0</v>
      </c>
      <c r="R33" s="27">
        <f t="shared" ref="R33:T33" si="185">Q33*$D33/1000</f>
        <v>0</v>
      </c>
      <c r="S33" s="27">
        <v>0</v>
      </c>
      <c r="T33" s="27">
        <f t="shared" si="185"/>
        <v>0</v>
      </c>
      <c r="U33" s="27">
        <v>0</v>
      </c>
      <c r="V33" s="27">
        <f t="shared" ref="V33:X33" si="186">U33*$D33/1000</f>
        <v>0</v>
      </c>
      <c r="W33" s="27">
        <v>0</v>
      </c>
      <c r="X33" s="27">
        <f t="shared" si="186"/>
        <v>0</v>
      </c>
      <c r="Y33" s="27">
        <v>0</v>
      </c>
      <c r="Z33" s="27">
        <f t="shared" ref="Z33:AB33" si="187">Y33*$D33/1000</f>
        <v>0</v>
      </c>
      <c r="AA33" s="27">
        <v>0</v>
      </c>
      <c r="AB33" s="27">
        <f t="shared" si="187"/>
        <v>0</v>
      </c>
      <c r="AC33" s="27">
        <v>0</v>
      </c>
      <c r="AD33" s="27">
        <f t="shared" ref="AD33:AF33" si="188">AC33*$D33/1000</f>
        <v>0</v>
      </c>
      <c r="AE33" s="27">
        <f>10*1.03</f>
        <v>10.3</v>
      </c>
      <c r="AF33" s="27">
        <f t="shared" si="188"/>
        <v>1.133</v>
      </c>
      <c r="AG33" s="27">
        <v>0</v>
      </c>
      <c r="AH33" s="27">
        <f t="shared" ref="AH33:AJ33" si="189">AG33*$D33/1000</f>
        <v>0</v>
      </c>
      <c r="AI33" s="27">
        <v>0</v>
      </c>
      <c r="AJ33" s="27">
        <f t="shared" si="189"/>
        <v>0</v>
      </c>
      <c r="AK33" s="27">
        <v>0</v>
      </c>
      <c r="AL33" s="27">
        <f t="shared" ref="AL33" si="190">AK33*$D33/1000</f>
        <v>0</v>
      </c>
      <c r="AM33" s="27">
        <v>0</v>
      </c>
      <c r="AN33" s="27">
        <f t="shared" ref="AN33" si="191">AM33*$D33/1000</f>
        <v>0</v>
      </c>
    </row>
    <row r="34" spans="1:42" x14ac:dyDescent="0.2">
      <c r="A34" s="8">
        <f t="shared" si="18"/>
        <v>27</v>
      </c>
      <c r="B34" s="9" t="s">
        <v>42</v>
      </c>
      <c r="C34" s="8" t="s">
        <v>12</v>
      </c>
      <c r="D34" s="8">
        <v>100</v>
      </c>
      <c r="E34" s="27">
        <v>0</v>
      </c>
      <c r="F34" s="27">
        <f t="shared" si="28"/>
        <v>0</v>
      </c>
      <c r="G34" s="27">
        <v>0</v>
      </c>
      <c r="H34" s="27">
        <f t="shared" si="29"/>
        <v>0</v>
      </c>
      <c r="I34" s="27">
        <v>0</v>
      </c>
      <c r="J34" s="27">
        <f t="shared" si="0"/>
        <v>0</v>
      </c>
      <c r="K34" s="27">
        <v>0</v>
      </c>
      <c r="L34" s="27">
        <f t="shared" si="0"/>
        <v>0</v>
      </c>
      <c r="M34" s="27">
        <v>0</v>
      </c>
      <c r="N34" s="27">
        <f t="shared" ref="N34:P34" si="192">M34*$D34/1000</f>
        <v>0</v>
      </c>
      <c r="O34" s="27">
        <v>0</v>
      </c>
      <c r="P34" s="27">
        <f t="shared" si="192"/>
        <v>0</v>
      </c>
      <c r="Q34" s="27">
        <v>0</v>
      </c>
      <c r="R34" s="27">
        <f t="shared" ref="R34:T34" si="193">Q34*$D34/1000</f>
        <v>0</v>
      </c>
      <c r="S34" s="27">
        <v>0</v>
      </c>
      <c r="T34" s="27">
        <f t="shared" si="193"/>
        <v>0</v>
      </c>
      <c r="U34" s="27">
        <v>0</v>
      </c>
      <c r="V34" s="27">
        <f t="shared" ref="V34:X34" si="194">U34*$D34/1000</f>
        <v>0</v>
      </c>
      <c r="W34" s="27">
        <v>0</v>
      </c>
      <c r="X34" s="27">
        <f t="shared" si="194"/>
        <v>0</v>
      </c>
      <c r="Y34" s="27">
        <v>0</v>
      </c>
      <c r="Z34" s="27">
        <f t="shared" ref="Z34:AB34" si="195">Y34*$D34/1000</f>
        <v>0</v>
      </c>
      <c r="AA34" s="27">
        <v>0</v>
      </c>
      <c r="AB34" s="27">
        <f t="shared" si="195"/>
        <v>0</v>
      </c>
      <c r="AC34" s="27">
        <v>0</v>
      </c>
      <c r="AD34" s="27">
        <f t="shared" ref="AD34:AF34" si="196">AC34*$D34/1000</f>
        <v>0</v>
      </c>
      <c r="AE34" s="27">
        <v>0</v>
      </c>
      <c r="AF34" s="27">
        <f t="shared" si="196"/>
        <v>0</v>
      </c>
      <c r="AG34" s="27">
        <f>25*1.03</f>
        <v>25.75</v>
      </c>
      <c r="AH34" s="27">
        <f t="shared" ref="AH34:AJ34" si="197">AG34*$D34/1000</f>
        <v>2.5750000000000002</v>
      </c>
      <c r="AI34" s="27">
        <v>0</v>
      </c>
      <c r="AJ34" s="27">
        <f t="shared" si="197"/>
        <v>0</v>
      </c>
      <c r="AK34" s="27">
        <v>0</v>
      </c>
      <c r="AL34" s="27">
        <f t="shared" ref="AL34" si="198">AK34*$D34/1000</f>
        <v>0</v>
      </c>
      <c r="AM34" s="27">
        <v>0</v>
      </c>
      <c r="AN34" s="27">
        <f t="shared" ref="AN34" si="199">AM34*$D34/1000</f>
        <v>0</v>
      </c>
    </row>
    <row r="35" spans="1:42" x14ac:dyDescent="0.2">
      <c r="A35" s="8">
        <f t="shared" si="18"/>
        <v>28</v>
      </c>
      <c r="B35" s="28" t="s">
        <v>43</v>
      </c>
      <c r="C35" s="8" t="s">
        <v>37</v>
      </c>
      <c r="D35" s="8">
        <v>1.04</v>
      </c>
      <c r="E35" s="27">
        <v>0</v>
      </c>
      <c r="F35" s="27">
        <f t="shared" si="28"/>
        <v>0</v>
      </c>
      <c r="G35" s="27">
        <v>0</v>
      </c>
      <c r="H35" s="27">
        <f t="shared" si="29"/>
        <v>0</v>
      </c>
      <c r="I35" s="27">
        <v>0</v>
      </c>
      <c r="J35" s="27">
        <f t="shared" si="0"/>
        <v>0</v>
      </c>
      <c r="K35" s="27">
        <v>0</v>
      </c>
      <c r="L35" s="27">
        <f t="shared" si="0"/>
        <v>0</v>
      </c>
      <c r="M35" s="27">
        <v>0</v>
      </c>
      <c r="N35" s="27">
        <f t="shared" ref="N35:P35" si="200">M35*$D35/1000</f>
        <v>0</v>
      </c>
      <c r="O35" s="27">
        <v>0</v>
      </c>
      <c r="P35" s="27">
        <f t="shared" si="200"/>
        <v>0</v>
      </c>
      <c r="Q35" s="27">
        <v>0</v>
      </c>
      <c r="R35" s="27">
        <f t="shared" ref="R35:T35" si="201">Q35*$D35/1000</f>
        <v>0</v>
      </c>
      <c r="S35" s="27">
        <v>0</v>
      </c>
      <c r="T35" s="27">
        <f t="shared" si="201"/>
        <v>0</v>
      </c>
      <c r="U35" s="27">
        <v>0</v>
      </c>
      <c r="V35" s="27">
        <f t="shared" ref="V35:X35" si="202">U35*$D35/1000</f>
        <v>0</v>
      </c>
      <c r="W35" s="27">
        <v>0</v>
      </c>
      <c r="X35" s="27">
        <f t="shared" si="202"/>
        <v>0</v>
      </c>
      <c r="Y35" s="27">
        <v>0</v>
      </c>
      <c r="Z35" s="27">
        <f t="shared" ref="Z35:AB35" si="203">Y35*$D35/1000</f>
        <v>0</v>
      </c>
      <c r="AA35" s="27">
        <v>0</v>
      </c>
      <c r="AB35" s="27">
        <f t="shared" si="203"/>
        <v>0</v>
      </c>
      <c r="AC35" s="27">
        <v>0</v>
      </c>
      <c r="AD35" s="27">
        <f t="shared" ref="AD35:AF35" si="204">AC35*$D35/1000</f>
        <v>0</v>
      </c>
      <c r="AE35" s="27">
        <v>0</v>
      </c>
      <c r="AF35" s="27">
        <f t="shared" si="204"/>
        <v>0</v>
      </c>
      <c r="AG35" s="27">
        <f>4*1.03</f>
        <v>4.12</v>
      </c>
      <c r="AH35" s="27">
        <f>AG35*$D35</f>
        <v>4.2848000000000006</v>
      </c>
      <c r="AI35" s="27">
        <v>0</v>
      </c>
      <c r="AJ35" s="27">
        <f>AI35*$D35</f>
        <v>0</v>
      </c>
      <c r="AK35" s="27">
        <v>0</v>
      </c>
      <c r="AL35" s="27">
        <f>AK35*$D35</f>
        <v>0</v>
      </c>
      <c r="AM35" s="27">
        <v>0</v>
      </c>
      <c r="AN35" s="27">
        <f>AM35*$D35</f>
        <v>0</v>
      </c>
    </row>
    <row r="36" spans="1:42" x14ac:dyDescent="0.2">
      <c r="A36" s="8">
        <f t="shared" si="18"/>
        <v>29</v>
      </c>
      <c r="B36" s="28" t="s">
        <v>44</v>
      </c>
      <c r="C36" s="8" t="s">
        <v>37</v>
      </c>
      <c r="D36" s="8">
        <v>1.72</v>
      </c>
      <c r="E36" s="27">
        <v>0</v>
      </c>
      <c r="F36" s="27">
        <f t="shared" si="28"/>
        <v>0</v>
      </c>
      <c r="G36" s="27">
        <v>0</v>
      </c>
      <c r="H36" s="27">
        <f t="shared" si="29"/>
        <v>0</v>
      </c>
      <c r="I36" s="27">
        <v>0</v>
      </c>
      <c r="J36" s="27">
        <f t="shared" si="0"/>
        <v>0</v>
      </c>
      <c r="K36" s="27">
        <v>0</v>
      </c>
      <c r="L36" s="27">
        <f t="shared" si="0"/>
        <v>0</v>
      </c>
      <c r="M36" s="27">
        <v>0</v>
      </c>
      <c r="N36" s="27">
        <f t="shared" ref="N36:P36" si="205">M36*$D36/1000</f>
        <v>0</v>
      </c>
      <c r="O36" s="27">
        <v>0</v>
      </c>
      <c r="P36" s="27">
        <f t="shared" si="205"/>
        <v>0</v>
      </c>
      <c r="Q36" s="27">
        <v>0</v>
      </c>
      <c r="R36" s="27">
        <f t="shared" ref="R36:T36" si="206">Q36*$D36/1000</f>
        <v>0</v>
      </c>
      <c r="S36" s="27">
        <v>0</v>
      </c>
      <c r="T36" s="27">
        <f t="shared" si="206"/>
        <v>0</v>
      </c>
      <c r="U36" s="27">
        <v>0</v>
      </c>
      <c r="V36" s="27">
        <f t="shared" ref="V36:X36" si="207">U36*$D36/1000</f>
        <v>0</v>
      </c>
      <c r="W36" s="27">
        <v>0</v>
      </c>
      <c r="X36" s="27">
        <f t="shared" si="207"/>
        <v>0</v>
      </c>
      <c r="Y36" s="27">
        <v>0</v>
      </c>
      <c r="Z36" s="27">
        <f t="shared" ref="Z36:AB36" si="208">Y36*$D36/1000</f>
        <v>0</v>
      </c>
      <c r="AA36" s="27">
        <v>0</v>
      </c>
      <c r="AB36" s="27">
        <f t="shared" si="208"/>
        <v>0</v>
      </c>
      <c r="AC36" s="27">
        <v>0</v>
      </c>
      <c r="AD36" s="27">
        <f t="shared" ref="AD36:AF36" si="209">AC36*$D36/1000</f>
        <v>0</v>
      </c>
      <c r="AE36" s="27">
        <v>0</v>
      </c>
      <c r="AF36" s="27">
        <f t="shared" si="209"/>
        <v>0</v>
      </c>
      <c r="AG36" s="27">
        <v>0</v>
      </c>
      <c r="AH36" s="27">
        <f t="shared" ref="AH36" si="210">AG36*$D36/1000</f>
        <v>0</v>
      </c>
      <c r="AI36" s="27">
        <f>4*1.03</f>
        <v>4.12</v>
      </c>
      <c r="AJ36" s="27">
        <f>AI36*$D36</f>
        <v>7.0864000000000003</v>
      </c>
      <c r="AK36" s="27">
        <v>0</v>
      </c>
      <c r="AL36" s="27">
        <f>AK36*$D36</f>
        <v>0</v>
      </c>
      <c r="AM36" s="27">
        <v>0</v>
      </c>
      <c r="AN36" s="27">
        <f>AM36*$D36</f>
        <v>0</v>
      </c>
    </row>
    <row r="37" spans="1:42" x14ac:dyDescent="0.2">
      <c r="A37" s="8">
        <f t="shared" si="18"/>
        <v>30</v>
      </c>
      <c r="B37" s="9" t="s">
        <v>38</v>
      </c>
      <c r="C37" s="8" t="s">
        <v>14</v>
      </c>
      <c r="D37" s="8">
        <v>0.3</v>
      </c>
      <c r="E37" s="27">
        <v>0</v>
      </c>
      <c r="F37" s="27">
        <f t="shared" si="28"/>
        <v>0</v>
      </c>
      <c r="G37" s="27">
        <v>0</v>
      </c>
      <c r="H37" s="27">
        <f t="shared" si="29"/>
        <v>0</v>
      </c>
      <c r="I37" s="27">
        <v>0</v>
      </c>
      <c r="J37" s="27">
        <f t="shared" si="0"/>
        <v>0</v>
      </c>
      <c r="K37" s="27">
        <v>0</v>
      </c>
      <c r="L37" s="27">
        <f t="shared" si="0"/>
        <v>0</v>
      </c>
      <c r="M37" s="27">
        <v>0</v>
      </c>
      <c r="N37" s="27">
        <f t="shared" ref="N37:P37" si="211">M37*$D37/1000</f>
        <v>0</v>
      </c>
      <c r="O37" s="27">
        <v>0</v>
      </c>
      <c r="P37" s="27">
        <f t="shared" si="211"/>
        <v>0</v>
      </c>
      <c r="Q37" s="27">
        <v>0</v>
      </c>
      <c r="R37" s="27">
        <f t="shared" ref="R37:T37" si="212">Q37*$D37/1000</f>
        <v>0</v>
      </c>
      <c r="S37" s="27">
        <v>0</v>
      </c>
      <c r="T37" s="27">
        <f t="shared" si="212"/>
        <v>0</v>
      </c>
      <c r="U37" s="27">
        <v>0</v>
      </c>
      <c r="V37" s="27">
        <f t="shared" ref="V37:X37" si="213">U37*$D37/1000</f>
        <v>0</v>
      </c>
      <c r="W37" s="27">
        <v>0</v>
      </c>
      <c r="X37" s="27">
        <f t="shared" si="213"/>
        <v>0</v>
      </c>
      <c r="Y37" s="27">
        <v>0</v>
      </c>
      <c r="Z37" s="27">
        <f t="shared" ref="Z37:AB37" si="214">Y37*$D37/1000</f>
        <v>0</v>
      </c>
      <c r="AA37" s="27">
        <v>0</v>
      </c>
      <c r="AB37" s="27">
        <f t="shared" si="214"/>
        <v>0</v>
      </c>
      <c r="AC37" s="27">
        <v>1</v>
      </c>
      <c r="AD37" s="27">
        <f>$D37*AC37</f>
        <v>0.3</v>
      </c>
      <c r="AE37" s="27">
        <v>1</v>
      </c>
      <c r="AF37" s="27">
        <f>$D37*AE37</f>
        <v>0.3</v>
      </c>
      <c r="AG37" s="27">
        <v>1</v>
      </c>
      <c r="AH37" s="27">
        <f>$D37*AG37</f>
        <v>0.3</v>
      </c>
      <c r="AI37" s="27">
        <v>1</v>
      </c>
      <c r="AJ37" s="27">
        <f>$D37*AI37</f>
        <v>0.3</v>
      </c>
      <c r="AK37" s="27">
        <v>0</v>
      </c>
      <c r="AL37" s="27">
        <f>$D37*AK37</f>
        <v>0</v>
      </c>
      <c r="AM37" s="27">
        <v>0</v>
      </c>
      <c r="AN37" s="27">
        <f>$D37*AM37</f>
        <v>0</v>
      </c>
    </row>
    <row r="38" spans="1:42" x14ac:dyDescent="0.2">
      <c r="A38" s="8">
        <f t="shared" si="18"/>
        <v>31</v>
      </c>
      <c r="B38" s="9" t="s">
        <v>45</v>
      </c>
      <c r="C38" s="8" t="s">
        <v>14</v>
      </c>
      <c r="D38" s="8">
        <v>4.5999999999999996</v>
      </c>
      <c r="E38" s="27">
        <v>1</v>
      </c>
      <c r="F38" s="27">
        <f>$D38*E38</f>
        <v>4.5999999999999996</v>
      </c>
      <c r="G38" s="27">
        <v>1</v>
      </c>
      <c r="H38" s="27">
        <f>$D38*G38</f>
        <v>4.5999999999999996</v>
      </c>
      <c r="I38" s="27">
        <v>1</v>
      </c>
      <c r="J38" s="27">
        <f>$D38*I38</f>
        <v>4.5999999999999996</v>
      </c>
      <c r="K38" s="27">
        <v>1</v>
      </c>
      <c r="L38" s="27">
        <f>$D38*K38</f>
        <v>4.5999999999999996</v>
      </c>
      <c r="M38" s="27">
        <v>1</v>
      </c>
      <c r="N38" s="27">
        <f>$D38*M38</f>
        <v>4.5999999999999996</v>
      </c>
      <c r="O38" s="27">
        <v>1</v>
      </c>
      <c r="P38" s="27">
        <f>$D38*O38</f>
        <v>4.5999999999999996</v>
      </c>
      <c r="Q38" s="27">
        <v>1</v>
      </c>
      <c r="R38" s="27">
        <f>$D38*Q38</f>
        <v>4.5999999999999996</v>
      </c>
      <c r="S38" s="27">
        <v>1</v>
      </c>
      <c r="T38" s="27">
        <f>$D38*S38</f>
        <v>4.5999999999999996</v>
      </c>
      <c r="U38" s="27">
        <v>1</v>
      </c>
      <c r="V38" s="27">
        <f>$D38*U38</f>
        <v>4.5999999999999996</v>
      </c>
      <c r="W38" s="27">
        <v>1</v>
      </c>
      <c r="X38" s="27">
        <f>$D38*W38</f>
        <v>4.5999999999999996</v>
      </c>
      <c r="Y38" s="27">
        <v>1</v>
      </c>
      <c r="Z38" s="27">
        <f>$D38*Y38</f>
        <v>4.5999999999999996</v>
      </c>
      <c r="AA38" s="27">
        <v>1</v>
      </c>
      <c r="AB38" s="27">
        <f>$D38*AA38</f>
        <v>4.5999999999999996</v>
      </c>
      <c r="AC38" s="27">
        <v>1</v>
      </c>
      <c r="AD38" s="27">
        <f>$D38*AC38</f>
        <v>4.5999999999999996</v>
      </c>
      <c r="AE38" s="27">
        <v>1</v>
      </c>
      <c r="AF38" s="27">
        <f>$D38*AE38</f>
        <v>4.5999999999999996</v>
      </c>
      <c r="AG38" s="27">
        <v>1</v>
      </c>
      <c r="AH38" s="27">
        <f>$D38*AG38</f>
        <v>4.5999999999999996</v>
      </c>
      <c r="AI38" s="27">
        <v>1</v>
      </c>
      <c r="AJ38" s="27">
        <f>$D38*AI38</f>
        <v>4.5999999999999996</v>
      </c>
      <c r="AK38" s="27">
        <v>1</v>
      </c>
      <c r="AL38" s="27">
        <f>$D38*AK38</f>
        <v>4.5999999999999996</v>
      </c>
      <c r="AM38" s="27">
        <v>1</v>
      </c>
      <c r="AN38" s="27">
        <f>$D38*AM38</f>
        <v>4.5999999999999996</v>
      </c>
    </row>
    <row r="39" spans="1:42" ht="10.8" thickBot="1" x14ac:dyDescent="0.25">
      <c r="A39" s="29">
        <f t="shared" si="18"/>
        <v>32</v>
      </c>
      <c r="B39" s="30" t="s">
        <v>15</v>
      </c>
      <c r="C39" s="29" t="s">
        <v>14</v>
      </c>
      <c r="D39" s="29">
        <v>0.7</v>
      </c>
      <c r="E39" s="31">
        <v>1</v>
      </c>
      <c r="F39" s="31">
        <f>$D39*E39</f>
        <v>0.7</v>
      </c>
      <c r="G39" s="31">
        <v>1</v>
      </c>
      <c r="H39" s="31">
        <f>$D39*G39</f>
        <v>0.7</v>
      </c>
      <c r="I39" s="31">
        <v>1</v>
      </c>
      <c r="J39" s="31">
        <f>$D39*I39</f>
        <v>0.7</v>
      </c>
      <c r="K39" s="31">
        <v>1</v>
      </c>
      <c r="L39" s="31">
        <f>$D39*K39</f>
        <v>0.7</v>
      </c>
      <c r="M39" s="31">
        <v>1</v>
      </c>
      <c r="N39" s="31">
        <f>$D39*M39</f>
        <v>0.7</v>
      </c>
      <c r="O39" s="31">
        <v>1</v>
      </c>
      <c r="P39" s="31">
        <f>$D39*O39</f>
        <v>0.7</v>
      </c>
      <c r="Q39" s="31">
        <v>1</v>
      </c>
      <c r="R39" s="31">
        <f>$D39*Q39</f>
        <v>0.7</v>
      </c>
      <c r="S39" s="31">
        <v>1</v>
      </c>
      <c r="T39" s="31">
        <f>$D39*S39</f>
        <v>0.7</v>
      </c>
      <c r="U39" s="31">
        <v>1</v>
      </c>
      <c r="V39" s="31">
        <f>$D39*U39</f>
        <v>0.7</v>
      </c>
      <c r="W39" s="31">
        <v>1</v>
      </c>
      <c r="X39" s="31">
        <f>$D39*W39</f>
        <v>0.7</v>
      </c>
      <c r="Y39" s="31">
        <v>1</v>
      </c>
      <c r="Z39" s="31">
        <f>$D39*Y39</f>
        <v>0.7</v>
      </c>
      <c r="AA39" s="31">
        <v>1</v>
      </c>
      <c r="AB39" s="31">
        <f>$D39*AA39</f>
        <v>0.7</v>
      </c>
      <c r="AC39" s="31">
        <v>0</v>
      </c>
      <c r="AD39" s="31">
        <f>$D39*AC39</f>
        <v>0</v>
      </c>
      <c r="AE39" s="31">
        <v>0</v>
      </c>
      <c r="AF39" s="31">
        <f>$D39*AE39</f>
        <v>0</v>
      </c>
      <c r="AG39" s="31">
        <v>0</v>
      </c>
      <c r="AH39" s="31">
        <f>$D39*AG39</f>
        <v>0</v>
      </c>
      <c r="AI39" s="31">
        <v>0</v>
      </c>
      <c r="AJ39" s="31">
        <f>$D39*AI39</f>
        <v>0</v>
      </c>
      <c r="AK39" s="31">
        <v>1</v>
      </c>
      <c r="AL39" s="31">
        <f>$D39*AK39</f>
        <v>0.7</v>
      </c>
      <c r="AM39" s="31">
        <v>1</v>
      </c>
      <c r="AN39" s="31">
        <f>$D39*AM39</f>
        <v>0.7</v>
      </c>
    </row>
    <row r="40" spans="1:42" ht="10.8" thickTop="1" x14ac:dyDescent="0.2">
      <c r="E40" s="19"/>
      <c r="F40" s="19"/>
      <c r="G40" s="19"/>
      <c r="H40" s="19"/>
      <c r="I40" s="19"/>
      <c r="J40" s="19"/>
    </row>
    <row r="41" spans="1:42" x14ac:dyDescent="0.2">
      <c r="F41" s="12" t="s">
        <v>0</v>
      </c>
      <c r="G41" s="12"/>
      <c r="H41" s="12" t="s">
        <v>1</v>
      </c>
      <c r="I41" s="12"/>
      <c r="J41" s="12" t="s">
        <v>2</v>
      </c>
      <c r="L41" s="1" t="s">
        <v>3</v>
      </c>
      <c r="N41" s="1" t="s">
        <v>4</v>
      </c>
      <c r="P41" s="1" t="s">
        <v>5</v>
      </c>
      <c r="R41" s="1" t="s">
        <v>6</v>
      </c>
      <c r="T41" s="1" t="s">
        <v>7</v>
      </c>
      <c r="V41" s="1" t="s">
        <v>8</v>
      </c>
      <c r="X41" s="1" t="s">
        <v>57</v>
      </c>
      <c r="Z41" s="1" t="s">
        <v>58</v>
      </c>
      <c r="AB41" s="1" t="s">
        <v>59</v>
      </c>
      <c r="AD41" s="1" t="s">
        <v>60</v>
      </c>
      <c r="AF41" s="1" t="s">
        <v>61</v>
      </c>
      <c r="AH41" s="1" t="s">
        <v>62</v>
      </c>
      <c r="AJ41" s="1" t="s">
        <v>63</v>
      </c>
      <c r="AL41" s="1" t="s">
        <v>68</v>
      </c>
      <c r="AN41" s="1" t="s">
        <v>69</v>
      </c>
    </row>
    <row r="42" spans="1:42" x14ac:dyDescent="0.2">
      <c r="D42" s="23" t="s">
        <v>50</v>
      </c>
      <c r="F42" s="7">
        <v>12</v>
      </c>
      <c r="H42" s="7">
        <v>16</v>
      </c>
      <c r="I42" s="7"/>
      <c r="J42" s="7">
        <v>36</v>
      </c>
      <c r="L42" s="7">
        <v>16</v>
      </c>
      <c r="N42" s="7">
        <v>9</v>
      </c>
      <c r="P42" s="7">
        <v>9</v>
      </c>
      <c r="R42" s="7">
        <v>11</v>
      </c>
      <c r="T42" s="7">
        <v>16</v>
      </c>
      <c r="V42" s="7">
        <v>9</v>
      </c>
      <c r="X42" s="7">
        <v>6</v>
      </c>
      <c r="Z42" s="7">
        <v>9</v>
      </c>
      <c r="AB42" s="7">
        <v>16</v>
      </c>
      <c r="AD42" s="7">
        <v>1</v>
      </c>
      <c r="AF42" s="7">
        <v>1</v>
      </c>
      <c r="AH42" s="7">
        <v>1</v>
      </c>
      <c r="AJ42" s="7">
        <v>1</v>
      </c>
      <c r="AL42" s="1">
        <v>17</v>
      </c>
      <c r="AN42" s="1">
        <v>17</v>
      </c>
    </row>
    <row r="43" spans="1:42" x14ac:dyDescent="0.2">
      <c r="D43" s="23" t="s">
        <v>55</v>
      </c>
      <c r="F43" s="7">
        <f>SUM(F8:F36)</f>
        <v>3.0539500000000004</v>
      </c>
      <c r="G43" s="7"/>
      <c r="H43" s="7">
        <f>SUM(H8:H36)</f>
        <v>2.2067749999999999</v>
      </c>
      <c r="I43" s="7"/>
      <c r="J43" s="7">
        <f>SUM(J8:J36)</f>
        <v>1.5006527777777778</v>
      </c>
      <c r="L43" s="7">
        <f>SUM(L8:L36)</f>
        <v>1.1565355000000002</v>
      </c>
      <c r="N43" s="7">
        <f>SUM(N8:N36)</f>
        <v>1.6274</v>
      </c>
      <c r="P43" s="7">
        <f>SUM(P8:P36)</f>
        <v>3.0282</v>
      </c>
      <c r="R43" s="7">
        <f>SUM(R8:R36)</f>
        <v>3.5123000000000002</v>
      </c>
      <c r="T43" s="7">
        <f>SUM(T8:T36)</f>
        <v>2.3060155</v>
      </c>
      <c r="V43" s="7">
        <f>SUM(V8:V36)</f>
        <v>3.1640570000000001</v>
      </c>
      <c r="X43" s="7">
        <f>SUM(X8:X36)</f>
        <v>3.9552000000000005</v>
      </c>
      <c r="Z43" s="7">
        <f>SUM(Z8:Z36)</f>
        <v>3.22905</v>
      </c>
      <c r="AB43" s="7">
        <f>SUM(AB8:AB36)</f>
        <v>3.0693999999999999</v>
      </c>
      <c r="AD43" s="7">
        <f>SUM(AD8:AD36)</f>
        <v>31.888800000000003</v>
      </c>
      <c r="AF43" s="7">
        <f>SUM(AF8:AF36)</f>
        <v>23.957799999999999</v>
      </c>
      <c r="AH43" s="7">
        <f>SUM(AH8:AH36)</f>
        <v>25.9663</v>
      </c>
      <c r="AJ43" s="7">
        <f>SUM(AJ8:AJ36)</f>
        <v>30.467400000000005</v>
      </c>
      <c r="AL43" s="7">
        <f>(8*T43+6*J43+3*P43)/AL42</f>
        <v>2.1492141568627452</v>
      </c>
      <c r="AN43" s="7">
        <f>(4*T43+4*AB43+6*J43+3*P43)/AN42</f>
        <v>2.3288340392156863</v>
      </c>
    </row>
    <row r="44" spans="1:42" x14ac:dyDescent="0.2">
      <c r="D44" s="23" t="s">
        <v>56</v>
      </c>
      <c r="F44" s="7">
        <f>SUM(F37:F39)</f>
        <v>5.3</v>
      </c>
      <c r="G44" s="7"/>
      <c r="H44" s="7">
        <f>SUM(H37:H39)</f>
        <v>5.3</v>
      </c>
      <c r="I44" s="7"/>
      <c r="J44" s="7">
        <f>SUM(J37:J39)</f>
        <v>5.3</v>
      </c>
      <c r="L44" s="7">
        <f>SUM(L37:L39)</f>
        <v>5.3</v>
      </c>
      <c r="N44" s="7">
        <f>SUM(N37:N39)</f>
        <v>5.3</v>
      </c>
      <c r="P44" s="7">
        <f>SUM(P37:P39)</f>
        <v>5.3</v>
      </c>
      <c r="R44" s="7">
        <f>SUM(R37:R39)</f>
        <v>5.3</v>
      </c>
      <c r="T44" s="7">
        <f>SUM(T37:T39)</f>
        <v>5.3</v>
      </c>
      <c r="V44" s="7">
        <f>SUM(V37:V39)</f>
        <v>5.3</v>
      </c>
      <c r="X44" s="7">
        <f>SUM(X37:X39)</f>
        <v>5.3</v>
      </c>
      <c r="Z44" s="7">
        <f>SUM(Z37:Z39)</f>
        <v>5.3</v>
      </c>
      <c r="AB44" s="7">
        <f>SUM(AB37:AB39)</f>
        <v>5.3</v>
      </c>
      <c r="AD44" s="7">
        <f>SUM(AD37:AD39)</f>
        <v>4.8999999999999995</v>
      </c>
      <c r="AF44" s="7">
        <f>SUM(AF37:AF39)</f>
        <v>4.8999999999999995</v>
      </c>
      <c r="AH44" s="7">
        <f>SUM(AH37:AH39)</f>
        <v>4.8999999999999995</v>
      </c>
      <c r="AJ44" s="7">
        <f>SUM(AJ37:AJ39)</f>
        <v>4.8999999999999995</v>
      </c>
      <c r="AK44" s="7"/>
      <c r="AL44" s="7">
        <f t="shared" ref="AL44:AN44" si="215">SUM(AL37:AL39)</f>
        <v>5.3</v>
      </c>
      <c r="AM44" s="7"/>
      <c r="AN44" s="7">
        <f t="shared" si="215"/>
        <v>5.3</v>
      </c>
    </row>
    <row r="45" spans="1:42" x14ac:dyDescent="0.2">
      <c r="D45" s="23" t="s">
        <v>51</v>
      </c>
      <c r="F45" s="7">
        <f>F42*F43+F44</f>
        <v>41.947400000000002</v>
      </c>
      <c r="G45" s="7"/>
      <c r="H45" s="7">
        <f t="shared" ref="H45:AJ45" si="216">H42*H43+H44</f>
        <v>40.608399999999996</v>
      </c>
      <c r="I45" s="7"/>
      <c r="J45" s="7">
        <f t="shared" si="216"/>
        <v>59.323499999999996</v>
      </c>
      <c r="L45" s="7">
        <f t="shared" si="216"/>
        <v>23.804568000000003</v>
      </c>
      <c r="N45" s="7">
        <f t="shared" si="216"/>
        <v>19.9466</v>
      </c>
      <c r="P45" s="7">
        <f t="shared" si="216"/>
        <v>32.553799999999995</v>
      </c>
      <c r="R45" s="7">
        <f t="shared" si="216"/>
        <v>43.935299999999998</v>
      </c>
      <c r="T45" s="7">
        <f t="shared" si="216"/>
        <v>42.196247999999997</v>
      </c>
      <c r="V45" s="7">
        <f t="shared" si="216"/>
        <v>33.776513000000001</v>
      </c>
      <c r="X45" s="7">
        <f t="shared" si="216"/>
        <v>29.031200000000002</v>
      </c>
      <c r="Z45" s="7">
        <f t="shared" si="216"/>
        <v>34.361449999999998</v>
      </c>
      <c r="AB45" s="7">
        <f t="shared" si="216"/>
        <v>54.410399999999996</v>
      </c>
      <c r="AD45" s="7">
        <f t="shared" si="216"/>
        <v>36.788800000000002</v>
      </c>
      <c r="AF45" s="7">
        <f t="shared" si="216"/>
        <v>28.857799999999997</v>
      </c>
      <c r="AH45" s="7">
        <f t="shared" si="216"/>
        <v>30.866299999999999</v>
      </c>
      <c r="AJ45" s="7">
        <f t="shared" si="216"/>
        <v>35.367400000000004</v>
      </c>
      <c r="AK45" s="7"/>
      <c r="AL45" s="7">
        <f t="shared" ref="AL45" si="217">AL42*AL43+AL44</f>
        <v>41.836640666666668</v>
      </c>
      <c r="AM45" s="7"/>
      <c r="AN45" s="7">
        <f t="shared" ref="AN45" si="218">AN42*AN43+AN44</f>
        <v>44.890178666666664</v>
      </c>
      <c r="AP45" s="7"/>
    </row>
    <row r="46" spans="1:42" x14ac:dyDescent="0.2">
      <c r="D46" s="23" t="s">
        <v>52</v>
      </c>
      <c r="F46" s="7">
        <v>90</v>
      </c>
      <c r="H46" s="7">
        <v>100</v>
      </c>
      <c r="I46" s="7"/>
      <c r="J46" s="7">
        <v>110</v>
      </c>
      <c r="L46" s="7">
        <v>60</v>
      </c>
      <c r="N46" s="7">
        <v>80</v>
      </c>
      <c r="P46" s="7">
        <v>90</v>
      </c>
      <c r="R46" s="7">
        <v>90</v>
      </c>
      <c r="T46" s="7">
        <v>100</v>
      </c>
      <c r="V46" s="7">
        <v>100</v>
      </c>
      <c r="X46" s="7">
        <v>90</v>
      </c>
      <c r="Z46" s="7">
        <v>100</v>
      </c>
      <c r="AB46" s="7">
        <v>130</v>
      </c>
      <c r="AD46" s="7">
        <v>75</v>
      </c>
      <c r="AF46" s="7">
        <v>75</v>
      </c>
      <c r="AH46" s="7">
        <v>75</v>
      </c>
      <c r="AJ46" s="7">
        <v>75</v>
      </c>
      <c r="AL46" s="1">
        <v>120</v>
      </c>
      <c r="AN46" s="1">
        <v>120</v>
      </c>
    </row>
    <row r="47" spans="1:42" x14ac:dyDescent="0.2">
      <c r="D47" s="10" t="s">
        <v>53</v>
      </c>
      <c r="F47" s="7">
        <f>F46-F45</f>
        <v>48.052599999999998</v>
      </c>
      <c r="H47" s="7">
        <f>H46-H45</f>
        <v>59.391600000000004</v>
      </c>
      <c r="I47" s="7"/>
      <c r="J47" s="7">
        <f>J46-J45</f>
        <v>50.676500000000004</v>
      </c>
      <c r="L47" s="7">
        <f>L46-L45</f>
        <v>36.195431999999997</v>
      </c>
      <c r="N47" s="7">
        <f>N46-N45</f>
        <v>60.053399999999996</v>
      </c>
      <c r="P47" s="7">
        <f>P46-P45</f>
        <v>57.446200000000005</v>
      </c>
      <c r="R47" s="7">
        <f>R46-R45</f>
        <v>46.064700000000002</v>
      </c>
      <c r="T47" s="7">
        <f>T46-T45</f>
        <v>57.803752000000003</v>
      </c>
      <c r="V47" s="7">
        <f>V46-V45</f>
        <v>66.223487000000006</v>
      </c>
      <c r="X47" s="7">
        <f>X46-X45</f>
        <v>60.968800000000002</v>
      </c>
      <c r="Z47" s="7">
        <f>Z46-Z45</f>
        <v>65.638550000000009</v>
      </c>
      <c r="AB47" s="7">
        <f>AB46-AB45</f>
        <v>75.589600000000004</v>
      </c>
      <c r="AD47" s="7">
        <f>AD46-AD45</f>
        <v>38.211199999999998</v>
      </c>
      <c r="AF47" s="7">
        <f>AF46-AF45</f>
        <v>46.142200000000003</v>
      </c>
      <c r="AH47" s="7">
        <f>AH46-AH45</f>
        <v>44.133700000000005</v>
      </c>
      <c r="AJ47" s="7">
        <f>AJ46-AJ45</f>
        <v>39.632599999999996</v>
      </c>
      <c r="AL47" s="7">
        <f t="shared" ref="AL47:AN47" si="219">AL46-AL45</f>
        <v>78.163359333333332</v>
      </c>
      <c r="AM47" s="7"/>
      <c r="AN47" s="7">
        <f t="shared" si="219"/>
        <v>75.109821333333343</v>
      </c>
    </row>
    <row r="48" spans="1:42" x14ac:dyDescent="0.2">
      <c r="D48" s="10" t="s">
        <v>64</v>
      </c>
      <c r="F48" s="20">
        <f>F47/F46</f>
        <v>0.53391777777777771</v>
      </c>
      <c r="H48" s="20">
        <f>H47/H46</f>
        <v>0.593916</v>
      </c>
      <c r="J48" s="20">
        <f>J47/J46</f>
        <v>0.46069545454545457</v>
      </c>
      <c r="L48" s="20">
        <f>L47/L46</f>
        <v>0.60325719999999994</v>
      </c>
      <c r="N48" s="20">
        <f>N47/N46</f>
        <v>0.75066749999999993</v>
      </c>
      <c r="P48" s="20">
        <f>P47/P46</f>
        <v>0.63829111111111114</v>
      </c>
      <c r="R48" s="20">
        <f>R47/R46</f>
        <v>0.51183000000000001</v>
      </c>
      <c r="T48" s="20">
        <f>T47/T46</f>
        <v>0.57803752000000008</v>
      </c>
      <c r="V48" s="20">
        <f>V47/V46</f>
        <v>0.66223487000000003</v>
      </c>
      <c r="X48" s="20">
        <f>X47/X46</f>
        <v>0.6774311111111111</v>
      </c>
      <c r="Z48" s="20">
        <f>Z47/Z46</f>
        <v>0.65638550000000007</v>
      </c>
      <c r="AB48" s="20">
        <f>AB47/AB46</f>
        <v>0.58145846153846159</v>
      </c>
      <c r="AD48" s="20">
        <f>AD47/AD46</f>
        <v>0.50948266666666664</v>
      </c>
      <c r="AF48" s="20">
        <f>AF47/AF46</f>
        <v>0.61522933333333341</v>
      </c>
      <c r="AH48" s="20">
        <f>AH47/AH46</f>
        <v>0.58844933333333338</v>
      </c>
      <c r="AJ48" s="20">
        <f>AJ47/AJ46</f>
        <v>0.52843466666666661</v>
      </c>
      <c r="AL48" s="20">
        <f t="shared" ref="AL48:AN48" si="220">AL47/AL46</f>
        <v>0.65136132777777778</v>
      </c>
      <c r="AM48" s="20"/>
      <c r="AN48" s="20">
        <f t="shared" si="220"/>
        <v>0.62591517777777783</v>
      </c>
    </row>
    <row r="54" spans="4:9" x14ac:dyDescent="0.2">
      <c r="D54" s="22"/>
      <c r="E54" s="7"/>
      <c r="F54" s="7"/>
      <c r="G54" s="7"/>
      <c r="H54" s="7"/>
      <c r="I54" s="20"/>
    </row>
    <row r="55" spans="4:9" x14ac:dyDescent="0.2">
      <c r="E55" s="19"/>
    </row>
    <row r="56" spans="4:9" x14ac:dyDescent="0.2">
      <c r="D56" s="22"/>
      <c r="E56" s="7"/>
      <c r="F56" s="7"/>
      <c r="G56" s="7"/>
      <c r="H56" s="7"/>
      <c r="I56" s="20"/>
    </row>
    <row r="57" spans="4:9" x14ac:dyDescent="0.2">
      <c r="D57" s="22"/>
      <c r="E57" s="7"/>
      <c r="F57" s="7"/>
      <c r="G57" s="7"/>
      <c r="H57" s="7"/>
    </row>
    <row r="58" spans="4:9" x14ac:dyDescent="0.2">
      <c r="D58" s="22"/>
      <c r="E58" s="7"/>
      <c r="F58" s="7"/>
      <c r="G58" s="7"/>
      <c r="H58" s="7"/>
      <c r="I58" s="2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F68"/>
  <sheetViews>
    <sheetView topLeftCell="B1" workbookViewId="0">
      <selection activeCell="B24" sqref="B24"/>
    </sheetView>
  </sheetViews>
  <sheetFormatPr defaultRowHeight="10.199999999999999" x14ac:dyDescent="0.2"/>
  <cols>
    <col min="1" max="1" width="3.69921875" style="1" customWidth="1"/>
    <col min="2" max="2" width="10.5" style="1" bestFit="1" customWidth="1"/>
    <col min="3" max="3" width="12.69921875" style="1" bestFit="1" customWidth="1"/>
    <col min="4" max="4" width="12.09765625" style="47" bestFit="1" customWidth="1"/>
    <col min="5" max="5" width="10.19921875" style="2" customWidth="1"/>
    <col min="6" max="7" width="12.69921875" style="2" customWidth="1"/>
    <col min="8" max="8" width="11" style="2" bestFit="1" customWidth="1"/>
    <col min="9" max="9" width="12.69921875" style="2" customWidth="1"/>
    <col min="10" max="10" width="9.3984375" style="2" bestFit="1" customWidth="1"/>
    <col min="11" max="11" width="11.19921875" style="2" customWidth="1"/>
    <col min="12" max="12" width="15.69921875" style="2" customWidth="1"/>
    <col min="13" max="14" width="10" style="2" customWidth="1"/>
    <col min="15" max="15" width="15.69921875" style="1" customWidth="1"/>
    <col min="16" max="16" width="14.09765625" style="1" bestFit="1" customWidth="1"/>
    <col min="17" max="17" width="13.296875" style="1" customWidth="1"/>
    <col min="18" max="16384" width="8.796875" style="1"/>
  </cols>
  <sheetData>
    <row r="4" spans="1:17" x14ac:dyDescent="0.2">
      <c r="B4" s="3" t="s">
        <v>91</v>
      </c>
    </row>
    <row r="5" spans="1:17" x14ac:dyDescent="0.2">
      <c r="B5" s="12" t="s">
        <v>140</v>
      </c>
    </row>
    <row r="7" spans="1:17" s="48" customFormat="1" ht="40.799999999999997" x14ac:dyDescent="0.25">
      <c r="B7" s="43" t="s">
        <v>76</v>
      </c>
      <c r="C7" s="43" t="s">
        <v>78</v>
      </c>
      <c r="D7" s="58" t="s">
        <v>138</v>
      </c>
      <c r="E7" s="59" t="s">
        <v>89</v>
      </c>
      <c r="F7" s="59" t="s">
        <v>88</v>
      </c>
      <c r="G7" s="59" t="s">
        <v>87</v>
      </c>
      <c r="H7" s="59" t="s">
        <v>86</v>
      </c>
      <c r="I7" s="60" t="s">
        <v>90</v>
      </c>
      <c r="J7" s="59" t="s">
        <v>85</v>
      </c>
      <c r="K7" s="59" t="s">
        <v>84</v>
      </c>
      <c r="L7" s="59" t="s">
        <v>83</v>
      </c>
      <c r="M7" s="59" t="s">
        <v>82</v>
      </c>
      <c r="N7" s="58" t="s">
        <v>139</v>
      </c>
      <c r="O7" s="61" t="s">
        <v>81</v>
      </c>
      <c r="P7" s="58" t="s">
        <v>142</v>
      </c>
      <c r="Q7" s="58" t="s">
        <v>143</v>
      </c>
    </row>
    <row r="8" spans="1:17" x14ac:dyDescent="0.2">
      <c r="B8" s="25" t="s">
        <v>77</v>
      </c>
      <c r="C8" s="24">
        <v>4</v>
      </c>
      <c r="D8" s="67">
        <v>6300</v>
      </c>
      <c r="E8" s="50">
        <f>23%*D8</f>
        <v>1449</v>
      </c>
      <c r="F8" s="50">
        <f>4.5%*$D8</f>
        <v>283.5</v>
      </c>
      <c r="G8" s="50">
        <f>4.5%*$D8</f>
        <v>283.5</v>
      </c>
      <c r="H8" s="50">
        <f>6%*D8</f>
        <v>378</v>
      </c>
      <c r="I8" s="32">
        <v>885</v>
      </c>
      <c r="J8" s="50">
        <f>D8-I8-G8-H8</f>
        <v>4753.5</v>
      </c>
      <c r="K8" s="51">
        <f>IF(J8&lt;2595,J8*7%,2595*7%)</f>
        <v>181.65</v>
      </c>
      <c r="L8" s="50">
        <f>IF(J8&lt;2595,0,(J8-2595)*18%)</f>
        <v>388.53</v>
      </c>
      <c r="M8" s="51">
        <f>SUM(K8:L8)</f>
        <v>570.17999999999995</v>
      </c>
      <c r="N8" s="32">
        <f>D8-G8-H8-M8</f>
        <v>5068.32</v>
      </c>
      <c r="O8" s="62">
        <f>SUM(D8:F8)*C8</f>
        <v>32130</v>
      </c>
      <c r="P8" s="32">
        <f>D8*C8</f>
        <v>25200</v>
      </c>
      <c r="Q8" s="32">
        <f>N8*C8</f>
        <v>20273.28</v>
      </c>
    </row>
    <row r="9" spans="1:17" x14ac:dyDescent="0.2">
      <c r="B9" s="9" t="s">
        <v>79</v>
      </c>
      <c r="C9" s="8">
        <v>1</v>
      </c>
      <c r="D9" s="68">
        <v>3000</v>
      </c>
      <c r="E9" s="52">
        <f t="shared" ref="E9:E10" si="0">23%*D9</f>
        <v>690</v>
      </c>
      <c r="F9" s="52">
        <f t="shared" ref="F9:G10" si="1">4.5%*$D9</f>
        <v>135</v>
      </c>
      <c r="G9" s="52">
        <f t="shared" si="1"/>
        <v>135</v>
      </c>
      <c r="H9" s="52">
        <f t="shared" ref="H9:H10" si="2">6%*D9</f>
        <v>180</v>
      </c>
      <c r="I9" s="28">
        <v>885</v>
      </c>
      <c r="J9" s="52">
        <f t="shared" ref="J9:J10" si="3">D9-I9-G9-H9</f>
        <v>1800</v>
      </c>
      <c r="K9" s="52">
        <f t="shared" ref="K9:K10" si="4">IF(J9&lt;2595,J9*7%,2595*7%)</f>
        <v>126.00000000000001</v>
      </c>
      <c r="L9" s="52">
        <f t="shared" ref="L9:L10" si="5">IF(J9&lt;2595,0,(J9-2595)*18%)</f>
        <v>0</v>
      </c>
      <c r="M9" s="52">
        <f t="shared" ref="M9:M10" si="6">SUM(K9:L9)</f>
        <v>126.00000000000001</v>
      </c>
      <c r="N9" s="28">
        <f>D9-G9-H9-M9</f>
        <v>2559</v>
      </c>
      <c r="O9" s="63">
        <f t="shared" ref="O9:O10" si="7">SUM(D9:F9)*C9</f>
        <v>3825</v>
      </c>
      <c r="P9" s="28">
        <f t="shared" ref="P9:P10" si="8">D9*C9</f>
        <v>3000</v>
      </c>
      <c r="Q9" s="28">
        <f t="shared" ref="Q9:Q10" si="9">N9*C9</f>
        <v>2559</v>
      </c>
    </row>
    <row r="10" spans="1:17" ht="10.8" thickBot="1" x14ac:dyDescent="0.25">
      <c r="B10" s="30" t="s">
        <v>80</v>
      </c>
      <c r="C10" s="29">
        <v>1</v>
      </c>
      <c r="D10" s="69">
        <v>7500</v>
      </c>
      <c r="E10" s="54">
        <f t="shared" si="0"/>
        <v>1725</v>
      </c>
      <c r="F10" s="54">
        <f t="shared" si="1"/>
        <v>337.5</v>
      </c>
      <c r="G10" s="54">
        <f t="shared" si="1"/>
        <v>337.5</v>
      </c>
      <c r="H10" s="54">
        <f t="shared" si="2"/>
        <v>450</v>
      </c>
      <c r="I10" s="37">
        <v>885</v>
      </c>
      <c r="J10" s="54">
        <f t="shared" si="3"/>
        <v>5827.5</v>
      </c>
      <c r="K10" s="55">
        <f t="shared" si="4"/>
        <v>181.65</v>
      </c>
      <c r="L10" s="54">
        <f t="shared" si="5"/>
        <v>581.85</v>
      </c>
      <c r="M10" s="55">
        <f t="shared" si="6"/>
        <v>763.5</v>
      </c>
      <c r="N10" s="37">
        <f t="shared" ref="N10" si="10">D10-G10-H10-M10</f>
        <v>5949</v>
      </c>
      <c r="O10" s="64">
        <f t="shared" si="7"/>
        <v>9562.5</v>
      </c>
      <c r="P10" s="37">
        <f t="shared" si="8"/>
        <v>7500</v>
      </c>
      <c r="Q10" s="37">
        <f t="shared" si="9"/>
        <v>5949</v>
      </c>
    </row>
    <row r="11" spans="1:17" ht="10.8" thickTop="1" x14ac:dyDescent="0.2">
      <c r="D11" s="56">
        <f>SUM(D8:D10)</f>
        <v>16800</v>
      </c>
      <c r="N11" s="57">
        <f>SUM(N8:N10)</f>
        <v>13576.32</v>
      </c>
      <c r="O11" s="56">
        <f>SUM(O8:O10)</f>
        <v>45517.5</v>
      </c>
      <c r="P11" s="56">
        <f>SUM(P8:P10)</f>
        <v>35700</v>
      </c>
      <c r="Q11" s="56">
        <f>SUM(Q8:Q10)</f>
        <v>28781.279999999999</v>
      </c>
    </row>
    <row r="12" spans="1:17" x14ac:dyDescent="0.2">
      <c r="D12" s="56"/>
      <c r="N12" s="57"/>
      <c r="O12" s="56"/>
    </row>
    <row r="13" spans="1:17" x14ac:dyDescent="0.2">
      <c r="B13" s="3" t="s">
        <v>92</v>
      </c>
      <c r="N13" s="49"/>
    </row>
    <row r="14" spans="1:17" x14ac:dyDescent="0.2">
      <c r="B14" s="12" t="s">
        <v>141</v>
      </c>
    </row>
    <row r="15" spans="1:17" x14ac:dyDescent="0.2">
      <c r="B15" s="12"/>
    </row>
    <row r="16" spans="1:17" ht="40.799999999999997" x14ac:dyDescent="0.2">
      <c r="A16" s="10"/>
      <c r="B16" s="43" t="s">
        <v>76</v>
      </c>
      <c r="C16" s="43" t="s">
        <v>78</v>
      </c>
      <c r="D16" s="58" t="s">
        <v>138</v>
      </c>
      <c r="E16" s="59" t="s">
        <v>89</v>
      </c>
      <c r="F16" s="59" t="s">
        <v>88</v>
      </c>
      <c r="G16" s="59" t="s">
        <v>87</v>
      </c>
      <c r="H16" s="59" t="s">
        <v>86</v>
      </c>
      <c r="I16" s="60" t="s">
        <v>90</v>
      </c>
      <c r="J16" s="59" t="s">
        <v>85</v>
      </c>
      <c r="K16" s="59" t="s">
        <v>84</v>
      </c>
      <c r="L16" s="59" t="s">
        <v>83</v>
      </c>
      <c r="M16" s="59" t="s">
        <v>82</v>
      </c>
      <c r="N16" s="58" t="s">
        <v>139</v>
      </c>
      <c r="O16" s="61" t="s">
        <v>81</v>
      </c>
      <c r="P16" s="58" t="s">
        <v>142</v>
      </c>
      <c r="Q16" s="58" t="s">
        <v>143</v>
      </c>
    </row>
    <row r="17" spans="1:32" x14ac:dyDescent="0.2">
      <c r="A17" s="10"/>
      <c r="B17" s="25" t="s">
        <v>77</v>
      </c>
      <c r="C17" s="24">
        <v>4</v>
      </c>
      <c r="D17" s="28">
        <f>IF(N17&gt;=3298.3514,(N17-444.75)/0.7339,(N17-61.95)/0.83235)</f>
        <v>6206.9082981332604</v>
      </c>
      <c r="E17" s="52">
        <f>23%*D17</f>
        <v>1427.5889085706499</v>
      </c>
      <c r="F17" s="52">
        <f t="shared" ref="F17:G19" si="11">4.5%*$D17</f>
        <v>279.3108734159967</v>
      </c>
      <c r="G17" s="52">
        <f t="shared" si="11"/>
        <v>279.3108734159967</v>
      </c>
      <c r="H17" s="52">
        <f>6%*D17</f>
        <v>372.41449788799559</v>
      </c>
      <c r="I17" s="28">
        <v>885</v>
      </c>
      <c r="J17" s="52">
        <f>D17-I17-G17-H17</f>
        <v>4670.1829268292677</v>
      </c>
      <c r="K17" s="53">
        <f>IF(J17&lt;2595,J17*7%,2595*7%)</f>
        <v>181.65</v>
      </c>
      <c r="L17" s="52">
        <f>IF(J17&lt;2595,0,(J17-2595)*18%)</f>
        <v>373.53292682926815</v>
      </c>
      <c r="M17" s="52">
        <f>SUM(K17:L17)</f>
        <v>555.18292682926813</v>
      </c>
      <c r="N17" s="67">
        <v>5000</v>
      </c>
      <c r="O17" s="63">
        <f>SUM(D17:F17)*C17</f>
        <v>31655.23232047963</v>
      </c>
      <c r="P17" s="32">
        <f>D17*C17</f>
        <v>24827.633192533041</v>
      </c>
      <c r="Q17" s="32">
        <f>N17*C17</f>
        <v>20000</v>
      </c>
    </row>
    <row r="18" spans="1:32" x14ac:dyDescent="0.2">
      <c r="A18" s="10"/>
      <c r="B18" s="9" t="s">
        <v>79</v>
      </c>
      <c r="C18" s="8">
        <v>1</v>
      </c>
      <c r="D18" s="28">
        <f>IF(N18&gt;=3298.3514,(N18-444.75)/0.7339,(N18-61.95)/0.83235)</f>
        <v>2929.1163573016161</v>
      </c>
      <c r="E18" s="52">
        <f>23%*D18</f>
        <v>673.69676217937172</v>
      </c>
      <c r="F18" s="52">
        <f t="shared" si="11"/>
        <v>131.81023607857273</v>
      </c>
      <c r="G18" s="52">
        <f t="shared" si="11"/>
        <v>131.81023607857273</v>
      </c>
      <c r="H18" s="52">
        <f>6%*D18</f>
        <v>175.74698143809695</v>
      </c>
      <c r="I18" s="28">
        <v>885</v>
      </c>
      <c r="J18" s="52">
        <f>D18-I18-G18-H18</f>
        <v>1736.5591397849464</v>
      </c>
      <c r="K18" s="52">
        <f>IF(J18&lt;2595,J18*7%,2595*7%)</f>
        <v>121.55913978494625</v>
      </c>
      <c r="L18" s="52">
        <f>IF(J18&lt;2595,0,(J18-2595)*18%)</f>
        <v>0</v>
      </c>
      <c r="M18" s="52">
        <f>SUM(K18:L18)</f>
        <v>121.55913978494625</v>
      </c>
      <c r="N18" s="68">
        <v>2500</v>
      </c>
      <c r="O18" s="63">
        <f>SUM(D18:F18)*C18</f>
        <v>3734.6233555595604</v>
      </c>
      <c r="P18" s="28">
        <f t="shared" ref="P18:P19" si="12">D18*C18</f>
        <v>2929.1163573016161</v>
      </c>
      <c r="Q18" s="28">
        <f t="shared" ref="Q18:Q19" si="13">N18*C18</f>
        <v>2500</v>
      </c>
    </row>
    <row r="19" spans="1:32" ht="10.8" thickBot="1" x14ac:dyDescent="0.25">
      <c r="A19" s="10"/>
      <c r="B19" s="30" t="s">
        <v>80</v>
      </c>
      <c r="C19" s="29">
        <v>1</v>
      </c>
      <c r="D19" s="37">
        <f>IF(N19&gt;=3298.3514,(N19-444.75)/0.7339,(N19-61.95)/0.83235)</f>
        <v>4844.3248398964433</v>
      </c>
      <c r="E19" s="54">
        <f>23%*D19</f>
        <v>1114.1947131761819</v>
      </c>
      <c r="F19" s="54">
        <f t="shared" si="11"/>
        <v>217.99461779533993</v>
      </c>
      <c r="G19" s="54">
        <f t="shared" si="11"/>
        <v>217.99461779533993</v>
      </c>
      <c r="H19" s="54">
        <f>6%*D19</f>
        <v>290.6594903937866</v>
      </c>
      <c r="I19" s="37">
        <v>885</v>
      </c>
      <c r="J19" s="54">
        <f>D19-I19-G19-H19</f>
        <v>3450.6707317073169</v>
      </c>
      <c r="K19" s="54">
        <f>IF(J19&lt;2595,J19*7%,2595*7%)</f>
        <v>181.65</v>
      </c>
      <c r="L19" s="54">
        <f>IF(J19&lt;2595,0,(J19-2595)*18%)</f>
        <v>154.02073170731703</v>
      </c>
      <c r="M19" s="54">
        <f>SUM(K19:L19)</f>
        <v>335.67073170731703</v>
      </c>
      <c r="N19" s="69">
        <v>4000</v>
      </c>
      <c r="O19" s="64">
        <f>SUM(D19:F19)*C19</f>
        <v>6176.5141708679648</v>
      </c>
      <c r="P19" s="37">
        <f t="shared" si="12"/>
        <v>4844.3248398964433</v>
      </c>
      <c r="Q19" s="37">
        <f t="shared" si="13"/>
        <v>4000</v>
      </c>
    </row>
    <row r="20" spans="1:32" ht="10.8" thickTop="1" x14ac:dyDescent="0.2">
      <c r="A20" s="10"/>
      <c r="D20" s="56">
        <f>SUM(D17:D19)</f>
        <v>13980.34949533132</v>
      </c>
      <c r="N20" s="57">
        <f>SUM(N17:N19)</f>
        <v>11500</v>
      </c>
      <c r="O20" s="56">
        <f>SUM(O17:O19)</f>
        <v>41566.369846907153</v>
      </c>
      <c r="P20" s="56">
        <f>SUM(P17:P19)</f>
        <v>32601.0743897311</v>
      </c>
      <c r="Q20" s="56">
        <f>SUM(Q17:Q19)</f>
        <v>26500</v>
      </c>
    </row>
    <row r="21" spans="1:32" x14ac:dyDescent="0.2">
      <c r="A21" s="10"/>
      <c r="G21" s="66"/>
    </row>
    <row r="22" spans="1:32" x14ac:dyDescent="0.2">
      <c r="A22" s="10"/>
      <c r="G22" s="65"/>
    </row>
    <row r="23" spans="1:32" x14ac:dyDescent="0.2">
      <c r="B23" s="3" t="s">
        <v>376</v>
      </c>
      <c r="J23" s="73"/>
      <c r="Q23" s="4" t="s">
        <v>137</v>
      </c>
      <c r="T23" s="47"/>
      <c r="U23" s="2"/>
      <c r="Y23" s="74"/>
      <c r="AF23" s="74"/>
    </row>
    <row r="24" spans="1:32" x14ac:dyDescent="0.2">
      <c r="B24" s="3"/>
      <c r="J24" s="73"/>
      <c r="T24" s="47"/>
      <c r="U24" s="2"/>
      <c r="Y24" s="74"/>
      <c r="AF24" s="74"/>
    </row>
    <row r="25" spans="1:32" s="87" customFormat="1" ht="30.6" x14ac:dyDescent="0.25">
      <c r="B25" s="93" t="s">
        <v>124</v>
      </c>
      <c r="C25" s="89">
        <f>SUM(D25:O25)</f>
        <v>25.000000000000007</v>
      </c>
      <c r="D25" s="90"/>
      <c r="E25" s="90"/>
      <c r="F25" s="89">
        <f>SUM(F28:F57)</f>
        <v>6.6666666666666679</v>
      </c>
      <c r="G25" s="91"/>
      <c r="H25" s="91"/>
      <c r="I25" s="89">
        <f>SUM(I28:I57)</f>
        <v>5.8333333333333339</v>
      </c>
      <c r="J25" s="89"/>
      <c r="K25" s="89"/>
      <c r="L25" s="89">
        <f t="shared" ref="L25:O25" si="14">SUM(L28:L57)</f>
        <v>6.6666666666666679</v>
      </c>
      <c r="M25" s="89"/>
      <c r="N25" s="89"/>
      <c r="O25" s="89">
        <f t="shared" si="14"/>
        <v>5.8333333333333339</v>
      </c>
      <c r="Q25" s="99"/>
      <c r="R25" s="99"/>
      <c r="S25" s="99"/>
      <c r="T25" s="100" t="s">
        <v>29</v>
      </c>
      <c r="U25" s="101" t="s">
        <v>16</v>
      </c>
      <c r="V25" s="107" t="s">
        <v>134</v>
      </c>
      <c r="Y25" s="92"/>
      <c r="AF25" s="92"/>
    </row>
    <row r="26" spans="1:32" x14ac:dyDescent="0.2">
      <c r="B26" s="47"/>
      <c r="C26" s="2"/>
      <c r="D26" s="151" t="s">
        <v>121</v>
      </c>
      <c r="E26" s="79"/>
      <c r="F26" s="152"/>
      <c r="G26" s="80" t="s">
        <v>122</v>
      </c>
      <c r="H26" s="79"/>
      <c r="I26" s="152"/>
      <c r="J26" s="80" t="s">
        <v>240</v>
      </c>
      <c r="K26" s="79"/>
      <c r="L26" s="174"/>
      <c r="M26" s="80" t="s">
        <v>241</v>
      </c>
      <c r="N26" s="79"/>
      <c r="O26" s="152"/>
      <c r="Q26" s="147" t="s">
        <v>130</v>
      </c>
      <c r="R26" s="51"/>
      <c r="S26" s="51"/>
      <c r="T26" s="318">
        <v>2</v>
      </c>
      <c r="U26" s="148">
        <v>5</v>
      </c>
      <c r="V26" s="25" t="s">
        <v>135</v>
      </c>
      <c r="Y26" s="74"/>
      <c r="AF26" s="74"/>
    </row>
    <row r="27" spans="1:32" x14ac:dyDescent="0.2">
      <c r="B27" s="85" t="s">
        <v>129</v>
      </c>
      <c r="C27" s="86" t="s">
        <v>128</v>
      </c>
      <c r="D27" s="77" t="s">
        <v>125</v>
      </c>
      <c r="E27" s="78" t="s">
        <v>126</v>
      </c>
      <c r="F27" s="12" t="s">
        <v>123</v>
      </c>
      <c r="G27" s="77" t="s">
        <v>125</v>
      </c>
      <c r="H27" s="78" t="s">
        <v>126</v>
      </c>
      <c r="I27" s="12" t="s">
        <v>123</v>
      </c>
      <c r="J27" s="77" t="s">
        <v>125</v>
      </c>
      <c r="K27" s="78" t="s">
        <v>126</v>
      </c>
      <c r="L27" s="12" t="s">
        <v>123</v>
      </c>
      <c r="M27" s="77" t="s">
        <v>125</v>
      </c>
      <c r="N27" s="78" t="s">
        <v>126</v>
      </c>
      <c r="O27" s="12" t="s">
        <v>123</v>
      </c>
      <c r="Q27" s="102" t="s">
        <v>131</v>
      </c>
      <c r="R27" s="53"/>
      <c r="S27" s="53"/>
      <c r="T27" s="98">
        <f>C25*24</f>
        <v>600.00000000000023</v>
      </c>
      <c r="U27" s="103">
        <f>T27</f>
        <v>600.00000000000023</v>
      </c>
      <c r="V27" s="9"/>
      <c r="Y27" s="74"/>
      <c r="AF27" s="74"/>
    </row>
    <row r="28" spans="1:32" x14ac:dyDescent="0.2">
      <c r="B28" s="83">
        <v>1</v>
      </c>
      <c r="C28" s="75" t="s">
        <v>114</v>
      </c>
      <c r="D28" s="72">
        <v>0.375</v>
      </c>
      <c r="E28" s="72">
        <v>0.79166666666666663</v>
      </c>
      <c r="F28" s="72">
        <f>IFERROR(E28-D28,0)</f>
        <v>0.41666666666666663</v>
      </c>
      <c r="G28" s="72" t="s">
        <v>127</v>
      </c>
      <c r="H28" s="72" t="s">
        <v>127</v>
      </c>
      <c r="I28" s="82">
        <f>IFERROR(H28-G28,0)</f>
        <v>0</v>
      </c>
      <c r="J28" s="72">
        <v>0.375</v>
      </c>
      <c r="K28" s="72">
        <v>0.79166666666666663</v>
      </c>
      <c r="L28" s="72">
        <f>IFERROR(K28-J28,0)</f>
        <v>0.41666666666666663</v>
      </c>
      <c r="M28" s="72" t="s">
        <v>127</v>
      </c>
      <c r="N28" s="72" t="s">
        <v>127</v>
      </c>
      <c r="O28" s="82">
        <f>IFERROR(N28-M28,0)</f>
        <v>0</v>
      </c>
      <c r="Q28" s="104" t="s">
        <v>132</v>
      </c>
      <c r="R28" s="53"/>
      <c r="S28" s="53"/>
      <c r="T28" s="98">
        <f>T26*T27</f>
        <v>1200.0000000000005</v>
      </c>
      <c r="U28" s="98">
        <f>U26*U27</f>
        <v>3000.0000000000009</v>
      </c>
      <c r="V28" s="9"/>
    </row>
    <row r="29" spans="1:32" ht="10.8" thickBot="1" x14ac:dyDescent="0.25">
      <c r="B29" s="83">
        <v>2</v>
      </c>
      <c r="C29" s="75" t="s">
        <v>115</v>
      </c>
      <c r="D29" s="72">
        <v>0.375</v>
      </c>
      <c r="E29" s="72">
        <v>0.79166666666666663</v>
      </c>
      <c r="F29" s="72">
        <f t="shared" ref="F29:F57" si="15">IFERROR(E29-D29,0)</f>
        <v>0.41666666666666663</v>
      </c>
      <c r="G29" s="72" t="s">
        <v>127</v>
      </c>
      <c r="H29" s="72" t="s">
        <v>127</v>
      </c>
      <c r="I29" s="82">
        <f t="shared" ref="I29:I57" si="16">IFERROR(H29-G29,0)</f>
        <v>0</v>
      </c>
      <c r="J29" s="72">
        <v>0.375</v>
      </c>
      <c r="K29" s="72">
        <v>0.79166666666666663</v>
      </c>
      <c r="L29" s="72">
        <f t="shared" ref="L29:L57" si="17">IFERROR(K29-J29,0)</f>
        <v>0.41666666666666663</v>
      </c>
      <c r="M29" s="72" t="s">
        <v>127</v>
      </c>
      <c r="N29" s="72" t="s">
        <v>127</v>
      </c>
      <c r="O29" s="82">
        <f t="shared" ref="O29:O57" si="18">IFERROR(N29-M29,0)</f>
        <v>0</v>
      </c>
      <c r="Q29" s="118" t="s">
        <v>136</v>
      </c>
      <c r="R29" s="55"/>
      <c r="S29" s="55"/>
      <c r="T29" s="149">
        <f>'Dec'' 17 Actual Sales'!D20</f>
        <v>0.6228813559322034</v>
      </c>
      <c r="U29" s="150">
        <f>'Dec'' 17 Actual Sales'!E20</f>
        <v>0.3771186440677966</v>
      </c>
      <c r="V29" s="30" t="s">
        <v>239</v>
      </c>
    </row>
    <row r="30" spans="1:32" ht="10.8" thickTop="1" x14ac:dyDescent="0.2">
      <c r="B30" s="83">
        <v>3</v>
      </c>
      <c r="C30" s="75" t="s">
        <v>116</v>
      </c>
      <c r="D30" s="72" t="s">
        <v>127</v>
      </c>
      <c r="E30" s="72" t="s">
        <v>127</v>
      </c>
      <c r="F30" s="72">
        <f t="shared" si="15"/>
        <v>0</v>
      </c>
      <c r="G30" s="72">
        <v>0.375</v>
      </c>
      <c r="H30" s="72">
        <v>0.79166666666666663</v>
      </c>
      <c r="I30" s="82">
        <f t="shared" si="16"/>
        <v>0.41666666666666663</v>
      </c>
      <c r="J30" s="72" t="s">
        <v>127</v>
      </c>
      <c r="K30" s="72" t="s">
        <v>127</v>
      </c>
      <c r="L30" s="72">
        <f t="shared" si="17"/>
        <v>0</v>
      </c>
      <c r="M30" s="72">
        <v>0.375</v>
      </c>
      <c r="N30" s="72">
        <v>0.79166666666666663</v>
      </c>
      <c r="O30" s="82">
        <f t="shared" si="18"/>
        <v>0.41666666666666663</v>
      </c>
      <c r="Q30" s="106" t="s">
        <v>185</v>
      </c>
      <c r="R30" s="53"/>
      <c r="S30" s="53"/>
      <c r="T30" s="146">
        <f>T28*T29</f>
        <v>747.45762711864438</v>
      </c>
      <c r="U30" s="146">
        <f>U28*U29</f>
        <v>1131.3559322033902</v>
      </c>
    </row>
    <row r="31" spans="1:32" x14ac:dyDescent="0.2">
      <c r="B31" s="83">
        <v>4</v>
      </c>
      <c r="C31" s="75" t="s">
        <v>117</v>
      </c>
      <c r="D31" s="72" t="s">
        <v>127</v>
      </c>
      <c r="E31" s="72" t="s">
        <v>127</v>
      </c>
      <c r="F31" s="72">
        <f t="shared" si="15"/>
        <v>0</v>
      </c>
      <c r="G31" s="72">
        <v>0.375</v>
      </c>
      <c r="H31" s="72">
        <v>0.79166666666666663</v>
      </c>
      <c r="I31" s="82">
        <f t="shared" si="16"/>
        <v>0.41666666666666663</v>
      </c>
      <c r="J31" s="72" t="s">
        <v>127</v>
      </c>
      <c r="K31" s="72" t="s">
        <v>127</v>
      </c>
      <c r="L31" s="72">
        <f t="shared" si="17"/>
        <v>0</v>
      </c>
      <c r="M31" s="72">
        <v>0.375</v>
      </c>
      <c r="N31" s="72">
        <v>0.79166666666666663</v>
      </c>
      <c r="O31" s="82">
        <f t="shared" si="18"/>
        <v>0.41666666666666663</v>
      </c>
    </row>
    <row r="32" spans="1:32" x14ac:dyDescent="0.2">
      <c r="B32" s="83">
        <v>5</v>
      </c>
      <c r="C32" s="75" t="s">
        <v>118</v>
      </c>
      <c r="D32" s="72">
        <v>0.375</v>
      </c>
      <c r="E32" s="72">
        <v>0.79166666666666663</v>
      </c>
      <c r="F32" s="72">
        <f t="shared" si="15"/>
        <v>0.41666666666666663</v>
      </c>
      <c r="G32" s="72" t="s">
        <v>127</v>
      </c>
      <c r="H32" s="72" t="s">
        <v>127</v>
      </c>
      <c r="I32" s="82">
        <f t="shared" si="16"/>
        <v>0</v>
      </c>
      <c r="J32" s="72">
        <v>0.375</v>
      </c>
      <c r="K32" s="72">
        <v>0.79166666666666663</v>
      </c>
      <c r="L32" s="72">
        <f t="shared" si="17"/>
        <v>0.41666666666666663</v>
      </c>
      <c r="M32" s="72" t="s">
        <v>127</v>
      </c>
      <c r="N32" s="72" t="s">
        <v>127</v>
      </c>
      <c r="O32" s="82">
        <f t="shared" si="18"/>
        <v>0</v>
      </c>
    </row>
    <row r="33" spans="2:15" x14ac:dyDescent="0.2">
      <c r="B33" s="83">
        <v>6</v>
      </c>
      <c r="C33" s="75" t="s">
        <v>119</v>
      </c>
      <c r="D33" s="72">
        <v>0.375</v>
      </c>
      <c r="E33" s="72">
        <v>0.79166666666666663</v>
      </c>
      <c r="F33" s="72">
        <f t="shared" si="15"/>
        <v>0.41666666666666663</v>
      </c>
      <c r="G33" s="72" t="s">
        <v>127</v>
      </c>
      <c r="H33" s="72" t="s">
        <v>127</v>
      </c>
      <c r="I33" s="82">
        <f t="shared" si="16"/>
        <v>0</v>
      </c>
      <c r="J33" s="72">
        <v>0.375</v>
      </c>
      <c r="K33" s="72">
        <v>0.79166666666666663</v>
      </c>
      <c r="L33" s="72">
        <f t="shared" si="17"/>
        <v>0.41666666666666663</v>
      </c>
      <c r="M33" s="72" t="s">
        <v>127</v>
      </c>
      <c r="N33" s="72" t="s">
        <v>127</v>
      </c>
      <c r="O33" s="82">
        <f t="shared" si="18"/>
        <v>0</v>
      </c>
    </row>
    <row r="34" spans="2:15" x14ac:dyDescent="0.2">
      <c r="B34" s="83">
        <v>7</v>
      </c>
      <c r="C34" s="75" t="s">
        <v>120</v>
      </c>
      <c r="D34" s="72" t="s">
        <v>127</v>
      </c>
      <c r="E34" s="72" t="s">
        <v>127</v>
      </c>
      <c r="F34" s="72">
        <f t="shared" si="15"/>
        <v>0</v>
      </c>
      <c r="G34" s="72">
        <v>0.375</v>
      </c>
      <c r="H34" s="72">
        <v>0.79166666666666663</v>
      </c>
      <c r="I34" s="82">
        <f t="shared" si="16"/>
        <v>0.41666666666666663</v>
      </c>
      <c r="J34" s="72" t="s">
        <v>127</v>
      </c>
      <c r="K34" s="72" t="s">
        <v>127</v>
      </c>
      <c r="L34" s="72">
        <f t="shared" si="17"/>
        <v>0</v>
      </c>
      <c r="M34" s="72">
        <v>0.375</v>
      </c>
      <c r="N34" s="72">
        <v>0.79166666666666663</v>
      </c>
      <c r="O34" s="82">
        <f t="shared" si="18"/>
        <v>0.41666666666666663</v>
      </c>
    </row>
    <row r="35" spans="2:15" x14ac:dyDescent="0.2">
      <c r="B35" s="84">
        <v>8</v>
      </c>
      <c r="C35" s="76" t="s">
        <v>114</v>
      </c>
      <c r="D35" s="72" t="s">
        <v>127</v>
      </c>
      <c r="E35" s="72" t="s">
        <v>127</v>
      </c>
      <c r="F35" s="72">
        <f t="shared" si="15"/>
        <v>0</v>
      </c>
      <c r="G35" s="72">
        <v>0.375</v>
      </c>
      <c r="H35" s="72">
        <v>0.79166666666666663</v>
      </c>
      <c r="I35" s="82">
        <f t="shared" si="16"/>
        <v>0.41666666666666663</v>
      </c>
      <c r="J35" s="72" t="s">
        <v>127</v>
      </c>
      <c r="K35" s="72" t="s">
        <v>127</v>
      </c>
      <c r="L35" s="72">
        <f t="shared" si="17"/>
        <v>0</v>
      </c>
      <c r="M35" s="72">
        <v>0.375</v>
      </c>
      <c r="N35" s="72">
        <v>0.79166666666666663</v>
      </c>
      <c r="O35" s="82">
        <f t="shared" si="18"/>
        <v>0.41666666666666663</v>
      </c>
    </row>
    <row r="36" spans="2:15" x14ac:dyDescent="0.2">
      <c r="B36" s="84">
        <v>9</v>
      </c>
      <c r="C36" s="76" t="s">
        <v>115</v>
      </c>
      <c r="D36" s="72">
        <v>0.375</v>
      </c>
      <c r="E36" s="72">
        <v>0.79166666666666663</v>
      </c>
      <c r="F36" s="72">
        <f t="shared" si="15"/>
        <v>0.41666666666666663</v>
      </c>
      <c r="G36" s="72" t="s">
        <v>127</v>
      </c>
      <c r="H36" s="72" t="s">
        <v>127</v>
      </c>
      <c r="I36" s="82">
        <f t="shared" si="16"/>
        <v>0</v>
      </c>
      <c r="J36" s="72">
        <v>0.375</v>
      </c>
      <c r="K36" s="72">
        <v>0.79166666666666663</v>
      </c>
      <c r="L36" s="72">
        <f t="shared" si="17"/>
        <v>0.41666666666666663</v>
      </c>
      <c r="M36" s="72" t="s">
        <v>127</v>
      </c>
      <c r="N36" s="72" t="s">
        <v>127</v>
      </c>
      <c r="O36" s="82">
        <f t="shared" si="18"/>
        <v>0</v>
      </c>
    </row>
    <row r="37" spans="2:15" x14ac:dyDescent="0.2">
      <c r="B37" s="84">
        <v>10</v>
      </c>
      <c r="C37" s="76" t="s">
        <v>116</v>
      </c>
      <c r="D37" s="72">
        <v>0.375</v>
      </c>
      <c r="E37" s="72">
        <v>0.79166666666666663</v>
      </c>
      <c r="F37" s="72">
        <f t="shared" si="15"/>
        <v>0.41666666666666663</v>
      </c>
      <c r="G37" s="72" t="s">
        <v>127</v>
      </c>
      <c r="H37" s="72" t="s">
        <v>127</v>
      </c>
      <c r="I37" s="82">
        <f t="shared" si="16"/>
        <v>0</v>
      </c>
      <c r="J37" s="72">
        <v>0.375</v>
      </c>
      <c r="K37" s="72">
        <v>0.79166666666666663</v>
      </c>
      <c r="L37" s="72">
        <f t="shared" si="17"/>
        <v>0.41666666666666663</v>
      </c>
      <c r="M37" s="72" t="s">
        <v>127</v>
      </c>
      <c r="N37" s="72" t="s">
        <v>127</v>
      </c>
      <c r="O37" s="82">
        <f t="shared" si="18"/>
        <v>0</v>
      </c>
    </row>
    <row r="38" spans="2:15" x14ac:dyDescent="0.2">
      <c r="B38" s="84">
        <v>11</v>
      </c>
      <c r="C38" s="76" t="s">
        <v>117</v>
      </c>
      <c r="D38" s="72" t="s">
        <v>127</v>
      </c>
      <c r="E38" s="72" t="s">
        <v>127</v>
      </c>
      <c r="F38" s="72">
        <f t="shared" si="15"/>
        <v>0</v>
      </c>
      <c r="G38" s="72">
        <v>0.375</v>
      </c>
      <c r="H38" s="72">
        <v>0.79166666666666663</v>
      </c>
      <c r="I38" s="82">
        <f t="shared" si="16"/>
        <v>0.41666666666666663</v>
      </c>
      <c r="J38" s="72" t="s">
        <v>127</v>
      </c>
      <c r="K38" s="72" t="s">
        <v>127</v>
      </c>
      <c r="L38" s="72">
        <f t="shared" si="17"/>
        <v>0</v>
      </c>
      <c r="M38" s="72">
        <v>0.375</v>
      </c>
      <c r="N38" s="72">
        <v>0.79166666666666663</v>
      </c>
      <c r="O38" s="82">
        <f t="shared" si="18"/>
        <v>0.41666666666666663</v>
      </c>
    </row>
    <row r="39" spans="2:15" x14ac:dyDescent="0.2">
      <c r="B39" s="84">
        <v>12</v>
      </c>
      <c r="C39" s="76" t="s">
        <v>118</v>
      </c>
      <c r="D39" s="72" t="s">
        <v>127</v>
      </c>
      <c r="E39" s="72" t="s">
        <v>127</v>
      </c>
      <c r="F39" s="72">
        <f t="shared" si="15"/>
        <v>0</v>
      </c>
      <c r="G39" s="72">
        <v>0.375</v>
      </c>
      <c r="H39" s="72">
        <v>0.79166666666666663</v>
      </c>
      <c r="I39" s="82">
        <f t="shared" si="16"/>
        <v>0.41666666666666663</v>
      </c>
      <c r="J39" s="72" t="s">
        <v>127</v>
      </c>
      <c r="K39" s="72" t="s">
        <v>127</v>
      </c>
      <c r="L39" s="72">
        <f t="shared" si="17"/>
        <v>0</v>
      </c>
      <c r="M39" s="72">
        <v>0.375</v>
      </c>
      <c r="N39" s="72">
        <v>0.79166666666666663</v>
      </c>
      <c r="O39" s="82">
        <f t="shared" si="18"/>
        <v>0.41666666666666663</v>
      </c>
    </row>
    <row r="40" spans="2:15" x14ac:dyDescent="0.2">
      <c r="B40" s="84">
        <v>13</v>
      </c>
      <c r="C40" s="76" t="s">
        <v>119</v>
      </c>
      <c r="D40" s="72">
        <v>0.375</v>
      </c>
      <c r="E40" s="72">
        <v>0.79166666666666663</v>
      </c>
      <c r="F40" s="72">
        <f t="shared" si="15"/>
        <v>0.41666666666666663</v>
      </c>
      <c r="G40" s="72" t="s">
        <v>127</v>
      </c>
      <c r="H40" s="72" t="s">
        <v>127</v>
      </c>
      <c r="I40" s="82">
        <f t="shared" si="16"/>
        <v>0</v>
      </c>
      <c r="J40" s="72">
        <v>0.375</v>
      </c>
      <c r="K40" s="72">
        <v>0.79166666666666663</v>
      </c>
      <c r="L40" s="72">
        <f t="shared" si="17"/>
        <v>0.41666666666666663</v>
      </c>
      <c r="M40" s="72" t="s">
        <v>127</v>
      </c>
      <c r="N40" s="72" t="s">
        <v>127</v>
      </c>
      <c r="O40" s="82">
        <f t="shared" si="18"/>
        <v>0</v>
      </c>
    </row>
    <row r="41" spans="2:15" x14ac:dyDescent="0.2">
      <c r="B41" s="84">
        <v>14</v>
      </c>
      <c r="C41" s="76" t="s">
        <v>120</v>
      </c>
      <c r="D41" s="72">
        <v>0.375</v>
      </c>
      <c r="E41" s="72">
        <v>0.79166666666666663</v>
      </c>
      <c r="F41" s="72">
        <f t="shared" si="15"/>
        <v>0.41666666666666663</v>
      </c>
      <c r="G41" s="72" t="s">
        <v>127</v>
      </c>
      <c r="H41" s="72" t="s">
        <v>127</v>
      </c>
      <c r="I41" s="82">
        <f t="shared" si="16"/>
        <v>0</v>
      </c>
      <c r="J41" s="72">
        <v>0.375</v>
      </c>
      <c r="K41" s="72">
        <v>0.79166666666666663</v>
      </c>
      <c r="L41" s="72">
        <f t="shared" si="17"/>
        <v>0.41666666666666663</v>
      </c>
      <c r="M41" s="72" t="s">
        <v>127</v>
      </c>
      <c r="N41" s="72" t="s">
        <v>127</v>
      </c>
      <c r="O41" s="82">
        <f t="shared" si="18"/>
        <v>0</v>
      </c>
    </row>
    <row r="42" spans="2:15" x14ac:dyDescent="0.2">
      <c r="B42" s="83">
        <v>15</v>
      </c>
      <c r="C42" s="75" t="s">
        <v>114</v>
      </c>
      <c r="D42" s="72" t="s">
        <v>127</v>
      </c>
      <c r="E42" s="72" t="s">
        <v>127</v>
      </c>
      <c r="F42" s="72">
        <f t="shared" si="15"/>
        <v>0</v>
      </c>
      <c r="G42" s="72">
        <v>0.375</v>
      </c>
      <c r="H42" s="72">
        <v>0.79166666666666663</v>
      </c>
      <c r="I42" s="82">
        <f t="shared" si="16"/>
        <v>0.41666666666666663</v>
      </c>
      <c r="J42" s="72" t="s">
        <v>127</v>
      </c>
      <c r="K42" s="72" t="s">
        <v>127</v>
      </c>
      <c r="L42" s="72">
        <f t="shared" si="17"/>
        <v>0</v>
      </c>
      <c r="M42" s="72">
        <v>0.375</v>
      </c>
      <c r="N42" s="72">
        <v>0.79166666666666663</v>
      </c>
      <c r="O42" s="82">
        <f t="shared" si="18"/>
        <v>0.41666666666666663</v>
      </c>
    </row>
    <row r="43" spans="2:15" x14ac:dyDescent="0.2">
      <c r="B43" s="83">
        <v>16</v>
      </c>
      <c r="C43" s="75" t="s">
        <v>115</v>
      </c>
      <c r="D43" s="72" t="s">
        <v>127</v>
      </c>
      <c r="E43" s="72" t="s">
        <v>127</v>
      </c>
      <c r="F43" s="72">
        <f t="shared" si="15"/>
        <v>0</v>
      </c>
      <c r="G43" s="72">
        <v>0.375</v>
      </c>
      <c r="H43" s="72">
        <v>0.79166666666666663</v>
      </c>
      <c r="I43" s="82">
        <f t="shared" si="16"/>
        <v>0.41666666666666663</v>
      </c>
      <c r="J43" s="72" t="s">
        <v>127</v>
      </c>
      <c r="K43" s="72" t="s">
        <v>127</v>
      </c>
      <c r="L43" s="72">
        <f t="shared" si="17"/>
        <v>0</v>
      </c>
      <c r="M43" s="72">
        <v>0.375</v>
      </c>
      <c r="N43" s="72">
        <v>0.79166666666666663</v>
      </c>
      <c r="O43" s="82">
        <f t="shared" si="18"/>
        <v>0.41666666666666663</v>
      </c>
    </row>
    <row r="44" spans="2:15" x14ac:dyDescent="0.2">
      <c r="B44" s="83">
        <v>17</v>
      </c>
      <c r="C44" s="75" t="s">
        <v>116</v>
      </c>
      <c r="D44" s="72">
        <v>0.375</v>
      </c>
      <c r="E44" s="72">
        <v>0.79166666666666663</v>
      </c>
      <c r="F44" s="72">
        <f t="shared" si="15"/>
        <v>0.41666666666666663</v>
      </c>
      <c r="G44" s="72" t="s">
        <v>127</v>
      </c>
      <c r="H44" s="72" t="s">
        <v>127</v>
      </c>
      <c r="I44" s="82">
        <f t="shared" si="16"/>
        <v>0</v>
      </c>
      <c r="J44" s="72">
        <v>0.375</v>
      </c>
      <c r="K44" s="72">
        <v>0.79166666666666663</v>
      </c>
      <c r="L44" s="72">
        <f t="shared" si="17"/>
        <v>0.41666666666666663</v>
      </c>
      <c r="M44" s="72" t="s">
        <v>127</v>
      </c>
      <c r="N44" s="72" t="s">
        <v>127</v>
      </c>
      <c r="O44" s="82">
        <f t="shared" si="18"/>
        <v>0</v>
      </c>
    </row>
    <row r="45" spans="2:15" x14ac:dyDescent="0.2">
      <c r="B45" s="83">
        <v>18</v>
      </c>
      <c r="C45" s="75" t="s">
        <v>117</v>
      </c>
      <c r="D45" s="72">
        <v>0.375</v>
      </c>
      <c r="E45" s="72">
        <v>0.79166666666666663</v>
      </c>
      <c r="F45" s="72">
        <f t="shared" si="15"/>
        <v>0.41666666666666663</v>
      </c>
      <c r="G45" s="72" t="s">
        <v>127</v>
      </c>
      <c r="H45" s="72" t="s">
        <v>127</v>
      </c>
      <c r="I45" s="82">
        <f t="shared" si="16"/>
        <v>0</v>
      </c>
      <c r="J45" s="72">
        <v>0.375</v>
      </c>
      <c r="K45" s="72">
        <v>0.79166666666666663</v>
      </c>
      <c r="L45" s="72">
        <f t="shared" si="17"/>
        <v>0.41666666666666663</v>
      </c>
      <c r="M45" s="72" t="s">
        <v>127</v>
      </c>
      <c r="N45" s="72" t="s">
        <v>127</v>
      </c>
      <c r="O45" s="82">
        <f t="shared" si="18"/>
        <v>0</v>
      </c>
    </row>
    <row r="46" spans="2:15" x14ac:dyDescent="0.2">
      <c r="B46" s="83">
        <v>19</v>
      </c>
      <c r="C46" s="75" t="s">
        <v>118</v>
      </c>
      <c r="D46" s="72" t="s">
        <v>127</v>
      </c>
      <c r="E46" s="72" t="s">
        <v>127</v>
      </c>
      <c r="F46" s="72">
        <f t="shared" si="15"/>
        <v>0</v>
      </c>
      <c r="G46" s="72">
        <v>0.375</v>
      </c>
      <c r="H46" s="72">
        <v>0.79166666666666663</v>
      </c>
      <c r="I46" s="82">
        <f t="shared" si="16"/>
        <v>0.41666666666666663</v>
      </c>
      <c r="J46" s="72" t="s">
        <v>127</v>
      </c>
      <c r="K46" s="72" t="s">
        <v>127</v>
      </c>
      <c r="L46" s="72">
        <f t="shared" si="17"/>
        <v>0</v>
      </c>
      <c r="M46" s="72">
        <v>0.375</v>
      </c>
      <c r="N46" s="72">
        <v>0.79166666666666663</v>
      </c>
      <c r="O46" s="82">
        <f t="shared" si="18"/>
        <v>0.41666666666666663</v>
      </c>
    </row>
    <row r="47" spans="2:15" x14ac:dyDescent="0.2">
      <c r="B47" s="83">
        <v>20</v>
      </c>
      <c r="C47" s="75" t="s">
        <v>119</v>
      </c>
      <c r="D47" s="72" t="s">
        <v>127</v>
      </c>
      <c r="E47" s="72" t="s">
        <v>127</v>
      </c>
      <c r="F47" s="72">
        <f t="shared" si="15"/>
        <v>0</v>
      </c>
      <c r="G47" s="72">
        <v>0.375</v>
      </c>
      <c r="H47" s="72">
        <v>0.79166666666666663</v>
      </c>
      <c r="I47" s="82">
        <f t="shared" si="16"/>
        <v>0.41666666666666663</v>
      </c>
      <c r="J47" s="72" t="s">
        <v>127</v>
      </c>
      <c r="K47" s="72" t="s">
        <v>127</v>
      </c>
      <c r="L47" s="72">
        <f t="shared" si="17"/>
        <v>0</v>
      </c>
      <c r="M47" s="72">
        <v>0.375</v>
      </c>
      <c r="N47" s="72">
        <v>0.79166666666666663</v>
      </c>
      <c r="O47" s="82">
        <f t="shared" si="18"/>
        <v>0.41666666666666663</v>
      </c>
    </row>
    <row r="48" spans="2:15" x14ac:dyDescent="0.2">
      <c r="B48" s="83">
        <v>21</v>
      </c>
      <c r="C48" s="75" t="s">
        <v>120</v>
      </c>
      <c r="D48" s="72">
        <v>0.375</v>
      </c>
      <c r="E48" s="72">
        <v>0.79166666666666663</v>
      </c>
      <c r="F48" s="72">
        <f t="shared" si="15"/>
        <v>0.41666666666666663</v>
      </c>
      <c r="G48" s="72" t="s">
        <v>127</v>
      </c>
      <c r="H48" s="72" t="s">
        <v>127</v>
      </c>
      <c r="I48" s="82">
        <f t="shared" si="16"/>
        <v>0</v>
      </c>
      <c r="J48" s="72">
        <v>0.375</v>
      </c>
      <c r="K48" s="72">
        <v>0.79166666666666663</v>
      </c>
      <c r="L48" s="72">
        <f t="shared" si="17"/>
        <v>0.41666666666666663</v>
      </c>
      <c r="M48" s="72" t="s">
        <v>127</v>
      </c>
      <c r="N48" s="72" t="s">
        <v>127</v>
      </c>
      <c r="O48" s="82">
        <f t="shared" si="18"/>
        <v>0</v>
      </c>
    </row>
    <row r="49" spans="2:15" x14ac:dyDescent="0.2">
      <c r="B49" s="84">
        <v>22</v>
      </c>
      <c r="C49" s="76" t="s">
        <v>114</v>
      </c>
      <c r="D49" s="72">
        <v>0.375</v>
      </c>
      <c r="E49" s="72">
        <v>0.79166666666666663</v>
      </c>
      <c r="F49" s="72">
        <f t="shared" si="15"/>
        <v>0.41666666666666663</v>
      </c>
      <c r="G49" s="72" t="s">
        <v>127</v>
      </c>
      <c r="H49" s="72" t="s">
        <v>127</v>
      </c>
      <c r="I49" s="82">
        <f t="shared" si="16"/>
        <v>0</v>
      </c>
      <c r="J49" s="72">
        <v>0.375</v>
      </c>
      <c r="K49" s="72">
        <v>0.79166666666666663</v>
      </c>
      <c r="L49" s="72">
        <f t="shared" si="17"/>
        <v>0.41666666666666663</v>
      </c>
      <c r="M49" s="72" t="s">
        <v>127</v>
      </c>
      <c r="N49" s="72" t="s">
        <v>127</v>
      </c>
      <c r="O49" s="82">
        <f t="shared" si="18"/>
        <v>0</v>
      </c>
    </row>
    <row r="50" spans="2:15" x14ac:dyDescent="0.2">
      <c r="B50" s="84">
        <v>23</v>
      </c>
      <c r="C50" s="76" t="s">
        <v>115</v>
      </c>
      <c r="D50" s="72" t="s">
        <v>127</v>
      </c>
      <c r="E50" s="72" t="s">
        <v>127</v>
      </c>
      <c r="F50" s="72">
        <f t="shared" si="15"/>
        <v>0</v>
      </c>
      <c r="G50" s="72">
        <v>0.375</v>
      </c>
      <c r="H50" s="72">
        <v>0.79166666666666663</v>
      </c>
      <c r="I50" s="82">
        <f t="shared" si="16"/>
        <v>0.41666666666666663</v>
      </c>
      <c r="J50" s="72" t="s">
        <v>127</v>
      </c>
      <c r="K50" s="72" t="s">
        <v>127</v>
      </c>
      <c r="L50" s="72">
        <f t="shared" si="17"/>
        <v>0</v>
      </c>
      <c r="M50" s="72">
        <v>0.375</v>
      </c>
      <c r="N50" s="72">
        <v>0.79166666666666663</v>
      </c>
      <c r="O50" s="82">
        <f t="shared" si="18"/>
        <v>0.41666666666666663</v>
      </c>
    </row>
    <row r="51" spans="2:15" x14ac:dyDescent="0.2">
      <c r="B51" s="84">
        <v>24</v>
      </c>
      <c r="C51" s="76" t="s">
        <v>116</v>
      </c>
      <c r="D51" s="72" t="s">
        <v>127</v>
      </c>
      <c r="E51" s="72" t="s">
        <v>127</v>
      </c>
      <c r="F51" s="72">
        <f t="shared" si="15"/>
        <v>0</v>
      </c>
      <c r="G51" s="72">
        <v>0.375</v>
      </c>
      <c r="H51" s="72">
        <v>0.79166666666666663</v>
      </c>
      <c r="I51" s="82">
        <f t="shared" si="16"/>
        <v>0.41666666666666663</v>
      </c>
      <c r="J51" s="72" t="s">
        <v>127</v>
      </c>
      <c r="K51" s="72" t="s">
        <v>127</v>
      </c>
      <c r="L51" s="72">
        <f t="shared" si="17"/>
        <v>0</v>
      </c>
      <c r="M51" s="72">
        <v>0.375</v>
      </c>
      <c r="N51" s="72">
        <v>0.79166666666666663</v>
      </c>
      <c r="O51" s="82">
        <f t="shared" si="18"/>
        <v>0.41666666666666663</v>
      </c>
    </row>
    <row r="52" spans="2:15" x14ac:dyDescent="0.2">
      <c r="B52" s="84">
        <v>25</v>
      </c>
      <c r="C52" s="76" t="s">
        <v>117</v>
      </c>
      <c r="D52" s="72">
        <v>0.375</v>
      </c>
      <c r="E52" s="72">
        <v>0.79166666666666663</v>
      </c>
      <c r="F52" s="72">
        <f t="shared" si="15"/>
        <v>0.41666666666666663</v>
      </c>
      <c r="G52" s="72" t="s">
        <v>127</v>
      </c>
      <c r="H52" s="72" t="s">
        <v>127</v>
      </c>
      <c r="I52" s="82">
        <f t="shared" si="16"/>
        <v>0</v>
      </c>
      <c r="J52" s="72">
        <v>0.375</v>
      </c>
      <c r="K52" s="72">
        <v>0.79166666666666663</v>
      </c>
      <c r="L52" s="72">
        <f t="shared" si="17"/>
        <v>0.41666666666666663</v>
      </c>
      <c r="M52" s="72" t="s">
        <v>127</v>
      </c>
      <c r="N52" s="72" t="s">
        <v>127</v>
      </c>
      <c r="O52" s="82">
        <f t="shared" si="18"/>
        <v>0</v>
      </c>
    </row>
    <row r="53" spans="2:15" x14ac:dyDescent="0.2">
      <c r="B53" s="84">
        <v>26</v>
      </c>
      <c r="C53" s="76" t="s">
        <v>118</v>
      </c>
      <c r="D53" s="72">
        <v>0.375</v>
      </c>
      <c r="E53" s="72">
        <v>0.79166666666666663</v>
      </c>
      <c r="F53" s="72">
        <f t="shared" si="15"/>
        <v>0.41666666666666663</v>
      </c>
      <c r="G53" s="72" t="s">
        <v>127</v>
      </c>
      <c r="H53" s="72" t="s">
        <v>127</v>
      </c>
      <c r="I53" s="82">
        <f t="shared" si="16"/>
        <v>0</v>
      </c>
      <c r="J53" s="72">
        <v>0.375</v>
      </c>
      <c r="K53" s="72">
        <v>0.79166666666666663</v>
      </c>
      <c r="L53" s="72">
        <f t="shared" si="17"/>
        <v>0.41666666666666663</v>
      </c>
      <c r="M53" s="72" t="s">
        <v>127</v>
      </c>
      <c r="N53" s="72" t="s">
        <v>127</v>
      </c>
      <c r="O53" s="82">
        <f t="shared" si="18"/>
        <v>0</v>
      </c>
    </row>
    <row r="54" spans="2:15" x14ac:dyDescent="0.2">
      <c r="B54" s="84">
        <v>27</v>
      </c>
      <c r="C54" s="76" t="s">
        <v>119</v>
      </c>
      <c r="D54" s="72" t="s">
        <v>127</v>
      </c>
      <c r="E54" s="72" t="s">
        <v>127</v>
      </c>
      <c r="F54" s="72">
        <f t="shared" si="15"/>
        <v>0</v>
      </c>
      <c r="G54" s="72">
        <v>0.375</v>
      </c>
      <c r="H54" s="72">
        <v>0.79166666666666663</v>
      </c>
      <c r="I54" s="82">
        <f t="shared" si="16"/>
        <v>0.41666666666666663</v>
      </c>
      <c r="J54" s="72" t="s">
        <v>127</v>
      </c>
      <c r="K54" s="72" t="s">
        <v>127</v>
      </c>
      <c r="L54" s="72">
        <f t="shared" si="17"/>
        <v>0</v>
      </c>
      <c r="M54" s="72">
        <v>0.375</v>
      </c>
      <c r="N54" s="72">
        <v>0.79166666666666663</v>
      </c>
      <c r="O54" s="82">
        <f t="shared" si="18"/>
        <v>0.41666666666666663</v>
      </c>
    </row>
    <row r="55" spans="2:15" x14ac:dyDescent="0.2">
      <c r="B55" s="84">
        <v>28</v>
      </c>
      <c r="C55" s="76" t="s">
        <v>120</v>
      </c>
      <c r="D55" s="72" t="s">
        <v>127</v>
      </c>
      <c r="E55" s="72" t="s">
        <v>127</v>
      </c>
      <c r="F55" s="72">
        <f t="shared" si="15"/>
        <v>0</v>
      </c>
      <c r="G55" s="72">
        <v>0.375</v>
      </c>
      <c r="H55" s="72">
        <v>0.79166666666666663</v>
      </c>
      <c r="I55" s="82">
        <f t="shared" si="16"/>
        <v>0.41666666666666663</v>
      </c>
      <c r="J55" s="72" t="s">
        <v>127</v>
      </c>
      <c r="K55" s="72" t="s">
        <v>127</v>
      </c>
      <c r="L55" s="72">
        <f t="shared" si="17"/>
        <v>0</v>
      </c>
      <c r="M55" s="72">
        <v>0.375</v>
      </c>
      <c r="N55" s="72">
        <v>0.79166666666666663</v>
      </c>
      <c r="O55" s="82">
        <f t="shared" si="18"/>
        <v>0.41666666666666663</v>
      </c>
    </row>
    <row r="56" spans="2:15" x14ac:dyDescent="0.2">
      <c r="B56" s="83">
        <v>29</v>
      </c>
      <c r="C56" s="75" t="s">
        <v>114</v>
      </c>
      <c r="D56" s="72">
        <v>0.375</v>
      </c>
      <c r="E56" s="72">
        <v>0.79166666666666663</v>
      </c>
      <c r="F56" s="72">
        <f t="shared" si="15"/>
        <v>0.41666666666666663</v>
      </c>
      <c r="G56" s="72" t="s">
        <v>127</v>
      </c>
      <c r="H56" s="72" t="s">
        <v>127</v>
      </c>
      <c r="I56" s="82">
        <f t="shared" si="16"/>
        <v>0</v>
      </c>
      <c r="J56" s="72">
        <v>0.375</v>
      </c>
      <c r="K56" s="72">
        <v>0.79166666666666663</v>
      </c>
      <c r="L56" s="72">
        <f t="shared" si="17"/>
        <v>0.41666666666666663</v>
      </c>
      <c r="M56" s="72" t="s">
        <v>127</v>
      </c>
      <c r="N56" s="72" t="s">
        <v>127</v>
      </c>
      <c r="O56" s="82">
        <f t="shared" si="18"/>
        <v>0</v>
      </c>
    </row>
    <row r="57" spans="2:15" x14ac:dyDescent="0.2">
      <c r="B57" s="83">
        <v>30</v>
      </c>
      <c r="C57" s="75" t="s">
        <v>115</v>
      </c>
      <c r="D57" s="72">
        <v>0.375</v>
      </c>
      <c r="E57" s="72">
        <v>0.79166666666666663</v>
      </c>
      <c r="F57" s="72">
        <f t="shared" si="15"/>
        <v>0.41666666666666663</v>
      </c>
      <c r="G57" s="72" t="s">
        <v>127</v>
      </c>
      <c r="H57" s="72" t="s">
        <v>127</v>
      </c>
      <c r="I57" s="82">
        <f t="shared" si="16"/>
        <v>0</v>
      </c>
      <c r="J57" s="72">
        <v>0.375</v>
      </c>
      <c r="K57" s="72">
        <v>0.79166666666666663</v>
      </c>
      <c r="L57" s="72">
        <f t="shared" si="17"/>
        <v>0.41666666666666663</v>
      </c>
      <c r="M57" s="72" t="s">
        <v>127</v>
      </c>
      <c r="N57" s="72" t="s">
        <v>127</v>
      </c>
      <c r="O57" s="82">
        <f t="shared" si="18"/>
        <v>0</v>
      </c>
    </row>
    <row r="58" spans="2:15" s="87" customFormat="1" x14ac:dyDescent="0.25">
      <c r="J58" s="92"/>
      <c r="L58" s="90"/>
      <c r="M58" s="90"/>
      <c r="N58" s="90"/>
    </row>
    <row r="59" spans="2:15" s="87" customFormat="1" x14ac:dyDescent="0.25">
      <c r="B59" s="93"/>
      <c r="C59" s="89"/>
      <c r="D59" s="90"/>
      <c r="E59" s="90"/>
      <c r="F59" s="89"/>
      <c r="G59" s="91"/>
      <c r="H59" s="91"/>
      <c r="I59" s="89"/>
      <c r="J59" s="92"/>
      <c r="L59" s="90"/>
      <c r="M59" s="90"/>
      <c r="N59" s="90"/>
    </row>
    <row r="63" spans="2:15" x14ac:dyDescent="0.2">
      <c r="D63" s="1"/>
      <c r="E63" s="1"/>
    </row>
    <row r="64" spans="2:15" s="87" customFormat="1" x14ac:dyDescent="0.25">
      <c r="F64" s="90"/>
      <c r="G64" s="90"/>
      <c r="H64" s="90"/>
      <c r="I64" s="90"/>
      <c r="J64" s="90"/>
      <c r="K64" s="90"/>
      <c r="L64" s="90"/>
      <c r="M64" s="90"/>
      <c r="N64" s="90"/>
    </row>
    <row r="65" spans="4:14" s="87" customFormat="1" x14ac:dyDescent="0.25">
      <c r="F65" s="90"/>
      <c r="G65" s="90"/>
      <c r="H65" s="90"/>
      <c r="I65" s="90"/>
      <c r="J65" s="90"/>
      <c r="K65" s="90"/>
      <c r="L65" s="90"/>
      <c r="M65" s="90"/>
      <c r="N65" s="90"/>
    </row>
    <row r="66" spans="4:14" s="87" customFormat="1" x14ac:dyDescent="0.25">
      <c r="F66" s="90"/>
      <c r="G66" s="90"/>
      <c r="H66" s="90"/>
      <c r="I66" s="90"/>
      <c r="J66" s="90"/>
      <c r="K66" s="90"/>
      <c r="L66" s="90"/>
      <c r="M66" s="90"/>
      <c r="N66" s="90"/>
    </row>
    <row r="67" spans="4:14" x14ac:dyDescent="0.2">
      <c r="D67" s="1"/>
      <c r="E67" s="1"/>
    </row>
    <row r="68" spans="4:14" x14ac:dyDescent="0.2">
      <c r="D68" s="1"/>
      <c r="E68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J61"/>
  <sheetViews>
    <sheetView workbookViewId="0"/>
  </sheetViews>
  <sheetFormatPr defaultRowHeight="10.199999999999999" x14ac:dyDescent="0.2"/>
  <cols>
    <col min="1" max="1" width="8.796875" style="5"/>
    <col min="2" max="2" width="10.8984375" style="3" customWidth="1"/>
    <col min="3" max="3" width="14.296875" style="1" customWidth="1"/>
    <col min="4" max="4" width="14.59765625" style="1" customWidth="1"/>
    <col min="5" max="5" width="9.5" style="1" customWidth="1"/>
    <col min="6" max="6" width="12.69921875" style="1" customWidth="1"/>
    <col min="7" max="7" width="14.5" style="5" bestFit="1" customWidth="1"/>
    <col min="8" max="8" width="9" style="5" customWidth="1"/>
    <col min="9" max="9" width="11.09765625" style="1" customWidth="1"/>
    <col min="10" max="10" width="12.69921875" style="1" customWidth="1"/>
    <col min="11" max="16384" width="8.796875" style="1"/>
  </cols>
  <sheetData>
    <row r="4" spans="1:8" ht="20.399999999999999" x14ac:dyDescent="0.2">
      <c r="B4" s="58" t="s">
        <v>9</v>
      </c>
      <c r="C4" s="58" t="s">
        <v>162</v>
      </c>
      <c r="D4" s="58" t="s">
        <v>147</v>
      </c>
    </row>
    <row r="5" spans="1:8" x14ac:dyDescent="0.2">
      <c r="B5" s="138">
        <v>1</v>
      </c>
      <c r="C5" s="139" t="s">
        <v>93</v>
      </c>
      <c r="D5" s="113">
        <f>D20</f>
        <v>7380</v>
      </c>
    </row>
    <row r="6" spans="1:8" x14ac:dyDescent="0.2">
      <c r="B6" s="140">
        <f>B5+1</f>
        <v>2</v>
      </c>
      <c r="C6" s="141" t="s">
        <v>94</v>
      </c>
      <c r="D6" s="42">
        <f>F33</f>
        <v>1067.5</v>
      </c>
    </row>
    <row r="7" spans="1:8" x14ac:dyDescent="0.2">
      <c r="B7" s="140">
        <f t="shared" ref="B7:B11" si="0">B6+1</f>
        <v>3</v>
      </c>
      <c r="C7" s="141" t="s">
        <v>95</v>
      </c>
      <c r="D7" s="42">
        <f>I46</f>
        <v>2177.1821917808215</v>
      </c>
    </row>
    <row r="8" spans="1:8" x14ac:dyDescent="0.2">
      <c r="B8" s="140">
        <f t="shared" si="0"/>
        <v>4</v>
      </c>
      <c r="C8" s="141" t="s">
        <v>97</v>
      </c>
      <c r="D8" s="42">
        <f>F54</f>
        <v>1410.5</v>
      </c>
    </row>
    <row r="9" spans="1:8" x14ac:dyDescent="0.2">
      <c r="B9" s="140">
        <f t="shared" si="0"/>
        <v>5</v>
      </c>
      <c r="C9" s="141" t="s">
        <v>96</v>
      </c>
      <c r="D9" s="9">
        <f>D60</f>
        <v>550</v>
      </c>
    </row>
    <row r="10" spans="1:8" x14ac:dyDescent="0.2">
      <c r="B10" s="140">
        <f t="shared" si="0"/>
        <v>6</v>
      </c>
      <c r="C10" s="141" t="s">
        <v>112</v>
      </c>
      <c r="D10" s="42">
        <f>(Labor!U30+Labor!T30)/1.5*15</f>
        <v>18788.135593220348</v>
      </c>
      <c r="E10" s="1" t="s">
        <v>188</v>
      </c>
    </row>
    <row r="11" spans="1:8" ht="10.8" thickBot="1" x14ac:dyDescent="0.25">
      <c r="B11" s="142">
        <f t="shared" si="0"/>
        <v>7</v>
      </c>
      <c r="C11" s="143" t="s">
        <v>113</v>
      </c>
      <c r="D11" s="119">
        <f>200*20.5</f>
        <v>4100</v>
      </c>
    </row>
    <row r="12" spans="1:8" ht="10.8" thickTop="1" x14ac:dyDescent="0.2">
      <c r="B12" s="134" t="s">
        <v>175</v>
      </c>
      <c r="D12" s="56">
        <f>SUM(D5:D11)</f>
        <v>35473.317785001171</v>
      </c>
    </row>
    <row r="14" spans="1:8" s="137" customFormat="1" ht="1.95" customHeight="1" x14ac:dyDescent="0.2">
      <c r="A14" s="135"/>
      <c r="B14" s="136"/>
      <c r="G14" s="135"/>
      <c r="H14" s="135"/>
    </row>
    <row r="17" spans="1:7" x14ac:dyDescent="0.2">
      <c r="B17" s="3" t="s">
        <v>163</v>
      </c>
    </row>
    <row r="19" spans="1:7" ht="20.399999999999999" x14ac:dyDescent="0.2">
      <c r="A19" s="48">
        <v>1</v>
      </c>
      <c r="B19" s="60" t="s">
        <v>164</v>
      </c>
      <c r="C19" s="60" t="s">
        <v>165</v>
      </c>
      <c r="D19" s="60" t="s">
        <v>147</v>
      </c>
      <c r="E19" s="60" t="s">
        <v>177</v>
      </c>
    </row>
    <row r="20" spans="1:7" ht="10.8" thickBot="1" x14ac:dyDescent="0.25">
      <c r="B20" s="132">
        <v>30</v>
      </c>
      <c r="C20" s="132">
        <v>12</v>
      </c>
      <c r="D20" s="133">
        <f>B20*C20*20.5</f>
        <v>7380</v>
      </c>
      <c r="E20" s="145" t="s">
        <v>179</v>
      </c>
    </row>
    <row r="21" spans="1:7" ht="10.8" thickTop="1" x14ac:dyDescent="0.2">
      <c r="D21" s="3"/>
    </row>
    <row r="23" spans="1:7" x14ac:dyDescent="0.2">
      <c r="B23" s="3" t="s">
        <v>99</v>
      </c>
    </row>
    <row r="24" spans="1:7" x14ac:dyDescent="0.2">
      <c r="B24" s="66"/>
      <c r="C24" s="3"/>
    </row>
    <row r="25" spans="1:7" ht="30.6" x14ac:dyDescent="0.2">
      <c r="A25" s="48">
        <v>2</v>
      </c>
      <c r="B25" s="60" t="s">
        <v>105</v>
      </c>
      <c r="C25" s="60" t="s">
        <v>100</v>
      </c>
      <c r="D25" s="60" t="s">
        <v>102</v>
      </c>
      <c r="E25" s="60" t="s">
        <v>110</v>
      </c>
      <c r="F25" s="60" t="s">
        <v>111</v>
      </c>
      <c r="G25" s="60" t="s">
        <v>177</v>
      </c>
    </row>
    <row r="26" spans="1:7" x14ac:dyDescent="0.2">
      <c r="B26" s="123" t="s">
        <v>77</v>
      </c>
      <c r="C26" s="25" t="s">
        <v>98</v>
      </c>
      <c r="D26" s="124">
        <f>900*4.5</f>
        <v>4050</v>
      </c>
      <c r="E26" s="125">
        <v>5</v>
      </c>
      <c r="F26" s="125">
        <f>D26/(E26*12)</f>
        <v>67.5</v>
      </c>
      <c r="G26" s="24" t="s">
        <v>179</v>
      </c>
    </row>
    <row r="27" spans="1:7" x14ac:dyDescent="0.2">
      <c r="B27" s="121" t="s">
        <v>77</v>
      </c>
      <c r="C27" s="9" t="s">
        <v>104</v>
      </c>
      <c r="D27" s="126">
        <v>5300</v>
      </c>
      <c r="E27" s="127">
        <v>5</v>
      </c>
      <c r="F27" s="127">
        <f t="shared" ref="F27:F32" si="1">D27/(E27*12)</f>
        <v>88.333333333333329</v>
      </c>
      <c r="G27" s="8" t="s">
        <v>179</v>
      </c>
    </row>
    <row r="28" spans="1:7" x14ac:dyDescent="0.2">
      <c r="B28" s="121" t="s">
        <v>156</v>
      </c>
      <c r="C28" s="9" t="s">
        <v>109</v>
      </c>
      <c r="D28" s="126">
        <v>4600</v>
      </c>
      <c r="E28" s="127">
        <v>5</v>
      </c>
      <c r="F28" s="127">
        <f t="shared" si="1"/>
        <v>76.666666666666671</v>
      </c>
      <c r="G28" s="8" t="s">
        <v>179</v>
      </c>
    </row>
    <row r="29" spans="1:7" x14ac:dyDescent="0.2">
      <c r="B29" s="121" t="s">
        <v>77</v>
      </c>
      <c r="C29" s="9" t="s">
        <v>153</v>
      </c>
      <c r="D29" s="126">
        <f>750*4.5</f>
        <v>3375</v>
      </c>
      <c r="E29" s="127">
        <v>3</v>
      </c>
      <c r="F29" s="127">
        <f t="shared" si="1"/>
        <v>93.75</v>
      </c>
      <c r="G29" s="8" t="s">
        <v>179</v>
      </c>
    </row>
    <row r="30" spans="1:7" x14ac:dyDescent="0.2">
      <c r="B30" s="121" t="s">
        <v>77</v>
      </c>
      <c r="C30" s="9" t="s">
        <v>154</v>
      </c>
      <c r="D30" s="126">
        <f>360*4.5</f>
        <v>1620</v>
      </c>
      <c r="E30" s="127">
        <v>3</v>
      </c>
      <c r="F30" s="127">
        <f t="shared" si="1"/>
        <v>45</v>
      </c>
      <c r="G30" s="8" t="s">
        <v>179</v>
      </c>
    </row>
    <row r="31" spans="1:7" x14ac:dyDescent="0.2">
      <c r="B31" s="121" t="s">
        <v>77</v>
      </c>
      <c r="C31" s="9" t="s">
        <v>158</v>
      </c>
      <c r="D31" s="126">
        <f>1570*4.5</f>
        <v>7065</v>
      </c>
      <c r="E31" s="127">
        <v>3</v>
      </c>
      <c r="F31" s="127">
        <f t="shared" si="1"/>
        <v>196.25</v>
      </c>
      <c r="G31" s="8" t="s">
        <v>179</v>
      </c>
    </row>
    <row r="32" spans="1:7" ht="10.8" thickBot="1" x14ac:dyDescent="0.25">
      <c r="B32" s="129" t="s">
        <v>77</v>
      </c>
      <c r="C32" s="30" t="s">
        <v>159</v>
      </c>
      <c r="D32" s="130">
        <v>30000</v>
      </c>
      <c r="E32" s="131">
        <v>5</v>
      </c>
      <c r="F32" s="131">
        <f t="shared" si="1"/>
        <v>500</v>
      </c>
      <c r="G32" s="29" t="s">
        <v>179</v>
      </c>
    </row>
    <row r="33" spans="1:10" ht="10.8" thickTop="1" x14ac:dyDescent="0.2">
      <c r="B33" s="88"/>
      <c r="C33" s="87"/>
      <c r="D33" s="97"/>
      <c r="E33" s="87"/>
      <c r="F33" s="122">
        <f>SUM(F26:F32)</f>
        <v>1067.5</v>
      </c>
    </row>
    <row r="34" spans="1:10" x14ac:dyDescent="0.2">
      <c r="B34" s="66"/>
      <c r="D34" s="71"/>
    </row>
    <row r="36" spans="1:10" x14ac:dyDescent="0.2">
      <c r="B36" s="3" t="s">
        <v>161</v>
      </c>
    </row>
    <row r="37" spans="1:10" s="6" customFormat="1" x14ac:dyDescent="0.25">
      <c r="A37" s="48"/>
      <c r="B37" s="108"/>
    </row>
    <row r="38" spans="1:10" ht="20.399999999999999" x14ac:dyDescent="0.2">
      <c r="A38" s="48">
        <v>3</v>
      </c>
      <c r="B38" s="60" t="s">
        <v>105</v>
      </c>
      <c r="C38" s="60" t="s">
        <v>103</v>
      </c>
      <c r="D38" s="60" t="s">
        <v>144</v>
      </c>
      <c r="E38" s="60" t="s">
        <v>145</v>
      </c>
      <c r="F38" s="60" t="s">
        <v>108</v>
      </c>
      <c r="G38" s="60" t="s">
        <v>148</v>
      </c>
      <c r="H38" s="60" t="s">
        <v>146</v>
      </c>
      <c r="I38" s="60" t="s">
        <v>147</v>
      </c>
      <c r="J38" s="60" t="s">
        <v>177</v>
      </c>
    </row>
    <row r="39" spans="1:10" x14ac:dyDescent="0.2">
      <c r="B39" s="109" t="s">
        <v>77</v>
      </c>
      <c r="C39" s="109" t="s">
        <v>98</v>
      </c>
      <c r="D39" s="110">
        <f>1.8*4</f>
        <v>7.2</v>
      </c>
      <c r="E39" s="51">
        <v>3</v>
      </c>
      <c r="F39" s="111">
        <f t="shared" ref="F39:F45" si="2">D39*E39</f>
        <v>21.6</v>
      </c>
      <c r="G39" s="112">
        <v>2</v>
      </c>
      <c r="H39" s="25">
        <f t="shared" ref="H39:H45" si="3">F39*G39</f>
        <v>43.2</v>
      </c>
      <c r="I39" s="113">
        <f t="shared" ref="I39:I45" si="4">H39*30</f>
        <v>1296</v>
      </c>
      <c r="J39" s="24" t="s">
        <v>178</v>
      </c>
    </row>
    <row r="40" spans="1:10" x14ac:dyDescent="0.2">
      <c r="B40" s="114" t="s">
        <v>77</v>
      </c>
      <c r="C40" s="9" t="s">
        <v>104</v>
      </c>
      <c r="D40" s="115">
        <v>3.7499999999999999E-2</v>
      </c>
      <c r="E40" s="105">
        <v>24</v>
      </c>
      <c r="F40" s="115">
        <f t="shared" si="2"/>
        <v>0.89999999999999991</v>
      </c>
      <c r="G40" s="116">
        <v>2</v>
      </c>
      <c r="H40" s="9">
        <f t="shared" si="3"/>
        <v>1.7999999999999998</v>
      </c>
      <c r="I40" s="42">
        <f t="shared" si="4"/>
        <v>53.999999999999993</v>
      </c>
      <c r="J40" s="8" t="s">
        <v>179</v>
      </c>
    </row>
    <row r="41" spans="1:10" x14ac:dyDescent="0.2">
      <c r="B41" s="114" t="s">
        <v>77</v>
      </c>
      <c r="C41" s="9" t="s">
        <v>153</v>
      </c>
      <c r="D41" s="115">
        <v>1.5</v>
      </c>
      <c r="E41" s="105">
        <v>2</v>
      </c>
      <c r="F41" s="115">
        <f t="shared" si="2"/>
        <v>3</v>
      </c>
      <c r="G41" s="116">
        <v>2</v>
      </c>
      <c r="H41" s="9">
        <f t="shared" si="3"/>
        <v>6</v>
      </c>
      <c r="I41" s="42">
        <f t="shared" si="4"/>
        <v>180</v>
      </c>
      <c r="J41" s="8" t="s">
        <v>178</v>
      </c>
    </row>
    <row r="42" spans="1:10" x14ac:dyDescent="0.2">
      <c r="B42" s="114" t="s">
        <v>77</v>
      </c>
      <c r="C42" s="9" t="s">
        <v>154</v>
      </c>
      <c r="D42" s="115">
        <v>0.75</v>
      </c>
      <c r="E42" s="105">
        <v>2</v>
      </c>
      <c r="F42" s="115">
        <f t="shared" si="2"/>
        <v>1.5</v>
      </c>
      <c r="G42" s="116">
        <v>2</v>
      </c>
      <c r="H42" s="9">
        <f t="shared" si="3"/>
        <v>3</v>
      </c>
      <c r="I42" s="42">
        <f t="shared" si="4"/>
        <v>90</v>
      </c>
      <c r="J42" s="8" t="s">
        <v>178</v>
      </c>
    </row>
    <row r="43" spans="1:10" x14ac:dyDescent="0.2">
      <c r="B43" s="114" t="s">
        <v>77</v>
      </c>
      <c r="C43" s="9" t="s">
        <v>158</v>
      </c>
      <c r="D43" s="115">
        <f>47.8/365/24</f>
        <v>5.4566210045662103E-3</v>
      </c>
      <c r="E43" s="105">
        <f>E39</f>
        <v>3</v>
      </c>
      <c r="F43" s="115">
        <f t="shared" si="2"/>
        <v>1.6369863013698631E-2</v>
      </c>
      <c r="G43" s="116">
        <v>2</v>
      </c>
      <c r="H43" s="28">
        <f t="shared" si="3"/>
        <v>3.2739726027397262E-2</v>
      </c>
      <c r="I43" s="42">
        <f t="shared" si="4"/>
        <v>0.98219178082191783</v>
      </c>
      <c r="J43" s="8" t="s">
        <v>178</v>
      </c>
    </row>
    <row r="44" spans="1:10" x14ac:dyDescent="0.2">
      <c r="B44" s="9" t="s">
        <v>156</v>
      </c>
      <c r="C44" s="9" t="s">
        <v>107</v>
      </c>
      <c r="D44" s="115">
        <f>(0.82+0.77)/2</f>
        <v>0.79499999999999993</v>
      </c>
      <c r="E44" s="105">
        <v>10</v>
      </c>
      <c r="F44" s="115">
        <f t="shared" si="2"/>
        <v>7.9499999999999993</v>
      </c>
      <c r="G44" s="116">
        <v>2</v>
      </c>
      <c r="H44" s="9">
        <f t="shared" si="3"/>
        <v>15.899999999999999</v>
      </c>
      <c r="I44" s="42">
        <f t="shared" si="4"/>
        <v>476.99999999999994</v>
      </c>
      <c r="J44" s="8" t="s">
        <v>179</v>
      </c>
    </row>
    <row r="45" spans="1:10" ht="10.8" thickBot="1" x14ac:dyDescent="0.25">
      <c r="B45" s="30" t="s">
        <v>156</v>
      </c>
      <c r="C45" s="30" t="s">
        <v>151</v>
      </c>
      <c r="D45" s="117">
        <f>20/1000*6</f>
        <v>0.12</v>
      </c>
      <c r="E45" s="118">
        <v>11</v>
      </c>
      <c r="F45" s="117">
        <f t="shared" si="2"/>
        <v>1.3199999999999998</v>
      </c>
      <c r="G45" s="117">
        <v>2</v>
      </c>
      <c r="H45" s="30">
        <f t="shared" si="3"/>
        <v>2.6399999999999997</v>
      </c>
      <c r="I45" s="119">
        <f t="shared" si="4"/>
        <v>79.199999999999989</v>
      </c>
      <c r="J45" s="29" t="s">
        <v>179</v>
      </c>
    </row>
    <row r="46" spans="1:10" ht="10.8" thickTop="1" x14ac:dyDescent="0.2">
      <c r="B46" s="1"/>
      <c r="D46" s="70"/>
      <c r="E46" s="66"/>
      <c r="F46" s="5"/>
      <c r="H46" s="1"/>
      <c r="I46" s="56">
        <f>SUM(I39:I45)</f>
        <v>2177.1821917808215</v>
      </c>
    </row>
    <row r="47" spans="1:10" x14ac:dyDescent="0.2">
      <c r="B47" s="1"/>
      <c r="D47" s="70"/>
      <c r="E47" s="66"/>
      <c r="F47" s="5"/>
      <c r="H47" s="1"/>
      <c r="I47" s="56"/>
    </row>
    <row r="48" spans="1:10" x14ac:dyDescent="0.2">
      <c r="B48" s="1"/>
    </row>
    <row r="49" spans="1:10" x14ac:dyDescent="0.2">
      <c r="A49" s="5">
        <v>4</v>
      </c>
      <c r="B49" s="3" t="s">
        <v>166</v>
      </c>
      <c r="J49" s="120"/>
    </row>
    <row r="50" spans="1:10" x14ac:dyDescent="0.2">
      <c r="B50" s="1"/>
    </row>
    <row r="51" spans="1:10" ht="30.6" x14ac:dyDescent="0.2">
      <c r="B51" s="60" t="s">
        <v>167</v>
      </c>
      <c r="C51" s="60" t="s">
        <v>170</v>
      </c>
      <c r="D51" s="60" t="s">
        <v>171</v>
      </c>
      <c r="E51" s="60" t="s">
        <v>172</v>
      </c>
      <c r="F51" s="60" t="s">
        <v>173</v>
      </c>
      <c r="G51" s="60" t="s">
        <v>177</v>
      </c>
    </row>
    <row r="52" spans="1:10" x14ac:dyDescent="0.2">
      <c r="B52" s="25" t="s">
        <v>168</v>
      </c>
      <c r="C52" s="24">
        <v>5</v>
      </c>
      <c r="D52" s="24">
        <v>0</v>
      </c>
      <c r="E52" s="25">
        <v>6.2</v>
      </c>
      <c r="F52" s="113">
        <f>C52*D52*E52</f>
        <v>0</v>
      </c>
      <c r="G52" s="5" t="s">
        <v>179</v>
      </c>
      <c r="J52" s="120"/>
    </row>
    <row r="53" spans="1:10" ht="10.8" thickBot="1" x14ac:dyDescent="0.25">
      <c r="B53" s="30" t="s">
        <v>169</v>
      </c>
      <c r="C53" s="29">
        <v>7</v>
      </c>
      <c r="D53" s="29">
        <v>65</v>
      </c>
      <c r="E53" s="30">
        <v>6.2</v>
      </c>
      <c r="F53" s="119">
        <f>C53*D53*E53</f>
        <v>2821</v>
      </c>
      <c r="G53" s="131" t="s">
        <v>179</v>
      </c>
    </row>
    <row r="54" spans="1:10" ht="10.8" thickTop="1" x14ac:dyDescent="0.2">
      <c r="B54" s="1"/>
      <c r="C54" s="5">
        <f>SUM(C52:C53)</f>
        <v>12</v>
      </c>
      <c r="E54" s="81" t="s">
        <v>174</v>
      </c>
      <c r="F54" s="56">
        <f>AVERAGE(F52:F53)</f>
        <v>1410.5</v>
      </c>
    </row>
    <row r="55" spans="1:10" x14ac:dyDescent="0.2">
      <c r="B55" s="1"/>
    </row>
    <row r="56" spans="1:10" x14ac:dyDescent="0.2">
      <c r="B56" s="1"/>
    </row>
    <row r="57" spans="1:10" x14ac:dyDescent="0.2">
      <c r="A57" s="5">
        <v>5</v>
      </c>
      <c r="B57" s="3" t="s">
        <v>176</v>
      </c>
    </row>
    <row r="59" spans="1:10" ht="40.799999999999997" x14ac:dyDescent="0.2">
      <c r="B59" s="60" t="s">
        <v>171</v>
      </c>
      <c r="C59" s="60" t="s">
        <v>172</v>
      </c>
      <c r="D59" s="60" t="s">
        <v>147</v>
      </c>
      <c r="E59" s="60" t="s">
        <v>177</v>
      </c>
    </row>
    <row r="60" spans="1:10" ht="10.8" thickBot="1" x14ac:dyDescent="0.25">
      <c r="B60" s="132">
        <v>50</v>
      </c>
      <c r="C60" s="132">
        <v>11</v>
      </c>
      <c r="D60" s="144">
        <f>B60*C60</f>
        <v>550</v>
      </c>
      <c r="E60" s="145" t="s">
        <v>178</v>
      </c>
    </row>
    <row r="61" spans="1:10" ht="10.8" thickTop="1" x14ac:dyDescent="0.2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4"/>
  <sheetViews>
    <sheetView workbookViewId="0">
      <pane ySplit="3" topLeftCell="A4" activePane="bottomLeft" state="frozen"/>
      <selection activeCell="C11" sqref="C11"/>
      <selection pane="bottomLeft" activeCell="B2" sqref="B2"/>
    </sheetView>
  </sheetViews>
  <sheetFormatPr defaultRowHeight="10.199999999999999" x14ac:dyDescent="0.2"/>
  <cols>
    <col min="1" max="1" width="36.09765625" style="1" hidden="1" customWidth="1"/>
    <col min="2" max="16384" width="8.796875" style="1"/>
  </cols>
  <sheetData>
    <row r="2" spans="1:5" x14ac:dyDescent="0.2">
      <c r="B2" s="169" t="s">
        <v>29</v>
      </c>
      <c r="C2" s="169"/>
      <c r="D2" s="169"/>
      <c r="E2" s="3" t="s">
        <v>16</v>
      </c>
    </row>
    <row r="3" spans="1:5" x14ac:dyDescent="0.2">
      <c r="B3" s="171" t="s">
        <v>236</v>
      </c>
      <c r="C3" s="171" t="s">
        <v>237</v>
      </c>
      <c r="D3" s="171" t="s">
        <v>182</v>
      </c>
      <c r="E3" s="171" t="s">
        <v>238</v>
      </c>
    </row>
    <row r="4" spans="1:5" x14ac:dyDescent="0.2">
      <c r="B4" s="25">
        <v>1</v>
      </c>
      <c r="C4" s="25">
        <v>2</v>
      </c>
      <c r="D4" s="25">
        <f>SUM(B4:C4)</f>
        <v>3</v>
      </c>
      <c r="E4" s="25">
        <v>2</v>
      </c>
    </row>
    <row r="5" spans="1:5" x14ac:dyDescent="0.2">
      <c r="A5" s="170">
        <v>43072</v>
      </c>
      <c r="B5" s="9">
        <v>4</v>
      </c>
      <c r="C5" s="9">
        <v>2</v>
      </c>
      <c r="D5" s="9">
        <f t="shared" ref="D5:D18" si="0">SUM(B5:C5)</f>
        <v>6</v>
      </c>
      <c r="E5" s="9">
        <v>4</v>
      </c>
    </row>
    <row r="6" spans="1:5" x14ac:dyDescent="0.2">
      <c r="A6" s="1" t="s">
        <v>203</v>
      </c>
      <c r="B6" s="9">
        <v>8</v>
      </c>
      <c r="C6" s="9">
        <v>1</v>
      </c>
      <c r="D6" s="9">
        <f t="shared" si="0"/>
        <v>9</v>
      </c>
      <c r="E6" s="9">
        <v>2</v>
      </c>
    </row>
    <row r="7" spans="1:5" x14ac:dyDescent="0.2">
      <c r="B7" s="9">
        <v>2</v>
      </c>
      <c r="C7" s="9"/>
      <c r="D7" s="9">
        <f t="shared" si="0"/>
        <v>2</v>
      </c>
      <c r="E7" s="9">
        <v>1</v>
      </c>
    </row>
    <row r="8" spans="1:5" x14ac:dyDescent="0.2">
      <c r="A8" s="170">
        <v>43075</v>
      </c>
      <c r="B8" s="9">
        <v>1</v>
      </c>
      <c r="C8" s="9"/>
      <c r="D8" s="9">
        <f t="shared" si="0"/>
        <v>1</v>
      </c>
      <c r="E8" s="9">
        <v>74</v>
      </c>
    </row>
    <row r="9" spans="1:5" x14ac:dyDescent="0.2">
      <c r="A9" s="1" t="s">
        <v>204</v>
      </c>
      <c r="B9" s="9">
        <v>18</v>
      </c>
      <c r="C9" s="9"/>
      <c r="D9" s="9">
        <f t="shared" si="0"/>
        <v>18</v>
      </c>
      <c r="E9" s="9">
        <v>6</v>
      </c>
    </row>
    <row r="10" spans="1:5" x14ac:dyDescent="0.2">
      <c r="A10" s="1" t="s">
        <v>205</v>
      </c>
      <c r="B10" s="9">
        <v>3</v>
      </c>
      <c r="C10" s="9"/>
      <c r="D10" s="9">
        <f t="shared" si="0"/>
        <v>3</v>
      </c>
      <c r="E10" s="9"/>
    </row>
    <row r="11" spans="1:5" x14ac:dyDescent="0.2">
      <c r="A11" s="1" t="s">
        <v>206</v>
      </c>
      <c r="B11" s="9">
        <v>4</v>
      </c>
      <c r="C11" s="9"/>
      <c r="D11" s="9">
        <f t="shared" si="0"/>
        <v>4</v>
      </c>
      <c r="E11" s="9"/>
    </row>
    <row r="12" spans="1:5" x14ac:dyDescent="0.2">
      <c r="B12" s="9">
        <v>7</v>
      </c>
      <c r="C12" s="9"/>
      <c r="D12" s="9">
        <f t="shared" si="0"/>
        <v>7</v>
      </c>
      <c r="E12" s="9"/>
    </row>
    <row r="13" spans="1:5" x14ac:dyDescent="0.2">
      <c r="A13" s="170">
        <v>43076</v>
      </c>
      <c r="B13" s="9">
        <v>33</v>
      </c>
      <c r="C13" s="9"/>
      <c r="D13" s="9">
        <f t="shared" si="0"/>
        <v>33</v>
      </c>
      <c r="E13" s="9"/>
    </row>
    <row r="14" spans="1:5" x14ac:dyDescent="0.2">
      <c r="A14" s="1" t="s">
        <v>207</v>
      </c>
      <c r="B14" s="9">
        <v>7</v>
      </c>
      <c r="C14" s="9"/>
      <c r="D14" s="9">
        <f t="shared" si="0"/>
        <v>7</v>
      </c>
      <c r="E14" s="9"/>
    </row>
    <row r="15" spans="1:5" x14ac:dyDescent="0.2">
      <c r="A15" s="1" t="s">
        <v>208</v>
      </c>
      <c r="B15" s="9">
        <v>11</v>
      </c>
      <c r="C15" s="9"/>
      <c r="D15" s="9">
        <f t="shared" si="0"/>
        <v>11</v>
      </c>
      <c r="E15" s="9"/>
    </row>
    <row r="16" spans="1:5" x14ac:dyDescent="0.2">
      <c r="B16" s="9">
        <v>6</v>
      </c>
      <c r="C16" s="9"/>
      <c r="D16" s="9">
        <f t="shared" si="0"/>
        <v>6</v>
      </c>
      <c r="E16" s="9"/>
    </row>
    <row r="17" spans="1:6" x14ac:dyDescent="0.2">
      <c r="A17" s="170">
        <v>43083</v>
      </c>
      <c r="B17" s="9">
        <v>33</v>
      </c>
      <c r="C17" s="9"/>
      <c r="D17" s="9">
        <f t="shared" si="0"/>
        <v>33</v>
      </c>
      <c r="E17" s="9"/>
    </row>
    <row r="18" spans="1:6" ht="10.8" thickBot="1" x14ac:dyDescent="0.25">
      <c r="A18" s="1" t="s">
        <v>209</v>
      </c>
      <c r="B18" s="30">
        <v>4</v>
      </c>
      <c r="C18" s="30"/>
      <c r="D18" s="30">
        <f t="shared" si="0"/>
        <v>4</v>
      </c>
      <c r="E18" s="30"/>
    </row>
    <row r="19" spans="1:6" ht="10.8" thickTop="1" x14ac:dyDescent="0.2">
      <c r="A19" s="1" t="s">
        <v>210</v>
      </c>
      <c r="B19" s="173" t="s">
        <v>175</v>
      </c>
      <c r="D19" s="3">
        <f>SUM(D4:D18)</f>
        <v>147</v>
      </c>
      <c r="E19" s="3">
        <f>SUM(E4:E18)</f>
        <v>89</v>
      </c>
      <c r="F19" s="3">
        <f>SUM(D19:E19)</f>
        <v>236</v>
      </c>
    </row>
    <row r="20" spans="1:6" x14ac:dyDescent="0.2">
      <c r="D20" s="20">
        <f>D19/$F$19</f>
        <v>0.6228813559322034</v>
      </c>
      <c r="E20" s="20">
        <f>E19/$F$19</f>
        <v>0.3771186440677966</v>
      </c>
    </row>
    <row r="21" spans="1:6" x14ac:dyDescent="0.2">
      <c r="A21" s="170">
        <v>43084</v>
      </c>
    </row>
    <row r="22" spans="1:6" x14ac:dyDescent="0.2">
      <c r="A22" s="1" t="s">
        <v>211</v>
      </c>
    </row>
    <row r="24" spans="1:6" x14ac:dyDescent="0.2">
      <c r="A24" s="170">
        <v>43085</v>
      </c>
    </row>
    <row r="25" spans="1:6" x14ac:dyDescent="0.2">
      <c r="A25" s="1" t="s">
        <v>212</v>
      </c>
    </row>
    <row r="26" spans="1:6" x14ac:dyDescent="0.2">
      <c r="A26" s="1" t="s">
        <v>213</v>
      </c>
    </row>
    <row r="28" spans="1:6" x14ac:dyDescent="0.2">
      <c r="A28" s="170">
        <v>43086</v>
      </c>
    </row>
    <row r="29" spans="1:6" x14ac:dyDescent="0.2">
      <c r="A29" s="1" t="s">
        <v>214</v>
      </c>
    </row>
    <row r="30" spans="1:6" x14ac:dyDescent="0.2">
      <c r="A30" s="1" t="s">
        <v>215</v>
      </c>
    </row>
    <row r="32" spans="1:6" x14ac:dyDescent="0.2">
      <c r="A32" s="170">
        <v>43089</v>
      </c>
    </row>
    <row r="33" spans="1:1" x14ac:dyDescent="0.2">
      <c r="A33" s="1" t="s">
        <v>216</v>
      </c>
    </row>
    <row r="35" spans="1:1" x14ac:dyDescent="0.2">
      <c r="A35" s="170">
        <v>43091</v>
      </c>
    </row>
    <row r="36" spans="1:1" x14ac:dyDescent="0.2">
      <c r="A36" s="1" t="s">
        <v>217</v>
      </c>
    </row>
    <row r="37" spans="1:1" x14ac:dyDescent="0.2">
      <c r="A37" s="1" t="s">
        <v>218</v>
      </c>
    </row>
    <row r="38" spans="1:1" x14ac:dyDescent="0.2">
      <c r="A38" s="1" t="s">
        <v>219</v>
      </c>
    </row>
    <row r="39" spans="1:1" x14ac:dyDescent="0.2">
      <c r="A39" s="172" t="s">
        <v>220</v>
      </c>
    </row>
    <row r="40" spans="1:1" x14ac:dyDescent="0.2">
      <c r="A40" s="1" t="s">
        <v>221</v>
      </c>
    </row>
    <row r="41" spans="1:1" x14ac:dyDescent="0.2">
      <c r="A41" s="1" t="s">
        <v>222</v>
      </c>
    </row>
    <row r="42" spans="1:1" x14ac:dyDescent="0.2">
      <c r="A42" s="1" t="s">
        <v>223</v>
      </c>
    </row>
    <row r="44" spans="1:1" x14ac:dyDescent="0.2">
      <c r="A44" s="170">
        <v>43094</v>
      </c>
    </row>
    <row r="45" spans="1:1" x14ac:dyDescent="0.2">
      <c r="A45" s="1" t="s">
        <v>224</v>
      </c>
    </row>
    <row r="47" spans="1:1" x14ac:dyDescent="0.2">
      <c r="A47" s="170">
        <v>43095</v>
      </c>
    </row>
    <row r="48" spans="1:1" x14ac:dyDescent="0.2">
      <c r="A48" s="1" t="s">
        <v>225</v>
      </c>
    </row>
    <row r="49" spans="1:1" x14ac:dyDescent="0.2">
      <c r="A49" s="1" t="s">
        <v>226</v>
      </c>
    </row>
    <row r="50" spans="1:1" x14ac:dyDescent="0.2">
      <c r="A50" s="1" t="s">
        <v>227</v>
      </c>
    </row>
    <row r="51" spans="1:1" x14ac:dyDescent="0.2">
      <c r="A51" s="1" t="s">
        <v>228</v>
      </c>
    </row>
    <row r="52" spans="1:1" x14ac:dyDescent="0.2">
      <c r="A52" s="1" t="s">
        <v>229</v>
      </c>
    </row>
    <row r="53" spans="1:1" x14ac:dyDescent="0.2">
      <c r="A53" s="1" t="s">
        <v>230</v>
      </c>
    </row>
    <row r="55" spans="1:1" x14ac:dyDescent="0.2">
      <c r="A55" s="170">
        <v>43097</v>
      </c>
    </row>
    <row r="56" spans="1:1" x14ac:dyDescent="0.2">
      <c r="A56" s="1" t="s">
        <v>231</v>
      </c>
    </row>
    <row r="58" spans="1:1" x14ac:dyDescent="0.2">
      <c r="A58" s="170">
        <v>43098</v>
      </c>
    </row>
    <row r="59" spans="1:1" x14ac:dyDescent="0.2">
      <c r="A59" s="1" t="s">
        <v>232</v>
      </c>
    </row>
    <row r="61" spans="1:1" x14ac:dyDescent="0.2">
      <c r="A61" s="168">
        <v>43099</v>
      </c>
    </row>
    <row r="62" spans="1:1" x14ac:dyDescent="0.2">
      <c r="A62" s="1" t="s">
        <v>233</v>
      </c>
    </row>
    <row r="63" spans="1:1" x14ac:dyDescent="0.2">
      <c r="A63" s="1" t="s">
        <v>234</v>
      </c>
    </row>
    <row r="64" spans="1:1" x14ac:dyDescent="0.2">
      <c r="A64" s="1" t="s">
        <v>235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12"/>
  <sheetViews>
    <sheetView workbookViewId="0">
      <selection activeCell="C5" sqref="C5"/>
    </sheetView>
  </sheetViews>
  <sheetFormatPr defaultRowHeight="10.199999999999999" x14ac:dyDescent="0.2"/>
  <cols>
    <col min="1" max="1" width="8.796875" style="1"/>
    <col min="2" max="2" width="15.69921875" style="66" customWidth="1"/>
    <col min="3" max="3" width="15.69921875" style="1" customWidth="1"/>
    <col min="4" max="4" width="9.796875" style="71" bestFit="1" customWidth="1"/>
    <col min="5" max="5" width="9.796875" style="1" customWidth="1"/>
    <col min="6" max="6" width="17.59765625" style="1" bestFit="1" customWidth="1"/>
    <col min="7" max="16384" width="8.796875" style="1"/>
  </cols>
  <sheetData>
    <row r="1" spans="2:9" x14ac:dyDescent="0.2">
      <c r="D1" s="1"/>
    </row>
    <row r="2" spans="2:9" x14ac:dyDescent="0.2">
      <c r="B2" s="3" t="s">
        <v>99</v>
      </c>
      <c r="D2" s="1"/>
      <c r="G2" s="1" t="s">
        <v>150</v>
      </c>
    </row>
    <row r="3" spans="2:9" x14ac:dyDescent="0.2">
      <c r="C3" s="3"/>
      <c r="D3" s="1"/>
    </row>
    <row r="4" spans="2:9" s="96" customFormat="1" ht="20.399999999999999" x14ac:dyDescent="0.25">
      <c r="B4" s="58" t="s">
        <v>105</v>
      </c>
      <c r="C4" s="58" t="s">
        <v>100</v>
      </c>
      <c r="D4" s="58" t="s">
        <v>102</v>
      </c>
      <c r="E4" s="58" t="s">
        <v>110</v>
      </c>
      <c r="F4" s="58" t="s">
        <v>111</v>
      </c>
      <c r="G4" s="58" t="s">
        <v>101</v>
      </c>
    </row>
    <row r="5" spans="2:9" x14ac:dyDescent="0.2">
      <c r="B5" s="123" t="s">
        <v>77</v>
      </c>
      <c r="C5" s="25" t="s">
        <v>98</v>
      </c>
      <c r="D5" s="124">
        <f>900*4.5</f>
        <v>4050</v>
      </c>
      <c r="E5" s="125">
        <v>5</v>
      </c>
      <c r="F5" s="125">
        <f>D5/(E5*12)</f>
        <v>67.5</v>
      </c>
      <c r="G5" s="128" t="s">
        <v>242</v>
      </c>
    </row>
    <row r="6" spans="2:9" x14ac:dyDescent="0.2">
      <c r="B6" s="121" t="s">
        <v>77</v>
      </c>
      <c r="C6" s="9" t="s">
        <v>104</v>
      </c>
      <c r="D6" s="126">
        <v>5300</v>
      </c>
      <c r="E6" s="127">
        <v>5</v>
      </c>
      <c r="F6" s="127">
        <f t="shared" ref="F6:F11" si="0">D6/(E6*12)</f>
        <v>88.333333333333329</v>
      </c>
      <c r="G6" s="128" t="s">
        <v>106</v>
      </c>
    </row>
    <row r="7" spans="2:9" x14ac:dyDescent="0.2">
      <c r="B7" s="121" t="s">
        <v>156</v>
      </c>
      <c r="C7" s="9" t="s">
        <v>109</v>
      </c>
      <c r="D7" s="126">
        <v>4600</v>
      </c>
      <c r="E7" s="127">
        <v>5</v>
      </c>
      <c r="F7" s="127">
        <f t="shared" si="0"/>
        <v>76.666666666666671</v>
      </c>
      <c r="G7" s="128" t="s">
        <v>149</v>
      </c>
    </row>
    <row r="8" spans="2:9" x14ac:dyDescent="0.2">
      <c r="B8" s="121" t="s">
        <v>77</v>
      </c>
      <c r="C8" s="9" t="s">
        <v>153</v>
      </c>
      <c r="D8" s="126">
        <f>750*4.5</f>
        <v>3375</v>
      </c>
      <c r="E8" s="127">
        <v>3</v>
      </c>
      <c r="F8" s="127">
        <f t="shared" si="0"/>
        <v>93.75</v>
      </c>
      <c r="G8" s="128" t="s">
        <v>152</v>
      </c>
    </row>
    <row r="9" spans="2:9" x14ac:dyDescent="0.2">
      <c r="B9" s="121" t="s">
        <v>77</v>
      </c>
      <c r="C9" s="9" t="s">
        <v>154</v>
      </c>
      <c r="D9" s="126">
        <f>360*4.5</f>
        <v>1620</v>
      </c>
      <c r="E9" s="127">
        <v>3</v>
      </c>
      <c r="F9" s="127">
        <f t="shared" si="0"/>
        <v>45</v>
      </c>
      <c r="G9" s="128" t="s">
        <v>155</v>
      </c>
    </row>
    <row r="10" spans="2:9" x14ac:dyDescent="0.2">
      <c r="B10" s="121" t="s">
        <v>77</v>
      </c>
      <c r="C10" s="9" t="s">
        <v>158</v>
      </c>
      <c r="D10" s="126">
        <f>1570*4.5</f>
        <v>7065</v>
      </c>
      <c r="E10" s="127">
        <v>3</v>
      </c>
      <c r="F10" s="127">
        <f t="shared" si="0"/>
        <v>196.25</v>
      </c>
      <c r="G10" s="128" t="s">
        <v>157</v>
      </c>
      <c r="I10" s="94"/>
    </row>
    <row r="11" spans="2:9" ht="10.8" thickBot="1" x14ac:dyDescent="0.25">
      <c r="B11" s="129" t="s">
        <v>77</v>
      </c>
      <c r="C11" s="30" t="s">
        <v>159</v>
      </c>
      <c r="D11" s="130">
        <v>30000</v>
      </c>
      <c r="E11" s="131">
        <v>5</v>
      </c>
      <c r="F11" s="131">
        <f t="shared" si="0"/>
        <v>500</v>
      </c>
      <c r="G11" s="30"/>
    </row>
    <row r="12" spans="2:9" s="87" customFormat="1" ht="31.2" thickTop="1" x14ac:dyDescent="0.25">
      <c r="B12" s="88" t="s">
        <v>160</v>
      </c>
      <c r="D12" s="97"/>
      <c r="F12" s="122">
        <f>SUM(F5:F11)</f>
        <v>1067.5</v>
      </c>
    </row>
  </sheetData>
  <hyperlinks>
    <hyperlink ref="G5" r:id="rId1" xr:uid="{00000000-0004-0000-0700-000000000000}"/>
    <hyperlink ref="G6" r:id="rId2" xr:uid="{00000000-0004-0000-0700-000001000000}"/>
    <hyperlink ref="G7" r:id="rId3" xr:uid="{00000000-0004-0000-0700-000002000000}"/>
    <hyperlink ref="G8" r:id="rId4" xr:uid="{00000000-0004-0000-0700-000003000000}"/>
    <hyperlink ref="G9" r:id="rId5" xr:uid="{00000000-0004-0000-0700-000004000000}"/>
    <hyperlink ref="G10" r:id="rId6" xr:uid="{00000000-0004-0000-0700-000005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R18"/>
  <sheetViews>
    <sheetView workbookViewId="0">
      <selection activeCell="B25" sqref="B25"/>
    </sheetView>
  </sheetViews>
  <sheetFormatPr defaultRowHeight="13.8" x14ac:dyDescent="0.25"/>
  <cols>
    <col min="1" max="16384" width="8.796875" style="177"/>
  </cols>
  <sheetData>
    <row r="18" spans="18:18" x14ac:dyDescent="0.25">
      <c r="R18" s="177" t="s">
        <v>246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Financial Statements</vt:lpstr>
      <vt:lpstr>Break-Even Point</vt:lpstr>
      <vt:lpstr>Raw Material Summary</vt:lpstr>
      <vt:lpstr>Raw Materials Detailed</vt:lpstr>
      <vt:lpstr>Labor</vt:lpstr>
      <vt:lpstr>Overheads</vt:lpstr>
      <vt:lpstr>Dec' 17 Actual Sales</vt:lpstr>
      <vt:lpstr>PPE</vt:lpstr>
      <vt:lpstr>SNC</vt:lpstr>
      <vt:lpstr>'Financial Statements'!Print_Area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Serghei Dragan</dc:creator>
  <cp:lastModifiedBy>Dell-Admin</cp:lastModifiedBy>
  <dcterms:created xsi:type="dcterms:W3CDTF">2015-11-18T11:08:58Z</dcterms:created>
  <dcterms:modified xsi:type="dcterms:W3CDTF">2020-02-21T18:28:04Z</dcterms:modified>
</cp:coreProperties>
</file>