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20" activeTab="2"/>
  </bookViews>
  <sheets>
    <sheet name="Annual Summary" sheetId="7" r:id="rId1"/>
    <sheet name="Quarterly Summary" sheetId="6" r:id="rId2"/>
    <sheet name="Quarterly Summary Historical" sheetId="27" r:id="rId3"/>
    <sheet name="Transaction Structure" sheetId="2" r:id="rId4"/>
    <sheet name="Operating Model" sheetId="1" r:id="rId5"/>
    <sheet name="Original - Metrics" sheetId="9" state="hidden" r:id="rId6"/>
    <sheet name="Original - Metrics (formatted)" sheetId="10" state="hidden" r:id="rId7"/>
    <sheet name="Unit of Economics_Assumptions" sheetId="20" r:id="rId8"/>
    <sheet name="Unit of Economics" sheetId="11" r:id="rId9"/>
    <sheet name="Unit_Econmics_Breakdown" sheetId="28" r:id="rId10"/>
    <sheet name="Public-Comps" sheetId="22" r:id="rId11"/>
    <sheet name="Public - Dil.Shares" sheetId="24" r:id="rId12"/>
    <sheet name="ValSum" sheetId="23" r:id="rId13"/>
    <sheet name="M&amp;A Comps" sheetId="25" r:id="rId14"/>
    <sheet name="Supplemental Sheets -&gt;" sheetId="26" r:id="rId15"/>
    <sheet name="Region Breakdown" sheetId="8" r:id="rId16"/>
    <sheet name="Share Conversion" sheetId="3" r:id="rId17"/>
    <sheet name="YoY Estimates" sheetId="14" r:id="rId18"/>
    <sheet name="QoQ Estimates_Edited" sheetId="21" r:id="rId19"/>
    <sheet name="QoQ Estimates" sheetId="13" r:id="rId20"/>
    <sheet name="MASTER DCF" sheetId="17" r:id="rId21"/>
  </sheets>
  <externalReferences>
    <externalReference r:id="rId22"/>
    <externalReference r:id="rId23"/>
    <externalReference r:id="rId24"/>
    <externalReference r:id="rId25"/>
    <externalReference r:id="rId26"/>
  </externalReferences>
  <definedNames>
    <definedName name="CircBrk">[1]Transaction!$O$2</definedName>
    <definedName name="Closing_Date" localSheetId="18">#REF!</definedName>
    <definedName name="Closing_Date" localSheetId="7">#REF!</definedName>
    <definedName name="Closing_Date" localSheetId="9">'[5]Transaction Structure'!$K$22</definedName>
    <definedName name="Closing_Date">'Transaction Structure'!$K$22</definedName>
    <definedName name="ClosingDate">[1]Transaction!$K$4</definedName>
    <definedName name="CreatedFor">'[2]Peer Group'!$D$5</definedName>
    <definedName name="CreatedForTitle">'[2]Peer Group'!$C$5</definedName>
    <definedName name="Diluted_Shares" localSheetId="13">[3]ValSum!$E$35</definedName>
    <definedName name="Diluted_Shares" localSheetId="9">[5]ValSum!$E$35</definedName>
    <definedName name="Diluted_Shares">ValSum!$E$35</definedName>
    <definedName name="Equity_Value">'Transaction Structure'!$K$40</definedName>
    <definedName name="FT_GROUP">'[4]Developing Store'!$D$20</definedName>
    <definedName name="FT_SIMPLE">'[4]Developing Store'!$D$22</definedName>
    <definedName name="FT_SIMPLE_BORDERED">'[4]Developing Store'!$D$24</definedName>
    <definedName name="FT_SUB_GROUP">'[4]Developing Store'!$D$26</definedName>
    <definedName name="_xlnm.Print_Area" localSheetId="0">'Annual Summary'!$B$2:$L$56</definedName>
    <definedName name="_xlnm.Print_Area" localSheetId="20">'MASTER DCF'!$B$2:$O$59</definedName>
    <definedName name="_xlnm.Print_Area" localSheetId="10">'Public-Comps'!$A$1:$Z$40</definedName>
    <definedName name="_xlnm.Print_Area" localSheetId="1">'Quarterly Summary'!$B$2:$V$56</definedName>
    <definedName name="_xlnm.Print_Area" localSheetId="2">'Quarterly Summary Historical'!$B$2:$J$28</definedName>
    <definedName name="_xlnm.Print_Area" localSheetId="12">ValSum!$A$1:$N$39</definedName>
    <definedName name="Purchase_Multiple">'Transaction Structure'!$K$27</definedName>
  </definedNames>
  <calcPr calcId="162913"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8" l="1" a="1"/>
  <c r="E8" i="28" s="1"/>
  <c r="E35" i="28" s="1"/>
  <c r="F8" i="28" a="1"/>
  <c r="F8" i="28" s="1"/>
  <c r="G8" i="28" a="1"/>
  <c r="G8" i="28"/>
  <c r="H8" i="28" a="1"/>
  <c r="H8" i="28" s="1"/>
  <c r="H9" i="28" s="1"/>
  <c r="I8" i="28" a="1"/>
  <c r="I8" i="28" s="1"/>
  <c r="I9" i="28" s="1"/>
  <c r="J8" i="28" a="1"/>
  <c r="J8" i="28" s="1"/>
  <c r="J9" i="28" s="1"/>
  <c r="K8" i="28" a="1"/>
  <c r="K8" i="28" s="1"/>
  <c r="K9" i="28" s="1"/>
  <c r="D8" i="28" a="1"/>
  <c r="D8" i="28" s="1"/>
  <c r="K49" i="28"/>
  <c r="J49" i="28"/>
  <c r="I49" i="28"/>
  <c r="H49" i="28"/>
  <c r="G49" i="28"/>
  <c r="F49" i="28"/>
  <c r="E49" i="28"/>
  <c r="K48" i="28"/>
  <c r="J48" i="28"/>
  <c r="I48" i="28"/>
  <c r="H48" i="28"/>
  <c r="G48" i="28"/>
  <c r="F48" i="28"/>
  <c r="E48" i="28"/>
  <c r="K47" i="28"/>
  <c r="J47" i="28"/>
  <c r="I47" i="28"/>
  <c r="H47" i="28"/>
  <c r="G47" i="28"/>
  <c r="F47" i="28"/>
  <c r="E47" i="28"/>
  <c r="K46" i="28"/>
  <c r="J46" i="28"/>
  <c r="I46" i="28"/>
  <c r="H46" i="28"/>
  <c r="G46" i="28"/>
  <c r="F46" i="28"/>
  <c r="E46" i="28"/>
  <c r="F43" i="28"/>
  <c r="J42" i="28"/>
  <c r="H42" i="28"/>
  <c r="F42" i="28"/>
  <c r="D42" i="28"/>
  <c r="J41" i="28"/>
  <c r="F41" i="28"/>
  <c r="D41" i="28"/>
  <c r="J40" i="28"/>
  <c r="F40" i="28"/>
  <c r="D40" i="28"/>
  <c r="J39" i="28"/>
  <c r="J43" i="28" s="1"/>
  <c r="F39" i="28"/>
  <c r="D39" i="28"/>
  <c r="D43" i="28" s="1"/>
  <c r="K36" i="28"/>
  <c r="J36" i="28"/>
  <c r="I36" i="28"/>
  <c r="H36" i="28"/>
  <c r="G36" i="28"/>
  <c r="K37" i="28" s="1"/>
  <c r="F36" i="28"/>
  <c r="E36" i="28"/>
  <c r="D36" i="28"/>
  <c r="K34" i="28"/>
  <c r="J34" i="28"/>
  <c r="I34" i="28"/>
  <c r="H34" i="28"/>
  <c r="G34" i="28"/>
  <c r="F34" i="28"/>
  <c r="E34" i="28"/>
  <c r="E42" i="28" s="1"/>
  <c r="D34" i="28"/>
  <c r="K27" i="28"/>
  <c r="K25" i="28"/>
  <c r="J25" i="28"/>
  <c r="I25" i="28"/>
  <c r="H25" i="28"/>
  <c r="K23" i="28"/>
  <c r="J23" i="28"/>
  <c r="I23" i="28"/>
  <c r="H23" i="28"/>
  <c r="G23" i="28"/>
  <c r="F23" i="28"/>
  <c r="E23" i="28"/>
  <c r="K19" i="28"/>
  <c r="J19" i="28"/>
  <c r="I19" i="28"/>
  <c r="H19" i="28"/>
  <c r="H18" i="28"/>
  <c r="K17" i="28"/>
  <c r="J17" i="28"/>
  <c r="I17" i="28"/>
  <c r="H17" i="28"/>
  <c r="G17" i="28"/>
  <c r="I18" i="28" s="1"/>
  <c r="F17" i="28"/>
  <c r="E17" i="28"/>
  <c r="K13" i="28"/>
  <c r="J13" i="28"/>
  <c r="I13" i="28"/>
  <c r="H13" i="28"/>
  <c r="K11" i="28"/>
  <c r="J11" i="28"/>
  <c r="I11" i="28"/>
  <c r="H11" i="28"/>
  <c r="G11" i="28"/>
  <c r="F11" i="28"/>
  <c r="E11" i="28"/>
  <c r="AE6" i="28"/>
  <c r="AD6" i="28"/>
  <c r="AC6" i="28"/>
  <c r="AB6" i="28"/>
  <c r="AA6" i="28"/>
  <c r="Z6" i="28"/>
  <c r="Y6" i="28"/>
  <c r="X6" i="28"/>
  <c r="W6" i="28"/>
  <c r="V6" i="28"/>
  <c r="U6" i="28"/>
  <c r="T6" i="28"/>
  <c r="S6" i="28"/>
  <c r="R6" i="28"/>
  <c r="Q6" i="28"/>
  <c r="P6" i="28"/>
  <c r="O6" i="28"/>
  <c r="N6" i="28"/>
  <c r="M6" i="28"/>
  <c r="L6" i="28"/>
  <c r="K6" i="28"/>
  <c r="J6" i="28"/>
  <c r="I6" i="28"/>
  <c r="H6" i="28"/>
  <c r="G6" i="28"/>
  <c r="F6" i="28"/>
  <c r="E6" i="28"/>
  <c r="D6" i="28"/>
  <c r="AE5" i="28"/>
  <c r="AD5" i="28"/>
  <c r="AC5" i="28"/>
  <c r="AB5" i="28"/>
  <c r="AA5" i="28"/>
  <c r="Z5" i="28"/>
  <c r="Y5" i="28"/>
  <c r="X5" i="28"/>
  <c r="W5" i="28"/>
  <c r="V5" i="28"/>
  <c r="U5" i="28"/>
  <c r="T5" i="28"/>
  <c r="S5" i="28"/>
  <c r="R5" i="28"/>
  <c r="Q5" i="28"/>
  <c r="P5" i="28"/>
  <c r="O5" i="28"/>
  <c r="N5" i="28"/>
  <c r="M5" i="28"/>
  <c r="L5" i="28"/>
  <c r="K5" i="28"/>
  <c r="J5" i="28"/>
  <c r="I5" i="28"/>
  <c r="H5" i="28"/>
  <c r="G5" i="28"/>
  <c r="F5" i="28"/>
  <c r="E5" i="28"/>
  <c r="D5" i="28"/>
  <c r="AE4" i="28"/>
  <c r="AD4" i="28"/>
  <c r="AC4" i="28"/>
  <c r="AB4" i="28"/>
  <c r="AA4" i="28"/>
  <c r="Z4" i="28"/>
  <c r="Y4" i="28"/>
  <c r="X4" i="28"/>
  <c r="W4" i="28"/>
  <c r="V4" i="28"/>
  <c r="U4" i="28"/>
  <c r="T4" i="28"/>
  <c r="S4" i="28"/>
  <c r="R4" i="28"/>
  <c r="Q4" i="28"/>
  <c r="P4" i="28"/>
  <c r="O4" i="28"/>
  <c r="N4" i="28"/>
  <c r="M4" i="28"/>
  <c r="L4" i="28"/>
  <c r="K4" i="28"/>
  <c r="J4" i="28"/>
  <c r="I4" i="28"/>
  <c r="H4" i="28"/>
  <c r="G4" i="28"/>
  <c r="F4" i="28"/>
  <c r="E4" i="28"/>
  <c r="D4" i="28"/>
  <c r="D3" i="28"/>
  <c r="F9" i="28" l="1"/>
  <c r="G9" i="28"/>
  <c r="F35" i="28"/>
  <c r="J35" i="28"/>
  <c r="E9" i="28"/>
  <c r="D35" i="28"/>
  <c r="I12" i="28"/>
  <c r="J12" i="28"/>
  <c r="K41" i="28"/>
  <c r="K42" i="28"/>
  <c r="L42" i="28" s="1"/>
  <c r="K40" i="28"/>
  <c r="H12" i="28"/>
  <c r="J18" i="28"/>
  <c r="H24" i="28"/>
  <c r="K39" i="28"/>
  <c r="K18" i="28"/>
  <c r="G42" i="28"/>
  <c r="G41" i="28"/>
  <c r="G39" i="28"/>
  <c r="G43" i="28" s="1"/>
  <c r="G35" i="28"/>
  <c r="H41" i="28"/>
  <c r="H39" i="28"/>
  <c r="H43" i="28" s="1"/>
  <c r="H35" i="28"/>
  <c r="K35" i="28"/>
  <c r="K12" i="28"/>
  <c r="I41" i="28"/>
  <c r="I39" i="28"/>
  <c r="I43" i="28" s="1"/>
  <c r="I35" i="28"/>
  <c r="I42" i="28"/>
  <c r="I40" i="28"/>
  <c r="G40" i="28"/>
  <c r="K24" i="28"/>
  <c r="J24" i="28"/>
  <c r="I24" i="28"/>
  <c r="H40" i="28"/>
  <c r="E39" i="28"/>
  <c r="E41" i="28"/>
  <c r="E40" i="28"/>
  <c r="L41" i="28" l="1"/>
  <c r="E43" i="28"/>
  <c r="K43" i="28"/>
  <c r="M42" i="28"/>
  <c r="L40" i="28"/>
  <c r="M41" i="28" l="1"/>
  <c r="N42" i="28"/>
  <c r="M40" i="28"/>
  <c r="L44" i="28"/>
  <c r="L39" i="28" s="1"/>
  <c r="N40" i="28" l="1"/>
  <c r="O42" i="28"/>
  <c r="M39" i="28"/>
  <c r="L43" i="28"/>
  <c r="N41" i="28"/>
  <c r="M43" i="28" l="1"/>
  <c r="N39" i="28"/>
  <c r="P42" i="28"/>
  <c r="O41" i="28"/>
  <c r="O40" i="28"/>
  <c r="Q42" i="28" l="1"/>
  <c r="P40" i="28"/>
  <c r="O39" i="28"/>
  <c r="N43" i="28"/>
  <c r="P41" i="28"/>
  <c r="Q40" i="28" l="1"/>
  <c r="R42" i="28"/>
  <c r="P39" i="28"/>
  <c r="O43" i="28"/>
  <c r="Q41" i="28"/>
  <c r="Q39" i="28" l="1"/>
  <c r="P43" i="28"/>
  <c r="S42" i="28"/>
  <c r="R40" i="28"/>
  <c r="R41" i="28"/>
  <c r="R39" i="28" l="1"/>
  <c r="Q43" i="28"/>
  <c r="S40" i="28"/>
  <c r="T42" i="28"/>
  <c r="S41" i="28"/>
  <c r="R43" i="28" l="1"/>
  <c r="S39" i="28"/>
  <c r="T41" i="28"/>
  <c r="U42" i="28"/>
  <c r="T40" i="28"/>
  <c r="V42" i="28" l="1"/>
  <c r="U41" i="28"/>
  <c r="S43" i="28"/>
  <c r="T39" i="28"/>
  <c r="U40" i="28"/>
  <c r="W42" i="28" l="1"/>
  <c r="V41" i="28"/>
  <c r="V40" i="28"/>
  <c r="U39" i="28"/>
  <c r="T43" i="28"/>
  <c r="W41" i="28" l="1"/>
  <c r="W40" i="28"/>
  <c r="U43" i="28"/>
  <c r="V39" i="28"/>
  <c r="X42" i="28"/>
  <c r="Y42" i="28" l="1"/>
  <c r="W39" i="28"/>
  <c r="V43" i="28"/>
  <c r="X40" i="28"/>
  <c r="X41" i="28"/>
  <c r="Z42" i="28" l="1"/>
  <c r="Y40" i="28"/>
  <c r="X39" i="28"/>
  <c r="W43" i="28"/>
  <c r="Y41" i="28"/>
  <c r="Y39" i="28" l="1"/>
  <c r="X43" i="28"/>
  <c r="Z40" i="28"/>
  <c r="Z41" i="28"/>
  <c r="AA42" i="28"/>
  <c r="AA41" i="28" l="1"/>
  <c r="AA40" i="28"/>
  <c r="AB42" i="28"/>
  <c r="Z39" i="28"/>
  <c r="Y43" i="28"/>
  <c r="AB40" i="28" l="1"/>
  <c r="AC42" i="28"/>
  <c r="Z43" i="28"/>
  <c r="AA39" i="28"/>
  <c r="AB41" i="28"/>
  <c r="AA43" i="28" l="1"/>
  <c r="AB39" i="28"/>
  <c r="AC41" i="28"/>
  <c r="AD42" i="28"/>
  <c r="AC40" i="28"/>
  <c r="AD40" i="28" l="1"/>
  <c r="AD41" i="28"/>
  <c r="AC39" i="28"/>
  <c r="AB43" i="28"/>
  <c r="AE42" i="28"/>
  <c r="AE41" i="28" l="1"/>
  <c r="AE40" i="28"/>
  <c r="AC43" i="28"/>
  <c r="AD39" i="28"/>
  <c r="AE39" i="28" l="1"/>
  <c r="AD43" i="28"/>
  <c r="AE43" i="28" l="1"/>
  <c r="B2" i="27" l="1"/>
  <c r="J5" i="27"/>
  <c r="J4" i="27" s="1"/>
  <c r="J3" i="27" l="1"/>
  <c r="T353" i="1" l="1"/>
  <c r="U353" i="1"/>
  <c r="V353" i="1"/>
  <c r="W353" i="1"/>
  <c r="X353" i="1"/>
  <c r="Y353" i="1"/>
  <c r="Z353" i="1"/>
  <c r="AA353" i="1"/>
  <c r="AB353" i="1"/>
  <c r="AC353" i="1"/>
  <c r="AD353" i="1"/>
  <c r="AE353" i="1"/>
  <c r="AF353" i="1"/>
  <c r="AG353" i="1"/>
  <c r="AH353" i="1"/>
  <c r="AI353" i="1"/>
  <c r="AJ353" i="1"/>
  <c r="AK353" i="1"/>
  <c r="AL353" i="1"/>
  <c r="S353" i="1"/>
  <c r="R306" i="1"/>
  <c r="B2" i="6" l="1"/>
  <c r="B2" i="7"/>
  <c r="I8" i="25"/>
  <c r="J8" i="25"/>
  <c r="K8" i="25"/>
  <c r="E8" i="25"/>
  <c r="G6" i="25"/>
  <c r="G8" i="25" s="1"/>
  <c r="F6" i="25"/>
  <c r="H6" i="25"/>
  <c r="H5" i="25"/>
  <c r="H8" i="25" s="1"/>
  <c r="F5" i="25"/>
  <c r="F8" i="25" s="1"/>
  <c r="K33" i="2" s="1"/>
  <c r="D28" i="24"/>
  <c r="D29" i="24" s="1"/>
  <c r="D30" i="24" s="1"/>
  <c r="D31" i="24" s="1"/>
  <c r="D32" i="24" s="1"/>
  <c r="D33" i="24" s="1"/>
  <c r="D34" i="24" s="1"/>
  <c r="D35" i="24" s="1"/>
  <c r="D36" i="24" s="1"/>
  <c r="D37" i="24" s="1"/>
  <c r="D38" i="24" s="1"/>
  <c r="D39" i="24" s="1"/>
  <c r="D40" i="24" s="1"/>
  <c r="K25" i="24"/>
  <c r="J25" i="24"/>
  <c r="I25" i="24"/>
  <c r="H25" i="24"/>
  <c r="G25" i="24"/>
  <c r="D12" i="24"/>
  <c r="D13" i="24" s="1"/>
  <c r="D14" i="24" s="1"/>
  <c r="D15" i="24" s="1"/>
  <c r="D16" i="24" s="1"/>
  <c r="D17" i="24" s="1"/>
  <c r="D18" i="24" s="1"/>
  <c r="D19" i="24" s="1"/>
  <c r="D20" i="24" s="1"/>
  <c r="D21" i="24" s="1"/>
  <c r="D22" i="24" s="1"/>
  <c r="D23" i="24" s="1"/>
  <c r="D24" i="24" s="1"/>
  <c r="F11" i="24"/>
  <c r="F25" i="24" s="1"/>
  <c r="F9" i="24"/>
  <c r="K5" i="24"/>
  <c r="J5" i="24"/>
  <c r="J42" i="24" s="1"/>
  <c r="I5" i="24"/>
  <c r="I42" i="24" s="1"/>
  <c r="H5" i="24"/>
  <c r="H42" i="24" s="1"/>
  <c r="G5" i="24"/>
  <c r="F5" i="24"/>
  <c r="F43" i="24" s="1"/>
  <c r="B20" i="23"/>
  <c r="B19" i="23"/>
  <c r="B17" i="23"/>
  <c r="B16" i="23"/>
  <c r="B14" i="23"/>
  <c r="B13" i="23"/>
  <c r="H12" i="23" a="1"/>
  <c r="C39" i="22"/>
  <c r="B39" i="22"/>
  <c r="C31" i="22"/>
  <c r="B31" i="22"/>
  <c r="C30" i="22"/>
  <c r="B30" i="22"/>
  <c r="C29" i="22"/>
  <c r="B29" i="22"/>
  <c r="C28" i="22"/>
  <c r="B28" i="22"/>
  <c r="C27" i="22"/>
  <c r="B27" i="22"/>
  <c r="C26" i="22"/>
  <c r="B26" i="22"/>
  <c r="R25" i="22"/>
  <c r="O25" i="22"/>
  <c r="L25" i="22"/>
  <c r="Y21" i="22"/>
  <c r="X21" i="22"/>
  <c r="W21" i="22"/>
  <c r="V21" i="22"/>
  <c r="U21" i="22"/>
  <c r="J21" i="22"/>
  <c r="I21" i="22"/>
  <c r="H21" i="22"/>
  <c r="G21" i="22"/>
  <c r="F21" i="22"/>
  <c r="T19" i="22"/>
  <c r="S19" i="22"/>
  <c r="R19" i="22"/>
  <c r="Q19" i="22"/>
  <c r="P19" i="22"/>
  <c r="O19" i="22"/>
  <c r="N19" i="22"/>
  <c r="M19" i="22"/>
  <c r="L19" i="22"/>
  <c r="D19" i="22"/>
  <c r="T18" i="22"/>
  <c r="S18" i="22"/>
  <c r="R18" i="22"/>
  <c r="Q18" i="22"/>
  <c r="P18" i="22"/>
  <c r="O18" i="22"/>
  <c r="N18" i="22"/>
  <c r="M18" i="22"/>
  <c r="L18" i="22"/>
  <c r="D18" i="22"/>
  <c r="T17" i="22"/>
  <c r="S17" i="22"/>
  <c r="R17" i="22"/>
  <c r="Q17" i="22"/>
  <c r="P17" i="22"/>
  <c r="O17" i="22"/>
  <c r="N17" i="22"/>
  <c r="M17" i="22"/>
  <c r="L17" i="22"/>
  <c r="D17" i="22"/>
  <c r="T16" i="22"/>
  <c r="S16" i="22"/>
  <c r="R16" i="22"/>
  <c r="Q16" i="22"/>
  <c r="P16" i="22"/>
  <c r="O16" i="22"/>
  <c r="N16" i="22"/>
  <c r="M16" i="22"/>
  <c r="L16" i="22"/>
  <c r="D16" i="22"/>
  <c r="T15" i="22"/>
  <c r="S15" i="22"/>
  <c r="R15" i="22"/>
  <c r="Q15" i="22"/>
  <c r="P15" i="22"/>
  <c r="O15" i="22"/>
  <c r="N15" i="22"/>
  <c r="M15" i="22"/>
  <c r="L15" i="22"/>
  <c r="D15" i="22"/>
  <c r="Y13" i="22"/>
  <c r="X13" i="22"/>
  <c r="W13" i="22"/>
  <c r="V13" i="22"/>
  <c r="U13" i="22"/>
  <c r="Y12" i="22"/>
  <c r="X12" i="22"/>
  <c r="W12" i="22"/>
  <c r="V12" i="22"/>
  <c r="U12" i="22"/>
  <c r="Y11" i="22"/>
  <c r="X11" i="22"/>
  <c r="W11" i="22"/>
  <c r="V11" i="22"/>
  <c r="U11" i="22"/>
  <c r="Y10" i="22"/>
  <c r="X10" i="22"/>
  <c r="W10" i="22"/>
  <c r="V10" i="22"/>
  <c r="U10" i="22"/>
  <c r="Y9" i="22"/>
  <c r="X9" i="22"/>
  <c r="W9" i="22"/>
  <c r="V9" i="22"/>
  <c r="U9" i="22"/>
  <c r="Y8" i="22"/>
  <c r="X8" i="22"/>
  <c r="W8" i="22"/>
  <c r="V8" i="22"/>
  <c r="U8" i="22"/>
  <c r="W7" i="22"/>
  <c r="R7" i="22"/>
  <c r="O7" i="22"/>
  <c r="M7" i="22"/>
  <c r="P25" i="22" l="1"/>
  <c r="S25" i="22"/>
  <c r="M25" i="22"/>
  <c r="X7" i="22"/>
  <c r="P7" i="22"/>
  <c r="N7" i="22"/>
  <c r="U16" i="22"/>
  <c r="U19" i="22"/>
  <c r="U18" i="22"/>
  <c r="U17" i="22"/>
  <c r="W18" i="22"/>
  <c r="W15" i="22"/>
  <c r="Y16" i="22"/>
  <c r="V18" i="22"/>
  <c r="W16" i="22"/>
  <c r="T39" i="22"/>
  <c r="S39" i="22"/>
  <c r="R39" i="22"/>
  <c r="F39" i="22"/>
  <c r="H15" i="23"/>
  <c r="H18" i="23"/>
  <c r="H17" i="23"/>
  <c r="H16" i="23"/>
  <c r="G42" i="24"/>
  <c r="G43" i="24"/>
  <c r="G44" i="24" s="1"/>
  <c r="G45" i="24" s="1"/>
  <c r="E9" i="22" s="1"/>
  <c r="F9" i="22" s="1"/>
  <c r="K42" i="24"/>
  <c r="K43" i="24"/>
  <c r="V19" i="22"/>
  <c r="Y15" i="22"/>
  <c r="V15" i="22"/>
  <c r="X17" i="22"/>
  <c r="V17" i="22"/>
  <c r="X16" i="22"/>
  <c r="V16" i="22"/>
  <c r="W17" i="22"/>
  <c r="W19" i="22"/>
  <c r="T27" i="22"/>
  <c r="K9" i="22"/>
  <c r="F27" i="22"/>
  <c r="R27" i="22"/>
  <c r="S27" i="22"/>
  <c r="X19" i="22"/>
  <c r="X18" i="22"/>
  <c r="Y19" i="22"/>
  <c r="Y18" i="22"/>
  <c r="Y17" i="22"/>
  <c r="X15" i="22"/>
  <c r="Q25" i="22"/>
  <c r="T7" i="22"/>
  <c r="N25" i="22"/>
  <c r="K21" i="22"/>
  <c r="K44" i="24"/>
  <c r="K45" i="24" s="1"/>
  <c r="E13" i="22" s="1"/>
  <c r="F13" i="22" s="1"/>
  <c r="F42" i="24"/>
  <c r="F44" i="24" s="1"/>
  <c r="F45" i="24" s="1"/>
  <c r="E8" i="22" s="1"/>
  <c r="F8" i="22" s="1"/>
  <c r="H43" i="24"/>
  <c r="H44" i="24" s="1"/>
  <c r="H45" i="24" s="1"/>
  <c r="E10" i="22" s="1"/>
  <c r="F10" i="22" s="1"/>
  <c r="I43" i="24"/>
  <c r="I44" i="24" s="1"/>
  <c r="I45" i="24" s="1"/>
  <c r="E11" i="22" s="1"/>
  <c r="F11" i="22" s="1"/>
  <c r="J43" i="24"/>
  <c r="J44" i="24" s="1"/>
  <c r="J45" i="24" s="1"/>
  <c r="E12" i="22" s="1"/>
  <c r="F12" i="22" s="1"/>
  <c r="S7" i="22"/>
  <c r="H13" i="23"/>
  <c r="H19" i="23"/>
  <c r="H12" i="23"/>
  <c r="H20" i="23"/>
  <c r="U15" i="22"/>
  <c r="H14" i="23"/>
  <c r="T25" i="22" l="1"/>
  <c r="Y7" i="22"/>
  <c r="Q7" i="22"/>
  <c r="T26" i="22"/>
  <c r="F19" i="22"/>
  <c r="S26" i="22"/>
  <c r="F18" i="22"/>
  <c r="R26" i="22"/>
  <c r="F26" i="22"/>
  <c r="F17" i="22"/>
  <c r="F16" i="22"/>
  <c r="K8" i="22"/>
  <c r="F15" i="22"/>
  <c r="R28" i="22"/>
  <c r="F28" i="22"/>
  <c r="K10" i="22"/>
  <c r="T28" i="22"/>
  <c r="S28" i="22"/>
  <c r="F29" i="22"/>
  <c r="T29" i="22"/>
  <c r="R29" i="22"/>
  <c r="S29" i="22"/>
  <c r="K11" i="22"/>
  <c r="S31" i="22"/>
  <c r="R31" i="22"/>
  <c r="F31" i="22"/>
  <c r="K13" i="22"/>
  <c r="T31" i="22"/>
  <c r="O39" i="22"/>
  <c r="N39" i="22"/>
  <c r="L39" i="22"/>
  <c r="K39" i="22"/>
  <c r="M39" i="22"/>
  <c r="Q39" i="22"/>
  <c r="P39" i="22"/>
  <c r="O27" i="22"/>
  <c r="N27" i="22"/>
  <c r="M27" i="22"/>
  <c r="L27" i="22"/>
  <c r="K27" i="22"/>
  <c r="Q27" i="22"/>
  <c r="P27" i="22"/>
  <c r="K12" i="22"/>
  <c r="T30" i="22"/>
  <c r="R30" i="22"/>
  <c r="F30" i="22"/>
  <c r="S30" i="22"/>
  <c r="O31" i="22" l="1"/>
  <c r="P31" i="22"/>
  <c r="Q31" i="22"/>
  <c r="K31" i="22"/>
  <c r="N31" i="22"/>
  <c r="M31" i="22"/>
  <c r="L31" i="22"/>
  <c r="L26" i="22"/>
  <c r="K18" i="22"/>
  <c r="K26" i="22"/>
  <c r="K17" i="22"/>
  <c r="Q26" i="22"/>
  <c r="K16" i="22"/>
  <c r="K15" i="22"/>
  <c r="O26" i="22"/>
  <c r="N26" i="22"/>
  <c r="K19" i="22"/>
  <c r="P26" i="22"/>
  <c r="M26" i="22"/>
  <c r="T37" i="22"/>
  <c r="T34" i="22"/>
  <c r="T36" i="22"/>
  <c r="T33" i="22"/>
  <c r="T35" i="22"/>
  <c r="F35" i="22"/>
  <c r="F34" i="22"/>
  <c r="F37" i="22"/>
  <c r="F33" i="22"/>
  <c r="F36" i="22"/>
  <c r="Q28" i="22"/>
  <c r="O28" i="22"/>
  <c r="P28" i="22"/>
  <c r="L28" i="22"/>
  <c r="K28" i="22"/>
  <c r="N28" i="22"/>
  <c r="M28" i="22"/>
  <c r="M29" i="22"/>
  <c r="L29" i="22"/>
  <c r="K29" i="22"/>
  <c r="O29" i="22"/>
  <c r="N29" i="22"/>
  <c r="Q29" i="22"/>
  <c r="P29" i="22"/>
  <c r="S37" i="22"/>
  <c r="S36" i="22"/>
  <c r="S34" i="22"/>
  <c r="S35" i="22"/>
  <c r="S33" i="22"/>
  <c r="P30" i="22"/>
  <c r="O30" i="22"/>
  <c r="M30" i="22"/>
  <c r="N30" i="22"/>
  <c r="L30" i="22"/>
  <c r="Q30" i="22"/>
  <c r="K30" i="22"/>
  <c r="R35" i="22"/>
  <c r="R34" i="22"/>
  <c r="R37" i="22"/>
  <c r="R36" i="22"/>
  <c r="R33" i="22"/>
  <c r="N36" i="22" l="1"/>
  <c r="N35" i="22"/>
  <c r="N33" i="22"/>
  <c r="N34" i="22"/>
  <c r="N37" i="22"/>
  <c r="L37" i="22"/>
  <c r="L34" i="22"/>
  <c r="L36" i="22"/>
  <c r="L33" i="22"/>
  <c r="L35" i="22"/>
  <c r="O36" i="22"/>
  <c r="O33" i="22"/>
  <c r="O35" i="22"/>
  <c r="K28" i="2" s="1"/>
  <c r="O34" i="22"/>
  <c r="O37" i="22"/>
  <c r="Q35" i="22"/>
  <c r="Q37" i="22"/>
  <c r="Q34" i="22"/>
  <c r="Q36" i="22"/>
  <c r="Q33" i="22"/>
  <c r="M34" i="22"/>
  <c r="M33" i="22"/>
  <c r="M36" i="22"/>
  <c r="M35" i="22"/>
  <c r="M37" i="22"/>
  <c r="P33" i="22"/>
  <c r="P37" i="22"/>
  <c r="P35" i="22"/>
  <c r="P34" i="22"/>
  <c r="P36" i="22"/>
  <c r="K37" i="22"/>
  <c r="K34" i="22"/>
  <c r="K36" i="22"/>
  <c r="K35" i="22"/>
  <c r="K33" i="22"/>
  <c r="C12" i="23" l="1" a="1"/>
  <c r="D20" i="23" l="1"/>
  <c r="L32" i="23" s="1"/>
  <c r="L20" i="23" s="1"/>
  <c r="F18" i="23"/>
  <c r="J30" i="23" s="1"/>
  <c r="J18" i="23" s="1"/>
  <c r="C17" i="23"/>
  <c r="M29" i="23" s="1"/>
  <c r="M17" i="23" s="1"/>
  <c r="E15" i="23"/>
  <c r="K27" i="23" s="1"/>
  <c r="K15" i="23" s="1"/>
  <c r="G13" i="23"/>
  <c r="I25" i="23" s="1"/>
  <c r="I13" i="23" s="1"/>
  <c r="D12" i="23"/>
  <c r="L24" i="23" s="1"/>
  <c r="L12" i="23" s="1"/>
  <c r="C20" i="23"/>
  <c r="M32" i="23" s="1"/>
  <c r="M20" i="23" s="1"/>
  <c r="E18" i="23"/>
  <c r="K30" i="23" s="1"/>
  <c r="K18" i="23" s="1"/>
  <c r="G16" i="23"/>
  <c r="I28" i="23" s="1"/>
  <c r="I16" i="23" s="1"/>
  <c r="D15" i="23"/>
  <c r="L27" i="23" s="1"/>
  <c r="L15" i="23" s="1"/>
  <c r="F13" i="23"/>
  <c r="J25" i="23" s="1"/>
  <c r="J13" i="23" s="1"/>
  <c r="C12" i="23"/>
  <c r="M24" i="23" s="1"/>
  <c r="M12" i="23" s="1"/>
  <c r="C18" i="23"/>
  <c r="M30" i="23" s="1"/>
  <c r="M18" i="23" s="1"/>
  <c r="E16" i="23"/>
  <c r="K28" i="23" s="1"/>
  <c r="K16" i="23" s="1"/>
  <c r="D13" i="23"/>
  <c r="L25" i="23" s="1"/>
  <c r="L13" i="23" s="1"/>
  <c r="G19" i="23"/>
  <c r="I31" i="23" s="1"/>
  <c r="I19" i="23" s="1"/>
  <c r="D18" i="23"/>
  <c r="L30" i="23" s="1"/>
  <c r="L18" i="23" s="1"/>
  <c r="F16" i="23"/>
  <c r="J28" i="23" s="1"/>
  <c r="J16" i="23" s="1"/>
  <c r="C15" i="23"/>
  <c r="M27" i="23" s="1"/>
  <c r="M15" i="23" s="1"/>
  <c r="E13" i="23"/>
  <c r="K25" i="23" s="1"/>
  <c r="K13" i="23" s="1"/>
  <c r="F19" i="23"/>
  <c r="J31" i="23" s="1"/>
  <c r="J19" i="23" s="1"/>
  <c r="G14" i="23"/>
  <c r="I26" i="23" s="1"/>
  <c r="I14" i="23" s="1"/>
  <c r="E19" i="23"/>
  <c r="K31" i="23" s="1"/>
  <c r="K19" i="23" s="1"/>
  <c r="G17" i="23"/>
  <c r="I29" i="23" s="1"/>
  <c r="I17" i="23" s="1"/>
  <c r="D16" i="23"/>
  <c r="L28" i="23" s="1"/>
  <c r="L16" i="23" s="1"/>
  <c r="F14" i="23"/>
  <c r="J26" i="23" s="1"/>
  <c r="J14" i="23" s="1"/>
  <c r="C13" i="23"/>
  <c r="M25" i="23" s="1"/>
  <c r="M13" i="23" s="1"/>
  <c r="G18" i="23"/>
  <c r="I30" i="23" s="1"/>
  <c r="I18" i="23" s="1"/>
  <c r="D14" i="23"/>
  <c r="L26" i="23" s="1"/>
  <c r="L14" i="23" s="1"/>
  <c r="F17" i="23"/>
  <c r="J29" i="23" s="1"/>
  <c r="J17" i="23" s="1"/>
  <c r="C14" i="23"/>
  <c r="M26" i="23" s="1"/>
  <c r="M14" i="23" s="1"/>
  <c r="G15" i="23"/>
  <c r="I27" i="23" s="1"/>
  <c r="I15" i="23" s="1"/>
  <c r="E17" i="23"/>
  <c r="K29" i="23" s="1"/>
  <c r="K17" i="23" s="1"/>
  <c r="G12" i="23"/>
  <c r="I24" i="23" s="1"/>
  <c r="G20" i="23"/>
  <c r="I32" i="23" s="1"/>
  <c r="I20" i="23" s="1"/>
  <c r="D17" i="23"/>
  <c r="L29" i="23" s="1"/>
  <c r="L17" i="23" s="1"/>
  <c r="F12" i="23"/>
  <c r="J24" i="23" s="1"/>
  <c r="J12" i="23" s="1"/>
  <c r="F20" i="23"/>
  <c r="J32" i="23" s="1"/>
  <c r="J20" i="23" s="1"/>
  <c r="C16" i="23"/>
  <c r="M28" i="23" s="1"/>
  <c r="M16" i="23" s="1"/>
  <c r="E12" i="23"/>
  <c r="K24" i="23" s="1"/>
  <c r="K12" i="23" s="1"/>
  <c r="E20" i="23"/>
  <c r="K32" i="23" s="1"/>
  <c r="K20" i="23" s="1"/>
  <c r="D19" i="23"/>
  <c r="L31" i="23" s="1"/>
  <c r="L19" i="23" s="1"/>
  <c r="F15" i="23"/>
  <c r="J27" i="23" s="1"/>
  <c r="J15" i="23" s="1"/>
  <c r="C19" i="23"/>
  <c r="M31" i="23" s="1"/>
  <c r="M19" i="23" s="1"/>
  <c r="E14" i="23"/>
  <c r="K26" i="23" s="1"/>
  <c r="K14" i="23" s="1"/>
  <c r="E22" i="23" l="1"/>
  <c r="E33" i="23" s="1"/>
  <c r="E37" i="23" s="1"/>
  <c r="E38" i="23" s="1"/>
  <c r="I12" i="23"/>
  <c r="I175" i="20" l="1"/>
  <c r="J175" i="20" s="1"/>
  <c r="K175" i="20" s="1"/>
  <c r="I173" i="20"/>
  <c r="J173" i="20" s="1"/>
  <c r="C175" i="20"/>
  <c r="D175" i="20" s="1"/>
  <c r="C173" i="20"/>
  <c r="D173" i="20" s="1"/>
  <c r="E173" i="20" s="1"/>
  <c r="I161" i="20"/>
  <c r="J161" i="20" s="1"/>
  <c r="K161" i="20" s="1"/>
  <c r="I159" i="20"/>
  <c r="J159" i="20" s="1"/>
  <c r="K159" i="20" s="1"/>
  <c r="C161" i="20"/>
  <c r="D161" i="20" s="1"/>
  <c r="E161" i="20" s="1"/>
  <c r="C159" i="20"/>
  <c r="D159" i="20" s="1"/>
  <c r="E159" i="20" s="1"/>
  <c r="C147" i="20"/>
  <c r="D147" i="20" s="1"/>
  <c r="E147" i="20" s="1"/>
  <c r="C145" i="20"/>
  <c r="D145" i="20" s="1"/>
  <c r="E145" i="20" s="1"/>
  <c r="G58" i="2"/>
  <c r="P25" i="2"/>
  <c r="P26" i="2"/>
  <c r="P27" i="2"/>
  <c r="P24" i="2"/>
  <c r="O25" i="2"/>
  <c r="O26" i="2"/>
  <c r="O27" i="2"/>
  <c r="O24" i="2"/>
  <c r="L244" i="1"/>
  <c r="O244" i="1"/>
  <c r="E175" i="20" l="1"/>
  <c r="K173" i="20"/>
  <c r="B189" i="20"/>
  <c r="G4" i="1"/>
  <c r="C101" i="21" l="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R41" i="21"/>
  <c r="Q41" i="21"/>
  <c r="P41" i="21"/>
  <c r="O41" i="21"/>
  <c r="N41" i="21"/>
  <c r="M41" i="21"/>
  <c r="L41" i="21"/>
  <c r="K41" i="21"/>
  <c r="J41" i="21"/>
  <c r="I41" i="21"/>
  <c r="H41" i="21"/>
  <c r="C40" i="21"/>
  <c r="C39" i="21"/>
  <c r="C38" i="21"/>
  <c r="C37" i="21"/>
  <c r="C36" i="21"/>
  <c r="C35" i="21"/>
  <c r="C34" i="21"/>
  <c r="C33" i="21"/>
  <c r="R31" i="21"/>
  <c r="Q31" i="21"/>
  <c r="P31" i="21"/>
  <c r="O31" i="21"/>
  <c r="N31" i="21"/>
  <c r="M31" i="21"/>
  <c r="L31" i="21"/>
  <c r="K31" i="21"/>
  <c r="J31" i="21"/>
  <c r="I31" i="21"/>
  <c r="H31" i="21"/>
  <c r="C30" i="21"/>
  <c r="C29" i="21"/>
  <c r="C28" i="21"/>
  <c r="C27" i="21"/>
  <c r="C26" i="21"/>
  <c r="C20" i="21"/>
  <c r="C19" i="21"/>
  <c r="C18" i="21"/>
  <c r="R16" i="21"/>
  <c r="Q16" i="21"/>
  <c r="P16" i="21"/>
  <c r="O16" i="21"/>
  <c r="N16" i="21"/>
  <c r="M16" i="21"/>
  <c r="L16" i="21"/>
  <c r="K16" i="21"/>
  <c r="J16" i="21"/>
  <c r="I16" i="21"/>
  <c r="H16" i="21"/>
  <c r="C15" i="21"/>
  <c r="C14" i="21"/>
  <c r="C13" i="21"/>
  <c r="C12" i="21"/>
  <c r="C11" i="21"/>
  <c r="E225" i="20"/>
  <c r="F225" i="20" s="1"/>
  <c r="G225" i="20" s="1"/>
  <c r="H225" i="20" s="1"/>
  <c r="D224" i="20"/>
  <c r="B224" i="20"/>
  <c r="Y211" i="20"/>
  <c r="X211" i="20"/>
  <c r="W211" i="20"/>
  <c r="V211" i="20"/>
  <c r="T211" i="20"/>
  <c r="S211" i="20"/>
  <c r="R211" i="20"/>
  <c r="Q211" i="20"/>
  <c r="O211" i="20"/>
  <c r="N211" i="20"/>
  <c r="M211" i="20"/>
  <c r="L211" i="20"/>
  <c r="J211" i="20"/>
  <c r="E191" i="20"/>
  <c r="F191" i="20" s="1"/>
  <c r="F190" i="20" s="1"/>
  <c r="D190" i="20"/>
  <c r="I153" i="20"/>
  <c r="J153" i="20" s="1"/>
  <c r="K153" i="20" s="1"/>
  <c r="C153" i="20"/>
  <c r="D153" i="20" s="1"/>
  <c r="E153" i="20" s="1"/>
  <c r="I151" i="20"/>
  <c r="J151" i="20" s="1"/>
  <c r="K151" i="20" s="1"/>
  <c r="C151" i="20"/>
  <c r="D151" i="20" s="1"/>
  <c r="E151" i="20" s="1"/>
  <c r="I149" i="20"/>
  <c r="C149" i="20"/>
  <c r="Y117" i="20"/>
  <c r="E123" i="20" s="1"/>
  <c r="K235" i="20" s="1"/>
  <c r="X117" i="20"/>
  <c r="J123" i="20" s="1"/>
  <c r="J234" i="20" s="1"/>
  <c r="W117" i="20"/>
  <c r="C123" i="20" s="1"/>
  <c r="V117" i="20"/>
  <c r="N123" i="20" s="1"/>
  <c r="H233" i="20" s="1"/>
  <c r="T117" i="20"/>
  <c r="K122" i="20" s="1"/>
  <c r="G234" i="20" s="1"/>
  <c r="S117" i="20"/>
  <c r="P122" i="20" s="1"/>
  <c r="F233" i="20" s="1"/>
  <c r="R117" i="20"/>
  <c r="O122" i="20" s="1"/>
  <c r="E233" i="20" s="1"/>
  <c r="Q117" i="20"/>
  <c r="H122" i="20" s="1"/>
  <c r="D234" i="20" s="1"/>
  <c r="Y116" i="20"/>
  <c r="X116" i="20"/>
  <c r="W116" i="20"/>
  <c r="V116" i="20"/>
  <c r="T116" i="20"/>
  <c r="S116" i="20"/>
  <c r="R116" i="20"/>
  <c r="Q116" i="20"/>
  <c r="Y115" i="20"/>
  <c r="X115" i="20"/>
  <c r="W115" i="20"/>
  <c r="V115" i="20"/>
  <c r="T115" i="20"/>
  <c r="S115" i="20"/>
  <c r="R115" i="20"/>
  <c r="Q115" i="20"/>
  <c r="O114" i="20"/>
  <c r="N114" i="20"/>
  <c r="M114" i="20"/>
  <c r="A103" i="20"/>
  <c r="A102" i="20"/>
  <c r="A101" i="20"/>
  <c r="A100" i="20"/>
  <c r="A99" i="20"/>
  <c r="A98" i="20"/>
  <c r="A97" i="20"/>
  <c r="C81" i="20"/>
  <c r="D81" i="20" s="1"/>
  <c r="E81" i="20" s="1"/>
  <c r="F81" i="20" s="1"/>
  <c r="G81" i="20" s="1"/>
  <c r="H81" i="20" s="1"/>
  <c r="I81" i="20" s="1"/>
  <c r="AH70" i="20"/>
  <c r="AG68" i="20"/>
  <c r="AE69" i="20"/>
  <c r="AD69" i="20"/>
  <c r="AC68" i="20"/>
  <c r="AA70" i="20"/>
  <c r="Z68" i="20"/>
  <c r="Y70" i="20"/>
  <c r="W69" i="20"/>
  <c r="V68" i="20"/>
  <c r="U69" i="20"/>
  <c r="S68" i="20"/>
  <c r="R70" i="20"/>
  <c r="Q68" i="20"/>
  <c r="O70" i="20"/>
  <c r="AH67" i="20"/>
  <c r="AG66" i="20"/>
  <c r="AE66" i="20"/>
  <c r="AD66" i="20"/>
  <c r="AC65" i="20"/>
  <c r="AA67" i="20"/>
  <c r="Z67" i="20"/>
  <c r="Y67" i="20"/>
  <c r="W67" i="20"/>
  <c r="V66" i="20"/>
  <c r="U66" i="20"/>
  <c r="S66" i="20"/>
  <c r="R66" i="20"/>
  <c r="Q65" i="20"/>
  <c r="O67"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AH52" i="20"/>
  <c r="AG52" i="20"/>
  <c r="AF52" i="20"/>
  <c r="AE52" i="20"/>
  <c r="AD52" i="20"/>
  <c r="AC52" i="20"/>
  <c r="AB52" i="20"/>
  <c r="AA52" i="20"/>
  <c r="Z52" i="20"/>
  <c r="Y52" i="20"/>
  <c r="X52" i="20"/>
  <c r="V52" i="20"/>
  <c r="U52" i="20"/>
  <c r="T52" i="20"/>
  <c r="S52" i="20"/>
  <c r="R52" i="20"/>
  <c r="Q52" i="20"/>
  <c r="P52" i="20"/>
  <c r="O52" i="20"/>
  <c r="AH73" i="20"/>
  <c r="AG73" i="20"/>
  <c r="AE73" i="20"/>
  <c r="AD72" i="20"/>
  <c r="AC71" i="20"/>
  <c r="AA72" i="20"/>
  <c r="Z71" i="20"/>
  <c r="Y73" i="20"/>
  <c r="W73" i="20"/>
  <c r="V72" i="20"/>
  <c r="U73" i="20"/>
  <c r="S72" i="20"/>
  <c r="R71" i="20"/>
  <c r="Q71" i="20"/>
  <c r="O73" i="20"/>
  <c r="N52" i="20"/>
  <c r="M52" i="20"/>
  <c r="L52" i="20"/>
  <c r="K52" i="20"/>
  <c r="J52" i="20"/>
  <c r="H52" i="20"/>
  <c r="G52"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C41" i="20"/>
  <c r="B41" i="20"/>
  <c r="C40" i="20"/>
  <c r="B40" i="20"/>
  <c r="C39" i="20"/>
  <c r="B39" i="20"/>
  <c r="C38" i="20"/>
  <c r="B38" i="20"/>
  <c r="C37" i="20"/>
  <c r="B37" i="20"/>
  <c r="I30" i="20"/>
  <c r="C9" i="20"/>
  <c r="L106" i="20"/>
  <c r="I106" i="20"/>
  <c r="F106" i="20"/>
  <c r="E106" i="20"/>
  <c r="A106" i="20"/>
  <c r="N105" i="20"/>
  <c r="M105" i="20"/>
  <c r="K66" i="20"/>
  <c r="I105" i="20"/>
  <c r="F105" i="20"/>
  <c r="E105" i="20"/>
  <c r="D105" i="20"/>
  <c r="A105" i="20"/>
  <c r="N104" i="20"/>
  <c r="L104" i="20"/>
  <c r="F104" i="20"/>
  <c r="A104" i="20"/>
  <c r="E37" i="20" l="1"/>
  <c r="B133" i="20"/>
  <c r="D239" i="20" s="1"/>
  <c r="H133" i="20"/>
  <c r="D238" i="20" s="1"/>
  <c r="N133" i="20"/>
  <c r="D237" i="20" s="1"/>
  <c r="C133" i="20"/>
  <c r="E239" i="20" s="1"/>
  <c r="I133" i="20"/>
  <c r="E238" i="20" s="1"/>
  <c r="O133" i="20"/>
  <c r="E237" i="20" s="1"/>
  <c r="D133" i="20"/>
  <c r="F239" i="20" s="1"/>
  <c r="J133" i="20"/>
  <c r="F238" i="20" s="1"/>
  <c r="P133" i="20"/>
  <c r="F237" i="20" s="1"/>
  <c r="E133" i="20"/>
  <c r="G239" i="20" s="1"/>
  <c r="K133" i="20"/>
  <c r="G238" i="20" s="1"/>
  <c r="Q133" i="20"/>
  <c r="G237" i="20" s="1"/>
  <c r="B134" i="20"/>
  <c r="B136" i="20" s="1"/>
  <c r="H134" i="20"/>
  <c r="H136" i="20" s="1"/>
  <c r="N134" i="20"/>
  <c r="H237" i="20" s="1"/>
  <c r="C134" i="20"/>
  <c r="I239" i="20" s="1"/>
  <c r="I134" i="20"/>
  <c r="O134" i="20"/>
  <c r="D134" i="20"/>
  <c r="J134" i="20"/>
  <c r="J136" i="20" s="1"/>
  <c r="J138" i="20" s="1"/>
  <c r="P134" i="20"/>
  <c r="E134" i="20"/>
  <c r="K239" i="20" s="1"/>
  <c r="K134" i="20"/>
  <c r="K238" i="20" s="1"/>
  <c r="Q134" i="20"/>
  <c r="K237" i="20" s="1"/>
  <c r="E38" i="20"/>
  <c r="E40" i="20"/>
  <c r="J73" i="20"/>
  <c r="J111" i="20" s="1"/>
  <c r="H27" i="20"/>
  <c r="M70" i="20"/>
  <c r="G73" i="20"/>
  <c r="G111" i="20" s="1"/>
  <c r="H239" i="20"/>
  <c r="J238" i="20"/>
  <c r="N71" i="20"/>
  <c r="O109" i="20" s="1"/>
  <c r="J66" i="20"/>
  <c r="J65" i="20"/>
  <c r="N72" i="20"/>
  <c r="O110" i="20" s="1"/>
  <c r="N30" i="20"/>
  <c r="J11" i="20"/>
  <c r="H77" i="20"/>
  <c r="M30" i="20"/>
  <c r="E224" i="20"/>
  <c r="H238" i="20"/>
  <c r="E41" i="20"/>
  <c r="Q122" i="20"/>
  <c r="G233" i="20" s="1"/>
  <c r="G226" i="20" s="1"/>
  <c r="V89" i="1" s="1"/>
  <c r="M29" i="20"/>
  <c r="E227" i="20"/>
  <c r="T90" i="1" s="1"/>
  <c r="F227" i="20"/>
  <c r="U90" i="1" s="1"/>
  <c r="N67" i="20"/>
  <c r="Q70" i="20"/>
  <c r="P13" i="20"/>
  <c r="D39" i="20" s="1"/>
  <c r="F39" i="20" s="1"/>
  <c r="E29" i="20"/>
  <c r="R65" i="20"/>
  <c r="O72" i="20"/>
  <c r="K123" i="20"/>
  <c r="J30" i="20"/>
  <c r="P11" i="20"/>
  <c r="D37" i="20" s="1"/>
  <c r="F37" i="20" s="1"/>
  <c r="U72" i="20"/>
  <c r="I27" i="20"/>
  <c r="AD67" i="20"/>
  <c r="V73" i="20"/>
  <c r="R68" i="20"/>
  <c r="AC73" i="20"/>
  <c r="C6" i="20"/>
  <c r="C104" i="20" s="1"/>
  <c r="AH68" i="20"/>
  <c r="G227" i="20"/>
  <c r="V90" i="1" s="1"/>
  <c r="J12" i="20"/>
  <c r="R69" i="20"/>
  <c r="M27" i="20"/>
  <c r="O27" i="20"/>
  <c r="G76" i="20"/>
  <c r="D30" i="20"/>
  <c r="P14" i="20"/>
  <c r="D40" i="20" s="1"/>
  <c r="F40" i="20" s="1"/>
  <c r="J15" i="20"/>
  <c r="E28" i="20"/>
  <c r="S54" i="20"/>
  <c r="M66" i="20"/>
  <c r="J68" i="20"/>
  <c r="V69" i="20"/>
  <c r="Z70" i="20"/>
  <c r="R72" i="20"/>
  <c r="Z73" i="20"/>
  <c r="O123" i="20"/>
  <c r="O125" i="20" s="1"/>
  <c r="N136" i="20"/>
  <c r="N138" i="20" s="1"/>
  <c r="V70" i="20"/>
  <c r="P15" i="20"/>
  <c r="D41" i="20" s="1"/>
  <c r="F41" i="20" s="1"/>
  <c r="I65" i="20"/>
  <c r="Z66" i="20"/>
  <c r="Y69" i="20"/>
  <c r="AG70" i="20"/>
  <c r="Q123" i="20"/>
  <c r="V54" i="20" s="1"/>
  <c r="D227" i="20"/>
  <c r="S90" i="1" s="1"/>
  <c r="N106" i="20"/>
  <c r="C8" i="20"/>
  <c r="C106" i="20" s="1"/>
  <c r="O30" i="20"/>
  <c r="AA66" i="20"/>
  <c r="Y68" i="20"/>
  <c r="AG69" i="20"/>
  <c r="K71" i="20"/>
  <c r="L109" i="20" s="1"/>
  <c r="Z72" i="20"/>
  <c r="AD73" i="20"/>
  <c r="E125" i="20"/>
  <c r="G75" i="20"/>
  <c r="J76" i="20"/>
  <c r="S65" i="20"/>
  <c r="AH66" i="20"/>
  <c r="AD68" i="20"/>
  <c r="AH69" i="20"/>
  <c r="U71" i="20"/>
  <c r="AC72" i="20"/>
  <c r="K76" i="20"/>
  <c r="E122" i="20"/>
  <c r="G235" i="20" s="1"/>
  <c r="J149" i="20"/>
  <c r="F224" i="20"/>
  <c r="H227" i="20"/>
  <c r="W90" i="1" s="1"/>
  <c r="E30" i="20"/>
  <c r="L29" i="20"/>
  <c r="J13" i="20"/>
  <c r="E39" i="20"/>
  <c r="I71" i="20"/>
  <c r="I109" i="20" s="1"/>
  <c r="W54" i="20"/>
  <c r="AA54" i="20" s="1"/>
  <c r="AE54" i="20" s="1"/>
  <c r="K69" i="20"/>
  <c r="V65" i="20"/>
  <c r="Q67" i="20"/>
  <c r="AE68" i="20"/>
  <c r="J70" i="20"/>
  <c r="V71" i="20"/>
  <c r="K227" i="20"/>
  <c r="Z90" i="1" s="1"/>
  <c r="P12" i="20"/>
  <c r="D38" i="20" s="1"/>
  <c r="F38" i="20" s="1"/>
  <c r="AA65" i="20"/>
  <c r="S67" i="20"/>
  <c r="M73" i="20"/>
  <c r="N111" i="20" s="1"/>
  <c r="L105" i="20"/>
  <c r="J14" i="20"/>
  <c r="J27" i="20"/>
  <c r="M68" i="20"/>
  <c r="AD65" i="20"/>
  <c r="Q69" i="20"/>
  <c r="AD71" i="20"/>
  <c r="R73" i="20"/>
  <c r="B138" i="20"/>
  <c r="P239" i="20" s="1"/>
  <c r="R238" i="20"/>
  <c r="J140" i="20"/>
  <c r="V238" i="20" s="1"/>
  <c r="E104" i="20"/>
  <c r="E75" i="20"/>
  <c r="U68" i="20"/>
  <c r="N69" i="20"/>
  <c r="G70" i="20"/>
  <c r="H75" i="20"/>
  <c r="G105" i="20"/>
  <c r="I237" i="20"/>
  <c r="O136" i="20"/>
  <c r="H76" i="20"/>
  <c r="H69" i="20"/>
  <c r="H105" i="20"/>
  <c r="H72" i="20"/>
  <c r="H110" i="20" s="1"/>
  <c r="H66" i="20"/>
  <c r="J77" i="20"/>
  <c r="G28" i="20"/>
  <c r="N29" i="20"/>
  <c r="L30" i="20"/>
  <c r="R55" i="20"/>
  <c r="P67" i="20"/>
  <c r="P65" i="20"/>
  <c r="P66" i="20"/>
  <c r="X67" i="20"/>
  <c r="X65" i="20"/>
  <c r="X66" i="20"/>
  <c r="AF67" i="20"/>
  <c r="AF65" i="20"/>
  <c r="AF66" i="20"/>
  <c r="U65" i="20"/>
  <c r="AE65" i="20"/>
  <c r="N66" i="20"/>
  <c r="Y66" i="20"/>
  <c r="G67" i="20"/>
  <c r="R67" i="20"/>
  <c r="AC67" i="20"/>
  <c r="K68" i="20"/>
  <c r="O69" i="20"/>
  <c r="Z69" i="20"/>
  <c r="I70" i="20"/>
  <c r="S70" i="20"/>
  <c r="AD70" i="20"/>
  <c r="M71" i="20"/>
  <c r="N109" i="20" s="1"/>
  <c r="W71" i="20"/>
  <c r="AH71" i="20"/>
  <c r="Q72" i="20"/>
  <c r="N73" i="20"/>
  <c r="O111" i="20" s="1"/>
  <c r="AA73" i="20"/>
  <c r="K75" i="20"/>
  <c r="M76" i="20"/>
  <c r="D104" i="20"/>
  <c r="J105" i="20"/>
  <c r="B123" i="20"/>
  <c r="J125" i="20"/>
  <c r="J239" i="20"/>
  <c r="D136" i="20"/>
  <c r="J237" i="20"/>
  <c r="J227" i="20" s="1"/>
  <c r="Y90" i="1" s="1"/>
  <c r="P136" i="20"/>
  <c r="D149" i="20"/>
  <c r="H28" i="20"/>
  <c r="K65" i="20"/>
  <c r="AG65" i="20"/>
  <c r="W68" i="20"/>
  <c r="AE70" i="20"/>
  <c r="G72" i="20"/>
  <c r="G110" i="20" s="1"/>
  <c r="AE72" i="20"/>
  <c r="Q73" i="20"/>
  <c r="L75" i="20"/>
  <c r="N76" i="20"/>
  <c r="G104" i="20"/>
  <c r="B122" i="20"/>
  <c r="D235" i="20" s="1"/>
  <c r="N125" i="20"/>
  <c r="Q55" i="20"/>
  <c r="AG71" i="20"/>
  <c r="O104" i="20"/>
  <c r="N75" i="20"/>
  <c r="O29" i="20"/>
  <c r="I67" i="20"/>
  <c r="U70" i="20"/>
  <c r="H71" i="20"/>
  <c r="H109" i="20" s="1"/>
  <c r="H65" i="20"/>
  <c r="H68" i="20"/>
  <c r="D106" i="20"/>
  <c r="T72" i="20"/>
  <c r="T73" i="20"/>
  <c r="T71" i="20"/>
  <c r="AB72" i="20"/>
  <c r="AB73" i="20"/>
  <c r="AB71" i="20"/>
  <c r="P69" i="20"/>
  <c r="P70" i="20"/>
  <c r="P68" i="20"/>
  <c r="X69" i="20"/>
  <c r="X70" i="20"/>
  <c r="X68" i="20"/>
  <c r="AF69" i="20"/>
  <c r="AF70" i="20"/>
  <c r="AF68" i="20"/>
  <c r="M65" i="20"/>
  <c r="W65" i="20"/>
  <c r="AH65" i="20"/>
  <c r="Q66" i="20"/>
  <c r="J67" i="20"/>
  <c r="U67" i="20"/>
  <c r="AE67" i="20"/>
  <c r="N68" i="20"/>
  <c r="G69" i="20"/>
  <c r="AC69" i="20"/>
  <c r="K70" i="20"/>
  <c r="O71" i="20"/>
  <c r="I72" i="20"/>
  <c r="I110" i="20" s="1"/>
  <c r="AG72" i="20"/>
  <c r="M75" i="20"/>
  <c r="G77" i="20"/>
  <c r="H104" i="20"/>
  <c r="C122" i="20"/>
  <c r="E235" i="20" s="1"/>
  <c r="H123" i="20"/>
  <c r="W66" i="20"/>
  <c r="AC70" i="20"/>
  <c r="AA69" i="20"/>
  <c r="L27" i="20"/>
  <c r="I75" i="20"/>
  <c r="C7" i="20"/>
  <c r="E77" i="20"/>
  <c r="M106" i="20"/>
  <c r="L70" i="20"/>
  <c r="L73" i="20"/>
  <c r="M111" i="20" s="1"/>
  <c r="L67" i="20"/>
  <c r="G9" i="20"/>
  <c r="J28" i="20"/>
  <c r="H29" i="20"/>
  <c r="I52" i="20"/>
  <c r="N65" i="20"/>
  <c r="Y65" i="20"/>
  <c r="G66" i="20"/>
  <c r="AC66" i="20"/>
  <c r="K67" i="20"/>
  <c r="V67" i="20"/>
  <c r="AG67" i="20"/>
  <c r="O68" i="20"/>
  <c r="I69" i="20"/>
  <c r="S69" i="20"/>
  <c r="W70" i="20"/>
  <c r="AA71" i="20"/>
  <c r="J72" i="20"/>
  <c r="J110" i="20" s="1"/>
  <c r="AH72" i="20"/>
  <c r="S73" i="20"/>
  <c r="I104" i="20"/>
  <c r="O105" i="20"/>
  <c r="I123" i="20"/>
  <c r="I238" i="20"/>
  <c r="I136" i="20"/>
  <c r="C136" i="20"/>
  <c r="L68" i="20"/>
  <c r="L71" i="20"/>
  <c r="M109" i="20" s="1"/>
  <c r="L65" i="20"/>
  <c r="O66" i="20"/>
  <c r="Y71" i="20"/>
  <c r="I28" i="20"/>
  <c r="G29" i="20"/>
  <c r="J75" i="20"/>
  <c r="J104" i="20"/>
  <c r="M77" i="20"/>
  <c r="N27" i="20"/>
  <c r="L28" i="20"/>
  <c r="I29" i="20"/>
  <c r="T66" i="20"/>
  <c r="T67" i="20"/>
  <c r="T65" i="20"/>
  <c r="AB66" i="20"/>
  <c r="AB67" i="20"/>
  <c r="AB65" i="20"/>
  <c r="O65" i="20"/>
  <c r="Z65" i="20"/>
  <c r="I66" i="20"/>
  <c r="M67" i="20"/>
  <c r="AA68" i="20"/>
  <c r="J69" i="20"/>
  <c r="N70" i="20"/>
  <c r="G71" i="20"/>
  <c r="G109" i="20" s="1"/>
  <c r="K72" i="20"/>
  <c r="L110" i="20" s="1"/>
  <c r="W72" i="20"/>
  <c r="I73" i="20"/>
  <c r="I111" i="20" s="1"/>
  <c r="E76" i="20"/>
  <c r="I77" i="20"/>
  <c r="G106" i="20"/>
  <c r="I122" i="20"/>
  <c r="E234" i="20" s="1"/>
  <c r="E226" i="20" s="1"/>
  <c r="T89" i="1" s="1"/>
  <c r="T7" i="1" s="1"/>
  <c r="M8" i="28" s="1" a="1"/>
  <c r="M8" i="28" s="1"/>
  <c r="K234" i="20"/>
  <c r="K125" i="20"/>
  <c r="L238" i="20"/>
  <c r="H138" i="20"/>
  <c r="L72" i="20"/>
  <c r="M110" i="20" s="1"/>
  <c r="L66" i="20"/>
  <c r="L76" i="20"/>
  <c r="L69" i="20"/>
  <c r="J29" i="20"/>
  <c r="G68" i="20"/>
  <c r="S71" i="20"/>
  <c r="M72" i="20"/>
  <c r="N110" i="20" s="1"/>
  <c r="Y72" i="20"/>
  <c r="I76" i="20"/>
  <c r="K77" i="20"/>
  <c r="M104" i="20"/>
  <c r="I233" i="20"/>
  <c r="N238" i="20"/>
  <c r="O28" i="20"/>
  <c r="O106" i="20"/>
  <c r="N77" i="20"/>
  <c r="E27" i="20"/>
  <c r="M28" i="20"/>
  <c r="H73" i="20"/>
  <c r="H111" i="20" s="1"/>
  <c r="H67" i="20"/>
  <c r="H106" i="20"/>
  <c r="H70" i="20"/>
  <c r="G27" i="20"/>
  <c r="N28" i="20"/>
  <c r="P73" i="20"/>
  <c r="P71" i="20"/>
  <c r="P72" i="20"/>
  <c r="X73" i="20"/>
  <c r="X71" i="20"/>
  <c r="X72" i="20"/>
  <c r="AF73" i="20"/>
  <c r="AF71" i="20"/>
  <c r="AF72" i="20"/>
  <c r="P55" i="20"/>
  <c r="T70" i="20"/>
  <c r="T68" i="20"/>
  <c r="T69" i="20"/>
  <c r="AB70" i="20"/>
  <c r="AB68" i="20"/>
  <c r="AB69" i="20"/>
  <c r="G65" i="20"/>
  <c r="I68" i="20"/>
  <c r="M69" i="20"/>
  <c r="J71" i="20"/>
  <c r="J109" i="20" s="1"/>
  <c r="AE71" i="20"/>
  <c r="K73" i="20"/>
  <c r="L111" i="20" s="1"/>
  <c r="L77" i="20"/>
  <c r="J106" i="20"/>
  <c r="C125" i="20"/>
  <c r="I235" i="20"/>
  <c r="N122" i="20"/>
  <c r="D233" i="20" s="1"/>
  <c r="D226" i="20" s="1"/>
  <c r="S89" i="1" s="1"/>
  <c r="S7" i="1" s="1"/>
  <c r="L8" i="28" s="1" a="1"/>
  <c r="L8" i="28" s="1"/>
  <c r="L239" i="20"/>
  <c r="I225" i="20"/>
  <c r="H224" i="20"/>
  <c r="G191" i="20"/>
  <c r="G224" i="20"/>
  <c r="J122" i="20"/>
  <c r="F234" i="20" s="1"/>
  <c r="F226" i="20" s="1"/>
  <c r="U89" i="1" s="1"/>
  <c r="U7" i="1" s="1"/>
  <c r="N8" i="28" s="1" a="1"/>
  <c r="N8" i="28" s="1"/>
  <c r="D123" i="20"/>
  <c r="P123" i="20"/>
  <c r="K136" i="20"/>
  <c r="E190" i="20"/>
  <c r="D122" i="20"/>
  <c r="F235" i="20" s="1"/>
  <c r="E136" i="20"/>
  <c r="Q136" i="20"/>
  <c r="E5" i="17"/>
  <c r="D52" i="17" s="1"/>
  <c r="C17" i="17"/>
  <c r="N9" i="28" l="1"/>
  <c r="N33" i="28"/>
  <c r="N31" i="28"/>
  <c r="N32" i="28"/>
  <c r="N30" i="28"/>
  <c r="L9" i="28"/>
  <c r="L33" i="28"/>
  <c r="L49" i="28" s="1"/>
  <c r="L32" i="28"/>
  <c r="L48" i="28" s="1"/>
  <c r="L31" i="28"/>
  <c r="L47" i="28" s="1"/>
  <c r="L30" i="28"/>
  <c r="M9" i="28"/>
  <c r="M33" i="28"/>
  <c r="M31" i="28"/>
  <c r="M47" i="28" s="1"/>
  <c r="M32" i="28"/>
  <c r="M30" i="28"/>
  <c r="B140" i="20"/>
  <c r="T239" i="20" s="1"/>
  <c r="T54" i="20"/>
  <c r="K111" i="20"/>
  <c r="D27" i="20"/>
  <c r="P109" i="20"/>
  <c r="Q125" i="20"/>
  <c r="O233" i="20" s="1"/>
  <c r="X54" i="20"/>
  <c r="AB54" i="20" s="1"/>
  <c r="AF54" i="20" s="1"/>
  <c r="K233" i="20"/>
  <c r="K226" i="20" s="1"/>
  <c r="Z89" i="1" s="1"/>
  <c r="C84" i="20"/>
  <c r="Z54" i="20"/>
  <c r="AD54" i="20" s="1"/>
  <c r="AH54" i="20" s="1"/>
  <c r="D75" i="20"/>
  <c r="B82" i="20" s="1"/>
  <c r="S15" i="1"/>
  <c r="K127" i="20"/>
  <c r="S234" i="20" s="1"/>
  <c r="O234" i="20"/>
  <c r="J127" i="20"/>
  <c r="R234" i="20" s="1"/>
  <c r="N234" i="20"/>
  <c r="E127" i="20"/>
  <c r="O235" i="20"/>
  <c r="C127" i="20"/>
  <c r="C129" i="20" s="1"/>
  <c r="U235" i="20" s="1"/>
  <c r="M235" i="20"/>
  <c r="D84" i="20"/>
  <c r="K149" i="20"/>
  <c r="L237" i="20"/>
  <c r="L227" i="20" s="1"/>
  <c r="AA90" i="1" s="1"/>
  <c r="C82" i="20"/>
  <c r="I227" i="20"/>
  <c r="X90" i="1" s="1"/>
  <c r="D77" i="20"/>
  <c r="B86" i="20" s="1"/>
  <c r="D29" i="20"/>
  <c r="T15" i="1"/>
  <c r="U15" i="1"/>
  <c r="O237" i="20"/>
  <c r="Q138" i="20"/>
  <c r="N239" i="20"/>
  <c r="D138" i="20"/>
  <c r="O239" i="20"/>
  <c r="E138" i="20"/>
  <c r="D86" i="20"/>
  <c r="M239" i="20"/>
  <c r="C138" i="20"/>
  <c r="H30" i="20"/>
  <c r="G30" i="20"/>
  <c r="H234" i="20"/>
  <c r="H226" i="20" s="1"/>
  <c r="W89" i="1" s="1"/>
  <c r="W7" i="1" s="1"/>
  <c r="P8" i="28" s="1" a="1"/>
  <c r="P8" i="28" s="1"/>
  <c r="H125" i="20"/>
  <c r="P110" i="20"/>
  <c r="M238" i="20"/>
  <c r="I138" i="20"/>
  <c r="K110" i="20"/>
  <c r="P238" i="20"/>
  <c r="H140" i="20"/>
  <c r="T238" i="20" s="1"/>
  <c r="L233" i="20"/>
  <c r="N127" i="20"/>
  <c r="B125" i="20"/>
  <c r="H235" i="20"/>
  <c r="P237" i="20"/>
  <c r="N140" i="20"/>
  <c r="T237" i="20" s="1"/>
  <c r="I234" i="20"/>
  <c r="I226" i="20" s="1"/>
  <c r="X89" i="1" s="1"/>
  <c r="X7" i="1" s="1"/>
  <c r="Q8" i="28" s="1" a="1"/>
  <c r="Q8" i="28" s="1"/>
  <c r="I125" i="20"/>
  <c r="C86" i="20"/>
  <c r="E149" i="20"/>
  <c r="O238" i="20"/>
  <c r="K138" i="20"/>
  <c r="J233" i="20"/>
  <c r="J226" i="20" s="1"/>
  <c r="Y89" i="1" s="1"/>
  <c r="Y7" i="1" s="1"/>
  <c r="R8" i="28" s="1" a="1"/>
  <c r="R8" i="28" s="1"/>
  <c r="U54" i="20"/>
  <c r="P125" i="20"/>
  <c r="P111" i="20"/>
  <c r="Q111" i="20" s="1"/>
  <c r="M237" i="20"/>
  <c r="O138" i="20"/>
  <c r="M233" i="20"/>
  <c r="O127" i="20"/>
  <c r="K109" i="20"/>
  <c r="J235" i="20"/>
  <c r="D125" i="20"/>
  <c r="G190" i="20"/>
  <c r="H191" i="20"/>
  <c r="J225" i="20"/>
  <c r="I224" i="20"/>
  <c r="N237" i="20"/>
  <c r="P138" i="20"/>
  <c r="Y54" i="20"/>
  <c r="AC54" i="20" s="1"/>
  <c r="AG54" i="20" s="1"/>
  <c r="D28" i="20"/>
  <c r="C105" i="20"/>
  <c r="D82" i="20"/>
  <c r="D76" i="20"/>
  <c r="B84" i="20" s="1"/>
  <c r="K129" i="20" l="1"/>
  <c r="W234" i="20" s="1"/>
  <c r="P33" i="28"/>
  <c r="P32" i="28"/>
  <c r="P31" i="28"/>
  <c r="P30" i="28"/>
  <c r="Q9" i="28"/>
  <c r="Q33" i="28"/>
  <c r="Q49" i="28" s="1"/>
  <c r="Q31" i="28"/>
  <c r="Q47" i="28" s="1"/>
  <c r="Q32" i="28"/>
  <c r="Q30" i="28"/>
  <c r="M34" i="28"/>
  <c r="M35" i="28" s="1"/>
  <c r="M46" i="28"/>
  <c r="N46" i="28"/>
  <c r="N34" i="28"/>
  <c r="N35" i="28" s="1"/>
  <c r="M49" i="28"/>
  <c r="N48" i="28"/>
  <c r="M48" i="28"/>
  <c r="R9" i="28"/>
  <c r="R33" i="28"/>
  <c r="R31" i="28"/>
  <c r="R32" i="28"/>
  <c r="R30" i="28"/>
  <c r="N49" i="28"/>
  <c r="N47" i="28"/>
  <c r="L46" i="28"/>
  <c r="L34" i="28"/>
  <c r="L35" i="28" s="1"/>
  <c r="Q235" i="20"/>
  <c r="O227" i="20"/>
  <c r="AD90" i="1" s="1"/>
  <c r="Q109" i="20"/>
  <c r="J129" i="20"/>
  <c r="V234" i="20" s="1"/>
  <c r="C85" i="20"/>
  <c r="Q127" i="20"/>
  <c r="Q129" i="20" s="1"/>
  <c r="W233" i="20" s="1"/>
  <c r="D85" i="20"/>
  <c r="E84" i="20" s="1"/>
  <c r="E85" i="20" s="1"/>
  <c r="F84" i="20" s="1"/>
  <c r="C83" i="20"/>
  <c r="H127" i="20"/>
  <c r="P234" i="20" s="1"/>
  <c r="L234" i="20"/>
  <c r="N227" i="20"/>
  <c r="AC90" i="1" s="1"/>
  <c r="I127" i="20"/>
  <c r="Q234" i="20" s="1"/>
  <c r="M234" i="20"/>
  <c r="D127" i="20"/>
  <c r="R235" i="20" s="1"/>
  <c r="N235" i="20"/>
  <c r="B127" i="20"/>
  <c r="P235" i="20" s="1"/>
  <c r="L235" i="20"/>
  <c r="L226" i="20"/>
  <c r="AA89" i="1" s="1"/>
  <c r="AA7" i="1" s="1"/>
  <c r="T8" i="28" s="1" a="1"/>
  <c r="T8" i="28" s="1"/>
  <c r="S235" i="20"/>
  <c r="E129" i="20"/>
  <c r="W235" i="20" s="1"/>
  <c r="O226" i="20"/>
  <c r="AD89" i="1" s="1"/>
  <c r="T227" i="20"/>
  <c r="AI90" i="1" s="1"/>
  <c r="M226" i="20"/>
  <c r="AB89" i="1" s="1"/>
  <c r="AB7" i="1" s="1"/>
  <c r="U8" i="28" s="1" a="1"/>
  <c r="U8" i="28" s="1"/>
  <c r="C87" i="20"/>
  <c r="P227" i="20"/>
  <c r="AE90" i="1" s="1"/>
  <c r="M227" i="20"/>
  <c r="AB90" i="1" s="1"/>
  <c r="X15" i="1"/>
  <c r="W15" i="1"/>
  <c r="Y15" i="1"/>
  <c r="R109" i="20"/>
  <c r="V109" i="20"/>
  <c r="Q104" i="20"/>
  <c r="H190" i="20"/>
  <c r="I191" i="20"/>
  <c r="N233" i="20"/>
  <c r="N226" i="20" s="1"/>
  <c r="AC89" i="1" s="1"/>
  <c r="AC7" i="1" s="1"/>
  <c r="V8" i="28" s="1" a="1"/>
  <c r="V8" i="28" s="1"/>
  <c r="P127" i="20"/>
  <c r="Q237" i="20"/>
  <c r="O140" i="20"/>
  <c r="U237" i="20" s="1"/>
  <c r="D87" i="20"/>
  <c r="E86" i="20" s="1"/>
  <c r="R239" i="20"/>
  <c r="D140" i="20"/>
  <c r="V239" i="20" s="1"/>
  <c r="D83" i="20"/>
  <c r="E82" i="20" s="1"/>
  <c r="Q238" i="20"/>
  <c r="I140" i="20"/>
  <c r="U238" i="20" s="1"/>
  <c r="H129" i="20"/>
  <c r="T234" i="20" s="1"/>
  <c r="S238" i="20"/>
  <c r="K140" i="20"/>
  <c r="W238" i="20" s="1"/>
  <c r="S237" i="20"/>
  <c r="Q140" i="20"/>
  <c r="W237" i="20" s="1"/>
  <c r="Q239" i="20"/>
  <c r="C140" i="20"/>
  <c r="U239" i="20" s="1"/>
  <c r="S239" i="20"/>
  <c r="E140" i="20"/>
  <c r="W239" i="20" s="1"/>
  <c r="R111" i="20"/>
  <c r="V111" i="20"/>
  <c r="Q106" i="20"/>
  <c r="P233" i="20"/>
  <c r="N129" i="20"/>
  <c r="T233" i="20" s="1"/>
  <c r="R237" i="20"/>
  <c r="P140" i="20"/>
  <c r="V237" i="20" s="1"/>
  <c r="V227" i="20" s="1"/>
  <c r="AK90" i="1" s="1"/>
  <c r="Q233" i="20"/>
  <c r="O129" i="20"/>
  <c r="U233" i="20" s="1"/>
  <c r="Q110" i="20"/>
  <c r="K225" i="20"/>
  <c r="J224" i="20"/>
  <c r="L62" i="1"/>
  <c r="M62" i="1"/>
  <c r="O62" i="1"/>
  <c r="P62" i="1"/>
  <c r="Q62" i="1"/>
  <c r="R62" i="1"/>
  <c r="K62" i="1"/>
  <c r="T61" i="1"/>
  <c r="U61" i="1"/>
  <c r="V61" i="1"/>
  <c r="W61" i="1"/>
  <c r="X61" i="1"/>
  <c r="Y61" i="1"/>
  <c r="Z61" i="1"/>
  <c r="AA61" i="1"/>
  <c r="AB61" i="1"/>
  <c r="AC61" i="1"/>
  <c r="AD61" i="1"/>
  <c r="AE61" i="1"/>
  <c r="AF61" i="1"/>
  <c r="AG61" i="1"/>
  <c r="AH61" i="1"/>
  <c r="AI61" i="1"/>
  <c r="AJ61" i="1"/>
  <c r="AK61" i="1"/>
  <c r="AL61" i="1"/>
  <c r="S61" i="1"/>
  <c r="N121" i="1"/>
  <c r="O121" i="1"/>
  <c r="P121" i="1"/>
  <c r="Q121" i="1"/>
  <c r="R121" i="1"/>
  <c r="M121" i="1"/>
  <c r="L121" i="1"/>
  <c r="C305" i="1"/>
  <c r="S120" i="1"/>
  <c r="M110" i="1"/>
  <c r="N110" i="1"/>
  <c r="O110" i="1"/>
  <c r="P110" i="1"/>
  <c r="Q110" i="1"/>
  <c r="L110" i="1"/>
  <c r="R48" i="28" l="1"/>
  <c r="T33" i="28"/>
  <c r="T31" i="28"/>
  <c r="T32" i="28"/>
  <c r="T30" i="28"/>
  <c r="R47" i="28"/>
  <c r="R49" i="28"/>
  <c r="P34" i="28"/>
  <c r="P35" i="28" s="1"/>
  <c r="U9" i="28"/>
  <c r="U33" i="28"/>
  <c r="U49" i="28" s="1"/>
  <c r="U31" i="28"/>
  <c r="U47" i="28" s="1"/>
  <c r="U32" i="28"/>
  <c r="U48" i="28" s="1"/>
  <c r="U30" i="28"/>
  <c r="L22" i="28"/>
  <c r="L10" i="28"/>
  <c r="L16" i="28"/>
  <c r="R34" i="28"/>
  <c r="R35" i="28" s="1"/>
  <c r="R46" i="28"/>
  <c r="Q46" i="28"/>
  <c r="Q34" i="28"/>
  <c r="Q35" i="28" s="1"/>
  <c r="V9" i="28"/>
  <c r="V33" i="28"/>
  <c r="V31" i="28"/>
  <c r="V32" i="28"/>
  <c r="V48" i="28" s="1"/>
  <c r="V30" i="28"/>
  <c r="Q48" i="28"/>
  <c r="B129" i="20"/>
  <c r="T235" i="20" s="1"/>
  <c r="S233" i="20"/>
  <c r="I129" i="20"/>
  <c r="U234" i="20" s="1"/>
  <c r="U226" i="20" s="1"/>
  <c r="AJ89" i="1" s="1"/>
  <c r="U227" i="20"/>
  <c r="AJ90" i="1" s="1"/>
  <c r="D129" i="20"/>
  <c r="V235" i="20" s="1"/>
  <c r="Q226" i="20"/>
  <c r="AF89" i="1" s="1"/>
  <c r="AF7" i="1" s="1"/>
  <c r="Y8" i="28" s="1" a="1"/>
  <c r="Y8" i="28" s="1"/>
  <c r="S226" i="20"/>
  <c r="AH89" i="1" s="1"/>
  <c r="Q227" i="20"/>
  <c r="AF90" i="1" s="1"/>
  <c r="R227" i="20"/>
  <c r="AG90" i="1" s="1"/>
  <c r="W226" i="20"/>
  <c r="AL89" i="1" s="1"/>
  <c r="P226" i="20"/>
  <c r="AE89" i="1" s="1"/>
  <c r="AE7" i="1" s="1"/>
  <c r="X8" i="28" s="1" a="1"/>
  <c r="X8" i="28" s="1"/>
  <c r="W227" i="20"/>
  <c r="AL90" i="1" s="1"/>
  <c r="S227" i="20"/>
  <c r="AH90" i="1" s="1"/>
  <c r="T226" i="20"/>
  <c r="AI89" i="1" s="1"/>
  <c r="AB15" i="1"/>
  <c r="AC15" i="1"/>
  <c r="AA15" i="1"/>
  <c r="E83" i="20"/>
  <c r="F82" i="20" s="1"/>
  <c r="E87" i="20"/>
  <c r="F86" i="20" s="1"/>
  <c r="W109" i="20"/>
  <c r="V104" i="20"/>
  <c r="F85" i="20"/>
  <c r="G84" i="20" s="1"/>
  <c r="R233" i="20"/>
  <c r="R226" i="20" s="1"/>
  <c r="AG89" i="1" s="1"/>
  <c r="AG7" i="1" s="1"/>
  <c r="Z8" i="28" s="1" a="1"/>
  <c r="Z8" i="28" s="1"/>
  <c r="P129" i="20"/>
  <c r="V233" i="20" s="1"/>
  <c r="V226" i="20" s="1"/>
  <c r="AK89" i="1" s="1"/>
  <c r="K224" i="20"/>
  <c r="L225" i="20"/>
  <c r="S111" i="20"/>
  <c r="R106" i="20"/>
  <c r="S109" i="20"/>
  <c r="R104" i="20"/>
  <c r="R110" i="20"/>
  <c r="Q105" i="20"/>
  <c r="V110" i="20"/>
  <c r="I190" i="20"/>
  <c r="J191" i="20"/>
  <c r="W111" i="20"/>
  <c r="V106" i="20"/>
  <c r="AO404" i="1"/>
  <c r="V47" i="28" l="1"/>
  <c r="V49" i="28"/>
  <c r="U46" i="28"/>
  <c r="U34" i="28"/>
  <c r="U35" i="28" s="1"/>
  <c r="V46" i="28"/>
  <c r="V34" i="28"/>
  <c r="V35" i="28" s="1"/>
  <c r="T34" i="28"/>
  <c r="T35" i="28" s="1"/>
  <c r="L19" i="28"/>
  <c r="L17" i="28"/>
  <c r="M16" i="28"/>
  <c r="X33" i="28"/>
  <c r="X32" i="28"/>
  <c r="X31" i="28"/>
  <c r="X30" i="28"/>
  <c r="L13" i="28"/>
  <c r="L11" i="28"/>
  <c r="M10" i="28"/>
  <c r="Y9" i="28"/>
  <c r="Y33" i="28"/>
  <c r="Y31" i="28"/>
  <c r="Y32" i="28"/>
  <c r="Y30" i="28"/>
  <c r="Z9" i="28"/>
  <c r="Z33" i="28"/>
  <c r="Z49" i="28" s="1"/>
  <c r="Z32" i="28"/>
  <c r="Z31" i="28"/>
  <c r="Z30" i="28"/>
  <c r="L27" i="28"/>
  <c r="L23" i="28"/>
  <c r="M22" i="28"/>
  <c r="L25" i="28"/>
  <c r="L36" i="28"/>
  <c r="AF15" i="1"/>
  <c r="AJ7" i="1"/>
  <c r="AC8" i="28" s="1" a="1"/>
  <c r="AC8" i="28" s="1"/>
  <c r="AK7" i="1"/>
  <c r="AD8" i="28" s="1" a="1"/>
  <c r="AD8" i="28" s="1"/>
  <c r="AG15" i="1"/>
  <c r="AI7" i="1"/>
  <c r="AB8" i="28" s="1" a="1"/>
  <c r="AB8" i="28" s="1"/>
  <c r="AE15" i="1"/>
  <c r="X111" i="20"/>
  <c r="W106" i="20"/>
  <c r="F83" i="20"/>
  <c r="G82" i="20"/>
  <c r="F87" i="20"/>
  <c r="G86" i="20" s="1"/>
  <c r="J190" i="20"/>
  <c r="K191" i="20"/>
  <c r="S106" i="20"/>
  <c r="T111" i="20"/>
  <c r="T106" i="20" s="1"/>
  <c r="S110" i="20"/>
  <c r="R105" i="20"/>
  <c r="T109" i="20"/>
  <c r="T104" i="20" s="1"/>
  <c r="S104" i="20"/>
  <c r="G85" i="20"/>
  <c r="H84" i="20" s="1"/>
  <c r="L224" i="20"/>
  <c r="M225" i="20"/>
  <c r="V105" i="20"/>
  <c r="W110" i="20"/>
  <c r="X109" i="20"/>
  <c r="W104" i="20"/>
  <c r="C404" i="1"/>
  <c r="C399" i="1"/>
  <c r="C330" i="1"/>
  <c r="V331" i="1" s="1"/>
  <c r="Y48" i="28" l="1"/>
  <c r="Z47" i="28"/>
  <c r="Z48" i="28"/>
  <c r="Y47" i="28"/>
  <c r="L12" i="28"/>
  <c r="L14" i="28"/>
  <c r="M17" i="28"/>
  <c r="M20" i="28" s="1"/>
  <c r="M19" i="28"/>
  <c r="N16" i="28"/>
  <c r="M23" i="28"/>
  <c r="M26" i="28" s="1"/>
  <c r="M25" i="28"/>
  <c r="M27" i="28"/>
  <c r="N22" i="28"/>
  <c r="M36" i="28"/>
  <c r="L20" i="28"/>
  <c r="L18" i="28"/>
  <c r="Y34" i="28"/>
  <c r="Y35" i="28" s="1"/>
  <c r="Y46" i="28"/>
  <c r="L26" i="28"/>
  <c r="L24" i="28"/>
  <c r="AB33" i="28"/>
  <c r="AB32" i="28"/>
  <c r="AB31" i="28"/>
  <c r="AB30" i="28"/>
  <c r="X34" i="28"/>
  <c r="X35" i="28" s="1"/>
  <c r="AC9" i="28"/>
  <c r="AC33" i="28"/>
  <c r="AC31" i="28"/>
  <c r="AC32" i="28"/>
  <c r="AC30" i="28"/>
  <c r="M11" i="28"/>
  <c r="M14" i="28" s="1"/>
  <c r="M13" i="28"/>
  <c r="N10" i="28"/>
  <c r="AD9" i="28"/>
  <c r="AD33" i="28"/>
  <c r="AD31" i="28"/>
  <c r="AD32" i="28"/>
  <c r="AD30" i="28"/>
  <c r="Z34" i="28"/>
  <c r="Z35" i="28" s="1"/>
  <c r="Z46" i="28"/>
  <c r="Y49" i="28"/>
  <c r="AJ15" i="1"/>
  <c r="AI15" i="1"/>
  <c r="AK15" i="1"/>
  <c r="H85" i="20"/>
  <c r="I84" i="20"/>
  <c r="I85" i="20" s="1"/>
  <c r="G87" i="20"/>
  <c r="H86" i="20" s="1"/>
  <c r="G83" i="20"/>
  <c r="H82" i="20" s="1"/>
  <c r="K190" i="20"/>
  <c r="L191" i="20"/>
  <c r="X104" i="20"/>
  <c r="Y109" i="20"/>
  <c r="Y104" i="20" s="1"/>
  <c r="T110" i="20"/>
  <c r="T105" i="20" s="1"/>
  <c r="S105" i="20"/>
  <c r="X110" i="20"/>
  <c r="W105" i="20"/>
  <c r="M224" i="20"/>
  <c r="N225" i="20"/>
  <c r="X106" i="20"/>
  <c r="Y111" i="20"/>
  <c r="Y106" i="20" s="1"/>
  <c r="U331" i="1"/>
  <c r="AC331" i="1"/>
  <c r="T331" i="1"/>
  <c r="AK331" i="1"/>
  <c r="AJ331" i="1"/>
  <c r="AI331" i="1"/>
  <c r="AB331" i="1"/>
  <c r="AA331" i="1"/>
  <c r="X331" i="1"/>
  <c r="S331" i="1"/>
  <c r="AE331" i="1"/>
  <c r="W331" i="1"/>
  <c r="AH331" i="1"/>
  <c r="Z331" i="1"/>
  <c r="AG331" i="1"/>
  <c r="Y331" i="1"/>
  <c r="AF331" i="1"/>
  <c r="AL331" i="1"/>
  <c r="AD331" i="1"/>
  <c r="I7" i="17"/>
  <c r="F21" i="17"/>
  <c r="G21" i="17" s="1"/>
  <c r="H21" i="17" s="1"/>
  <c r="I21" i="17" s="1"/>
  <c r="J21" i="17" s="1"/>
  <c r="K21" i="17" s="1"/>
  <c r="AD49" i="28" l="1"/>
  <c r="M18" i="28"/>
  <c r="AD48" i="28"/>
  <c r="AD47" i="28"/>
  <c r="AC48" i="28"/>
  <c r="M12" i="28"/>
  <c r="M24" i="28"/>
  <c r="AC47" i="28"/>
  <c r="AC49" i="28"/>
  <c r="N19" i="28"/>
  <c r="N17" i="28"/>
  <c r="N23" i="28"/>
  <c r="N27" i="28"/>
  <c r="N25" i="28"/>
  <c r="N36" i="28"/>
  <c r="AB34" i="28"/>
  <c r="AB35" i="28" s="1"/>
  <c r="N11" i="28"/>
  <c r="N13" i="28"/>
  <c r="AD46" i="28"/>
  <c r="AD34" i="28"/>
  <c r="AD35" i="28" s="1"/>
  <c r="AC46" i="28"/>
  <c r="AC34" i="28"/>
  <c r="AC35" i="28" s="1"/>
  <c r="H87" i="20"/>
  <c r="I86" i="20" s="1"/>
  <c r="I87" i="20" s="1"/>
  <c r="Y110" i="20"/>
  <c r="Y105" i="20" s="1"/>
  <c r="X105" i="20"/>
  <c r="H83" i="20"/>
  <c r="I82" i="20" s="1"/>
  <c r="I83" i="20" s="1"/>
  <c r="N224" i="20"/>
  <c r="O225" i="20"/>
  <c r="M191" i="20"/>
  <c r="L190" i="20"/>
  <c r="I13" i="17"/>
  <c r="N12" i="28" l="1"/>
  <c r="N26" i="28"/>
  <c r="N24" i="28"/>
  <c r="N14" i="28"/>
  <c r="N20" i="28"/>
  <c r="N18" i="28"/>
  <c r="P225" i="20"/>
  <c r="O224" i="20"/>
  <c r="N191" i="20"/>
  <c r="M190" i="20"/>
  <c r="Y116" i="11"/>
  <c r="X116" i="11"/>
  <c r="W116" i="11"/>
  <c r="V116" i="11"/>
  <c r="Y115" i="11"/>
  <c r="X115" i="11"/>
  <c r="W115" i="11"/>
  <c r="V115" i="11"/>
  <c r="T116" i="11"/>
  <c r="S116" i="11"/>
  <c r="D124" i="11" s="1"/>
  <c r="R116" i="11"/>
  <c r="C129" i="11" s="1"/>
  <c r="T115" i="11"/>
  <c r="E123" i="11" s="1"/>
  <c r="S115" i="11"/>
  <c r="D123" i="11" s="1"/>
  <c r="R115" i="11"/>
  <c r="C123" i="11" s="1"/>
  <c r="T114" i="11"/>
  <c r="E122" i="11" s="1"/>
  <c r="S114" i="11"/>
  <c r="D122" i="11" s="1"/>
  <c r="R114" i="11"/>
  <c r="C122" i="11" s="1"/>
  <c r="Q116" i="11"/>
  <c r="B124" i="11" s="1"/>
  <c r="Q115" i="11"/>
  <c r="B123" i="11" s="1"/>
  <c r="Q114" i="11"/>
  <c r="B122" i="11" s="1"/>
  <c r="AI52" i="11"/>
  <c r="AH52" i="11"/>
  <c r="AG52" i="11"/>
  <c r="AF52" i="11"/>
  <c r="AE52" i="11"/>
  <c r="AD52" i="11"/>
  <c r="AC52" i="11"/>
  <c r="AB52" i="11"/>
  <c r="AA52" i="11"/>
  <c r="Z52" i="11"/>
  <c r="Y52" i="11"/>
  <c r="X52" i="11"/>
  <c r="W52" i="11"/>
  <c r="V52" i="11"/>
  <c r="U52" i="11"/>
  <c r="T52" i="11"/>
  <c r="S52" i="11"/>
  <c r="R52" i="11"/>
  <c r="Q52" i="11"/>
  <c r="P52" i="11"/>
  <c r="O52" i="11"/>
  <c r="N52" i="11"/>
  <c r="M52" i="11"/>
  <c r="L52" i="11"/>
  <c r="M113" i="11"/>
  <c r="N113" i="11"/>
  <c r="O113" i="11"/>
  <c r="O191" i="20" l="1"/>
  <c r="N190" i="20"/>
  <c r="Q225" i="20"/>
  <c r="P224" i="20"/>
  <c r="Y53" i="11"/>
  <c r="AC53" i="11" s="1"/>
  <c r="AG53" i="11" s="1"/>
  <c r="E128" i="11"/>
  <c r="U53" i="11"/>
  <c r="B128" i="11"/>
  <c r="B129" i="11"/>
  <c r="T53" i="11" s="1"/>
  <c r="D129" i="11"/>
  <c r="V53" i="11" s="1"/>
  <c r="E129" i="11"/>
  <c r="W53" i="11" s="1"/>
  <c r="C128" i="11"/>
  <c r="C124" i="11"/>
  <c r="E124" i="11"/>
  <c r="B127" i="11"/>
  <c r="D127" i="11"/>
  <c r="E127" i="11"/>
  <c r="C127" i="11"/>
  <c r="D128" i="11"/>
  <c r="R225" i="20" l="1"/>
  <c r="Q224" i="20"/>
  <c r="P191" i="20"/>
  <c r="O190" i="20"/>
  <c r="Z53" i="11"/>
  <c r="AD53" i="11" s="1"/>
  <c r="AH53" i="11" s="1"/>
  <c r="AA53" i="11"/>
  <c r="AE53" i="11" s="1"/>
  <c r="AI53" i="11" s="1"/>
  <c r="X53" i="11"/>
  <c r="AB53" i="11" s="1"/>
  <c r="AF53" i="11" s="1"/>
  <c r="P190" i="20" l="1"/>
  <c r="Q191" i="20"/>
  <c r="S225" i="20"/>
  <c r="R224" i="20"/>
  <c r="A97" i="11"/>
  <c r="Y114" i="11"/>
  <c r="E120" i="11" s="1"/>
  <c r="X114" i="11"/>
  <c r="D120" i="11" s="1"/>
  <c r="W114" i="11"/>
  <c r="C120" i="11" s="1"/>
  <c r="V114" i="11"/>
  <c r="B120" i="11" s="1"/>
  <c r="AI51" i="11"/>
  <c r="AH51" i="11"/>
  <c r="AG51" i="11"/>
  <c r="AF51" i="11"/>
  <c r="AE51" i="11"/>
  <c r="AD51" i="11"/>
  <c r="AC51" i="11"/>
  <c r="AB51" i="11"/>
  <c r="AA51" i="11"/>
  <c r="Z51" i="11"/>
  <c r="Y51" i="11"/>
  <c r="W51" i="11"/>
  <c r="V51" i="11"/>
  <c r="U51" i="11"/>
  <c r="T51" i="11"/>
  <c r="S51" i="11"/>
  <c r="R51" i="11"/>
  <c r="Q51" i="11"/>
  <c r="P51" i="11"/>
  <c r="A50" i="11"/>
  <c r="Y156" i="11"/>
  <c r="X156" i="11"/>
  <c r="W156" i="11"/>
  <c r="V156" i="11"/>
  <c r="T156" i="11"/>
  <c r="S156" i="11"/>
  <c r="R156" i="11"/>
  <c r="Q156" i="11"/>
  <c r="O156" i="11"/>
  <c r="N156" i="11"/>
  <c r="M156" i="11"/>
  <c r="L156" i="11"/>
  <c r="J156" i="11"/>
  <c r="D471" i="1"/>
  <c r="A102" i="11"/>
  <c r="A101" i="11"/>
  <c r="A100" i="11"/>
  <c r="A99" i="11"/>
  <c r="A98" i="11"/>
  <c r="A96" i="11"/>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80" i="11"/>
  <c r="D80" i="11" s="1"/>
  <c r="E80" i="11" s="1"/>
  <c r="F80" i="11" s="1"/>
  <c r="G80" i="11" s="1"/>
  <c r="H80" i="11" s="1"/>
  <c r="I80" i="11" s="1"/>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18" i="13"/>
  <c r="C17" i="13"/>
  <c r="C16" i="13"/>
  <c r="C15" i="13"/>
  <c r="C14" i="13"/>
  <c r="C13" i="13"/>
  <c r="C12" i="13"/>
  <c r="C11" i="13"/>
  <c r="D12" i="8"/>
  <c r="C12" i="8"/>
  <c r="B12" i="8"/>
  <c r="D11" i="8"/>
  <c r="C11" i="8"/>
  <c r="B11" i="8"/>
  <c r="D10" i="8"/>
  <c r="C10" i="8"/>
  <c r="B10" i="8"/>
  <c r="P8" i="11"/>
  <c r="O8" i="11"/>
  <c r="N8" i="11"/>
  <c r="M8" i="11"/>
  <c r="L8" i="11"/>
  <c r="G8" i="11" s="1"/>
  <c r="K8" i="11"/>
  <c r="J8" i="11"/>
  <c r="I8" i="11"/>
  <c r="F8" i="11"/>
  <c r="D8" i="11"/>
  <c r="E8" i="11"/>
  <c r="C8" i="11"/>
  <c r="O7" i="11"/>
  <c r="O105" i="11" s="1"/>
  <c r="N7" i="11"/>
  <c r="N105" i="11" s="1"/>
  <c r="M7" i="11"/>
  <c r="M105" i="11" s="1"/>
  <c r="L7" i="11"/>
  <c r="L105" i="11" s="1"/>
  <c r="K7" i="11"/>
  <c r="J7" i="11"/>
  <c r="J105" i="11" s="1"/>
  <c r="I7" i="11"/>
  <c r="I105" i="11" s="1"/>
  <c r="H7" i="11"/>
  <c r="C7" i="11" s="1"/>
  <c r="C105" i="11" s="1"/>
  <c r="G7" i="11"/>
  <c r="G105" i="11" s="1"/>
  <c r="F7" i="11"/>
  <c r="F105" i="11" s="1"/>
  <c r="E7" i="11"/>
  <c r="E105" i="11" s="1"/>
  <c r="D7" i="11"/>
  <c r="D105" i="11" s="1"/>
  <c r="O6" i="11"/>
  <c r="O104" i="11" s="1"/>
  <c r="N6" i="11"/>
  <c r="N104" i="11" s="1"/>
  <c r="M6" i="11"/>
  <c r="M104" i="11" s="1"/>
  <c r="L6" i="11"/>
  <c r="L104" i="11" s="1"/>
  <c r="K6" i="11"/>
  <c r="J6" i="11"/>
  <c r="J104" i="11" s="1"/>
  <c r="I6" i="11"/>
  <c r="I104" i="11" s="1"/>
  <c r="H6" i="11"/>
  <c r="C6" i="11" s="1"/>
  <c r="C104" i="11" s="1"/>
  <c r="G6" i="11"/>
  <c r="G104" i="11" s="1"/>
  <c r="F6" i="11"/>
  <c r="F104" i="11" s="1"/>
  <c r="E6" i="11"/>
  <c r="E104" i="11" s="1"/>
  <c r="D6" i="11"/>
  <c r="D104" i="11" s="1"/>
  <c r="O5" i="11"/>
  <c r="O103" i="11" s="1"/>
  <c r="N5" i="11"/>
  <c r="N103" i="11" s="1"/>
  <c r="M5" i="11"/>
  <c r="M103" i="11" s="1"/>
  <c r="L5" i="11"/>
  <c r="L103" i="11" s="1"/>
  <c r="K5" i="11"/>
  <c r="J5" i="11"/>
  <c r="J103" i="11" s="1"/>
  <c r="I5" i="11"/>
  <c r="I103" i="11" s="1"/>
  <c r="H5" i="11"/>
  <c r="C5" i="11" s="1"/>
  <c r="C103" i="11" s="1"/>
  <c r="G5" i="11"/>
  <c r="G103" i="11" s="1"/>
  <c r="F5" i="11"/>
  <c r="F103" i="11" s="1"/>
  <c r="E5" i="11"/>
  <c r="E103" i="11" s="1"/>
  <c r="D5" i="11"/>
  <c r="D103" i="11" s="1"/>
  <c r="D10" i="11"/>
  <c r="E10" i="11"/>
  <c r="G10" i="11"/>
  <c r="I10" i="11"/>
  <c r="L10" i="11"/>
  <c r="M10" i="11"/>
  <c r="N10" i="11"/>
  <c r="O10" i="11"/>
  <c r="D11" i="11"/>
  <c r="E11" i="11"/>
  <c r="G11" i="11"/>
  <c r="I11" i="11"/>
  <c r="L11" i="11"/>
  <c r="M11" i="11"/>
  <c r="N11" i="11"/>
  <c r="O11" i="11"/>
  <c r="D12" i="11"/>
  <c r="E12" i="11"/>
  <c r="G12" i="11"/>
  <c r="I12" i="11"/>
  <c r="L12" i="11"/>
  <c r="M12" i="11"/>
  <c r="N12" i="11"/>
  <c r="O12" i="11"/>
  <c r="D13" i="11"/>
  <c r="E13" i="11"/>
  <c r="G13" i="11"/>
  <c r="I13" i="11"/>
  <c r="L13" i="11"/>
  <c r="M13" i="11"/>
  <c r="N13" i="11"/>
  <c r="O13" i="11"/>
  <c r="D14" i="11"/>
  <c r="E14" i="11"/>
  <c r="G14" i="11"/>
  <c r="I14" i="11"/>
  <c r="L14" i="11"/>
  <c r="M14" i="11"/>
  <c r="N14" i="11"/>
  <c r="O14" i="11"/>
  <c r="D15" i="11"/>
  <c r="E15" i="11"/>
  <c r="F15" i="11"/>
  <c r="H15" i="11"/>
  <c r="I15" i="11"/>
  <c r="D16" i="11"/>
  <c r="E16" i="11"/>
  <c r="F16" i="11"/>
  <c r="G16" i="11"/>
  <c r="H16" i="11"/>
  <c r="I16" i="11"/>
  <c r="J16" i="11"/>
  <c r="K16" i="11"/>
  <c r="L16" i="11"/>
  <c r="M16" i="11"/>
  <c r="N16" i="11"/>
  <c r="O16" i="11"/>
  <c r="P16" i="11"/>
  <c r="D17" i="11"/>
  <c r="E17" i="11"/>
  <c r="F17" i="11"/>
  <c r="G17" i="11"/>
  <c r="H17" i="11"/>
  <c r="I17" i="11"/>
  <c r="J17" i="11"/>
  <c r="K17" i="11"/>
  <c r="O17" i="11"/>
  <c r="D18" i="11"/>
  <c r="E18" i="11"/>
  <c r="F18" i="11"/>
  <c r="G18" i="11"/>
  <c r="H18" i="11"/>
  <c r="I18" i="11"/>
  <c r="J18" i="11"/>
  <c r="K18" i="11"/>
  <c r="L18" i="11"/>
  <c r="M18" i="11"/>
  <c r="N18" i="11"/>
  <c r="O18" i="11"/>
  <c r="D19" i="11"/>
  <c r="E19" i="11"/>
  <c r="F19" i="11"/>
  <c r="G19" i="11"/>
  <c r="H19" i="11"/>
  <c r="I19" i="11"/>
  <c r="J19" i="11"/>
  <c r="K19" i="11"/>
  <c r="L19" i="11"/>
  <c r="M19" i="11"/>
  <c r="N19" i="11"/>
  <c r="O19" i="11"/>
  <c r="D20" i="11"/>
  <c r="E20" i="11"/>
  <c r="F20" i="11"/>
  <c r="G20" i="11"/>
  <c r="H20" i="11"/>
  <c r="I20" i="11"/>
  <c r="J20" i="11"/>
  <c r="K20" i="11"/>
  <c r="L20" i="11"/>
  <c r="M20" i="11"/>
  <c r="N20" i="11"/>
  <c r="O20" i="11"/>
  <c r="D21" i="11"/>
  <c r="E21" i="11"/>
  <c r="F21" i="11"/>
  <c r="G21" i="11"/>
  <c r="H21" i="11"/>
  <c r="I21" i="11"/>
  <c r="J21" i="11"/>
  <c r="K21" i="11"/>
  <c r="L21" i="11"/>
  <c r="M21" i="11"/>
  <c r="N21" i="11"/>
  <c r="O21" i="11"/>
  <c r="S224" i="20" l="1"/>
  <c r="T225" i="20"/>
  <c r="Q190" i="20"/>
  <c r="R191" i="20"/>
  <c r="C126" i="11"/>
  <c r="D126" i="11"/>
  <c r="E126" i="11"/>
  <c r="B126" i="11"/>
  <c r="H104" i="11"/>
  <c r="H105" i="11"/>
  <c r="H103" i="11"/>
  <c r="H74" i="11"/>
  <c r="E75" i="11"/>
  <c r="D74" i="11"/>
  <c r="N75" i="11"/>
  <c r="L74" i="11"/>
  <c r="M74" i="11"/>
  <c r="E74" i="11"/>
  <c r="I75" i="11"/>
  <c r="D75" i="11"/>
  <c r="G74" i="11"/>
  <c r="O75" i="11"/>
  <c r="J75" i="11"/>
  <c r="J74" i="11"/>
  <c r="O74" i="11"/>
  <c r="G75" i="11"/>
  <c r="L75" i="11"/>
  <c r="H75" i="11"/>
  <c r="M75" i="11"/>
  <c r="I74" i="11"/>
  <c r="N74" i="11"/>
  <c r="D76" i="11"/>
  <c r="E76" i="11"/>
  <c r="O76" i="11"/>
  <c r="I76" i="11"/>
  <c r="N76" i="11"/>
  <c r="L76" i="11"/>
  <c r="M76" i="11"/>
  <c r="J76" i="11"/>
  <c r="G76" i="11"/>
  <c r="H76" i="11"/>
  <c r="J13" i="11"/>
  <c r="J12" i="11"/>
  <c r="P11" i="11"/>
  <c r="P10" i="11"/>
  <c r="J10" i="11"/>
  <c r="P14" i="11"/>
  <c r="P13" i="11"/>
  <c r="P12" i="11"/>
  <c r="J14" i="11"/>
  <c r="J11" i="11"/>
  <c r="R190" i="20" l="1"/>
  <c r="S191" i="20"/>
  <c r="T224" i="20"/>
  <c r="U225" i="20"/>
  <c r="B81" i="11"/>
  <c r="B83" i="11"/>
  <c r="C81" i="11"/>
  <c r="D81" i="11"/>
  <c r="B85" i="11"/>
  <c r="D85" i="11"/>
  <c r="D83" i="11"/>
  <c r="C83" i="11"/>
  <c r="C85" i="11"/>
  <c r="A209" i="11"/>
  <c r="G204" i="11"/>
  <c r="A57" i="11"/>
  <c r="A48" i="11"/>
  <c r="A56" i="11"/>
  <c r="A58"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J55" i="11"/>
  <c r="I55" i="11"/>
  <c r="H55" i="11"/>
  <c r="G55" i="11"/>
  <c r="A55" i="11"/>
  <c r="G54" i="11"/>
  <c r="N50" i="11"/>
  <c r="N51" i="11" s="1"/>
  <c r="M50" i="11"/>
  <c r="M51" i="11" s="1"/>
  <c r="L50" i="11"/>
  <c r="L51" i="11" s="1"/>
  <c r="I50" i="11"/>
  <c r="I51" i="11" s="1"/>
  <c r="H50" i="11"/>
  <c r="H51" i="11" s="1"/>
  <c r="G50" i="11"/>
  <c r="G51" i="11" s="1"/>
  <c r="A54" i="11"/>
  <c r="O48" i="11"/>
  <c r="O63" i="11" s="1"/>
  <c r="A47" i="11"/>
  <c r="A46" i="11"/>
  <c r="A5" i="11"/>
  <c r="A103" i="11" s="1"/>
  <c r="A6" i="11"/>
  <c r="A104" i="11" s="1"/>
  <c r="B203" i="11"/>
  <c r="A7" i="11"/>
  <c r="A105" i="11" s="1"/>
  <c r="A8" i="11"/>
  <c r="A9" i="11"/>
  <c r="A10" i="11"/>
  <c r="A11" i="11"/>
  <c r="A12" i="11"/>
  <c r="A13" i="11"/>
  <c r="A14" i="11"/>
  <c r="A211" i="11"/>
  <c r="A15" i="11"/>
  <c r="A16" i="11"/>
  <c r="A18" i="11"/>
  <c r="A20" i="11"/>
  <c r="A21" i="11"/>
  <c r="B36" i="11"/>
  <c r="C36" i="11"/>
  <c r="B37" i="11"/>
  <c r="C37" i="11"/>
  <c r="B38" i="11"/>
  <c r="C38" i="11"/>
  <c r="B39" i="11"/>
  <c r="C39" i="11"/>
  <c r="B40" i="11"/>
  <c r="C40" i="11"/>
  <c r="M291" i="1"/>
  <c r="N291" i="1"/>
  <c r="O291" i="1"/>
  <c r="P291" i="1"/>
  <c r="Q291" i="1"/>
  <c r="R291" i="1"/>
  <c r="L291" i="1"/>
  <c r="M300" i="1"/>
  <c r="N300" i="1"/>
  <c r="O300" i="1"/>
  <c r="P300" i="1"/>
  <c r="Q300" i="1"/>
  <c r="R300" i="1"/>
  <c r="L300" i="1"/>
  <c r="U224" i="20" l="1"/>
  <c r="V225" i="20"/>
  <c r="T191" i="20"/>
  <c r="S190" i="20"/>
  <c r="C82" i="11"/>
  <c r="C84" i="11"/>
  <c r="D82" i="11"/>
  <c r="E81" i="11" s="1"/>
  <c r="E82" i="11" s="1"/>
  <c r="D86" i="11"/>
  <c r="E85" i="11" s="1"/>
  <c r="E86" i="11" s="1"/>
  <c r="F85" i="11" s="1"/>
  <c r="C86" i="11"/>
  <c r="D84" i="11"/>
  <c r="E83" i="11" s="1"/>
  <c r="G70" i="11"/>
  <c r="G108" i="11" s="1"/>
  <c r="G71" i="11"/>
  <c r="G109" i="11" s="1"/>
  <c r="G72" i="11"/>
  <c r="G110" i="11" s="1"/>
  <c r="H72" i="11"/>
  <c r="H110" i="11" s="1"/>
  <c r="H71" i="11"/>
  <c r="H109" i="11" s="1"/>
  <c r="H70" i="11"/>
  <c r="H108" i="11" s="1"/>
  <c r="L70" i="11"/>
  <c r="L108" i="11" s="1"/>
  <c r="L72" i="11"/>
  <c r="L110" i="11" s="1"/>
  <c r="L71" i="11"/>
  <c r="L109" i="11" s="1"/>
  <c r="N71" i="11"/>
  <c r="N109" i="11" s="1"/>
  <c r="N70" i="11"/>
  <c r="N108" i="11" s="1"/>
  <c r="N72" i="11"/>
  <c r="N110" i="11" s="1"/>
  <c r="I72" i="11"/>
  <c r="I110" i="11" s="1"/>
  <c r="I71" i="11"/>
  <c r="I109" i="11" s="1"/>
  <c r="I70" i="11"/>
  <c r="I108" i="11" s="1"/>
  <c r="M72" i="11"/>
  <c r="M110" i="11" s="1"/>
  <c r="M70" i="11"/>
  <c r="M108" i="11" s="1"/>
  <c r="M71" i="11"/>
  <c r="M109" i="11" s="1"/>
  <c r="E37" i="11"/>
  <c r="B209" i="11"/>
  <c r="D29" i="11"/>
  <c r="O27" i="11"/>
  <c r="M26" i="11"/>
  <c r="E26" i="11"/>
  <c r="N26" i="11"/>
  <c r="O26" i="11"/>
  <c r="E39" i="11"/>
  <c r="L29" i="11"/>
  <c r="E40" i="11"/>
  <c r="E36" i="11"/>
  <c r="L27" i="11"/>
  <c r="E38" i="11"/>
  <c r="E207" i="11"/>
  <c r="H213" i="11"/>
  <c r="E213" i="11"/>
  <c r="B205" i="11"/>
  <c r="L26" i="11"/>
  <c r="N29" i="11"/>
  <c r="D39" i="11"/>
  <c r="F39" i="11" s="1"/>
  <c r="E211" i="11"/>
  <c r="E29" i="11"/>
  <c r="H27" i="11"/>
  <c r="E209" i="11"/>
  <c r="M28" i="11"/>
  <c r="D27" i="11"/>
  <c r="G213" i="11"/>
  <c r="D37" i="11"/>
  <c r="F37" i="11" s="1"/>
  <c r="D202" i="11"/>
  <c r="D40" i="11"/>
  <c r="F40" i="11" s="1"/>
  <c r="E205" i="11"/>
  <c r="L28" i="11"/>
  <c r="A204" i="11"/>
  <c r="J27" i="11"/>
  <c r="A207" i="11"/>
  <c r="I28" i="11"/>
  <c r="N27" i="11"/>
  <c r="M27" i="11"/>
  <c r="E208" i="11"/>
  <c r="B211" i="11"/>
  <c r="C211" i="11" s="1"/>
  <c r="C209" i="11"/>
  <c r="A210" i="11"/>
  <c r="D203" i="11"/>
  <c r="A203" i="11"/>
  <c r="J28" i="11"/>
  <c r="D213" i="11"/>
  <c r="B208" i="11"/>
  <c r="G202" i="11"/>
  <c r="E27" i="11"/>
  <c r="G203" i="11"/>
  <c r="A208" i="11"/>
  <c r="O29" i="11"/>
  <c r="B207" i="11"/>
  <c r="G27" i="11"/>
  <c r="A205" i="11"/>
  <c r="O28" i="11"/>
  <c r="E204" i="11"/>
  <c r="I26" i="11"/>
  <c r="B210" i="11"/>
  <c r="B204" i="11"/>
  <c r="N28" i="11"/>
  <c r="H26" i="11"/>
  <c r="D26" i="11"/>
  <c r="D204" i="11"/>
  <c r="E28" i="11"/>
  <c r="I29" i="11"/>
  <c r="G28" i="11"/>
  <c r="H28" i="11"/>
  <c r="B202" i="11"/>
  <c r="E210" i="11"/>
  <c r="A202" i="11"/>
  <c r="G26" i="11"/>
  <c r="D36" i="11"/>
  <c r="F36" i="11" s="1"/>
  <c r="H205" i="11"/>
  <c r="G205" i="11"/>
  <c r="E202" i="11"/>
  <c r="D38" i="11"/>
  <c r="F38" i="11" s="1"/>
  <c r="D205" i="11"/>
  <c r="J29" i="11"/>
  <c r="E203" i="11"/>
  <c r="I27" i="11"/>
  <c r="M29" i="11"/>
  <c r="J26" i="11"/>
  <c r="D28" i="11"/>
  <c r="I63" i="2"/>
  <c r="K146" i="1"/>
  <c r="M127" i="1"/>
  <c r="N127" i="1"/>
  <c r="O127" i="1"/>
  <c r="P127" i="1"/>
  <c r="Q127" i="1"/>
  <c r="M128" i="1"/>
  <c r="N128" i="1"/>
  <c r="O128" i="1"/>
  <c r="P128" i="1"/>
  <c r="Q128" i="1"/>
  <c r="M129" i="1"/>
  <c r="N129" i="1"/>
  <c r="O129" i="1"/>
  <c r="P129" i="1"/>
  <c r="Q129" i="1"/>
  <c r="M130" i="1"/>
  <c r="N130" i="1"/>
  <c r="O130" i="1"/>
  <c r="P130" i="1"/>
  <c r="Q130" i="1"/>
  <c r="L130" i="1"/>
  <c r="L129" i="1"/>
  <c r="L128" i="1"/>
  <c r="L127" i="1"/>
  <c r="C5" i="7"/>
  <c r="B16" i="2"/>
  <c r="B18" i="2"/>
  <c r="B26" i="2"/>
  <c r="U335" i="1"/>
  <c r="V335" i="1"/>
  <c r="W335" i="1"/>
  <c r="X335" i="1"/>
  <c r="Y335" i="1"/>
  <c r="Z335" i="1"/>
  <c r="AA335" i="1"/>
  <c r="AB335" i="1"/>
  <c r="AC335" i="1"/>
  <c r="AD335" i="1"/>
  <c r="AE335" i="1"/>
  <c r="AF335" i="1"/>
  <c r="AG335" i="1"/>
  <c r="AH335" i="1"/>
  <c r="AI335" i="1"/>
  <c r="AJ335" i="1"/>
  <c r="AK335" i="1"/>
  <c r="AL335" i="1"/>
  <c r="U339" i="1"/>
  <c r="V339" i="1"/>
  <c r="W339" i="1"/>
  <c r="X339" i="1"/>
  <c r="Y339" i="1"/>
  <c r="Z339" i="1"/>
  <c r="AA339" i="1"/>
  <c r="AB339" i="1"/>
  <c r="AC339" i="1"/>
  <c r="AD339" i="1"/>
  <c r="AE339" i="1"/>
  <c r="AF339" i="1"/>
  <c r="AG339" i="1"/>
  <c r="AH339" i="1"/>
  <c r="AI339" i="1"/>
  <c r="AJ339" i="1"/>
  <c r="AK339" i="1"/>
  <c r="AL339" i="1"/>
  <c r="S342" i="1"/>
  <c r="S343" i="1" s="1"/>
  <c r="T335" i="1"/>
  <c r="T339" i="1"/>
  <c r="S339" i="1"/>
  <c r="S335" i="1"/>
  <c r="T399" i="1"/>
  <c r="U399" i="1"/>
  <c r="V399" i="1"/>
  <c r="W399" i="1"/>
  <c r="X399" i="1"/>
  <c r="Y399" i="1"/>
  <c r="Z399" i="1"/>
  <c r="AA399" i="1"/>
  <c r="AB399" i="1"/>
  <c r="AC399" i="1"/>
  <c r="AD399" i="1"/>
  <c r="AE399" i="1"/>
  <c r="AF399" i="1"/>
  <c r="AG399" i="1"/>
  <c r="AH399" i="1"/>
  <c r="AI399" i="1"/>
  <c r="AJ399" i="1"/>
  <c r="AK399" i="1"/>
  <c r="AL399" i="1"/>
  <c r="S399" i="1"/>
  <c r="AO367" i="1"/>
  <c r="AO359" i="1"/>
  <c r="AO350" i="1"/>
  <c r="AO319" i="1"/>
  <c r="AO327" i="1"/>
  <c r="AQ461" i="1"/>
  <c r="AR461" i="1"/>
  <c r="AS461" i="1"/>
  <c r="AT461" i="1"/>
  <c r="AP461" i="1"/>
  <c r="T461" i="1"/>
  <c r="U461" i="1"/>
  <c r="V461" i="1"/>
  <c r="W461" i="1"/>
  <c r="X461" i="1"/>
  <c r="Y461" i="1"/>
  <c r="Z461" i="1"/>
  <c r="AA461" i="1"/>
  <c r="AB461" i="1"/>
  <c r="AC461" i="1"/>
  <c r="AD461" i="1"/>
  <c r="AE461" i="1"/>
  <c r="AF461" i="1"/>
  <c r="AG461" i="1"/>
  <c r="AH461" i="1"/>
  <c r="AI461" i="1"/>
  <c r="AJ461" i="1"/>
  <c r="AK461" i="1"/>
  <c r="AL461" i="1"/>
  <c r="U191" i="20" l="1"/>
  <c r="T190" i="20"/>
  <c r="V224" i="20"/>
  <c r="W225" i="20"/>
  <c r="W224" i="20" s="1"/>
  <c r="C3" i="7"/>
  <c r="F81" i="11"/>
  <c r="F82" i="11" s="1"/>
  <c r="G81" i="11" s="1"/>
  <c r="E84" i="11"/>
  <c r="F83" i="11" s="1"/>
  <c r="F86" i="11"/>
  <c r="G85" i="11" s="1"/>
  <c r="G86" i="11" s="1"/>
  <c r="H85" i="11" s="1"/>
  <c r="H86" i="11" s="1"/>
  <c r="I85" i="11" s="1"/>
  <c r="I86" i="11" s="1"/>
  <c r="F202" i="11"/>
  <c r="C203" i="11"/>
  <c r="C210" i="11"/>
  <c r="C208" i="11"/>
  <c r="C204" i="11"/>
  <c r="C207" i="11"/>
  <c r="C205" i="11"/>
  <c r="F205" i="11"/>
  <c r="G29" i="11"/>
  <c r="H29" i="11"/>
  <c r="F203" i="11"/>
  <c r="C202" i="11"/>
  <c r="F204" i="11"/>
  <c r="C4" i="7"/>
  <c r="V191" i="20" l="1"/>
  <c r="U190" i="20"/>
  <c r="G82" i="11"/>
  <c r="H81" i="11" s="1"/>
  <c r="H82" i="11" s="1"/>
  <c r="I81" i="11" s="1"/>
  <c r="I82" i="11" s="1"/>
  <c r="F84" i="11"/>
  <c r="G83" i="11" s="1"/>
  <c r="G84" i="11" s="1"/>
  <c r="H83" i="11" s="1"/>
  <c r="H84" i="11" s="1"/>
  <c r="I83" i="11" s="1"/>
  <c r="I84" i="11" s="1"/>
  <c r="D494" i="1"/>
  <c r="D462" i="1"/>
  <c r="D475" i="1"/>
  <c r="D476" i="1"/>
  <c r="R139" i="1"/>
  <c r="D116" i="2"/>
  <c r="J116" i="2" s="1"/>
  <c r="D497" i="1" s="1"/>
  <c r="S461" i="1"/>
  <c r="B31" i="2"/>
  <c r="B39" i="2"/>
  <c r="D486" i="1" l="1"/>
  <c r="D483" i="1"/>
  <c r="W191" i="20"/>
  <c r="V190" i="20"/>
  <c r="AO226" i="1"/>
  <c r="AP226" i="1"/>
  <c r="AN226" i="1"/>
  <c r="AO189" i="1"/>
  <c r="AO176" i="1"/>
  <c r="AN192" i="1"/>
  <c r="AN189" i="1"/>
  <c r="AN176" i="1"/>
  <c r="W190" i="20" l="1"/>
  <c r="AN193" i="1"/>
  <c r="AO192" i="1" s="1"/>
  <c r="AO193" i="1" s="1"/>
  <c r="M26" i="2" l="1"/>
  <c r="M27" i="2"/>
  <c r="D374" i="1" l="1"/>
  <c r="D372" i="1"/>
  <c r="C376" i="1" l="1"/>
  <c r="C377" i="1" s="1"/>
  <c r="E105" i="2"/>
  <c r="S363" i="1"/>
  <c r="T363" i="1" s="1"/>
  <c r="U363" i="1" s="1"/>
  <c r="V363" i="1" s="1"/>
  <c r="W363" i="1" s="1"/>
  <c r="X363" i="1" s="1"/>
  <c r="Y363" i="1" s="1"/>
  <c r="Z363" i="1" s="1"/>
  <c r="AA363" i="1" s="1"/>
  <c r="AB363" i="1" s="1"/>
  <c r="AC363" i="1" s="1"/>
  <c r="AD363" i="1" s="1"/>
  <c r="AE363" i="1" s="1"/>
  <c r="AF363" i="1" s="1"/>
  <c r="AG363" i="1" s="1"/>
  <c r="AH363" i="1" s="1"/>
  <c r="AI363" i="1" s="1"/>
  <c r="AJ363" i="1" s="1"/>
  <c r="AK363" i="1" s="1"/>
  <c r="AL363" i="1" s="1"/>
  <c r="S362" i="1"/>
  <c r="T362" i="1" s="1"/>
  <c r="U362" i="1" s="1"/>
  <c r="V362" i="1" s="1"/>
  <c r="W362" i="1" s="1"/>
  <c r="X362" i="1" s="1"/>
  <c r="Y362" i="1" s="1"/>
  <c r="Z362" i="1" s="1"/>
  <c r="AA362" i="1" s="1"/>
  <c r="AB362" i="1" s="1"/>
  <c r="AC362" i="1" s="1"/>
  <c r="AD362" i="1" s="1"/>
  <c r="AE362" i="1" s="1"/>
  <c r="AF362" i="1" s="1"/>
  <c r="AG362" i="1" s="1"/>
  <c r="AH362" i="1" s="1"/>
  <c r="AI362" i="1" s="1"/>
  <c r="AJ362" i="1" s="1"/>
  <c r="AK362" i="1" s="1"/>
  <c r="AL362" i="1" s="1"/>
  <c r="S354" i="1"/>
  <c r="T354" i="1" s="1"/>
  <c r="U354" i="1" s="1"/>
  <c r="V354" i="1" s="1"/>
  <c r="W354" i="1" s="1"/>
  <c r="X354" i="1" s="1"/>
  <c r="Y354" i="1" s="1"/>
  <c r="Z354" i="1" s="1"/>
  <c r="AA354" i="1" s="1"/>
  <c r="AB354" i="1" s="1"/>
  <c r="AC354" i="1" s="1"/>
  <c r="AD354" i="1" s="1"/>
  <c r="AE354" i="1" s="1"/>
  <c r="AF354" i="1" s="1"/>
  <c r="AG354" i="1" s="1"/>
  <c r="AH354" i="1" s="1"/>
  <c r="AI354" i="1" s="1"/>
  <c r="AJ354" i="1" s="1"/>
  <c r="AK354" i="1" s="1"/>
  <c r="AL354" i="1" s="1"/>
  <c r="S330" i="1"/>
  <c r="T330" i="1" s="1"/>
  <c r="U330" i="1" s="1"/>
  <c r="V330" i="1" s="1"/>
  <c r="W330" i="1" s="1"/>
  <c r="X330" i="1" s="1"/>
  <c r="Y330" i="1" s="1"/>
  <c r="Z330" i="1" s="1"/>
  <c r="AA330" i="1" s="1"/>
  <c r="AB330" i="1" s="1"/>
  <c r="AC330" i="1" s="1"/>
  <c r="AD330" i="1" s="1"/>
  <c r="AE330" i="1" s="1"/>
  <c r="AF330" i="1" s="1"/>
  <c r="AG330" i="1" s="1"/>
  <c r="AH330" i="1" s="1"/>
  <c r="AI330" i="1" s="1"/>
  <c r="AJ330" i="1" s="1"/>
  <c r="AK330" i="1" s="1"/>
  <c r="AL330" i="1" s="1"/>
  <c r="R311" i="1"/>
  <c r="C313" i="1"/>
  <c r="R100" i="1"/>
  <c r="R405" i="1" l="1"/>
  <c r="R110" i="1" s="1"/>
  <c r="R307" i="1"/>
  <c r="S121" i="1" s="1"/>
  <c r="R321" i="1"/>
  <c r="S312" i="1" s="1"/>
  <c r="C378" i="1"/>
  <c r="C379" i="1" s="1"/>
  <c r="C380" i="1" s="1"/>
  <c r="C381" i="1" s="1"/>
  <c r="C382" i="1" s="1"/>
  <c r="C383" i="1" s="1"/>
  <c r="C384" i="1" s="1"/>
  <c r="C385" i="1" s="1"/>
  <c r="R368" i="1"/>
  <c r="R130" i="1" s="1"/>
  <c r="R360" i="1"/>
  <c r="R129" i="1" s="1"/>
  <c r="R326" i="1"/>
  <c r="R328" i="1" s="1"/>
  <c r="R127" i="1" s="1"/>
  <c r="R351" i="1"/>
  <c r="R128" i="1" s="1"/>
  <c r="S332" i="1"/>
  <c r="V332" i="1"/>
  <c r="W332" i="1"/>
  <c r="T332" i="1"/>
  <c r="R138" i="1"/>
  <c r="S403" i="1" l="1"/>
  <c r="S404" i="1" s="1"/>
  <c r="S314" i="1"/>
  <c r="S315" i="1"/>
  <c r="S366" i="1"/>
  <c r="S313" i="1"/>
  <c r="S357" i="1"/>
  <c r="S358" i="1" s="1"/>
  <c r="S393" i="1" s="1"/>
  <c r="S157" i="1" s="1"/>
  <c r="S348" i="1"/>
  <c r="S349" i="1" s="1"/>
  <c r="S326" i="1"/>
  <c r="S317" i="1" l="1"/>
  <c r="S336" i="1"/>
  <c r="S316" i="1"/>
  <c r="X332" i="1"/>
  <c r="S318" i="1" l="1"/>
  <c r="S319" i="1" s="1"/>
  <c r="S320" i="1" s="1"/>
  <c r="Y332" i="1"/>
  <c r="R35" i="1"/>
  <c r="R36" i="1" s="1"/>
  <c r="D485" i="1"/>
  <c r="S327" i="1" l="1"/>
  <c r="Z332" i="1"/>
  <c r="E117" i="2"/>
  <c r="G117" i="2"/>
  <c r="I117" i="2"/>
  <c r="H98" i="2"/>
  <c r="H106" i="2" s="1"/>
  <c r="I98" i="2"/>
  <c r="I106" i="2" s="1"/>
  <c r="G80" i="2"/>
  <c r="G90" i="2" s="1"/>
  <c r="J73" i="2"/>
  <c r="G98" i="2"/>
  <c r="G106" i="2" s="1"/>
  <c r="F98" i="2"/>
  <c r="F106" i="2" s="1"/>
  <c r="E98" i="2"/>
  <c r="D98" i="2"/>
  <c r="D106" i="2" s="1"/>
  <c r="E103" i="2"/>
  <c r="J103" i="2" s="1"/>
  <c r="J105" i="2"/>
  <c r="E104" i="2"/>
  <c r="J104" i="2" s="1"/>
  <c r="C391" i="1" s="1"/>
  <c r="E102" i="2"/>
  <c r="J102" i="2" s="1"/>
  <c r="C388" i="1" s="1"/>
  <c r="C73" i="2"/>
  <c r="D373" i="1" l="1"/>
  <c r="D376" i="1" s="1"/>
  <c r="D377" i="1" s="1"/>
  <c r="D378" i="1" s="1"/>
  <c r="C390" i="1"/>
  <c r="C389" i="1"/>
  <c r="U332" i="1"/>
  <c r="AA332" i="1"/>
  <c r="G119" i="2"/>
  <c r="G120" i="2" s="1"/>
  <c r="I119" i="2"/>
  <c r="E76" i="2"/>
  <c r="E80" i="2" s="1"/>
  <c r="E90" i="2" s="1"/>
  <c r="E106" i="2"/>
  <c r="E119" i="2" s="1"/>
  <c r="C394" i="1" l="1"/>
  <c r="E120" i="2"/>
  <c r="D379" i="1"/>
  <c r="AB332" i="1"/>
  <c r="D380" i="1" l="1"/>
  <c r="S350" i="1"/>
  <c r="S359" i="1" s="1"/>
  <c r="AC332" i="1"/>
  <c r="M25" i="2"/>
  <c r="M24" i="2"/>
  <c r="F7" i="3"/>
  <c r="D381" i="1" l="1"/>
  <c r="S367" i="1"/>
  <c r="AD332" i="1"/>
  <c r="L25" i="1"/>
  <c r="AN3" i="1"/>
  <c r="D382" i="1" l="1"/>
  <c r="AE332" i="1"/>
  <c r="L219" i="1"/>
  <c r="M219" i="1"/>
  <c r="N219" i="1"/>
  <c r="O219" i="1"/>
  <c r="P219" i="1"/>
  <c r="Q219" i="1"/>
  <c r="R219" i="1"/>
  <c r="D383" i="1" l="1"/>
  <c r="AF332" i="1"/>
  <c r="O7" i="2"/>
  <c r="O9" i="2" s="1"/>
  <c r="K12" i="2"/>
  <c r="O11" i="2" s="1"/>
  <c r="D384" i="1" l="1"/>
  <c r="AG332" i="1"/>
  <c r="F3" i="3"/>
  <c r="F18" i="3" s="1"/>
  <c r="F8" i="3" s="1"/>
  <c r="O12" i="2"/>
  <c r="T120" i="1"/>
  <c r="U120" i="1" s="1"/>
  <c r="K21" i="1"/>
  <c r="M25" i="1"/>
  <c r="N25" i="1"/>
  <c r="O25" i="1"/>
  <c r="P25" i="1"/>
  <c r="Q25" i="1"/>
  <c r="K25" i="1"/>
  <c r="Q21" i="1"/>
  <c r="P21" i="1"/>
  <c r="O21" i="1"/>
  <c r="M21" i="1"/>
  <c r="L21" i="1"/>
  <c r="R3" i="1"/>
  <c r="O46" i="11" l="1"/>
  <c r="M285" i="1"/>
  <c r="I58" i="11"/>
  <c r="P285" i="1"/>
  <c r="M58" i="11"/>
  <c r="K285" i="1"/>
  <c r="G58" i="11"/>
  <c r="Q285" i="1"/>
  <c r="N58" i="11"/>
  <c r="L285" i="1"/>
  <c r="H58" i="11"/>
  <c r="O285" i="1"/>
  <c r="L58" i="11"/>
  <c r="M286" i="1"/>
  <c r="D385" i="1"/>
  <c r="AH332" i="1"/>
  <c r="F9" i="3"/>
  <c r="F10" i="3" s="1"/>
  <c r="F11" i="3" s="1"/>
  <c r="V120" i="1"/>
  <c r="W120" i="1" s="1"/>
  <c r="X120" i="1" s="1"/>
  <c r="Y120" i="1" s="1"/>
  <c r="Z120" i="1" s="1"/>
  <c r="AA120" i="1" s="1"/>
  <c r="AB120" i="1" s="1"/>
  <c r="AC120" i="1" s="1"/>
  <c r="AD120" i="1" s="1"/>
  <c r="AE120" i="1" s="1"/>
  <c r="AF120" i="1" s="1"/>
  <c r="AG120" i="1" s="1"/>
  <c r="AH120" i="1" s="1"/>
  <c r="AI120" i="1" s="1"/>
  <c r="AJ120" i="1" s="1"/>
  <c r="AK120" i="1" s="1"/>
  <c r="AL120" i="1" s="1"/>
  <c r="L286" i="1" l="1"/>
  <c r="Q286" i="1"/>
  <c r="P286" i="1"/>
  <c r="N67" i="11"/>
  <c r="N69" i="11"/>
  <c r="N68" i="11"/>
  <c r="M67" i="11"/>
  <c r="M68" i="11"/>
  <c r="M69" i="11"/>
  <c r="G67" i="11"/>
  <c r="G69" i="11"/>
  <c r="G68" i="11"/>
  <c r="L67" i="11"/>
  <c r="L69" i="11"/>
  <c r="L68" i="11"/>
  <c r="H68" i="11"/>
  <c r="H69" i="11"/>
  <c r="H67" i="11"/>
  <c r="I67" i="11"/>
  <c r="I69" i="11"/>
  <c r="I68" i="11"/>
  <c r="AI332" i="1"/>
  <c r="F13" i="3"/>
  <c r="K13" i="2"/>
  <c r="K14" i="2" s="1"/>
  <c r="S192" i="1"/>
  <c r="L281" i="1"/>
  <c r="M281" i="1"/>
  <c r="O281" i="1"/>
  <c r="P281" i="1"/>
  <c r="Q281" i="1"/>
  <c r="L282" i="1"/>
  <c r="M282" i="1"/>
  <c r="O282" i="1"/>
  <c r="P282" i="1"/>
  <c r="Q282" i="1"/>
  <c r="K282" i="1"/>
  <c r="K281" i="1"/>
  <c r="AJ332" i="1" l="1"/>
  <c r="O13" i="2"/>
  <c r="E6" i="17" s="1"/>
  <c r="O16" i="2"/>
  <c r="O17" i="2" s="1"/>
  <c r="S282" i="1"/>
  <c r="W282" i="1" s="1"/>
  <c r="AA282" i="1" s="1"/>
  <c r="AE282" i="1" s="1"/>
  <c r="AI282" i="1" s="1"/>
  <c r="U282" i="1"/>
  <c r="Y282" i="1" s="1"/>
  <c r="AC282" i="1" s="1"/>
  <c r="AG282" i="1" s="1"/>
  <c r="AK282" i="1" s="1"/>
  <c r="T282" i="1"/>
  <c r="X282" i="1" s="1"/>
  <c r="AB282" i="1" s="1"/>
  <c r="AF282" i="1" s="1"/>
  <c r="AJ282" i="1" s="1"/>
  <c r="S281" i="1"/>
  <c r="W281" i="1" s="1"/>
  <c r="AA281" i="1" s="1"/>
  <c r="AE281" i="1" s="1"/>
  <c r="AI281" i="1" s="1"/>
  <c r="U281" i="1"/>
  <c r="Y281" i="1" s="1"/>
  <c r="AC281" i="1" s="1"/>
  <c r="AG281" i="1" s="1"/>
  <c r="AK281" i="1" s="1"/>
  <c r="T281" i="1"/>
  <c r="X281" i="1" s="1"/>
  <c r="AB281" i="1" s="1"/>
  <c r="AF281" i="1" s="1"/>
  <c r="AJ281" i="1" s="1"/>
  <c r="B252" i="1"/>
  <c r="O14" i="2" l="1"/>
  <c r="B253" i="1"/>
  <c r="B254" i="1" s="1"/>
  <c r="K43" i="2"/>
  <c r="K38" i="2"/>
  <c r="AL332" i="1"/>
  <c r="AK332" i="1"/>
  <c r="R252" i="1"/>
  <c r="AH73" i="1"/>
  <c r="AI73" i="1"/>
  <c r="AJ73" i="1"/>
  <c r="AK73" i="1"/>
  <c r="AL73" i="1"/>
  <c r="W73" i="1"/>
  <c r="X73" i="1"/>
  <c r="Y73" i="1"/>
  <c r="Z73" i="1"/>
  <c r="AA73" i="1"/>
  <c r="AB73" i="1"/>
  <c r="AC73" i="1"/>
  <c r="AD73" i="1"/>
  <c r="AE73" i="1"/>
  <c r="AF73" i="1"/>
  <c r="AG73" i="1"/>
  <c r="S304" i="1"/>
  <c r="S5" i="1"/>
  <c r="S306" i="1" s="1"/>
  <c r="H249" i="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D249" i="1"/>
  <c r="D252" i="1" s="1"/>
  <c r="D253" i="1" s="1"/>
  <c r="D254" i="1" s="1"/>
  <c r="D255" i="1" s="1"/>
  <c r="D256" i="1" s="1"/>
  <c r="D257" i="1" s="1"/>
  <c r="L54" i="1"/>
  <c r="M54" i="1"/>
  <c r="P54" i="1"/>
  <c r="Q54" i="1"/>
  <c r="P229" i="1"/>
  <c r="P231" i="1" s="1"/>
  <c r="Q229" i="1"/>
  <c r="Q230" i="1" s="1"/>
  <c r="R229" i="1"/>
  <c r="R234" i="1" s="1"/>
  <c r="L229" i="1"/>
  <c r="L231" i="1" s="1"/>
  <c r="L241" i="1" s="1"/>
  <c r="M229" i="1"/>
  <c r="M232" i="1" s="1"/>
  <c r="N229" i="1"/>
  <c r="N232" i="1" s="1"/>
  <c r="O229" i="1"/>
  <c r="O230" i="1" s="1"/>
  <c r="O240" i="1" s="1"/>
  <c r="S40" i="1" l="1"/>
  <c r="S430" i="1"/>
  <c r="D12" i="17"/>
  <c r="H52" i="17"/>
  <c r="S420" i="1"/>
  <c r="S410" i="1"/>
  <c r="S421" i="1"/>
  <c r="P48" i="11"/>
  <c r="P63" i="11" s="1"/>
  <c r="R253" i="1"/>
  <c r="S369" i="1"/>
  <c r="S497" i="1"/>
  <c r="C5" i="6"/>
  <c r="S457" i="1"/>
  <c r="S139" i="1"/>
  <c r="S185" i="1" s="1"/>
  <c r="S397" i="1"/>
  <c r="B255" i="1"/>
  <c r="S311" i="1"/>
  <c r="S107" i="1"/>
  <c r="S35" i="1"/>
  <c r="S135" i="1"/>
  <c r="S134" i="1"/>
  <c r="S3" i="1"/>
  <c r="R230" i="1"/>
  <c r="S253" i="1"/>
  <c r="S254" i="1"/>
  <c r="R254" i="1"/>
  <c r="D258" i="1"/>
  <c r="M230" i="1"/>
  <c r="N230" i="1"/>
  <c r="P230" i="1"/>
  <c r="M231" i="1"/>
  <c r="L230" i="1"/>
  <c r="L240" i="1" s="1"/>
  <c r="P232" i="1"/>
  <c r="O232" i="1"/>
  <c r="O231" i="1"/>
  <c r="O241" i="1" s="1"/>
  <c r="N231" i="1"/>
  <c r="L232" i="1"/>
  <c r="R232" i="1"/>
  <c r="R231" i="1"/>
  <c r="Q232" i="1"/>
  <c r="Q231" i="1"/>
  <c r="R236" i="1" l="1"/>
  <c r="S236" i="1" s="1"/>
  <c r="T236" i="1" s="1"/>
  <c r="U236" i="1" s="1"/>
  <c r="V236" i="1" s="1"/>
  <c r="W236" i="1" s="1"/>
  <c r="R235" i="1"/>
  <c r="S235" i="1" s="1"/>
  <c r="P46" i="11"/>
  <c r="S405" i="1"/>
  <c r="S110" i="1" s="1"/>
  <c r="S158" i="1" s="1"/>
  <c r="C3" i="6"/>
  <c r="C4" i="6"/>
  <c r="S390" i="1"/>
  <c r="S428" i="1" s="1"/>
  <c r="B256" i="1"/>
  <c r="R255" i="1"/>
  <c r="S360" i="1"/>
  <c r="S129" i="1" s="1"/>
  <c r="S368" i="1"/>
  <c r="S130" i="1" s="1"/>
  <c r="S328" i="1"/>
  <c r="S337" i="1" s="1"/>
  <c r="S351" i="1"/>
  <c r="S128" i="1" s="1"/>
  <c r="T235" i="1"/>
  <c r="D259" i="1"/>
  <c r="S440" i="1" l="1"/>
  <c r="S442" i="1"/>
  <c r="S441" i="1"/>
  <c r="S237" i="1"/>
  <c r="S273" i="1" s="1"/>
  <c r="T403" i="1"/>
  <c r="T404" i="1" s="1"/>
  <c r="S345" i="1"/>
  <c r="S127" i="1"/>
  <c r="S338" i="1"/>
  <c r="X236" i="1"/>
  <c r="Y236" i="1" s="1"/>
  <c r="Z236" i="1" s="1"/>
  <c r="AA236" i="1" s="1"/>
  <c r="B257" i="1"/>
  <c r="S256" i="1"/>
  <c r="R256" i="1"/>
  <c r="S361" i="1"/>
  <c r="S392" i="1" s="1"/>
  <c r="S429" i="1" s="1"/>
  <c r="T357" i="1"/>
  <c r="T358" i="1" s="1"/>
  <c r="T393" i="1" s="1"/>
  <c r="T348" i="1"/>
  <c r="T349" i="1" s="1"/>
  <c r="T326" i="1"/>
  <c r="T336" i="1" s="1"/>
  <c r="S352" i="1"/>
  <c r="S389" i="1" s="1"/>
  <c r="S427" i="1" s="1"/>
  <c r="T237" i="1"/>
  <c r="T273" i="1" s="1"/>
  <c r="U235" i="1"/>
  <c r="D260" i="1"/>
  <c r="S439" i="1" l="1"/>
  <c r="T317" i="1"/>
  <c r="S443" i="1"/>
  <c r="S182" i="1"/>
  <c r="S180" i="1"/>
  <c r="S179" i="1"/>
  <c r="T157" i="1"/>
  <c r="AB236" i="1"/>
  <c r="AC236" i="1" s="1"/>
  <c r="AD236" i="1" s="1"/>
  <c r="AE236" i="1" s="1"/>
  <c r="B258" i="1"/>
  <c r="S257" i="1"/>
  <c r="R257" i="1"/>
  <c r="T366" i="1"/>
  <c r="V235" i="1"/>
  <c r="U237" i="1"/>
  <c r="U273" i="1" s="1"/>
  <c r="D261" i="1"/>
  <c r="S113" i="1"/>
  <c r="T113" i="1" s="1"/>
  <c r="U113" i="1" s="1"/>
  <c r="S174" i="1"/>
  <c r="AF236" i="1" l="1"/>
  <c r="AG236" i="1" s="1"/>
  <c r="AH236" i="1" s="1"/>
  <c r="AI236" i="1" s="1"/>
  <c r="B259" i="1"/>
  <c r="S258" i="1"/>
  <c r="R258" i="1"/>
  <c r="V113" i="1"/>
  <c r="W113" i="1" s="1"/>
  <c r="X113" i="1" s="1"/>
  <c r="Y113" i="1" s="1"/>
  <c r="Z113" i="1" s="1"/>
  <c r="AA113" i="1" s="1"/>
  <c r="AB113" i="1" s="1"/>
  <c r="AC113" i="1" s="1"/>
  <c r="AD113" i="1" s="1"/>
  <c r="AE113" i="1" s="1"/>
  <c r="AF113" i="1" s="1"/>
  <c r="AG113" i="1" s="1"/>
  <c r="AH113" i="1" s="1"/>
  <c r="AI113" i="1" s="1"/>
  <c r="AJ113" i="1" s="1"/>
  <c r="AK113" i="1" s="1"/>
  <c r="AL113" i="1" s="1"/>
  <c r="W235" i="1"/>
  <c r="V237" i="1"/>
  <c r="V273" i="1" s="1"/>
  <c r="D262" i="1"/>
  <c r="AJ236" i="1" l="1"/>
  <c r="AK236" i="1" s="1"/>
  <c r="AL236" i="1" s="1"/>
  <c r="B260" i="1"/>
  <c r="S259" i="1"/>
  <c r="R259" i="1"/>
  <c r="X235" i="1"/>
  <c r="W237" i="1"/>
  <c r="W273" i="1" s="1"/>
  <c r="D263" i="1"/>
  <c r="B261" i="1" l="1"/>
  <c r="R260" i="1"/>
  <c r="S260" i="1"/>
  <c r="Y235" i="1"/>
  <c r="X237" i="1"/>
  <c r="X273" i="1" s="1"/>
  <c r="D264" i="1"/>
  <c r="K244" i="1"/>
  <c r="S244" i="1" s="1"/>
  <c r="W244" i="1" s="1"/>
  <c r="W239" i="1" s="1"/>
  <c r="S226" i="1"/>
  <c r="P239" i="1"/>
  <c r="P244" i="1" s="1"/>
  <c r="M239" i="1"/>
  <c r="M244" i="1" s="1"/>
  <c r="T244" i="1" l="1"/>
  <c r="X244" i="1"/>
  <c r="X239" i="1" s="1"/>
  <c r="AA244" i="1"/>
  <c r="AA239" i="1" s="1"/>
  <c r="AB244" i="1"/>
  <c r="M241" i="1"/>
  <c r="M240" i="1"/>
  <c r="P241" i="1"/>
  <c r="P240" i="1"/>
  <c r="B262" i="1"/>
  <c r="R261" i="1"/>
  <c r="S261" i="1"/>
  <c r="Z235" i="1"/>
  <c r="Y237" i="1"/>
  <c r="Y273" i="1" s="1"/>
  <c r="D265" i="1"/>
  <c r="N239" i="1"/>
  <c r="Q239" i="1"/>
  <c r="Q244" i="1" s="1"/>
  <c r="U73" i="1"/>
  <c r="V73" i="1"/>
  <c r="B211" i="1"/>
  <c r="M201" i="1"/>
  <c r="N201" i="1"/>
  <c r="O201" i="1"/>
  <c r="P201" i="1"/>
  <c r="Q201" i="1"/>
  <c r="R201" i="1"/>
  <c r="M204" i="1"/>
  <c r="N204" i="1"/>
  <c r="O204" i="1"/>
  <c r="P204" i="1"/>
  <c r="Q204" i="1"/>
  <c r="R204" i="1"/>
  <c r="M203" i="1"/>
  <c r="N203" i="1"/>
  <c r="O203" i="1"/>
  <c r="P203" i="1"/>
  <c r="Q203" i="1"/>
  <c r="R203" i="1"/>
  <c r="M202" i="1"/>
  <c r="N202" i="1"/>
  <c r="O202" i="1"/>
  <c r="P202" i="1"/>
  <c r="Q202" i="1"/>
  <c r="R202" i="1"/>
  <c r="M205" i="1"/>
  <c r="N205" i="1"/>
  <c r="O205" i="1"/>
  <c r="P205" i="1"/>
  <c r="Q205" i="1"/>
  <c r="R205" i="1"/>
  <c r="L205" i="1"/>
  <c r="L202" i="1"/>
  <c r="L203" i="1"/>
  <c r="L204" i="1"/>
  <c r="L201" i="1"/>
  <c r="L198" i="1"/>
  <c r="L301" i="1" s="1"/>
  <c r="M198" i="1"/>
  <c r="O198" i="1"/>
  <c r="P198" i="1"/>
  <c r="Q198" i="1"/>
  <c r="B205" i="1"/>
  <c r="B202" i="1"/>
  <c r="B203" i="1"/>
  <c r="B204" i="1"/>
  <c r="B201" i="1"/>
  <c r="AE244" i="1" l="1"/>
  <c r="AI244" i="1" s="1"/>
  <c r="AI239" i="1" s="1"/>
  <c r="AF244" i="1"/>
  <c r="AB239" i="1"/>
  <c r="U244" i="1"/>
  <c r="Y244" i="1"/>
  <c r="Y239" i="1" s="1"/>
  <c r="AC244" i="1"/>
  <c r="AC239" i="1" s="1"/>
  <c r="Q240" i="1"/>
  <c r="Q241" i="1"/>
  <c r="E29" i="17"/>
  <c r="N240" i="1"/>
  <c r="N241" i="1"/>
  <c r="O211" i="1"/>
  <c r="O301" i="1"/>
  <c r="P211" i="1"/>
  <c r="P301" i="1"/>
  <c r="M211" i="1"/>
  <c r="M301" i="1"/>
  <c r="Q211" i="1"/>
  <c r="Q301" i="1"/>
  <c r="B263" i="1"/>
  <c r="R262" i="1"/>
  <c r="S262" i="1"/>
  <c r="Q210" i="1"/>
  <c r="P210" i="1"/>
  <c r="M210" i="1"/>
  <c r="O210" i="1"/>
  <c r="AA235" i="1"/>
  <c r="Z237" i="1"/>
  <c r="Z273" i="1" s="1"/>
  <c r="D266" i="1"/>
  <c r="M212" i="1"/>
  <c r="M213" i="1"/>
  <c r="O212" i="1"/>
  <c r="P212" i="1"/>
  <c r="P213" i="1"/>
  <c r="Q213" i="1"/>
  <c r="O213" i="1"/>
  <c r="Q212" i="1"/>
  <c r="R239" i="1"/>
  <c r="P208" i="1"/>
  <c r="Q208" i="1"/>
  <c r="O208" i="1"/>
  <c r="M208" i="1"/>
  <c r="AE239" i="1" l="1"/>
  <c r="AG244" i="1"/>
  <c r="AK244" i="1"/>
  <c r="AK239" i="1" s="1"/>
  <c r="AG239" i="1"/>
  <c r="AJ244" i="1"/>
  <c r="AJ239" i="1" s="1"/>
  <c r="AF239" i="1"/>
  <c r="F29" i="17"/>
  <c r="R241" i="1"/>
  <c r="R240" i="1"/>
  <c r="B264" i="1"/>
  <c r="R263" i="1"/>
  <c r="S263" i="1"/>
  <c r="AB235" i="1"/>
  <c r="AA237" i="1"/>
  <c r="AA273" i="1" s="1"/>
  <c r="D267" i="1"/>
  <c r="T73" i="1"/>
  <c r="S73" i="1"/>
  <c r="S4" i="1"/>
  <c r="M89" i="1"/>
  <c r="P89" i="1"/>
  <c r="Q89" i="1"/>
  <c r="L89" i="1"/>
  <c r="L24" i="1"/>
  <c r="M24" i="1"/>
  <c r="O24" i="1"/>
  <c r="P24" i="1"/>
  <c r="Q24" i="1"/>
  <c r="K24" i="1"/>
  <c r="L20" i="1"/>
  <c r="L19" i="1"/>
  <c r="Q93" i="1"/>
  <c r="Q20" i="1"/>
  <c r="Q19" i="1"/>
  <c r="P93" i="1"/>
  <c r="P20" i="1"/>
  <c r="P19" i="1"/>
  <c r="M93" i="1"/>
  <c r="M20" i="1"/>
  <c r="M19" i="1"/>
  <c r="L93" i="1"/>
  <c r="K19" i="1"/>
  <c r="Q11" i="1"/>
  <c r="P11" i="1"/>
  <c r="P199" i="1" s="1"/>
  <c r="P209" i="1" s="1"/>
  <c r="P217" i="1" s="1"/>
  <c r="M11" i="1"/>
  <c r="L11" i="1"/>
  <c r="L199" i="1" s="1"/>
  <c r="L13" i="1"/>
  <c r="M13" i="1"/>
  <c r="O13" i="1"/>
  <c r="P13" i="1"/>
  <c r="Q13" i="1"/>
  <c r="K13" i="1"/>
  <c r="K11" i="1"/>
  <c r="R80" i="1"/>
  <c r="R25" i="1" s="1"/>
  <c r="Q72" i="1"/>
  <c r="Q32" i="1"/>
  <c r="P72" i="1"/>
  <c r="P32" i="1"/>
  <c r="L31" i="1"/>
  <c r="O72" i="1"/>
  <c r="K32" i="1"/>
  <c r="O32" i="1"/>
  <c r="L82" i="1"/>
  <c r="M82" i="1"/>
  <c r="N82" i="1"/>
  <c r="O82" i="1"/>
  <c r="P82" i="1"/>
  <c r="Q82" i="1"/>
  <c r="K82" i="1"/>
  <c r="P172" i="20" l="1"/>
  <c r="P174" i="20" s="1"/>
  <c r="D172" i="20"/>
  <c r="D174" i="20" s="1"/>
  <c r="J172" i="20"/>
  <c r="J174" i="20" s="1"/>
  <c r="O172" i="20"/>
  <c r="O174" i="20" s="1"/>
  <c r="C172" i="20"/>
  <c r="C174" i="20" s="1"/>
  <c r="I172" i="20"/>
  <c r="I174" i="20" s="1"/>
  <c r="G56" i="11"/>
  <c r="G66" i="11" s="1"/>
  <c r="I56" i="11"/>
  <c r="I64" i="11" s="1"/>
  <c r="M56" i="11"/>
  <c r="M64" i="11" s="1"/>
  <c r="N56" i="11"/>
  <c r="N66" i="11" s="1"/>
  <c r="H56" i="11"/>
  <c r="H66" i="11" s="1"/>
  <c r="P47" i="11"/>
  <c r="L92" i="1"/>
  <c r="H57" i="11"/>
  <c r="P92" i="1"/>
  <c r="M57" i="11"/>
  <c r="Q92" i="1"/>
  <c r="N57" i="11"/>
  <c r="M92" i="1"/>
  <c r="I57" i="11"/>
  <c r="B265" i="1"/>
  <c r="R264" i="1"/>
  <c r="S264" i="1"/>
  <c r="R82" i="1"/>
  <c r="L91" i="1"/>
  <c r="K91" i="1"/>
  <c r="P91" i="1"/>
  <c r="M91" i="1"/>
  <c r="AC235" i="1"/>
  <c r="AB237" i="1"/>
  <c r="AB273" i="1" s="1"/>
  <c r="D268" i="1"/>
  <c r="Q91" i="1"/>
  <c r="M199" i="1"/>
  <c r="M209" i="1" s="1"/>
  <c r="Q199" i="1"/>
  <c r="Q209" i="1" s="1"/>
  <c r="Q217" i="1" s="1"/>
  <c r="T5" i="1"/>
  <c r="T306" i="1" s="1"/>
  <c r="K44" i="2"/>
  <c r="T40" i="1" l="1"/>
  <c r="I176" i="20"/>
  <c r="E250" i="20"/>
  <c r="C176" i="20"/>
  <c r="E251" i="20"/>
  <c r="O176" i="20"/>
  <c r="E249" i="20"/>
  <c r="I144" i="20"/>
  <c r="I146" i="20" s="1"/>
  <c r="O144" i="20"/>
  <c r="O146" i="20" s="1"/>
  <c r="C144" i="20"/>
  <c r="C146" i="20" s="1"/>
  <c r="J176" i="20"/>
  <c r="F250" i="20"/>
  <c r="J144" i="20"/>
  <c r="J146" i="20" s="1"/>
  <c r="D144" i="20"/>
  <c r="D146" i="20" s="1"/>
  <c r="P144" i="20"/>
  <c r="P146" i="20" s="1"/>
  <c r="D176" i="20"/>
  <c r="F251" i="20"/>
  <c r="I158" i="20"/>
  <c r="I160" i="20" s="1"/>
  <c r="C158" i="20"/>
  <c r="C160" i="20" s="1"/>
  <c r="O158" i="20"/>
  <c r="O160" i="20" s="1"/>
  <c r="J158" i="20"/>
  <c r="J160" i="20" s="1"/>
  <c r="P158" i="20"/>
  <c r="P160" i="20" s="1"/>
  <c r="D158" i="20"/>
  <c r="D160" i="20" s="1"/>
  <c r="P176" i="20"/>
  <c r="F249" i="20"/>
  <c r="F230" i="20" s="1"/>
  <c r="U93" i="1" s="1"/>
  <c r="U21" i="1" s="1"/>
  <c r="N64" i="11"/>
  <c r="G64" i="11"/>
  <c r="G65" i="11"/>
  <c r="I65" i="11"/>
  <c r="H65" i="11"/>
  <c r="I66" i="11"/>
  <c r="M65" i="11"/>
  <c r="M66" i="11"/>
  <c r="H64" i="11"/>
  <c r="N65" i="11"/>
  <c r="T430" i="1"/>
  <c r="T421" i="1"/>
  <c r="Q48" i="11"/>
  <c r="Q63" i="11" s="1"/>
  <c r="T369" i="1"/>
  <c r="T497" i="1"/>
  <c r="T457" i="1"/>
  <c r="D5" i="6"/>
  <c r="T139" i="1"/>
  <c r="T185" i="1" s="1"/>
  <c r="B266" i="1"/>
  <c r="T266" i="1" s="1"/>
  <c r="R265" i="1"/>
  <c r="S265" i="1"/>
  <c r="T311" i="1"/>
  <c r="T107" i="1"/>
  <c r="T134" i="1"/>
  <c r="T135" i="1"/>
  <c r="T3" i="1"/>
  <c r="AD235" i="1"/>
  <c r="AC237" i="1"/>
  <c r="AC273" i="1" s="1"/>
  <c r="T264" i="1"/>
  <c r="T257" i="1"/>
  <c r="T262" i="1"/>
  <c r="T255" i="1"/>
  <c r="T265" i="1"/>
  <c r="T263" i="1"/>
  <c r="T256" i="1"/>
  <c r="T254" i="1"/>
  <c r="T258" i="1"/>
  <c r="T259" i="1"/>
  <c r="T260" i="1"/>
  <c r="T261" i="1"/>
  <c r="D269" i="1"/>
  <c r="T4" i="1"/>
  <c r="U5" i="1"/>
  <c r="U306" i="1" s="1"/>
  <c r="M217" i="1"/>
  <c r="E230" i="20" l="1"/>
  <c r="T93" i="1" s="1"/>
  <c r="T21" i="1" s="1"/>
  <c r="J249" i="20"/>
  <c r="P178" i="20"/>
  <c r="J251" i="20"/>
  <c r="D178" i="20"/>
  <c r="I148" i="20"/>
  <c r="E242" i="20"/>
  <c r="D162" i="20"/>
  <c r="F247" i="20"/>
  <c r="P148" i="20"/>
  <c r="F241" i="20"/>
  <c r="P162" i="20"/>
  <c r="F245" i="20"/>
  <c r="D148" i="20"/>
  <c r="F243" i="20"/>
  <c r="O178" i="20"/>
  <c r="I249" i="20"/>
  <c r="J162" i="20"/>
  <c r="F246" i="20"/>
  <c r="F229" i="20" s="1"/>
  <c r="U92" i="1" s="1"/>
  <c r="U20" i="1" s="1"/>
  <c r="J148" i="20"/>
  <c r="F242" i="20"/>
  <c r="F228" i="20" s="1"/>
  <c r="U91" i="1" s="1"/>
  <c r="U19" i="1" s="1"/>
  <c r="O148" i="20"/>
  <c r="E241" i="20"/>
  <c r="O162" i="20"/>
  <c r="E245" i="20"/>
  <c r="C178" i="20"/>
  <c r="I251" i="20"/>
  <c r="C162" i="20"/>
  <c r="E247" i="20"/>
  <c r="J178" i="20"/>
  <c r="J250" i="20"/>
  <c r="J230" i="20" s="1"/>
  <c r="Y93" i="1" s="1"/>
  <c r="Y21" i="1" s="1"/>
  <c r="I162" i="20"/>
  <c r="E246" i="20"/>
  <c r="E229" i="20" s="1"/>
  <c r="T92" i="1" s="1"/>
  <c r="T20" i="1" s="1"/>
  <c r="C148" i="20"/>
  <c r="E243" i="20"/>
  <c r="I178" i="20"/>
  <c r="I250" i="20"/>
  <c r="Q47" i="11"/>
  <c r="Q46" i="11"/>
  <c r="T405" i="1"/>
  <c r="T110" i="1" s="1"/>
  <c r="T158" i="1" s="1"/>
  <c r="R48" i="11"/>
  <c r="R63" i="11" s="1"/>
  <c r="D3" i="6"/>
  <c r="D4" i="6"/>
  <c r="U369" i="1"/>
  <c r="U390" i="1" s="1"/>
  <c r="U457" i="1"/>
  <c r="E5" i="6"/>
  <c r="U497" i="1"/>
  <c r="T390" i="1"/>
  <c r="T428" i="1" s="1"/>
  <c r="U139" i="1"/>
  <c r="U185" i="1" s="1"/>
  <c r="B267" i="1"/>
  <c r="U267" i="1" s="1"/>
  <c r="R266" i="1"/>
  <c r="S266" i="1"/>
  <c r="U311" i="1"/>
  <c r="U107" i="1"/>
  <c r="U174" i="1" s="1"/>
  <c r="T174" i="1"/>
  <c r="U134" i="1"/>
  <c r="U135" i="1"/>
  <c r="U3" i="1"/>
  <c r="AE235" i="1"/>
  <c r="AD237" i="1"/>
  <c r="AD273" i="1" s="1"/>
  <c r="U264" i="1"/>
  <c r="U265" i="1"/>
  <c r="U266" i="1"/>
  <c r="U255" i="1"/>
  <c r="U263" i="1"/>
  <c r="U257" i="1"/>
  <c r="U256" i="1"/>
  <c r="U258" i="1"/>
  <c r="U259" i="1"/>
  <c r="U260" i="1"/>
  <c r="U261" i="1"/>
  <c r="U262" i="1"/>
  <c r="D270" i="1"/>
  <c r="V5" i="1"/>
  <c r="V306" i="1" s="1"/>
  <c r="U4" i="1"/>
  <c r="E228" i="20" l="1"/>
  <c r="T91" i="1" s="1"/>
  <c r="T19" i="1" s="1"/>
  <c r="I230" i="20"/>
  <c r="X93" i="1" s="1"/>
  <c r="X21" i="1" s="1"/>
  <c r="I246" i="20"/>
  <c r="I164" i="20"/>
  <c r="O164" i="20"/>
  <c r="I245" i="20"/>
  <c r="M249" i="20"/>
  <c r="O180" i="20"/>
  <c r="D164" i="20"/>
  <c r="J247" i="20"/>
  <c r="N250" i="20"/>
  <c r="J180" i="20"/>
  <c r="O150" i="20"/>
  <c r="I241" i="20"/>
  <c r="J243" i="20"/>
  <c r="D150" i="20"/>
  <c r="I242" i="20"/>
  <c r="I150" i="20"/>
  <c r="N251" i="20"/>
  <c r="D180" i="20"/>
  <c r="M250" i="20"/>
  <c r="M230" i="20" s="1"/>
  <c r="AB93" i="1" s="1"/>
  <c r="AB21" i="1" s="1"/>
  <c r="I180" i="20"/>
  <c r="C164" i="20"/>
  <c r="I247" i="20"/>
  <c r="J242" i="20"/>
  <c r="J150" i="20"/>
  <c r="P164" i="20"/>
  <c r="J245" i="20"/>
  <c r="N249" i="20"/>
  <c r="P180" i="20"/>
  <c r="I243" i="20"/>
  <c r="C150" i="20"/>
  <c r="M251" i="20"/>
  <c r="C180" i="20"/>
  <c r="J246" i="20"/>
  <c r="J229" i="20" s="1"/>
  <c r="Y92" i="1" s="1"/>
  <c r="Y20" i="1" s="1"/>
  <c r="J164" i="20"/>
  <c r="P150" i="20"/>
  <c r="J241" i="20"/>
  <c r="R47" i="11"/>
  <c r="R46" i="11"/>
  <c r="U428" i="1"/>
  <c r="U421" i="1"/>
  <c r="U403" i="1"/>
  <c r="U404" i="1" s="1"/>
  <c r="S48" i="11"/>
  <c r="S63" i="11" s="1"/>
  <c r="V369" i="1"/>
  <c r="V390" i="1" s="1"/>
  <c r="F5" i="6"/>
  <c r="V497" i="1"/>
  <c r="E3" i="6"/>
  <c r="E4" i="6"/>
  <c r="V139" i="1"/>
  <c r="V185" i="1" s="1"/>
  <c r="B268" i="1"/>
  <c r="V268" i="1" s="1"/>
  <c r="R267" i="1"/>
  <c r="S267" i="1"/>
  <c r="T267" i="1"/>
  <c r="V311" i="1"/>
  <c r="V107" i="1"/>
  <c r="V35" i="1"/>
  <c r="V134" i="1"/>
  <c r="V135" i="1"/>
  <c r="V3" i="1"/>
  <c r="AF235" i="1"/>
  <c r="AE237" i="1"/>
  <c r="AE273" i="1" s="1"/>
  <c r="V267" i="1"/>
  <c r="V264" i="1"/>
  <c r="V266" i="1"/>
  <c r="V265" i="1"/>
  <c r="V257" i="1"/>
  <c r="V256" i="1"/>
  <c r="V258" i="1"/>
  <c r="V259" i="1"/>
  <c r="V260" i="1"/>
  <c r="V261" i="1"/>
  <c r="V262" i="1"/>
  <c r="V263" i="1"/>
  <c r="D271" i="1"/>
  <c r="W5" i="1"/>
  <c r="V4" i="1"/>
  <c r="I229" i="20" l="1"/>
  <c r="X92" i="1" s="1"/>
  <c r="X20" i="1" s="1"/>
  <c r="I228" i="20"/>
  <c r="X91" i="1" s="1"/>
  <c r="X19" i="1" s="1"/>
  <c r="N230" i="20"/>
  <c r="AC93" i="1" s="1"/>
  <c r="AC21" i="1" s="1"/>
  <c r="J228" i="20"/>
  <c r="Y91" i="1" s="1"/>
  <c r="Y19" i="1" s="1"/>
  <c r="N247" i="20"/>
  <c r="D166" i="20"/>
  <c r="M243" i="20"/>
  <c r="C152" i="20"/>
  <c r="N243" i="20"/>
  <c r="D152" i="20"/>
  <c r="Q249" i="20"/>
  <c r="O182" i="20"/>
  <c r="U249" i="20" s="1"/>
  <c r="M247" i="20"/>
  <c r="C166" i="20"/>
  <c r="M242" i="20"/>
  <c r="I152" i="20"/>
  <c r="R249" i="20"/>
  <c r="P182" i="20"/>
  <c r="V249" i="20" s="1"/>
  <c r="Q250" i="20"/>
  <c r="I182" i="20"/>
  <c r="U250" i="20" s="1"/>
  <c r="N242" i="20"/>
  <c r="J152" i="20"/>
  <c r="N241" i="20"/>
  <c r="P152" i="20"/>
  <c r="M241" i="20"/>
  <c r="O152" i="20"/>
  <c r="M245" i="20"/>
  <c r="O166" i="20"/>
  <c r="N246" i="20"/>
  <c r="J166" i="20"/>
  <c r="R251" i="20"/>
  <c r="D182" i="20"/>
  <c r="V251" i="20" s="1"/>
  <c r="R250" i="20"/>
  <c r="R230" i="20" s="1"/>
  <c r="AG93" i="1" s="1"/>
  <c r="AG21" i="1" s="1"/>
  <c r="J182" i="20"/>
  <c r="V250" i="20" s="1"/>
  <c r="V230" i="20" s="1"/>
  <c r="AK93" i="1" s="1"/>
  <c r="AK21" i="1" s="1"/>
  <c r="M246" i="20"/>
  <c r="M229" i="20" s="1"/>
  <c r="AB92" i="1" s="1"/>
  <c r="AB20" i="1" s="1"/>
  <c r="I166" i="20"/>
  <c r="Q251" i="20"/>
  <c r="C182" i="20"/>
  <c r="U251" i="20" s="1"/>
  <c r="P166" i="20"/>
  <c r="N245" i="20"/>
  <c r="S47" i="11"/>
  <c r="S46" i="11"/>
  <c r="V421" i="1"/>
  <c r="V428" i="1"/>
  <c r="T48" i="11"/>
  <c r="T63" i="11" s="1"/>
  <c r="W369" i="1"/>
  <c r="G5" i="6"/>
  <c r="W497" i="1"/>
  <c r="F3" i="6"/>
  <c r="F4" i="6"/>
  <c r="W139" i="1"/>
  <c r="W185" i="1" s="1"/>
  <c r="B269" i="1"/>
  <c r="W269" i="1" s="1"/>
  <c r="R268" i="1"/>
  <c r="S268" i="1"/>
  <c r="T268" i="1"/>
  <c r="U268" i="1"/>
  <c r="W311" i="1"/>
  <c r="W100" i="1"/>
  <c r="W107" i="1"/>
  <c r="W174" i="1" s="1"/>
  <c r="V174" i="1"/>
  <c r="W35" i="1"/>
  <c r="W142" i="1"/>
  <c r="W134" i="1"/>
  <c r="W138" i="1"/>
  <c r="W135" i="1"/>
  <c r="W3" i="1"/>
  <c r="AG235" i="1"/>
  <c r="AF237" i="1"/>
  <c r="AF273" i="1" s="1"/>
  <c r="W268" i="1"/>
  <c r="W267" i="1"/>
  <c r="W266" i="1"/>
  <c r="W265" i="1"/>
  <c r="W257" i="1"/>
  <c r="W258" i="1"/>
  <c r="W259" i="1"/>
  <c r="W260" i="1"/>
  <c r="W261" i="1"/>
  <c r="W262" i="1"/>
  <c r="W263" i="1"/>
  <c r="W264" i="1"/>
  <c r="X5" i="1"/>
  <c r="W4" i="1"/>
  <c r="X306" i="1" l="1"/>
  <c r="N229" i="20"/>
  <c r="AC92" i="1" s="1"/>
  <c r="AC20" i="1" s="1"/>
  <c r="U230" i="20"/>
  <c r="AJ93" i="1" s="1"/>
  <c r="AJ21" i="1" s="1"/>
  <c r="M228" i="20"/>
  <c r="AB91" i="1" s="1"/>
  <c r="AB19" i="1" s="1"/>
  <c r="N228" i="20"/>
  <c r="AC91" i="1" s="1"/>
  <c r="AC19" i="1" s="1"/>
  <c r="Q230" i="20"/>
  <c r="AF93" i="1" s="1"/>
  <c r="AF21" i="1" s="1"/>
  <c r="Q245" i="20"/>
  <c r="O168" i="20"/>
  <c r="U245" i="20" s="1"/>
  <c r="Q241" i="20"/>
  <c r="O154" i="20"/>
  <c r="U241" i="20" s="1"/>
  <c r="R243" i="20"/>
  <c r="D154" i="20"/>
  <c r="V243" i="20" s="1"/>
  <c r="Q246" i="20"/>
  <c r="Q229" i="20" s="1"/>
  <c r="AF92" i="1" s="1"/>
  <c r="AF20" i="1" s="1"/>
  <c r="I168" i="20"/>
  <c r="U246" i="20" s="1"/>
  <c r="U229" i="20" s="1"/>
  <c r="AJ92" i="1" s="1"/>
  <c r="AJ20" i="1" s="1"/>
  <c r="P154" i="20"/>
  <c r="V241" i="20" s="1"/>
  <c r="R241" i="20"/>
  <c r="Q242" i="20"/>
  <c r="Q228" i="20" s="1"/>
  <c r="AF91" i="1" s="1"/>
  <c r="AF19" i="1" s="1"/>
  <c r="I154" i="20"/>
  <c r="U242" i="20" s="1"/>
  <c r="U228" i="20" s="1"/>
  <c r="AJ91" i="1" s="1"/>
  <c r="AJ19" i="1" s="1"/>
  <c r="Q243" i="20"/>
  <c r="C154" i="20"/>
  <c r="U243" i="20" s="1"/>
  <c r="R245" i="20"/>
  <c r="P168" i="20"/>
  <c r="V245" i="20" s="1"/>
  <c r="R246" i="20"/>
  <c r="J168" i="20"/>
  <c r="V246" i="20" s="1"/>
  <c r="J154" i="20"/>
  <c r="V242" i="20" s="1"/>
  <c r="V228" i="20" s="1"/>
  <c r="AK91" i="1" s="1"/>
  <c r="AK19" i="1" s="1"/>
  <c r="R242" i="20"/>
  <c r="R228" i="20" s="1"/>
  <c r="AG91" i="1" s="1"/>
  <c r="AG19" i="1" s="1"/>
  <c r="Q247" i="20"/>
  <c r="C168" i="20"/>
  <c r="U247" i="20" s="1"/>
  <c r="R247" i="20"/>
  <c r="D168" i="20"/>
  <c r="V247" i="20" s="1"/>
  <c r="T47" i="11"/>
  <c r="T46" i="11"/>
  <c r="U48" i="11"/>
  <c r="U63" i="11" s="1"/>
  <c r="G3" i="6"/>
  <c r="G4" i="6"/>
  <c r="X369" i="1"/>
  <c r="X390" i="1" s="1"/>
  <c r="H5" i="6"/>
  <c r="X497" i="1"/>
  <c r="W390" i="1"/>
  <c r="X139" i="1"/>
  <c r="X185" i="1" s="1"/>
  <c r="B270" i="1"/>
  <c r="X270" i="1" s="1"/>
  <c r="R269" i="1"/>
  <c r="S269" i="1"/>
  <c r="T269" i="1"/>
  <c r="U269" i="1"/>
  <c r="V269" i="1"/>
  <c r="X311" i="1"/>
  <c r="X107" i="1"/>
  <c r="X35" i="1"/>
  <c r="X135" i="1"/>
  <c r="X134" i="1"/>
  <c r="X3" i="1"/>
  <c r="AH235" i="1"/>
  <c r="AG237" i="1"/>
  <c r="AG273" i="1" s="1"/>
  <c r="X268" i="1"/>
  <c r="X269" i="1"/>
  <c r="X266" i="1"/>
  <c r="X267" i="1"/>
  <c r="X258" i="1"/>
  <c r="X259" i="1"/>
  <c r="X260" i="1"/>
  <c r="X261" i="1"/>
  <c r="X262" i="1"/>
  <c r="X263" i="1"/>
  <c r="X264" i="1"/>
  <c r="X265" i="1"/>
  <c r="X4" i="1"/>
  <c r="Y5" i="1"/>
  <c r="Y306" i="1" s="1"/>
  <c r="R229" i="20" l="1"/>
  <c r="AG92" i="1" s="1"/>
  <c r="AG20" i="1" s="1"/>
  <c r="V229" i="20"/>
  <c r="AK92" i="1" s="1"/>
  <c r="AK20" i="1" s="1"/>
  <c r="U47" i="11"/>
  <c r="U46" i="11"/>
  <c r="H35" i="6"/>
  <c r="H44" i="6"/>
  <c r="H41" i="6"/>
  <c r="H38" i="6"/>
  <c r="W428" i="1"/>
  <c r="X428" i="1"/>
  <c r="V48" i="11"/>
  <c r="V63" i="11" s="1"/>
  <c r="Y369" i="1"/>
  <c r="Y390" i="1" s="1"/>
  <c r="Y428" i="1" s="1"/>
  <c r="I5" i="6"/>
  <c r="Y497" i="1"/>
  <c r="H3" i="6"/>
  <c r="H4" i="6"/>
  <c r="H54" i="6"/>
  <c r="Y139" i="1"/>
  <c r="Y185" i="1" s="1"/>
  <c r="B271" i="1"/>
  <c r="Y271" i="1" s="1"/>
  <c r="R270" i="1"/>
  <c r="S270" i="1"/>
  <c r="T270" i="1"/>
  <c r="U270" i="1"/>
  <c r="V270" i="1"/>
  <c r="W270" i="1"/>
  <c r="Y311" i="1"/>
  <c r="Y107" i="1"/>
  <c r="Y174" i="1" s="1"/>
  <c r="X174" i="1"/>
  <c r="Y35" i="1"/>
  <c r="Y135" i="1"/>
  <c r="Y134" i="1"/>
  <c r="Y3" i="1"/>
  <c r="AI235" i="1"/>
  <c r="AH237" i="1"/>
  <c r="AH273" i="1" s="1"/>
  <c r="Y268" i="1"/>
  <c r="Y269" i="1"/>
  <c r="Y267" i="1"/>
  <c r="Y270" i="1"/>
  <c r="Y259" i="1"/>
  <c r="Y260" i="1"/>
  <c r="Y261" i="1"/>
  <c r="Y262" i="1"/>
  <c r="Y263" i="1"/>
  <c r="Y264" i="1"/>
  <c r="Y265" i="1"/>
  <c r="Y266" i="1"/>
  <c r="Z5" i="1"/>
  <c r="Z306" i="1" s="1"/>
  <c r="Y4" i="1"/>
  <c r="M8" i="1"/>
  <c r="P8" i="1"/>
  <c r="Q8" i="1"/>
  <c r="L8" i="1"/>
  <c r="AO5" i="1"/>
  <c r="AN4" i="1"/>
  <c r="R7" i="1"/>
  <c r="R244" i="1" s="1"/>
  <c r="Q23" i="1"/>
  <c r="P23" i="1"/>
  <c r="M23" i="1"/>
  <c r="L23" i="1"/>
  <c r="O23" i="1"/>
  <c r="L12" i="1"/>
  <c r="L15" i="1" s="1"/>
  <c r="L90" i="1" s="1"/>
  <c r="M12" i="1"/>
  <c r="M15" i="1" s="1"/>
  <c r="M90" i="1" s="1"/>
  <c r="P12" i="1"/>
  <c r="P15" i="1" s="1"/>
  <c r="P90" i="1" s="1"/>
  <c r="Q12" i="1"/>
  <c r="Q15" i="1" s="1"/>
  <c r="Q90" i="1" s="1"/>
  <c r="K12" i="1"/>
  <c r="K15" i="1" s="1"/>
  <c r="K90" i="1" s="1"/>
  <c r="L73" i="1"/>
  <c r="M73" i="1"/>
  <c r="O73" i="1"/>
  <c r="P73" i="1"/>
  <c r="Q73" i="1"/>
  <c r="K73" i="1"/>
  <c r="R71" i="1"/>
  <c r="R21" i="1" s="1"/>
  <c r="R70" i="1"/>
  <c r="R69" i="1"/>
  <c r="R68" i="1"/>
  <c r="N71" i="1"/>
  <c r="N21" i="1" s="1"/>
  <c r="N70" i="1"/>
  <c r="N69" i="1"/>
  <c r="N68" i="1"/>
  <c r="N136" i="1"/>
  <c r="O136" i="1" s="1"/>
  <c r="N137" i="1"/>
  <c r="O137" i="1" s="1"/>
  <c r="P137" i="1" s="1"/>
  <c r="V7" i="1" l="1"/>
  <c r="O8" i="28" s="1" a="1"/>
  <c r="O8" i="28" s="1"/>
  <c r="G59" i="11"/>
  <c r="N59" i="11"/>
  <c r="M59" i="11"/>
  <c r="I59" i="11"/>
  <c r="H59" i="11"/>
  <c r="H54" i="11"/>
  <c r="N54" i="11"/>
  <c r="M54" i="11"/>
  <c r="I54" i="11"/>
  <c r="V47" i="11"/>
  <c r="V46" i="11"/>
  <c r="W48" i="11"/>
  <c r="W63" i="11" s="1"/>
  <c r="O50" i="11"/>
  <c r="O51" i="11" s="1"/>
  <c r="F22" i="17"/>
  <c r="R285" i="1"/>
  <c r="R286" i="1" s="1"/>
  <c r="O58" i="11"/>
  <c r="N285" i="1"/>
  <c r="N286" i="1" s="1"/>
  <c r="J58" i="11"/>
  <c r="D5" i="7"/>
  <c r="I3" i="6"/>
  <c r="I4" i="6"/>
  <c r="Z369" i="1"/>
  <c r="Z390" i="1" s="1"/>
  <c r="J5" i="6"/>
  <c r="Z497" i="1"/>
  <c r="R9" i="1"/>
  <c r="Z139" i="1"/>
  <c r="Z185" i="1" s="1"/>
  <c r="R271" i="1"/>
  <c r="R272" i="1" s="1"/>
  <c r="S271" i="1"/>
  <c r="T271" i="1"/>
  <c r="U271" i="1"/>
  <c r="V271" i="1"/>
  <c r="W271" i="1"/>
  <c r="X271" i="1"/>
  <c r="Z311" i="1"/>
  <c r="Z107" i="1"/>
  <c r="Z174" i="1" s="1"/>
  <c r="Z35" i="1"/>
  <c r="Z135" i="1"/>
  <c r="Z134" i="1"/>
  <c r="Z3" i="1"/>
  <c r="AO4" i="1"/>
  <c r="AO3" i="1"/>
  <c r="AP5" i="1"/>
  <c r="R282" i="1"/>
  <c r="R281" i="1"/>
  <c r="AJ235" i="1"/>
  <c r="AI237" i="1"/>
  <c r="AI273" i="1" s="1"/>
  <c r="Z268" i="1"/>
  <c r="Z269" i="1"/>
  <c r="Z271" i="1"/>
  <c r="Z270" i="1"/>
  <c r="Z260" i="1"/>
  <c r="Z261" i="1"/>
  <c r="Z262" i="1"/>
  <c r="Z263" i="1"/>
  <c r="Z264" i="1"/>
  <c r="Z265" i="1"/>
  <c r="Z266" i="1"/>
  <c r="Z267" i="1"/>
  <c r="Z4" i="1"/>
  <c r="AA5" i="1"/>
  <c r="O19" i="1"/>
  <c r="O54" i="1"/>
  <c r="N19" i="1"/>
  <c r="R198" i="1"/>
  <c r="R8" i="1"/>
  <c r="R89" i="1"/>
  <c r="R24" i="1"/>
  <c r="N24" i="1"/>
  <c r="R13" i="1"/>
  <c r="R72" i="1"/>
  <c r="R73" i="1" s="1"/>
  <c r="O20" i="1"/>
  <c r="O12" i="1"/>
  <c r="O11" i="1"/>
  <c r="O93" i="1"/>
  <c r="N12" i="1"/>
  <c r="N13" i="1"/>
  <c r="N11" i="1"/>
  <c r="N199" i="1" s="1"/>
  <c r="N209" i="1" s="1"/>
  <c r="R136" i="1"/>
  <c r="S136" i="1" s="1"/>
  <c r="T136" i="1" s="1"/>
  <c r="U136" i="1" s="1"/>
  <c r="V136" i="1" s="1"/>
  <c r="N73" i="1"/>
  <c r="Q137" i="1"/>
  <c r="R137" i="1" s="1"/>
  <c r="S137" i="1" s="1"/>
  <c r="T137" i="1" s="1"/>
  <c r="U137" i="1" s="1"/>
  <c r="V137" i="1" s="1"/>
  <c r="P136" i="1"/>
  <c r="R23" i="1"/>
  <c r="Q16" i="1"/>
  <c r="P16" i="1"/>
  <c r="M16" i="1"/>
  <c r="K16" i="1"/>
  <c r="P22" i="1"/>
  <c r="P26" i="1" s="1"/>
  <c r="Q22" i="1"/>
  <c r="Q26" i="1" s="1"/>
  <c r="L22" i="1"/>
  <c r="L26" i="1" s="1"/>
  <c r="N7" i="1"/>
  <c r="N244" i="1" s="1"/>
  <c r="V244" i="1" s="1"/>
  <c r="R104" i="1"/>
  <c r="M123" i="1"/>
  <c r="M131" i="1" s="1"/>
  <c r="N123" i="1"/>
  <c r="N131" i="1" s="1"/>
  <c r="O123" i="1"/>
  <c r="O131" i="1" s="1"/>
  <c r="P123" i="1"/>
  <c r="P131" i="1" s="1"/>
  <c r="Q123" i="1"/>
  <c r="Q131" i="1" s="1"/>
  <c r="R123" i="1"/>
  <c r="R131" i="1" s="1"/>
  <c r="O9" i="28" l="1"/>
  <c r="O33" i="28"/>
  <c r="O32" i="28"/>
  <c r="O31" i="28"/>
  <c r="O30" i="28"/>
  <c r="P9" i="28"/>
  <c r="N172" i="20"/>
  <c r="N174" i="20" s="1"/>
  <c r="B172" i="20"/>
  <c r="B174" i="20" s="1"/>
  <c r="H172" i="20"/>
  <c r="H174" i="20" s="1"/>
  <c r="Z7" i="1"/>
  <c r="S8" i="28" s="1" a="1"/>
  <c r="S8" i="28" s="1"/>
  <c r="Z244" i="1"/>
  <c r="V239" i="1"/>
  <c r="V15" i="1"/>
  <c r="D40" i="17"/>
  <c r="O54" i="11"/>
  <c r="J56" i="11"/>
  <c r="J64" i="11" s="1"/>
  <c r="L56" i="11"/>
  <c r="L65" i="11" s="1"/>
  <c r="AA94" i="1"/>
  <c r="W47" i="11"/>
  <c r="W46" i="11"/>
  <c r="D4" i="7"/>
  <c r="Z428" i="1"/>
  <c r="O72" i="11"/>
  <c r="O110" i="11" s="1"/>
  <c r="P110" i="11" s="1"/>
  <c r="X48" i="11"/>
  <c r="X63" i="11" s="1"/>
  <c r="O70" i="11"/>
  <c r="O108" i="11" s="1"/>
  <c r="P108" i="11" s="1"/>
  <c r="O71" i="11"/>
  <c r="O109" i="11" s="1"/>
  <c r="P109" i="11" s="1"/>
  <c r="J50" i="11"/>
  <c r="J51" i="11" s="1"/>
  <c r="E22" i="17"/>
  <c r="O22" i="1"/>
  <c r="O26" i="1" s="1"/>
  <c r="J69" i="11"/>
  <c r="J67" i="11"/>
  <c r="J68" i="11"/>
  <c r="O92" i="1"/>
  <c r="L57" i="11"/>
  <c r="O69" i="11"/>
  <c r="O68" i="11"/>
  <c r="O67" i="11"/>
  <c r="O286" i="1"/>
  <c r="D3" i="7"/>
  <c r="R301" i="1"/>
  <c r="E5" i="7"/>
  <c r="AA369" i="1"/>
  <c r="K5" i="6"/>
  <c r="AA497" i="1"/>
  <c r="J3" i="6"/>
  <c r="J4" i="6"/>
  <c r="AP497" i="1"/>
  <c r="AA139" i="1"/>
  <c r="AA185" i="1" s="1"/>
  <c r="P9" i="1"/>
  <c r="Q9" i="1"/>
  <c r="O9" i="1"/>
  <c r="N9" i="1"/>
  <c r="W137" i="1"/>
  <c r="X137" i="1" s="1"/>
  <c r="Y137" i="1" s="1"/>
  <c r="Z137" i="1" s="1"/>
  <c r="AA137" i="1" s="1"/>
  <c r="W136" i="1"/>
  <c r="X136" i="1" s="1"/>
  <c r="Y136" i="1" s="1"/>
  <c r="AA311" i="1"/>
  <c r="AA107" i="1"/>
  <c r="AA174" i="1" s="1"/>
  <c r="AA35" i="1"/>
  <c r="AA134" i="1"/>
  <c r="AA135" i="1"/>
  <c r="S183" i="1"/>
  <c r="AA3" i="1"/>
  <c r="AQ5" i="1"/>
  <c r="AP3" i="1"/>
  <c r="AP4" i="1"/>
  <c r="R210" i="1"/>
  <c r="R211" i="1"/>
  <c r="O91" i="1"/>
  <c r="N282" i="1"/>
  <c r="V282" i="1" s="1"/>
  <c r="N281" i="1"/>
  <c r="V281" i="1" s="1"/>
  <c r="AK235" i="1"/>
  <c r="AJ237" i="1"/>
  <c r="AJ273" i="1" s="1"/>
  <c r="AA271" i="1"/>
  <c r="AA270" i="1"/>
  <c r="AA269" i="1"/>
  <c r="AA261" i="1"/>
  <c r="AA262" i="1"/>
  <c r="AA263" i="1"/>
  <c r="AA264" i="1"/>
  <c r="AA265" i="1"/>
  <c r="AA266" i="1"/>
  <c r="AA267" i="1"/>
  <c r="AA268" i="1"/>
  <c r="AA4" i="1"/>
  <c r="AB5" i="1"/>
  <c r="AB306" i="1" s="1"/>
  <c r="R54" i="1"/>
  <c r="K93" i="1"/>
  <c r="K54" i="1"/>
  <c r="K20" i="1"/>
  <c r="R19" i="1"/>
  <c r="R213" i="1"/>
  <c r="R212" i="1"/>
  <c r="Q28" i="1"/>
  <c r="Q242" i="1"/>
  <c r="Q245" i="1" s="1"/>
  <c r="P28" i="1"/>
  <c r="P242" i="1"/>
  <c r="P245" i="1" s="1"/>
  <c r="L242" i="1"/>
  <c r="L245" i="1" s="1"/>
  <c r="R208" i="1"/>
  <c r="S208" i="1" s="1"/>
  <c r="R216" i="1"/>
  <c r="R223" i="1"/>
  <c r="N91" i="1"/>
  <c r="N198" i="1"/>
  <c r="O199" i="1"/>
  <c r="O209" i="1" s="1"/>
  <c r="Q136" i="1"/>
  <c r="O89" i="1"/>
  <c r="N89" i="1"/>
  <c r="R12" i="1"/>
  <c r="R20" i="1"/>
  <c r="R93" i="1"/>
  <c r="O15" i="1"/>
  <c r="O90" i="1" s="1"/>
  <c r="R11" i="1"/>
  <c r="N8" i="1"/>
  <c r="O8" i="1"/>
  <c r="K23" i="1"/>
  <c r="N59" i="1"/>
  <c r="N62" i="1" s="1"/>
  <c r="N15" i="1"/>
  <c r="N90" i="1" s="1"/>
  <c r="M22" i="1"/>
  <c r="L123" i="1"/>
  <c r="L131" i="1" s="1"/>
  <c r="Q5" i="1"/>
  <c r="O46" i="28" l="1"/>
  <c r="O34" i="28"/>
  <c r="O35" i="28" s="1"/>
  <c r="P46" i="28"/>
  <c r="O47" i="28"/>
  <c r="P47" i="28"/>
  <c r="O48" i="28"/>
  <c r="P48" i="28"/>
  <c r="S9" i="28"/>
  <c r="S33" i="28"/>
  <c r="S31" i="28"/>
  <c r="S32" i="28"/>
  <c r="S30" i="28"/>
  <c r="T9" i="28"/>
  <c r="O49" i="28"/>
  <c r="P49" i="28"/>
  <c r="I5" i="27"/>
  <c r="J22" i="27"/>
  <c r="J25" i="27"/>
  <c r="J23" i="27"/>
  <c r="J16" i="27"/>
  <c r="J7" i="27"/>
  <c r="J21" i="27"/>
  <c r="J24" i="27"/>
  <c r="Z15" i="1"/>
  <c r="N144" i="20"/>
  <c r="N146" i="20" s="1"/>
  <c r="H144" i="20"/>
  <c r="H146" i="20" s="1"/>
  <c r="B144" i="20"/>
  <c r="B146" i="20" s="1"/>
  <c r="N158" i="20"/>
  <c r="N160" i="20" s="1"/>
  <c r="B158" i="20"/>
  <c r="B160" i="20" s="1"/>
  <c r="H158" i="20"/>
  <c r="H160" i="20" s="1"/>
  <c r="H176" i="20"/>
  <c r="D250" i="20"/>
  <c r="B176" i="20"/>
  <c r="D251" i="20"/>
  <c r="Q172" i="20"/>
  <c r="Q174" i="20" s="1"/>
  <c r="E172" i="20"/>
  <c r="E174" i="20" s="1"/>
  <c r="K172" i="20"/>
  <c r="K174" i="20" s="1"/>
  <c r="N176" i="20"/>
  <c r="D249" i="20"/>
  <c r="T245" i="1"/>
  <c r="X245" i="1" s="1"/>
  <c r="AB245" i="1" s="1"/>
  <c r="AD7" i="1"/>
  <c r="W8" i="28" s="1" a="1"/>
  <c r="W8" i="28" s="1"/>
  <c r="Z239" i="1"/>
  <c r="AD244" i="1"/>
  <c r="AH244" i="1" s="1"/>
  <c r="AL244" i="1" s="1"/>
  <c r="L64" i="11"/>
  <c r="L66" i="11"/>
  <c r="J66" i="11"/>
  <c r="J65" i="11"/>
  <c r="C35" i="6"/>
  <c r="C44" i="6"/>
  <c r="C41" i="6"/>
  <c r="C38" i="6"/>
  <c r="D44" i="6"/>
  <c r="D38" i="6"/>
  <c r="D35" i="6"/>
  <c r="D41" i="6"/>
  <c r="E38" i="6"/>
  <c r="E35" i="6"/>
  <c r="E41" i="6"/>
  <c r="E44" i="6"/>
  <c r="F44" i="6"/>
  <c r="F38" i="6"/>
  <c r="F35" i="6"/>
  <c r="F41" i="6"/>
  <c r="G35" i="6"/>
  <c r="G41" i="6"/>
  <c r="G44" i="6"/>
  <c r="G38" i="6"/>
  <c r="D40" i="7"/>
  <c r="D43" i="7"/>
  <c r="D46" i="7"/>
  <c r="D44" i="7"/>
  <c r="D37" i="7"/>
  <c r="D41" i="7"/>
  <c r="D36" i="7"/>
  <c r="D35" i="7"/>
  <c r="D39" i="7"/>
  <c r="D42" i="7"/>
  <c r="D45" i="7"/>
  <c r="D38" i="7"/>
  <c r="J59" i="11"/>
  <c r="L54" i="11"/>
  <c r="J54" i="11"/>
  <c r="L59" i="11"/>
  <c r="O56" i="11"/>
  <c r="O66" i="11" s="1"/>
  <c r="G57" i="11"/>
  <c r="X47" i="11"/>
  <c r="X46" i="11"/>
  <c r="E35" i="7"/>
  <c r="E38" i="7"/>
  <c r="E41" i="7"/>
  <c r="E44" i="7"/>
  <c r="AB94" i="1"/>
  <c r="Y48" i="11"/>
  <c r="Y63" i="11" s="1"/>
  <c r="J71" i="11"/>
  <c r="J109" i="11" s="1"/>
  <c r="K109" i="11" s="1"/>
  <c r="Q109" i="11" s="1"/>
  <c r="J72" i="11"/>
  <c r="J110" i="11" s="1"/>
  <c r="K110" i="11" s="1"/>
  <c r="Q110" i="11" s="1"/>
  <c r="J70" i="11"/>
  <c r="J108" i="11" s="1"/>
  <c r="K108" i="11" s="1"/>
  <c r="Q108" i="11" s="1"/>
  <c r="K22" i="1"/>
  <c r="K242" i="1" s="1"/>
  <c r="O242" i="1"/>
  <c r="O245" i="1" s="1"/>
  <c r="R92" i="1"/>
  <c r="O57" i="11"/>
  <c r="E54" i="7"/>
  <c r="N48" i="11"/>
  <c r="N63" i="11" s="1"/>
  <c r="E3" i="7"/>
  <c r="F5" i="7"/>
  <c r="N301" i="1"/>
  <c r="S301" i="1" s="1"/>
  <c r="E4" i="7"/>
  <c r="F54" i="6"/>
  <c r="C25" i="6"/>
  <c r="C26" i="6"/>
  <c r="C28" i="6"/>
  <c r="E54" i="6"/>
  <c r="C54" i="6"/>
  <c r="C27" i="6"/>
  <c r="D54" i="6"/>
  <c r="G54" i="6"/>
  <c r="D54" i="7"/>
  <c r="AB369" i="1"/>
  <c r="AB390" i="1" s="1"/>
  <c r="L5" i="6"/>
  <c r="AB497" i="1"/>
  <c r="K3" i="6"/>
  <c r="K4" i="6"/>
  <c r="AQ497" i="1"/>
  <c r="AA390" i="1"/>
  <c r="AB139" i="1"/>
  <c r="AB185" i="1" s="1"/>
  <c r="Q311" i="1"/>
  <c r="Q321" i="1" s="1"/>
  <c r="Q139" i="1"/>
  <c r="W183" i="1"/>
  <c r="X183" i="1"/>
  <c r="AQ4" i="1"/>
  <c r="AB311" i="1"/>
  <c r="Y183" i="1"/>
  <c r="Z136" i="1"/>
  <c r="Q100" i="1"/>
  <c r="Q104" i="1" s="1"/>
  <c r="Q216" i="1" s="1"/>
  <c r="AB107" i="1"/>
  <c r="AB174" i="1" s="1"/>
  <c r="AB100" i="1"/>
  <c r="AB35" i="1"/>
  <c r="AB138" i="1"/>
  <c r="AB134" i="1"/>
  <c r="AB137" i="1"/>
  <c r="AB142" i="1"/>
  <c r="AB135" i="1"/>
  <c r="Q138" i="1"/>
  <c r="T183" i="1"/>
  <c r="Q3" i="1"/>
  <c r="Q35" i="1"/>
  <c r="Q36" i="1" s="1"/>
  <c r="Q38" i="1" s="1"/>
  <c r="AB3" i="1"/>
  <c r="AQ3" i="1"/>
  <c r="AR5" i="1"/>
  <c r="O217" i="1"/>
  <c r="R221" i="1"/>
  <c r="O223" i="1"/>
  <c r="P222" i="1"/>
  <c r="Q223" i="1"/>
  <c r="R222" i="1"/>
  <c r="P221" i="1"/>
  <c r="M223" i="1"/>
  <c r="N222" i="1"/>
  <c r="P223" i="1"/>
  <c r="Q222" i="1"/>
  <c r="N210" i="1"/>
  <c r="S210" i="1" s="1"/>
  <c r="T210" i="1" s="1"/>
  <c r="U210" i="1" s="1"/>
  <c r="N211" i="1"/>
  <c r="S211" i="1" s="1"/>
  <c r="T211" i="1" s="1"/>
  <c r="U211" i="1" s="1"/>
  <c r="V211" i="1" s="1"/>
  <c r="W211" i="1" s="1"/>
  <c r="X211" i="1" s="1"/>
  <c r="Y211" i="1" s="1"/>
  <c r="Z211" i="1" s="1"/>
  <c r="AA211" i="1" s="1"/>
  <c r="AB211" i="1" s="1"/>
  <c r="AC211" i="1" s="1"/>
  <c r="AD211" i="1" s="1"/>
  <c r="AE211" i="1" s="1"/>
  <c r="AF211" i="1" s="1"/>
  <c r="AG211" i="1" s="1"/>
  <c r="AH211" i="1" s="1"/>
  <c r="AI211" i="1" s="1"/>
  <c r="AJ211" i="1" s="1"/>
  <c r="AK211" i="1" s="1"/>
  <c r="AL211" i="1" s="1"/>
  <c r="Q221" i="1"/>
  <c r="O222" i="1"/>
  <c r="N223" i="1"/>
  <c r="R91" i="1"/>
  <c r="M242" i="1"/>
  <c r="M245" i="1" s="1"/>
  <c r="U245" i="1" s="1"/>
  <c r="Y245" i="1" s="1"/>
  <c r="M26" i="1"/>
  <c r="M28" i="1" s="1"/>
  <c r="K92" i="1"/>
  <c r="K26" i="1"/>
  <c r="K28" i="1" s="1"/>
  <c r="K47" i="1" s="1"/>
  <c r="Z281" i="1"/>
  <c r="AD281" i="1" s="1"/>
  <c r="AH281" i="1" s="1"/>
  <c r="AL281" i="1" s="1"/>
  <c r="Z282" i="1"/>
  <c r="AD282" i="1" s="1"/>
  <c r="AH282" i="1" s="1"/>
  <c r="AL282" i="1" s="1"/>
  <c r="AL235" i="1"/>
  <c r="AK237" i="1"/>
  <c r="AK273" i="1" s="1"/>
  <c r="Q259" i="1"/>
  <c r="Q262" i="1"/>
  <c r="Q266" i="1"/>
  <c r="Q271" i="1"/>
  <c r="Q265" i="1"/>
  <c r="Q253" i="1"/>
  <c r="Q255" i="1"/>
  <c r="Q263" i="1"/>
  <c r="Q268" i="1"/>
  <c r="Q269" i="1"/>
  <c r="Q252" i="1"/>
  <c r="Q267" i="1"/>
  <c r="Q270" i="1"/>
  <c r="Q260" i="1"/>
  <c r="Q261" i="1"/>
  <c r="Q264" i="1"/>
  <c r="Q257" i="1"/>
  <c r="Q256" i="1"/>
  <c r="Q254" i="1"/>
  <c r="Q258" i="1"/>
  <c r="AB271" i="1"/>
  <c r="AB270" i="1"/>
  <c r="AB262" i="1"/>
  <c r="AB263" i="1"/>
  <c r="AB264" i="1"/>
  <c r="AB265" i="1"/>
  <c r="AB266" i="1"/>
  <c r="AB267" i="1"/>
  <c r="AB268" i="1"/>
  <c r="AB269" i="1"/>
  <c r="AC5" i="1"/>
  <c r="AC306" i="1" s="1"/>
  <c r="AB4" i="1"/>
  <c r="P5" i="1"/>
  <c r="H5" i="27" s="1"/>
  <c r="N54" i="1"/>
  <c r="N20" i="1"/>
  <c r="N213" i="1"/>
  <c r="S213" i="1" s="1"/>
  <c r="T213" i="1" s="1"/>
  <c r="U213" i="1" s="1"/>
  <c r="V213" i="1" s="1"/>
  <c r="W213" i="1" s="1"/>
  <c r="X213" i="1" s="1"/>
  <c r="Y213" i="1" s="1"/>
  <c r="Z213" i="1" s="1"/>
  <c r="AA213" i="1" s="1"/>
  <c r="AB213" i="1" s="1"/>
  <c r="AC213" i="1" s="1"/>
  <c r="AD213" i="1" s="1"/>
  <c r="AE213" i="1" s="1"/>
  <c r="AF213" i="1" s="1"/>
  <c r="AG213" i="1" s="1"/>
  <c r="AH213" i="1" s="1"/>
  <c r="AI213" i="1" s="1"/>
  <c r="AJ213" i="1" s="1"/>
  <c r="AK213" i="1" s="1"/>
  <c r="AL213" i="1" s="1"/>
  <c r="N212" i="1"/>
  <c r="S212" i="1" s="1"/>
  <c r="T212" i="1" s="1"/>
  <c r="U212" i="1" s="1"/>
  <c r="V212" i="1" s="1"/>
  <c r="W212" i="1" s="1"/>
  <c r="X212" i="1" s="1"/>
  <c r="Y212" i="1" s="1"/>
  <c r="Z212" i="1" s="1"/>
  <c r="AA212" i="1" s="1"/>
  <c r="AB212" i="1" s="1"/>
  <c r="AC212" i="1" s="1"/>
  <c r="AD212" i="1" s="1"/>
  <c r="AE212" i="1" s="1"/>
  <c r="AF212" i="1" s="1"/>
  <c r="AG212" i="1" s="1"/>
  <c r="AH212" i="1" s="1"/>
  <c r="AI212" i="1" s="1"/>
  <c r="AJ212" i="1" s="1"/>
  <c r="AK212" i="1" s="1"/>
  <c r="AL212" i="1" s="1"/>
  <c r="N208" i="1"/>
  <c r="R199" i="1"/>
  <c r="R209" i="1" s="1"/>
  <c r="S209" i="1" s="1"/>
  <c r="O16" i="1"/>
  <c r="N93" i="1"/>
  <c r="R15" i="1"/>
  <c r="O28" i="1"/>
  <c r="O47" i="1" s="1"/>
  <c r="N16" i="1"/>
  <c r="N23" i="1"/>
  <c r="Q47" i="1"/>
  <c r="Q65" i="1" s="1"/>
  <c r="P47" i="1"/>
  <c r="P65" i="1" s="1"/>
  <c r="Q4" i="1"/>
  <c r="R4" i="1"/>
  <c r="S46" i="28" l="1"/>
  <c r="S34" i="28"/>
  <c r="S35" i="28" s="1"/>
  <c r="T46" i="28"/>
  <c r="S48" i="28"/>
  <c r="T48" i="28"/>
  <c r="S47" i="28"/>
  <c r="T47" i="28"/>
  <c r="W9" i="28"/>
  <c r="W33" i="28"/>
  <c r="W32" i="28"/>
  <c r="W31" i="28"/>
  <c r="W30" i="28"/>
  <c r="X9" i="28"/>
  <c r="S49" i="28"/>
  <c r="T49" i="28"/>
  <c r="O16" i="28"/>
  <c r="O22" i="28"/>
  <c r="O10" i="28"/>
  <c r="R90" i="1"/>
  <c r="J9" i="27"/>
  <c r="H3" i="27"/>
  <c r="H4" i="27"/>
  <c r="J10" i="27"/>
  <c r="J20" i="27"/>
  <c r="I4" i="27"/>
  <c r="I3" i="27"/>
  <c r="I7" i="27"/>
  <c r="I9" i="27"/>
  <c r="I10" i="27" s="1"/>
  <c r="I11" i="27"/>
  <c r="I12" i="27" s="1"/>
  <c r="I16" i="27"/>
  <c r="I21" i="27"/>
  <c r="I22" i="27"/>
  <c r="I23" i="27"/>
  <c r="I25" i="27"/>
  <c r="I24" i="27"/>
  <c r="Q158" i="20"/>
  <c r="Q160" i="20" s="1"/>
  <c r="E158" i="20"/>
  <c r="E160" i="20" s="1"/>
  <c r="K158" i="20"/>
  <c r="K160" i="20" s="1"/>
  <c r="D230" i="20"/>
  <c r="S93" i="1" s="1"/>
  <c r="H178" i="20"/>
  <c r="H250" i="20"/>
  <c r="N178" i="20"/>
  <c r="H249" i="20"/>
  <c r="H162" i="20"/>
  <c r="D246" i="20"/>
  <c r="K176" i="20"/>
  <c r="G250" i="20"/>
  <c r="B162" i="20"/>
  <c r="D247" i="20"/>
  <c r="E176" i="20"/>
  <c r="G251" i="20"/>
  <c r="N162" i="20"/>
  <c r="D245" i="20"/>
  <c r="D229" i="20" s="1"/>
  <c r="S92" i="1" s="1"/>
  <c r="Q176" i="20"/>
  <c r="G249" i="20"/>
  <c r="G230" i="20" s="1"/>
  <c r="V93" i="1" s="1"/>
  <c r="V21" i="1" s="1"/>
  <c r="B148" i="20"/>
  <c r="D243" i="20"/>
  <c r="E144" i="20"/>
  <c r="E146" i="20" s="1"/>
  <c r="Q144" i="20"/>
  <c r="Q146" i="20" s="1"/>
  <c r="K144" i="20"/>
  <c r="K146" i="20" s="1"/>
  <c r="H148" i="20"/>
  <c r="D242" i="20"/>
  <c r="B178" i="20"/>
  <c r="H251" i="20"/>
  <c r="N148" i="20"/>
  <c r="D241" i="20"/>
  <c r="AF245" i="1"/>
  <c r="AJ245" i="1" s="1"/>
  <c r="AH7" i="1"/>
  <c r="AA8" i="28" s="1" a="1"/>
  <c r="AA8" i="28" s="1"/>
  <c r="AD15" i="1"/>
  <c r="AD239" i="1"/>
  <c r="AC245" i="1"/>
  <c r="AG245" i="1" s="1"/>
  <c r="AK245" i="1" s="1"/>
  <c r="O65" i="11"/>
  <c r="O65" i="1"/>
  <c r="O84" i="1" s="1"/>
  <c r="K65" i="1"/>
  <c r="K84" i="1" s="1"/>
  <c r="O64" i="11"/>
  <c r="O47" i="11"/>
  <c r="N47" i="11"/>
  <c r="J57" i="11"/>
  <c r="M48" i="11"/>
  <c r="M63" i="11" s="1"/>
  <c r="Y47" i="11"/>
  <c r="S32" i="1"/>
  <c r="S81" i="1" s="1"/>
  <c r="N46" i="11"/>
  <c r="Y46" i="11"/>
  <c r="AB428" i="1"/>
  <c r="AA428" i="1"/>
  <c r="AC94" i="1"/>
  <c r="Z48" i="11"/>
  <c r="Z63" i="11" s="1"/>
  <c r="N22" i="1"/>
  <c r="N242" i="1" s="1"/>
  <c r="N245" i="1" s="1"/>
  <c r="P50" i="11"/>
  <c r="P71" i="11" s="1"/>
  <c r="V109" i="11"/>
  <c r="Q104" i="11"/>
  <c r="R109" i="11"/>
  <c r="V108" i="11"/>
  <c r="R108" i="11"/>
  <c r="Q103" i="11"/>
  <c r="R16" i="1"/>
  <c r="O59" i="11"/>
  <c r="V110" i="11"/>
  <c r="R110" i="11"/>
  <c r="Q105" i="11"/>
  <c r="T301" i="1"/>
  <c r="U301" i="1" s="1"/>
  <c r="V301" i="1" s="1"/>
  <c r="W301" i="1" s="1"/>
  <c r="X301" i="1" s="1"/>
  <c r="Y301" i="1" s="1"/>
  <c r="Z301" i="1" s="1"/>
  <c r="AA301" i="1" s="1"/>
  <c r="AB301" i="1" s="1"/>
  <c r="AC301" i="1" s="1"/>
  <c r="AD301" i="1" s="1"/>
  <c r="AE301" i="1" s="1"/>
  <c r="AF301" i="1" s="1"/>
  <c r="AG301" i="1" s="1"/>
  <c r="AH301" i="1" s="1"/>
  <c r="AI301" i="1" s="1"/>
  <c r="AJ301" i="1" s="1"/>
  <c r="AK301" i="1" s="1"/>
  <c r="AL301" i="1" s="1"/>
  <c r="F3" i="7"/>
  <c r="F4" i="7"/>
  <c r="G5" i="7"/>
  <c r="AC369" i="1"/>
  <c r="AC390" i="1" s="1"/>
  <c r="M5" i="6"/>
  <c r="AC497" i="1"/>
  <c r="L3" i="6"/>
  <c r="L4" i="6"/>
  <c r="C7" i="6"/>
  <c r="AR497" i="1"/>
  <c r="P311" i="1"/>
  <c r="P321" i="1" s="1"/>
  <c r="P139" i="1"/>
  <c r="AC139" i="1"/>
  <c r="AC185" i="1" s="1"/>
  <c r="S9" i="1"/>
  <c r="AR4" i="1"/>
  <c r="AL237" i="1"/>
  <c r="AL273" i="1" s="1"/>
  <c r="AC311" i="1"/>
  <c r="Z183" i="1"/>
  <c r="AA136" i="1"/>
  <c r="AC100" i="1"/>
  <c r="AC107" i="1"/>
  <c r="AC174" i="1" s="1"/>
  <c r="P100" i="1"/>
  <c r="P104" i="1" s="1"/>
  <c r="P216" i="1" s="1"/>
  <c r="P138" i="1"/>
  <c r="AC35" i="1"/>
  <c r="AC134" i="1"/>
  <c r="AC137" i="1"/>
  <c r="AC138" i="1"/>
  <c r="AC184" i="1" s="1"/>
  <c r="AC142" i="1"/>
  <c r="AC188" i="1" s="1"/>
  <c r="AC135" i="1"/>
  <c r="U183" i="1"/>
  <c r="P3" i="1"/>
  <c r="P35" i="1"/>
  <c r="P36" i="1" s="1"/>
  <c r="P38" i="1" s="1"/>
  <c r="P94" i="1" s="1"/>
  <c r="AC3" i="1"/>
  <c r="AR3" i="1"/>
  <c r="AS5" i="1"/>
  <c r="O221" i="1"/>
  <c r="M222" i="1"/>
  <c r="S278" i="1"/>
  <c r="S172" i="1" s="1"/>
  <c r="S279" i="1"/>
  <c r="N92" i="1"/>
  <c r="N26" i="1"/>
  <c r="N28" i="1" s="1"/>
  <c r="Q272" i="1"/>
  <c r="AC271" i="1"/>
  <c r="AC263" i="1"/>
  <c r="AC264" i="1"/>
  <c r="AC265" i="1"/>
  <c r="AC266" i="1"/>
  <c r="AC267" i="1"/>
  <c r="AC268" i="1"/>
  <c r="AC269" i="1"/>
  <c r="AC270" i="1"/>
  <c r="P265" i="1"/>
  <c r="P266" i="1"/>
  <c r="P253" i="1"/>
  <c r="P255" i="1"/>
  <c r="P258" i="1"/>
  <c r="P263" i="1"/>
  <c r="P260" i="1"/>
  <c r="P268" i="1"/>
  <c r="P269" i="1"/>
  <c r="P267" i="1"/>
  <c r="P270" i="1"/>
  <c r="P264" i="1"/>
  <c r="P271" i="1"/>
  <c r="P259" i="1"/>
  <c r="P262" i="1"/>
  <c r="P261" i="1"/>
  <c r="P254" i="1"/>
  <c r="P257" i="1"/>
  <c r="P256" i="1"/>
  <c r="AC4" i="1"/>
  <c r="AD5" i="1"/>
  <c r="AD306" i="1" s="1"/>
  <c r="P4" i="1"/>
  <c r="K245" i="1"/>
  <c r="S245" i="1" s="1"/>
  <c r="O5" i="1"/>
  <c r="G5" i="27" s="1"/>
  <c r="T165" i="1"/>
  <c r="S165" i="1"/>
  <c r="T209" i="1"/>
  <c r="U209" i="1" s="1"/>
  <c r="R217" i="1"/>
  <c r="V210" i="1"/>
  <c r="W210" i="1" s="1"/>
  <c r="X210" i="1" s="1"/>
  <c r="Y210" i="1" s="1"/>
  <c r="Z210" i="1" s="1"/>
  <c r="AA210" i="1" s="1"/>
  <c r="AB210" i="1" s="1"/>
  <c r="AC210" i="1" s="1"/>
  <c r="AD210" i="1" s="1"/>
  <c r="AE210" i="1" s="1"/>
  <c r="AF210" i="1" s="1"/>
  <c r="AG210" i="1" s="1"/>
  <c r="AH210" i="1" s="1"/>
  <c r="AI210" i="1" s="1"/>
  <c r="AJ210" i="1" s="1"/>
  <c r="AK210" i="1" s="1"/>
  <c r="AL210" i="1" s="1"/>
  <c r="N217" i="1"/>
  <c r="Q41" i="1"/>
  <c r="Q94" i="1"/>
  <c r="M47" i="1"/>
  <c r="M65" i="1" s="1"/>
  <c r="M84" i="1" s="1"/>
  <c r="P84" i="1"/>
  <c r="P85" i="1" s="1"/>
  <c r="Q84" i="1"/>
  <c r="L28" i="1"/>
  <c r="L47" i="1" s="1"/>
  <c r="L65" i="1" s="1"/>
  <c r="L16" i="1"/>
  <c r="AA9" i="28" l="1"/>
  <c r="AA33" i="28"/>
  <c r="AA31" i="28"/>
  <c r="AA32" i="28"/>
  <c r="AA30" i="28"/>
  <c r="AB9" i="28"/>
  <c r="W34" i="28"/>
  <c r="W35" i="28" s="1"/>
  <c r="W46" i="28"/>
  <c r="X46" i="28"/>
  <c r="W47" i="28"/>
  <c r="X47" i="28"/>
  <c r="O13" i="28"/>
  <c r="O11" i="28"/>
  <c r="P10" i="28"/>
  <c r="W48" i="28"/>
  <c r="X48" i="28"/>
  <c r="P22" i="28"/>
  <c r="O27" i="28"/>
  <c r="O25" i="28"/>
  <c r="O23" i="28"/>
  <c r="O36" i="28"/>
  <c r="W49" i="28"/>
  <c r="X49" i="28"/>
  <c r="P16" i="28"/>
  <c r="O19" i="28"/>
  <c r="O17" i="28"/>
  <c r="I20" i="27"/>
  <c r="Q85" i="1"/>
  <c r="I13" i="27"/>
  <c r="I14" i="27" s="1"/>
  <c r="G3" i="27"/>
  <c r="G4" i="27"/>
  <c r="J8" i="27"/>
  <c r="AH239" i="1"/>
  <c r="H230" i="20"/>
  <c r="W93" i="1" s="1"/>
  <c r="W21" i="1" s="1"/>
  <c r="D228" i="20"/>
  <c r="S91" i="1" s="1"/>
  <c r="S19" i="1" s="1"/>
  <c r="N150" i="20"/>
  <c r="H241" i="20"/>
  <c r="L249" i="20"/>
  <c r="N180" i="20"/>
  <c r="K251" i="20"/>
  <c r="E178" i="20"/>
  <c r="H243" i="20"/>
  <c r="B150" i="20"/>
  <c r="B180" i="20"/>
  <c r="L251" i="20"/>
  <c r="B164" i="20"/>
  <c r="H247" i="20"/>
  <c r="H180" i="20"/>
  <c r="L250" i="20"/>
  <c r="K249" i="20"/>
  <c r="Q178" i="20"/>
  <c r="H150" i="20"/>
  <c r="H242" i="20"/>
  <c r="K178" i="20"/>
  <c r="K250" i="20"/>
  <c r="K162" i="20"/>
  <c r="G246" i="20"/>
  <c r="E148" i="20"/>
  <c r="G243" i="20"/>
  <c r="K148" i="20"/>
  <c r="G242" i="20"/>
  <c r="N164" i="20"/>
  <c r="H245" i="20"/>
  <c r="E162" i="20"/>
  <c r="G247" i="20"/>
  <c r="Q148" i="20"/>
  <c r="G241" i="20"/>
  <c r="G228" i="20" s="1"/>
  <c r="V91" i="1" s="1"/>
  <c r="V19" i="1" s="1"/>
  <c r="H164" i="20"/>
  <c r="H246" i="20"/>
  <c r="Q162" i="20"/>
  <c r="G245" i="20"/>
  <c r="G229" i="20" s="1"/>
  <c r="V92" i="1" s="1"/>
  <c r="V20" i="1" s="1"/>
  <c r="AL7" i="1"/>
  <c r="AE8" i="28" s="1" a="1"/>
  <c r="AE8" i="28" s="1"/>
  <c r="AH15" i="1"/>
  <c r="W245" i="1"/>
  <c r="AA245" i="1" s="1"/>
  <c r="AE245" i="1" s="1"/>
  <c r="AI245" i="1" s="1"/>
  <c r="S82" i="1"/>
  <c r="L48" i="11"/>
  <c r="L63" i="11" s="1"/>
  <c r="M47" i="11"/>
  <c r="Z47" i="11"/>
  <c r="M46" i="11"/>
  <c r="Z46" i="11"/>
  <c r="AC428" i="1"/>
  <c r="G3" i="7"/>
  <c r="AD94" i="1"/>
  <c r="S154" i="1"/>
  <c r="S23" i="1"/>
  <c r="AA48" i="11"/>
  <c r="AA63" i="11" s="1"/>
  <c r="P70" i="11"/>
  <c r="P72" i="11"/>
  <c r="E24" i="17"/>
  <c r="E28" i="17" s="1"/>
  <c r="R105" i="11"/>
  <c r="S110" i="11"/>
  <c r="R103" i="11"/>
  <c r="S108" i="11"/>
  <c r="W110" i="11"/>
  <c r="V105" i="11"/>
  <c r="W108" i="11"/>
  <c r="V103" i="11"/>
  <c r="R104" i="11"/>
  <c r="S109" i="11"/>
  <c r="W109" i="11"/>
  <c r="V104" i="11"/>
  <c r="G4" i="7"/>
  <c r="H5" i="7"/>
  <c r="M3" i="6"/>
  <c r="M4" i="6"/>
  <c r="AD369" i="1"/>
  <c r="AD390" i="1" s="1"/>
  <c r="AD428" i="1" s="1"/>
  <c r="N5" i="6"/>
  <c r="AD497" i="1"/>
  <c r="AS497" i="1"/>
  <c r="AD139" i="1"/>
  <c r="AD185" i="1" s="1"/>
  <c r="O311" i="1"/>
  <c r="O321" i="1" s="1"/>
  <c r="O139" i="1"/>
  <c r="AS4" i="1"/>
  <c r="AD311" i="1"/>
  <c r="AB136" i="1"/>
  <c r="AA183" i="1"/>
  <c r="AD100" i="1"/>
  <c r="AD107" i="1"/>
  <c r="AD174" i="1" s="1"/>
  <c r="O100" i="1"/>
  <c r="O104" i="1" s="1"/>
  <c r="O216" i="1" s="1"/>
  <c r="O138" i="1"/>
  <c r="AD35" i="1"/>
  <c r="AD134" i="1"/>
  <c r="AD137" i="1"/>
  <c r="AD138" i="1"/>
  <c r="AD142" i="1"/>
  <c r="AD188" i="1" s="1"/>
  <c r="AD135" i="1"/>
  <c r="V183" i="1"/>
  <c r="P41" i="1"/>
  <c r="AD3" i="1"/>
  <c r="O3" i="1"/>
  <c r="O35" i="1"/>
  <c r="AS3" i="1"/>
  <c r="AT5" i="1"/>
  <c r="S280" i="1"/>
  <c r="S109" i="1" s="1"/>
  <c r="AD264" i="1"/>
  <c r="AD265" i="1"/>
  <c r="AD266" i="1"/>
  <c r="AD267" i="1"/>
  <c r="AD268" i="1"/>
  <c r="AD269" i="1"/>
  <c r="AD270" i="1"/>
  <c r="AD271" i="1"/>
  <c r="O253" i="1"/>
  <c r="O258" i="1"/>
  <c r="O263" i="1"/>
  <c r="O262" i="1"/>
  <c r="O257" i="1"/>
  <c r="O268" i="1"/>
  <c r="O269" i="1"/>
  <c r="O267" i="1"/>
  <c r="O270" i="1"/>
  <c r="O264" i="1"/>
  <c r="O260" i="1"/>
  <c r="O252" i="1"/>
  <c r="O259" i="1"/>
  <c r="O266" i="1"/>
  <c r="O271" i="1"/>
  <c r="O265" i="1"/>
  <c r="O261" i="1"/>
  <c r="O254" i="1"/>
  <c r="O255" i="1"/>
  <c r="O256" i="1"/>
  <c r="AE5" i="1"/>
  <c r="AD4" i="1"/>
  <c r="N5" i="1"/>
  <c r="F5" i="27" s="1"/>
  <c r="O4" i="1"/>
  <c r="U165" i="1"/>
  <c r="S239" i="1"/>
  <c r="S21" i="1"/>
  <c r="K85" i="1"/>
  <c r="M85" i="1"/>
  <c r="O85" i="1"/>
  <c r="T208" i="1"/>
  <c r="S198" i="1"/>
  <c r="S300" i="1" s="1"/>
  <c r="S122" i="1" s="1"/>
  <c r="V209" i="1"/>
  <c r="W209" i="1" s="1"/>
  <c r="X209" i="1" s="1"/>
  <c r="Y209" i="1" s="1"/>
  <c r="Z209" i="1" s="1"/>
  <c r="AA209" i="1" s="1"/>
  <c r="AB209" i="1" s="1"/>
  <c r="AC209" i="1" s="1"/>
  <c r="AD209" i="1" s="1"/>
  <c r="AE209" i="1" s="1"/>
  <c r="AF209" i="1" s="1"/>
  <c r="AG209" i="1" s="1"/>
  <c r="AH209" i="1" s="1"/>
  <c r="AI209" i="1" s="1"/>
  <c r="AJ209" i="1" s="1"/>
  <c r="AK209" i="1" s="1"/>
  <c r="AL209" i="1" s="1"/>
  <c r="S20" i="1"/>
  <c r="S8" i="1"/>
  <c r="L84" i="1"/>
  <c r="N47" i="1"/>
  <c r="N65" i="1" s="1"/>
  <c r="P11" i="28" l="1"/>
  <c r="P14" i="28" s="1"/>
  <c r="Q10" i="28"/>
  <c r="P13" i="28"/>
  <c r="O14" i="28"/>
  <c r="O12" i="28"/>
  <c r="O26" i="28"/>
  <c r="O24" i="28"/>
  <c r="AA46" i="28"/>
  <c r="AA34" i="28"/>
  <c r="AA35" i="28" s="1"/>
  <c r="AB46" i="28"/>
  <c r="AA48" i="28"/>
  <c r="AB48" i="28"/>
  <c r="O20" i="28"/>
  <c r="O18" i="28"/>
  <c r="AA47" i="28"/>
  <c r="AB47" i="28"/>
  <c r="P27" i="28"/>
  <c r="P25" i="28"/>
  <c r="P23" i="28"/>
  <c r="P26" i="28" s="1"/>
  <c r="Q22" i="28"/>
  <c r="P36" i="28"/>
  <c r="AA49" i="28"/>
  <c r="AB49" i="28"/>
  <c r="AE9" i="28"/>
  <c r="AE33" i="28"/>
  <c r="AE49" i="28" s="1"/>
  <c r="AE31" i="28"/>
  <c r="AE47" i="28" s="1"/>
  <c r="AE32" i="28"/>
  <c r="AE48" i="28" s="1"/>
  <c r="AE30" i="28"/>
  <c r="Q16" i="28"/>
  <c r="P17" i="28"/>
  <c r="P20" i="28" s="1"/>
  <c r="P19" i="28"/>
  <c r="F4" i="27"/>
  <c r="F3" i="27"/>
  <c r="AL239" i="1"/>
  <c r="K230" i="20"/>
  <c r="Z93" i="1" s="1"/>
  <c r="Z21" i="1" s="1"/>
  <c r="H229" i="20"/>
  <c r="W92" i="1" s="1"/>
  <c r="W20" i="1" s="1"/>
  <c r="Q150" i="20"/>
  <c r="K241" i="20"/>
  <c r="K243" i="20"/>
  <c r="E150" i="20"/>
  <c r="O251" i="20"/>
  <c r="E180" i="20"/>
  <c r="L243" i="20"/>
  <c r="B152" i="20"/>
  <c r="E164" i="20"/>
  <c r="K247" i="20"/>
  <c r="K246" i="20"/>
  <c r="K164" i="20"/>
  <c r="H182" i="20"/>
  <c r="T250" i="20" s="1"/>
  <c r="P250" i="20"/>
  <c r="N182" i="20"/>
  <c r="T249" i="20" s="1"/>
  <c r="P249" i="20"/>
  <c r="Q164" i="20"/>
  <c r="K245" i="20"/>
  <c r="L245" i="20"/>
  <c r="N166" i="20"/>
  <c r="O250" i="20"/>
  <c r="K180" i="20"/>
  <c r="L247" i="20"/>
  <c r="B166" i="20"/>
  <c r="L230" i="20"/>
  <c r="AA93" i="1" s="1"/>
  <c r="AA21" i="1" s="1"/>
  <c r="H228" i="20"/>
  <c r="W91" i="1" s="1"/>
  <c r="W19" i="1" s="1"/>
  <c r="O249" i="20"/>
  <c r="Q180" i="20"/>
  <c r="L246" i="20"/>
  <c r="L229" i="20" s="1"/>
  <c r="AA92" i="1" s="1"/>
  <c r="AA20" i="1" s="1"/>
  <c r="H166" i="20"/>
  <c r="K242" i="20"/>
  <c r="K150" i="20"/>
  <c r="L242" i="20"/>
  <c r="H152" i="20"/>
  <c r="B182" i="20"/>
  <c r="T251" i="20" s="1"/>
  <c r="P251" i="20"/>
  <c r="L241" i="20"/>
  <c r="N152" i="20"/>
  <c r="AL15" i="1"/>
  <c r="E25" i="17"/>
  <c r="E27" i="17" s="1"/>
  <c r="E31" i="17" s="1"/>
  <c r="S60" i="1"/>
  <c r="S62" i="1" s="1"/>
  <c r="P56" i="11"/>
  <c r="P66" i="11" s="1"/>
  <c r="P54" i="11"/>
  <c r="P57" i="11"/>
  <c r="T32" i="1"/>
  <c r="T81" i="1" s="1"/>
  <c r="T82" i="1" s="1"/>
  <c r="L47" i="11"/>
  <c r="J48" i="11"/>
  <c r="J63" i="11" s="1"/>
  <c r="AA47" i="11"/>
  <c r="AE94" i="1"/>
  <c r="I35" i="6"/>
  <c r="I41" i="6"/>
  <c r="I44" i="6"/>
  <c r="I38" i="6"/>
  <c r="J38" i="6"/>
  <c r="J35" i="6"/>
  <c r="J41" i="6"/>
  <c r="J44" i="6"/>
  <c r="K38" i="6"/>
  <c r="K41" i="6"/>
  <c r="K35" i="6"/>
  <c r="K44" i="6"/>
  <c r="F38" i="7"/>
  <c r="F41" i="7"/>
  <c r="F44" i="7"/>
  <c r="F35" i="7"/>
  <c r="L44" i="6"/>
  <c r="L38" i="6"/>
  <c r="L35" i="6"/>
  <c r="L41" i="6"/>
  <c r="M44" i="6"/>
  <c r="M38" i="6"/>
  <c r="M35" i="6"/>
  <c r="M41" i="6"/>
  <c r="G38" i="7"/>
  <c r="G44" i="7"/>
  <c r="G41" i="7"/>
  <c r="G35" i="7"/>
  <c r="L46" i="11"/>
  <c r="AA46" i="11"/>
  <c r="N44" i="6"/>
  <c r="N38" i="6"/>
  <c r="N35" i="6"/>
  <c r="N41" i="6"/>
  <c r="AB48" i="11"/>
  <c r="AB63" i="11" s="1"/>
  <c r="T277" i="1"/>
  <c r="Q50" i="11"/>
  <c r="Q54" i="11" s="1"/>
  <c r="X108" i="11"/>
  <c r="W103" i="11"/>
  <c r="X110" i="11"/>
  <c r="W105" i="11"/>
  <c r="S285" i="1"/>
  <c r="S286" i="1" s="1"/>
  <c r="S294" i="1" s="1"/>
  <c r="P58" i="11"/>
  <c r="T108" i="11"/>
  <c r="T103" i="11" s="1"/>
  <c r="S103" i="11"/>
  <c r="X109" i="11"/>
  <c r="W104" i="11"/>
  <c r="T109" i="11"/>
  <c r="T104" i="11" s="1"/>
  <c r="S104" i="11"/>
  <c r="T110" i="11"/>
  <c r="T105" i="11" s="1"/>
  <c r="S105" i="11"/>
  <c r="H4" i="7"/>
  <c r="H3" i="7"/>
  <c r="I5" i="7"/>
  <c r="AE369" i="1"/>
  <c r="O5" i="6"/>
  <c r="AE497" i="1"/>
  <c r="I54" i="6"/>
  <c r="J54" i="6"/>
  <c r="K54" i="6"/>
  <c r="F54" i="7"/>
  <c r="L54" i="6"/>
  <c r="N3" i="6"/>
  <c r="N4" i="6"/>
  <c r="G54" i="7"/>
  <c r="S112" i="1"/>
  <c r="S168" i="1" s="1"/>
  <c r="M54" i="6"/>
  <c r="N54" i="6"/>
  <c r="D7" i="6"/>
  <c r="D8" i="6" s="1"/>
  <c r="AT497" i="1"/>
  <c r="N311" i="1"/>
  <c r="N321" i="1" s="1"/>
  <c r="N139" i="1"/>
  <c r="AE139" i="1"/>
  <c r="AE185" i="1" s="1"/>
  <c r="T9" i="1"/>
  <c r="AT4" i="1"/>
  <c r="AD184" i="1"/>
  <c r="O36" i="1"/>
  <c r="O38" i="1" s="1"/>
  <c r="O94" i="1" s="1"/>
  <c r="AE311" i="1"/>
  <c r="AB183" i="1"/>
  <c r="AC136" i="1"/>
  <c r="S181" i="1"/>
  <c r="AE107" i="1"/>
  <c r="AE174" i="1" s="1"/>
  <c r="N100" i="1"/>
  <c r="N138" i="1"/>
  <c r="AE35" i="1"/>
  <c r="AE135" i="1"/>
  <c r="AE134" i="1"/>
  <c r="AE137" i="1"/>
  <c r="N3" i="1"/>
  <c r="N35" i="1"/>
  <c r="N36" i="1" s="1"/>
  <c r="N38" i="1" s="1"/>
  <c r="N41" i="1" s="1"/>
  <c r="AE3" i="1"/>
  <c r="AT3" i="1"/>
  <c r="T279" i="1"/>
  <c r="T278" i="1"/>
  <c r="O272" i="1"/>
  <c r="AE265" i="1"/>
  <c r="AE266" i="1"/>
  <c r="AE267" i="1"/>
  <c r="AE268" i="1"/>
  <c r="AE269" i="1"/>
  <c r="AE270" i="1"/>
  <c r="AE271" i="1"/>
  <c r="N257" i="1"/>
  <c r="N268" i="1"/>
  <c r="N269" i="1"/>
  <c r="N267" i="1"/>
  <c r="N270" i="1"/>
  <c r="N254" i="1"/>
  <c r="N264" i="1"/>
  <c r="N256" i="1"/>
  <c r="N266" i="1"/>
  <c r="N271" i="1"/>
  <c r="N262" i="1"/>
  <c r="N265" i="1"/>
  <c r="N260" i="1"/>
  <c r="N261" i="1"/>
  <c r="N252" i="1"/>
  <c r="N253" i="1"/>
  <c r="N258" i="1"/>
  <c r="N263" i="1"/>
  <c r="N259" i="1"/>
  <c r="N255" i="1"/>
  <c r="H252" i="1"/>
  <c r="C252" i="1"/>
  <c r="AF5" i="1"/>
  <c r="AF306" i="1" s="1"/>
  <c r="AE4" i="1"/>
  <c r="S173" i="1"/>
  <c r="S241" i="1"/>
  <c r="S240" i="1"/>
  <c r="M5" i="1"/>
  <c r="N4" i="1"/>
  <c r="V165" i="1"/>
  <c r="S205" i="1"/>
  <c r="S119" i="1" s="1"/>
  <c r="S204" i="1"/>
  <c r="S102" i="1" s="1"/>
  <c r="T239" i="1"/>
  <c r="T420" i="1" s="1"/>
  <c r="T198" i="1"/>
  <c r="T300" i="1" s="1"/>
  <c r="T122" i="1" s="1"/>
  <c r="T8" i="1"/>
  <c r="L85" i="1"/>
  <c r="S203" i="1"/>
  <c r="S103" i="1" s="1"/>
  <c r="T217" i="1"/>
  <c r="U208" i="1"/>
  <c r="S201" i="1"/>
  <c r="S101" i="1" s="1"/>
  <c r="T342" i="1" s="1"/>
  <c r="T343" i="1" s="1"/>
  <c r="N84" i="1"/>
  <c r="P12" i="28" l="1"/>
  <c r="P18" i="28"/>
  <c r="Q19" i="28"/>
  <c r="Q17" i="28"/>
  <c r="R16" i="28"/>
  <c r="AE46" i="28"/>
  <c r="AE34" i="28"/>
  <c r="AE35" i="28" s="1"/>
  <c r="P24" i="28"/>
  <c r="Q11" i="28"/>
  <c r="R10" i="28"/>
  <c r="Q13" i="28"/>
  <c r="Q27" i="28"/>
  <c r="Q25" i="28"/>
  <c r="Q23" i="28"/>
  <c r="R22" i="28"/>
  <c r="Q36" i="28"/>
  <c r="E5" i="27"/>
  <c r="H25" i="27"/>
  <c r="H16" i="27"/>
  <c r="H22" i="27"/>
  <c r="H9" i="27"/>
  <c r="H21" i="27"/>
  <c r="H11" i="27"/>
  <c r="H24" i="27"/>
  <c r="H7" i="27"/>
  <c r="H23" i="27"/>
  <c r="H13" i="27"/>
  <c r="H14" i="27" s="1"/>
  <c r="G16" i="27"/>
  <c r="G25" i="27"/>
  <c r="G9" i="27"/>
  <c r="G23" i="27"/>
  <c r="G13" i="27"/>
  <c r="G22" i="27"/>
  <c r="G24" i="27"/>
  <c r="G21" i="27"/>
  <c r="G11" i="27"/>
  <c r="G7" i="27"/>
  <c r="F11" i="27"/>
  <c r="F16" i="27"/>
  <c r="F23" i="27"/>
  <c r="F25" i="27"/>
  <c r="F9" i="27"/>
  <c r="F24" i="27"/>
  <c r="F7" i="27"/>
  <c r="F22" i="27"/>
  <c r="F13" i="27"/>
  <c r="F14" i="27" s="1"/>
  <c r="F21" i="27"/>
  <c r="T230" i="20"/>
  <c r="AI93" i="1" s="1"/>
  <c r="AI21" i="1" s="1"/>
  <c r="P230" i="20"/>
  <c r="AE93" i="1" s="1"/>
  <c r="AE21" i="1" s="1"/>
  <c r="O230" i="20"/>
  <c r="AD93" i="1" s="1"/>
  <c r="AD21" i="1" s="1"/>
  <c r="K229" i="20"/>
  <c r="Z92" i="1" s="1"/>
  <c r="Z20" i="1" s="1"/>
  <c r="L228" i="20"/>
  <c r="AA91" i="1" s="1"/>
  <c r="AA19" i="1" s="1"/>
  <c r="P241" i="20"/>
  <c r="N154" i="20"/>
  <c r="T241" i="20" s="1"/>
  <c r="H168" i="20"/>
  <c r="T246" i="20" s="1"/>
  <c r="P246" i="20"/>
  <c r="S250" i="20"/>
  <c r="K182" i="20"/>
  <c r="W250" i="20" s="1"/>
  <c r="E182" i="20"/>
  <c r="W251" i="20" s="1"/>
  <c r="S251" i="20"/>
  <c r="B168" i="20"/>
  <c r="T247" i="20" s="1"/>
  <c r="P247" i="20"/>
  <c r="P243" i="20"/>
  <c r="B154" i="20"/>
  <c r="T243" i="20" s="1"/>
  <c r="Q182" i="20"/>
  <c r="W249" i="20" s="1"/>
  <c r="S249" i="20"/>
  <c r="N168" i="20"/>
  <c r="T245" i="20" s="1"/>
  <c r="P245" i="20"/>
  <c r="O246" i="20"/>
  <c r="K166" i="20"/>
  <c r="E152" i="20"/>
  <c r="O243" i="20"/>
  <c r="H154" i="20"/>
  <c r="T242" i="20" s="1"/>
  <c r="P242" i="20"/>
  <c r="P228" i="20" s="1"/>
  <c r="AE91" i="1" s="1"/>
  <c r="AE19" i="1" s="1"/>
  <c r="K228" i="20"/>
  <c r="Z91" i="1" s="1"/>
  <c r="Z19" i="1" s="1"/>
  <c r="K152" i="20"/>
  <c r="O242" i="20"/>
  <c r="O245" i="20"/>
  <c r="Q166" i="20"/>
  <c r="O247" i="20"/>
  <c r="E166" i="20"/>
  <c r="O241" i="20"/>
  <c r="Q152" i="20"/>
  <c r="E23" i="17"/>
  <c r="P64" i="11"/>
  <c r="P65" i="11"/>
  <c r="O86" i="1"/>
  <c r="E17" i="17"/>
  <c r="Q56" i="11"/>
  <c r="Q66" i="11" s="1"/>
  <c r="U32" i="1"/>
  <c r="U81" i="1" s="1"/>
  <c r="U82" i="1" s="1"/>
  <c r="J47" i="11"/>
  <c r="I48" i="11"/>
  <c r="I63" i="11" s="1"/>
  <c r="C39" i="7"/>
  <c r="C45" i="7"/>
  <c r="C37" i="7"/>
  <c r="C43" i="7"/>
  <c r="C35" i="7"/>
  <c r="C42" i="7"/>
  <c r="C44" i="7"/>
  <c r="C36" i="7"/>
  <c r="C38" i="7"/>
  <c r="C41" i="7"/>
  <c r="C40" i="7"/>
  <c r="C46" i="7"/>
  <c r="AB47" i="11"/>
  <c r="Q57" i="11"/>
  <c r="AB46" i="11"/>
  <c r="J46" i="11"/>
  <c r="O35" i="6"/>
  <c r="O41" i="6"/>
  <c r="O38" i="6"/>
  <c r="O44" i="6"/>
  <c r="I3" i="7"/>
  <c r="S164" i="1"/>
  <c r="S412" i="1"/>
  <c r="AF94" i="1"/>
  <c r="T154" i="1"/>
  <c r="T23" i="1"/>
  <c r="Q70" i="11"/>
  <c r="AC48" i="11"/>
  <c r="AC63" i="11" s="1"/>
  <c r="Q72" i="11"/>
  <c r="I4" i="7"/>
  <c r="Q71" i="11"/>
  <c r="R50" i="11"/>
  <c r="R54" i="11" s="1"/>
  <c r="X104" i="11"/>
  <c r="Y109" i="11"/>
  <c r="Y104" i="11" s="1"/>
  <c r="Y110" i="11"/>
  <c r="Y105" i="11" s="1"/>
  <c r="X105" i="11"/>
  <c r="T285" i="1"/>
  <c r="T286" i="1" s="1"/>
  <c r="T294" i="1" s="1"/>
  <c r="Q58" i="11"/>
  <c r="Y108" i="11"/>
  <c r="Y103" i="11" s="1"/>
  <c r="X103" i="11"/>
  <c r="S291" i="1"/>
  <c r="S126" i="1" s="1"/>
  <c r="S155" i="1" s="1"/>
  <c r="P67" i="11"/>
  <c r="P69" i="11"/>
  <c r="P68" i="11"/>
  <c r="N104" i="1"/>
  <c r="N216" i="1" s="1"/>
  <c r="S111" i="1"/>
  <c r="C27" i="7"/>
  <c r="C54" i="7"/>
  <c r="C28" i="7"/>
  <c r="C50" i="7"/>
  <c r="C26" i="7"/>
  <c r="C25" i="7"/>
  <c r="O4" i="6"/>
  <c r="O3" i="6"/>
  <c r="AF369" i="1"/>
  <c r="AF390" i="1" s="1"/>
  <c r="P5" i="6"/>
  <c r="AF497" i="1"/>
  <c r="O54" i="6"/>
  <c r="E7" i="6"/>
  <c r="E8" i="6" s="1"/>
  <c r="AE390" i="1"/>
  <c r="AF139" i="1"/>
  <c r="AF185" i="1" s="1"/>
  <c r="M311" i="1"/>
  <c r="M321" i="1" s="1"/>
  <c r="M139" i="1"/>
  <c r="U9" i="1"/>
  <c r="O41" i="1"/>
  <c r="AF311" i="1"/>
  <c r="AC183" i="1"/>
  <c r="AD136" i="1"/>
  <c r="AF100" i="1"/>
  <c r="AF107" i="1"/>
  <c r="AF174" i="1" s="1"/>
  <c r="M100" i="1"/>
  <c r="M104" i="1" s="1"/>
  <c r="M216" i="1" s="1"/>
  <c r="M138" i="1"/>
  <c r="AF35" i="1"/>
  <c r="AF135" i="1"/>
  <c r="AF134" i="1"/>
  <c r="AF137" i="1"/>
  <c r="AF142" i="1"/>
  <c r="AF138" i="1"/>
  <c r="N94" i="1"/>
  <c r="AF3" i="1"/>
  <c r="M3" i="1"/>
  <c r="M35" i="1"/>
  <c r="M36" i="1" s="1"/>
  <c r="M38" i="1" s="1"/>
  <c r="T201" i="1"/>
  <c r="T101" i="1" s="1"/>
  <c r="T112" i="1"/>
  <c r="S160" i="1"/>
  <c r="T280" i="1"/>
  <c r="T109" i="1" s="1"/>
  <c r="T172" i="1"/>
  <c r="U278" i="1"/>
  <c r="U172" i="1" s="1"/>
  <c r="U279" i="1"/>
  <c r="N272" i="1"/>
  <c r="M255" i="1"/>
  <c r="M267" i="1"/>
  <c r="M270" i="1"/>
  <c r="M253" i="1"/>
  <c r="M264" i="1"/>
  <c r="M256" i="1"/>
  <c r="M266" i="1"/>
  <c r="M271" i="1"/>
  <c r="M260" i="1"/>
  <c r="M261" i="1"/>
  <c r="M252" i="1"/>
  <c r="M265" i="1"/>
  <c r="M263" i="1"/>
  <c r="M259" i="1"/>
  <c r="M262" i="1"/>
  <c r="M258" i="1"/>
  <c r="M257" i="1"/>
  <c r="M268" i="1"/>
  <c r="M269" i="1"/>
  <c r="H253" i="1"/>
  <c r="C253" i="1"/>
  <c r="P252" i="1"/>
  <c r="P272" i="1" s="1"/>
  <c r="S252" i="1"/>
  <c r="T252" i="1"/>
  <c r="U252" i="1"/>
  <c r="V252" i="1"/>
  <c r="W252" i="1"/>
  <c r="X252" i="1"/>
  <c r="Y252" i="1"/>
  <c r="Z252" i="1"/>
  <c r="AA252" i="1"/>
  <c r="AB252" i="1"/>
  <c r="AC252" i="1"/>
  <c r="AD252" i="1"/>
  <c r="AE252" i="1"/>
  <c r="AF252" i="1"/>
  <c r="AF266" i="1"/>
  <c r="AF267" i="1"/>
  <c r="AF268" i="1"/>
  <c r="AF269" i="1"/>
  <c r="AF270" i="1"/>
  <c r="AF271" i="1"/>
  <c r="W165" i="1"/>
  <c r="AG5" i="1"/>
  <c r="AG306" i="1" s="1"/>
  <c r="AF4" i="1"/>
  <c r="M4" i="1"/>
  <c r="L5" i="1"/>
  <c r="D5" i="27" s="1"/>
  <c r="T173" i="1"/>
  <c r="T240" i="1"/>
  <c r="T241" i="1"/>
  <c r="S162" i="1"/>
  <c r="U198" i="1"/>
  <c r="U300" i="1" s="1"/>
  <c r="U122" i="1" s="1"/>
  <c r="S161" i="1"/>
  <c r="U8" i="1"/>
  <c r="T203" i="1"/>
  <c r="T103" i="1" s="1"/>
  <c r="T204" i="1"/>
  <c r="T102" i="1" s="1"/>
  <c r="T205" i="1"/>
  <c r="T119" i="1" s="1"/>
  <c r="T412" i="1" s="1"/>
  <c r="U239" i="1"/>
  <c r="Q86" i="1"/>
  <c r="P86" i="1"/>
  <c r="N86" i="1"/>
  <c r="V208" i="1"/>
  <c r="W208" i="1" s="1"/>
  <c r="U217" i="1"/>
  <c r="N85" i="1"/>
  <c r="S230" i="20" l="1"/>
  <c r="AH93" i="1" s="1"/>
  <c r="AH21" i="1" s="1"/>
  <c r="Q14" i="28"/>
  <c r="Q12" i="28"/>
  <c r="R19" i="28"/>
  <c r="R17" i="28"/>
  <c r="R18" i="28" s="1"/>
  <c r="S16" i="28"/>
  <c r="R11" i="28"/>
  <c r="R14" i="28" s="1"/>
  <c r="S10" i="28"/>
  <c r="R13" i="28"/>
  <c r="R27" i="28"/>
  <c r="R25" i="28"/>
  <c r="R23" i="28"/>
  <c r="S22" i="28"/>
  <c r="R36" i="28"/>
  <c r="Q20" i="28"/>
  <c r="Q26" i="28"/>
  <c r="Q24" i="28"/>
  <c r="Q18" i="28"/>
  <c r="D3" i="27"/>
  <c r="D4" i="27"/>
  <c r="T228" i="20"/>
  <c r="AI91" i="1" s="1"/>
  <c r="AI19" i="1" s="1"/>
  <c r="F10" i="27"/>
  <c r="F20" i="27"/>
  <c r="F12" i="27"/>
  <c r="G8" i="27"/>
  <c r="G12" i="27"/>
  <c r="G14" i="27"/>
  <c r="G10" i="27"/>
  <c r="G20" i="27"/>
  <c r="H8" i="27"/>
  <c r="I8" i="27"/>
  <c r="H12" i="27"/>
  <c r="H10" i="27"/>
  <c r="H20" i="27"/>
  <c r="E9" i="27"/>
  <c r="E16" i="27"/>
  <c r="E25" i="27"/>
  <c r="E22" i="27"/>
  <c r="E24" i="27"/>
  <c r="E4" i="27"/>
  <c r="E21" i="27"/>
  <c r="E11" i="27"/>
  <c r="E7" i="27"/>
  <c r="E23" i="27"/>
  <c r="E13" i="27"/>
  <c r="E14" i="27" s="1"/>
  <c r="E3" i="27"/>
  <c r="W230" i="20"/>
  <c r="AL93" i="1" s="1"/>
  <c r="AL21" i="1" s="1"/>
  <c r="P229" i="20"/>
  <c r="AE92" i="1" s="1"/>
  <c r="AE20" i="1" s="1"/>
  <c r="O229" i="20"/>
  <c r="AD92" i="1" s="1"/>
  <c r="AD20" i="1" s="1"/>
  <c r="T229" i="20"/>
  <c r="AI92" i="1" s="1"/>
  <c r="AI20" i="1" s="1"/>
  <c r="O228" i="20"/>
  <c r="AD91" i="1" s="1"/>
  <c r="AD19" i="1" s="1"/>
  <c r="Q154" i="20"/>
  <c r="W241" i="20" s="1"/>
  <c r="S241" i="20"/>
  <c r="K154" i="20"/>
  <c r="W242" i="20" s="1"/>
  <c r="W228" i="20" s="1"/>
  <c r="AL91" i="1" s="1"/>
  <c r="AL19" i="1" s="1"/>
  <c r="S242" i="20"/>
  <c r="S228" i="20" s="1"/>
  <c r="AH91" i="1" s="1"/>
  <c r="AH19" i="1" s="1"/>
  <c r="S247" i="20"/>
  <c r="E168" i="20"/>
  <c r="W247" i="20" s="1"/>
  <c r="S245" i="20"/>
  <c r="Q168" i="20"/>
  <c r="W245" i="20" s="1"/>
  <c r="E154" i="20"/>
  <c r="W243" i="20" s="1"/>
  <c r="S243" i="20"/>
  <c r="K168" i="20"/>
  <c r="W246" i="20" s="1"/>
  <c r="W229" i="20" s="1"/>
  <c r="AL92" i="1" s="1"/>
  <c r="AL20" i="1" s="1"/>
  <c r="S246" i="20"/>
  <c r="S229" i="20" s="1"/>
  <c r="AH92" i="1" s="1"/>
  <c r="AH20" i="1" s="1"/>
  <c r="T410" i="1"/>
  <c r="Q65" i="11"/>
  <c r="Q64" i="11"/>
  <c r="R57" i="11"/>
  <c r="V32" i="1"/>
  <c r="V81" i="1" s="1"/>
  <c r="V82" i="1" s="1"/>
  <c r="R56" i="11"/>
  <c r="R64" i="11" s="1"/>
  <c r="H48" i="11"/>
  <c r="H63" i="11" s="1"/>
  <c r="I47" i="11"/>
  <c r="AC47" i="11"/>
  <c r="I46" i="11"/>
  <c r="AC46" i="11"/>
  <c r="AF428" i="1"/>
  <c r="AE428" i="1"/>
  <c r="T60" i="1"/>
  <c r="T62" i="1" s="1"/>
  <c r="U420" i="1"/>
  <c r="U342" i="1"/>
  <c r="U343" i="1" s="1"/>
  <c r="AG94" i="1"/>
  <c r="U154" i="1"/>
  <c r="U23" i="1"/>
  <c r="AD48" i="11"/>
  <c r="AD63" i="11" s="1"/>
  <c r="U277" i="1"/>
  <c r="U280" i="1" s="1"/>
  <c r="U109" i="1" s="1"/>
  <c r="R70" i="11"/>
  <c r="R71" i="11"/>
  <c r="R72" i="11"/>
  <c r="S50" i="11"/>
  <c r="S54" i="11" s="1"/>
  <c r="G22" i="17"/>
  <c r="U285" i="1"/>
  <c r="U286" i="1" s="1"/>
  <c r="U294" i="1" s="1"/>
  <c r="R58" i="11"/>
  <c r="T291" i="1"/>
  <c r="T126" i="1" s="1"/>
  <c r="T155" i="1" s="1"/>
  <c r="Q67" i="11"/>
  <c r="Q69" i="11"/>
  <c r="Q68" i="11"/>
  <c r="S156" i="1"/>
  <c r="T111" i="1"/>
  <c r="AG369" i="1"/>
  <c r="AG390" i="1" s="1"/>
  <c r="Q5" i="6"/>
  <c r="AG497" i="1"/>
  <c r="P3" i="6"/>
  <c r="P4" i="6"/>
  <c r="V457" i="1"/>
  <c r="F7" i="6"/>
  <c r="V9" i="1"/>
  <c r="AG139" i="1"/>
  <c r="AG185" i="1" s="1"/>
  <c r="L311" i="1"/>
  <c r="L321" i="1" s="1"/>
  <c r="L139" i="1"/>
  <c r="AG311" i="1"/>
  <c r="AE136" i="1"/>
  <c r="AD183" i="1"/>
  <c r="L100" i="1"/>
  <c r="L104" i="1" s="1"/>
  <c r="AG107" i="1"/>
  <c r="L138" i="1"/>
  <c r="AG35" i="1"/>
  <c r="AG135" i="1"/>
  <c r="AG134" i="1"/>
  <c r="AG137" i="1"/>
  <c r="AG3" i="1"/>
  <c r="M94" i="1"/>
  <c r="M41" i="1"/>
  <c r="L3" i="1"/>
  <c r="L35" i="1"/>
  <c r="L36" i="1" s="1"/>
  <c r="L38" i="1" s="1"/>
  <c r="T160" i="1"/>
  <c r="T162" i="1"/>
  <c r="T164" i="1"/>
  <c r="T161" i="1"/>
  <c r="U201" i="1"/>
  <c r="U101" i="1" s="1"/>
  <c r="U112" i="1"/>
  <c r="T168" i="1"/>
  <c r="V278" i="1"/>
  <c r="V172" i="1" s="1"/>
  <c r="V279" i="1"/>
  <c r="V154" i="1" s="1"/>
  <c r="T253" i="1"/>
  <c r="U253" i="1"/>
  <c r="V253" i="1"/>
  <c r="W253" i="1"/>
  <c r="X253" i="1"/>
  <c r="Y253" i="1"/>
  <c r="Z253" i="1"/>
  <c r="AA253" i="1"/>
  <c r="AB253" i="1"/>
  <c r="AC253" i="1"/>
  <c r="AD253" i="1"/>
  <c r="AE253" i="1"/>
  <c r="L264" i="1"/>
  <c r="L269" i="1"/>
  <c r="L254" i="1"/>
  <c r="L256" i="1"/>
  <c r="L266" i="1"/>
  <c r="L271" i="1"/>
  <c r="L253" i="1"/>
  <c r="L260" i="1"/>
  <c r="L261" i="1"/>
  <c r="L258" i="1"/>
  <c r="L263" i="1"/>
  <c r="L259" i="1"/>
  <c r="L262" i="1"/>
  <c r="L268" i="1"/>
  <c r="L265" i="1"/>
  <c r="L255" i="1"/>
  <c r="L267" i="1"/>
  <c r="L270" i="1"/>
  <c r="L257" i="1"/>
  <c r="L252" i="1"/>
  <c r="AF253" i="1"/>
  <c r="AH5" i="1"/>
  <c r="AH306" i="1" s="1"/>
  <c r="AG252" i="1"/>
  <c r="AG253" i="1"/>
  <c r="AG267" i="1"/>
  <c r="AG268" i="1"/>
  <c r="AG269" i="1"/>
  <c r="AG270" i="1"/>
  <c r="AG271" i="1"/>
  <c r="C254" i="1"/>
  <c r="H254" i="1"/>
  <c r="X165" i="1"/>
  <c r="X208" i="1"/>
  <c r="W217" i="1"/>
  <c r="AG4" i="1"/>
  <c r="U205" i="1"/>
  <c r="U119" i="1" s="1"/>
  <c r="U412" i="1" s="1"/>
  <c r="L4" i="1"/>
  <c r="K5" i="1"/>
  <c r="U173" i="1"/>
  <c r="U240" i="1"/>
  <c r="U241" i="1"/>
  <c r="U204" i="1"/>
  <c r="U102" i="1" s="1"/>
  <c r="U203" i="1"/>
  <c r="U103" i="1" s="1"/>
  <c r="U167" i="1"/>
  <c r="V8" i="1"/>
  <c r="V198" i="1"/>
  <c r="V300" i="1" s="1"/>
  <c r="V122" i="1" s="1"/>
  <c r="V217" i="1"/>
  <c r="R12" i="28" l="1"/>
  <c r="R24" i="28"/>
  <c r="T10" i="28"/>
  <c r="S13" i="28"/>
  <c r="S11" i="28"/>
  <c r="S17" i="28"/>
  <c r="T16" i="28"/>
  <c r="S19" i="28"/>
  <c r="R26" i="28"/>
  <c r="S25" i="28"/>
  <c r="S23" i="28"/>
  <c r="S26" i="28" s="1"/>
  <c r="S27" i="28"/>
  <c r="T22" i="28"/>
  <c r="S36" i="28"/>
  <c r="R20" i="28"/>
  <c r="C5" i="27"/>
  <c r="D25" i="27"/>
  <c r="D16" i="27"/>
  <c r="D22" i="27"/>
  <c r="D9" i="27"/>
  <c r="D24" i="27"/>
  <c r="D21" i="27"/>
  <c r="D11" i="27"/>
  <c r="D7" i="27"/>
  <c r="D23" i="27"/>
  <c r="D13" i="27"/>
  <c r="D14" i="27" s="1"/>
  <c r="E10" i="27"/>
  <c r="E8" i="27"/>
  <c r="F8" i="27"/>
  <c r="E12" i="27"/>
  <c r="E20" i="27"/>
  <c r="AN121" i="1"/>
  <c r="AO121" i="1"/>
  <c r="AN93" i="1"/>
  <c r="AN90" i="1"/>
  <c r="AN92" i="1"/>
  <c r="AN89" i="1"/>
  <c r="AN91" i="1"/>
  <c r="AO92" i="1"/>
  <c r="AO91" i="1"/>
  <c r="AO89" i="1"/>
  <c r="AO93" i="1"/>
  <c r="AO90" i="1"/>
  <c r="AP92" i="1"/>
  <c r="AP93" i="1"/>
  <c r="AP90" i="1"/>
  <c r="AP91" i="1"/>
  <c r="AP89" i="1"/>
  <c r="AQ91" i="1"/>
  <c r="AQ93" i="1"/>
  <c r="AQ92" i="1"/>
  <c r="AQ90" i="1"/>
  <c r="AQ89" i="1"/>
  <c r="AR92" i="1"/>
  <c r="AR93" i="1"/>
  <c r="AR90" i="1"/>
  <c r="AR89" i="1"/>
  <c r="AR91" i="1"/>
  <c r="AS93" i="1"/>
  <c r="AS92" i="1"/>
  <c r="AS89" i="1"/>
  <c r="AS90" i="1"/>
  <c r="AS91" i="1"/>
  <c r="AR94" i="1"/>
  <c r="AN94" i="1"/>
  <c r="AO119" i="1"/>
  <c r="AO102" i="1"/>
  <c r="R65" i="11"/>
  <c r="R66" i="11"/>
  <c r="S56" i="11"/>
  <c r="S65" i="11" s="1"/>
  <c r="S57" i="11"/>
  <c r="AP422" i="1"/>
  <c r="AP428" i="1"/>
  <c r="AP421" i="1"/>
  <c r="AQ422" i="1"/>
  <c r="AQ428" i="1"/>
  <c r="AR422" i="1"/>
  <c r="AS422" i="1"/>
  <c r="AR428" i="1"/>
  <c r="H47" i="11"/>
  <c r="W32" i="1"/>
  <c r="W81" i="1" s="1"/>
  <c r="W82" i="1" s="1"/>
  <c r="AD47" i="11"/>
  <c r="U410" i="1"/>
  <c r="AD46" i="11"/>
  <c r="H46" i="11"/>
  <c r="U60" i="1"/>
  <c r="U62" i="1" s="1"/>
  <c r="AG428" i="1"/>
  <c r="V420" i="1"/>
  <c r="AP420" i="1" s="1"/>
  <c r="V342" i="1"/>
  <c r="V343" i="1" s="1"/>
  <c r="AP343" i="1" s="1"/>
  <c r="AH94" i="1"/>
  <c r="AS94" i="1" s="1"/>
  <c r="G48" i="11"/>
  <c r="G63" i="11" s="1"/>
  <c r="AN110" i="1"/>
  <c r="C96" i="2"/>
  <c r="J96" i="2" s="1"/>
  <c r="AO110" i="1"/>
  <c r="S71" i="11"/>
  <c r="V277" i="1"/>
  <c r="V280" i="1" s="1"/>
  <c r="V109" i="1" s="1"/>
  <c r="AE48" i="11"/>
  <c r="AE63" i="11" s="1"/>
  <c r="S72" i="11"/>
  <c r="S70" i="11"/>
  <c r="T50" i="11"/>
  <c r="T72" i="11" s="1"/>
  <c r="R67" i="11"/>
  <c r="R68" i="11"/>
  <c r="R69" i="11"/>
  <c r="V285" i="1"/>
  <c r="V286" i="1" s="1"/>
  <c r="V294" i="1" s="1"/>
  <c r="AP294" i="1" s="1"/>
  <c r="S58" i="11"/>
  <c r="U291" i="1"/>
  <c r="U126" i="1" s="1"/>
  <c r="U155" i="1" s="1"/>
  <c r="AP300" i="1"/>
  <c r="AP301" i="1"/>
  <c r="AQ301" i="1"/>
  <c r="AR301" i="1"/>
  <c r="AS301" i="1"/>
  <c r="AN223" i="1"/>
  <c r="AN210" i="1"/>
  <c r="AN202" i="1"/>
  <c r="AN136" i="1"/>
  <c r="AN127" i="1"/>
  <c r="AN111" i="1"/>
  <c r="AN142" i="1"/>
  <c r="AN113" i="1"/>
  <c r="AN211" i="1"/>
  <c r="AN135" i="1"/>
  <c r="AN128" i="1"/>
  <c r="AN118" i="1"/>
  <c r="AN109" i="1"/>
  <c r="AN138" i="1"/>
  <c r="AN212" i="1"/>
  <c r="AN107" i="1"/>
  <c r="AN103" i="1"/>
  <c r="AN221" i="1"/>
  <c r="AN119" i="1"/>
  <c r="AN213" i="1"/>
  <c r="AN129" i="1"/>
  <c r="AN106" i="1"/>
  <c r="AN102" i="1"/>
  <c r="AN216" i="1"/>
  <c r="AN141" i="1"/>
  <c r="AN122" i="1"/>
  <c r="AN101" i="1"/>
  <c r="AN217" i="1"/>
  <c r="AN205" i="1"/>
  <c r="AN139" i="1"/>
  <c r="AN130" i="1"/>
  <c r="AN126" i="1"/>
  <c r="AN120" i="1"/>
  <c r="AN222" i="1"/>
  <c r="AN209" i="1"/>
  <c r="AN203" i="1"/>
  <c r="AN137" i="1"/>
  <c r="AN112" i="1"/>
  <c r="AN204" i="1"/>
  <c r="AO205" i="1"/>
  <c r="AO128" i="1"/>
  <c r="AO217" i="1"/>
  <c r="AO120" i="1"/>
  <c r="AO130" i="1"/>
  <c r="AO136" i="1"/>
  <c r="AO204" i="1"/>
  <c r="AO212" i="1"/>
  <c r="AO109" i="1"/>
  <c r="AO129" i="1"/>
  <c r="AO223" i="1"/>
  <c r="AO100" i="1"/>
  <c r="AO211" i="1"/>
  <c r="AO216" i="1"/>
  <c r="AO127" i="1"/>
  <c r="AO111" i="1"/>
  <c r="AO107" i="1"/>
  <c r="AO138" i="1"/>
  <c r="AO202" i="1"/>
  <c r="AO106" i="1"/>
  <c r="AO126" i="1"/>
  <c r="AO210" i="1"/>
  <c r="AO203" i="1"/>
  <c r="AO221" i="1"/>
  <c r="AO137" i="1"/>
  <c r="AO222" i="1"/>
  <c r="AO103" i="1"/>
  <c r="AO141" i="1"/>
  <c r="AO142" i="1"/>
  <c r="AO112" i="1"/>
  <c r="AO135" i="1"/>
  <c r="AO113" i="1"/>
  <c r="AO118" i="1"/>
  <c r="AO213" i="1"/>
  <c r="AO209" i="1"/>
  <c r="AO122" i="1"/>
  <c r="AO139" i="1"/>
  <c r="AO101" i="1"/>
  <c r="AP212" i="1"/>
  <c r="AP210" i="1"/>
  <c r="AP113" i="1"/>
  <c r="AP122" i="1"/>
  <c r="AP135" i="1"/>
  <c r="AP209" i="1"/>
  <c r="AP211" i="1"/>
  <c r="AP217" i="1"/>
  <c r="AP136" i="1"/>
  <c r="AP107" i="1"/>
  <c r="AP213" i="1"/>
  <c r="AP139" i="1"/>
  <c r="AP120" i="1"/>
  <c r="AP137" i="1"/>
  <c r="AQ211" i="1"/>
  <c r="AQ137" i="1"/>
  <c r="AQ209" i="1"/>
  <c r="AQ135" i="1"/>
  <c r="AQ212" i="1"/>
  <c r="AQ213" i="1"/>
  <c r="AQ139" i="1"/>
  <c r="AQ113" i="1"/>
  <c r="AQ210" i="1"/>
  <c r="AQ120" i="1"/>
  <c r="AQ136" i="1"/>
  <c r="AQ107" i="1"/>
  <c r="AR120" i="1"/>
  <c r="AR209" i="1"/>
  <c r="AR136" i="1"/>
  <c r="AR138" i="1"/>
  <c r="AR137" i="1"/>
  <c r="AR211" i="1"/>
  <c r="AR107" i="1"/>
  <c r="AR212" i="1"/>
  <c r="AR135" i="1"/>
  <c r="AR213" i="1"/>
  <c r="AR139" i="1"/>
  <c r="AR113" i="1"/>
  <c r="AR210" i="1"/>
  <c r="AS209" i="1"/>
  <c r="AS113" i="1"/>
  <c r="AS213" i="1"/>
  <c r="AS120" i="1"/>
  <c r="AS212" i="1"/>
  <c r="AS211" i="1"/>
  <c r="AS210" i="1"/>
  <c r="AR100" i="1"/>
  <c r="AR142" i="1"/>
  <c r="AN100" i="1"/>
  <c r="U111" i="1"/>
  <c r="T156" i="1"/>
  <c r="AH369" i="1"/>
  <c r="AH390" i="1" s="1"/>
  <c r="AH428" i="1" s="1"/>
  <c r="AS428" i="1" s="1"/>
  <c r="R5" i="6"/>
  <c r="AH497" i="1"/>
  <c r="Q3" i="6"/>
  <c r="Q4" i="6"/>
  <c r="W457" i="1"/>
  <c r="F8" i="6"/>
  <c r="G7" i="6"/>
  <c r="AP335" i="1"/>
  <c r="AP339" i="1"/>
  <c r="AQ335" i="1"/>
  <c r="AQ339" i="1"/>
  <c r="AR335" i="1"/>
  <c r="AR339" i="1"/>
  <c r="AS335" i="1"/>
  <c r="AS339" i="1"/>
  <c r="AP399" i="1"/>
  <c r="AQ399" i="1"/>
  <c r="AR399" i="1"/>
  <c r="AS399" i="1"/>
  <c r="AP362" i="1"/>
  <c r="AP353" i="1"/>
  <c r="AQ353" i="1" s="1"/>
  <c r="AR353" i="1" s="1"/>
  <c r="AS353" i="1" s="1"/>
  <c r="AT353" i="1" s="1"/>
  <c r="AP363" i="1"/>
  <c r="AP354" i="1"/>
  <c r="AQ363" i="1"/>
  <c r="AQ354" i="1"/>
  <c r="AQ362" i="1"/>
  <c r="AR362" i="1"/>
  <c r="AR363" i="1"/>
  <c r="AR354" i="1"/>
  <c r="AS362" i="1"/>
  <c r="AS354" i="1"/>
  <c r="AS363" i="1"/>
  <c r="AP332" i="1"/>
  <c r="AP331" i="1"/>
  <c r="AP330" i="1"/>
  <c r="AQ331" i="1"/>
  <c r="AQ330" i="1"/>
  <c r="AR331" i="1"/>
  <c r="AR330" i="1"/>
  <c r="AS331" i="1"/>
  <c r="AS330" i="1"/>
  <c r="W9" i="1"/>
  <c r="AH139" i="1"/>
  <c r="AS139" i="1" s="1"/>
  <c r="AN134" i="1"/>
  <c r="AN201" i="1"/>
  <c r="AN208" i="1"/>
  <c r="AO134" i="1"/>
  <c r="AO201" i="1"/>
  <c r="AO208" i="1"/>
  <c r="AP279" i="1"/>
  <c r="AP282" i="1"/>
  <c r="AP278" i="1"/>
  <c r="AP208" i="1"/>
  <c r="AP134" i="1"/>
  <c r="AP281" i="1"/>
  <c r="AP244" i="1"/>
  <c r="AQ244" i="1"/>
  <c r="AQ281" i="1"/>
  <c r="AQ282" i="1"/>
  <c r="AQ134" i="1"/>
  <c r="AR244" i="1"/>
  <c r="AR281" i="1"/>
  <c r="AR282" i="1"/>
  <c r="AS244" i="1"/>
  <c r="AS281" i="1"/>
  <c r="AS282" i="1"/>
  <c r="AR134" i="1"/>
  <c r="T272" i="1"/>
  <c r="T274" i="1" s="1"/>
  <c r="T22" i="1" s="1"/>
  <c r="T53" i="1" s="1"/>
  <c r="T54" i="1" s="1"/>
  <c r="K311" i="1"/>
  <c r="K321" i="1" s="1"/>
  <c r="AN99" i="1"/>
  <c r="AO99" i="1"/>
  <c r="AH311" i="1"/>
  <c r="AE183" i="1"/>
  <c r="AF136" i="1"/>
  <c r="AG174" i="1"/>
  <c r="AH107" i="1"/>
  <c r="AS107" i="1" s="1"/>
  <c r="AH100" i="1"/>
  <c r="AS100" i="1" s="1"/>
  <c r="AH35" i="1"/>
  <c r="AH138" i="1"/>
  <c r="AS138" i="1" s="1"/>
  <c r="AH142" i="1"/>
  <c r="AH135" i="1"/>
  <c r="AS135" i="1" s="1"/>
  <c r="AH134" i="1"/>
  <c r="AS134" i="1" s="1"/>
  <c r="AH136" i="1"/>
  <c r="AS136" i="1" s="1"/>
  <c r="AH137" i="1"/>
  <c r="AS137" i="1" s="1"/>
  <c r="K35" i="1"/>
  <c r="C83" i="2"/>
  <c r="L94" i="1"/>
  <c r="L41" i="1"/>
  <c r="AH3" i="1"/>
  <c r="C89" i="2"/>
  <c r="J89" i="2" s="1"/>
  <c r="C112" i="2"/>
  <c r="C109" i="2"/>
  <c r="C110" i="2"/>
  <c r="K3" i="1"/>
  <c r="U160" i="1"/>
  <c r="U164" i="1"/>
  <c r="U168" i="1"/>
  <c r="U162" i="1"/>
  <c r="V205" i="1"/>
  <c r="V119" i="1" s="1"/>
  <c r="V112" i="1"/>
  <c r="V168" i="1" s="1"/>
  <c r="U161" i="1"/>
  <c r="W279" i="1"/>
  <c r="W154" i="1" s="1"/>
  <c r="W278" i="1"/>
  <c r="W172" i="1" s="1"/>
  <c r="L272" i="1"/>
  <c r="M254" i="1"/>
  <c r="M272" i="1" s="1"/>
  <c r="U254" i="1"/>
  <c r="V254" i="1"/>
  <c r="W254" i="1"/>
  <c r="X254" i="1"/>
  <c r="Y254" i="1"/>
  <c r="Z254" i="1"/>
  <c r="AA254" i="1"/>
  <c r="AB254" i="1"/>
  <c r="AC254" i="1"/>
  <c r="AD254" i="1"/>
  <c r="AE254" i="1"/>
  <c r="AF254" i="1"/>
  <c r="H255" i="1"/>
  <c r="C255" i="1"/>
  <c r="K254" i="1"/>
  <c r="K256" i="1"/>
  <c r="K266" i="1"/>
  <c r="K271" i="1"/>
  <c r="K260" i="1"/>
  <c r="K261" i="1"/>
  <c r="K259" i="1"/>
  <c r="K262" i="1"/>
  <c r="K269" i="1"/>
  <c r="K265" i="1"/>
  <c r="K257" i="1"/>
  <c r="K270" i="1"/>
  <c r="K253" i="1"/>
  <c r="K258" i="1"/>
  <c r="K263" i="1"/>
  <c r="K252" i="1"/>
  <c r="K267" i="1"/>
  <c r="K264" i="1"/>
  <c r="K268" i="1"/>
  <c r="K255" i="1"/>
  <c r="AH252" i="1"/>
  <c r="AH253" i="1"/>
  <c r="AH254" i="1"/>
  <c r="AH268" i="1"/>
  <c r="AH269" i="1"/>
  <c r="AH270" i="1"/>
  <c r="AH271" i="1"/>
  <c r="AI5" i="1"/>
  <c r="AH4" i="1"/>
  <c r="AG254" i="1"/>
  <c r="Y165" i="1"/>
  <c r="Y208" i="1"/>
  <c r="X217" i="1"/>
  <c r="W198" i="1"/>
  <c r="W8" i="1"/>
  <c r="K4" i="1"/>
  <c r="V173" i="1"/>
  <c r="V240" i="1"/>
  <c r="V241" i="1"/>
  <c r="V204" i="1"/>
  <c r="V102" i="1" s="1"/>
  <c r="V161" i="1" s="1"/>
  <c r="V203" i="1"/>
  <c r="V103" i="1" s="1"/>
  <c r="AP103" i="1" s="1"/>
  <c r="V201" i="1"/>
  <c r="V101" i="1" s="1"/>
  <c r="R22" i="1"/>
  <c r="F24" i="17" s="1"/>
  <c r="U16" i="28" l="1"/>
  <c r="T19" i="28"/>
  <c r="T17" i="28"/>
  <c r="S20" i="28"/>
  <c r="U10" i="28"/>
  <c r="T11" i="28"/>
  <c r="T13" i="28"/>
  <c r="S24" i="28"/>
  <c r="U22" i="28"/>
  <c r="T25" i="28"/>
  <c r="T27" i="28"/>
  <c r="T23" i="28"/>
  <c r="T36" i="28"/>
  <c r="S18" i="28"/>
  <c r="S14" i="28"/>
  <c r="S12" i="28"/>
  <c r="D12" i="27"/>
  <c r="D10" i="27"/>
  <c r="D20" i="27"/>
  <c r="C3" i="27"/>
  <c r="C23" i="27"/>
  <c r="C25" i="27"/>
  <c r="C22" i="27"/>
  <c r="C18" i="27"/>
  <c r="C9" i="27"/>
  <c r="C16" i="27"/>
  <c r="C24" i="27"/>
  <c r="C4" i="27"/>
  <c r="C21" i="27"/>
  <c r="C11" i="27"/>
  <c r="C27" i="27"/>
  <c r="C7" i="27"/>
  <c r="C13" i="27"/>
  <c r="C14" i="27" s="1"/>
  <c r="S64" i="11"/>
  <c r="S66" i="11"/>
  <c r="AO220" i="1"/>
  <c r="V410" i="1"/>
  <c r="AP410" i="1" s="1"/>
  <c r="AN220" i="1"/>
  <c r="AP192" i="1"/>
  <c r="E8" i="17"/>
  <c r="T57" i="11"/>
  <c r="X32" i="1"/>
  <c r="X81" i="1" s="1"/>
  <c r="X82" i="1" s="1"/>
  <c r="T56" i="11"/>
  <c r="T65" i="11" s="1"/>
  <c r="T54" i="11"/>
  <c r="AE47" i="11"/>
  <c r="AI94" i="1"/>
  <c r="H41" i="7"/>
  <c r="H38" i="7"/>
  <c r="H35" i="7"/>
  <c r="H44" i="7"/>
  <c r="P44" i="6"/>
  <c r="P41" i="6"/>
  <c r="P38" i="6"/>
  <c r="P35" i="6"/>
  <c r="Q35" i="6"/>
  <c r="Q41" i="6"/>
  <c r="Q44" i="6"/>
  <c r="Q38" i="6"/>
  <c r="AN219" i="1"/>
  <c r="G46" i="11"/>
  <c r="AE46" i="11"/>
  <c r="R38" i="6"/>
  <c r="R35" i="6"/>
  <c r="R41" i="6"/>
  <c r="R44" i="6"/>
  <c r="AP277" i="1"/>
  <c r="AP280" i="1" s="1"/>
  <c r="AP342" i="1"/>
  <c r="W420" i="1"/>
  <c r="V164" i="1"/>
  <c r="V412" i="1"/>
  <c r="AP412" i="1" s="1"/>
  <c r="W342" i="1"/>
  <c r="W343" i="1" s="1"/>
  <c r="AS142" i="1"/>
  <c r="T70" i="11"/>
  <c r="G47" i="11"/>
  <c r="T71" i="11"/>
  <c r="AP286" i="1"/>
  <c r="AP285" i="1"/>
  <c r="F28" i="17"/>
  <c r="U50" i="11"/>
  <c r="U70" i="11" s="1"/>
  <c r="Q54" i="6"/>
  <c r="AF48" i="11"/>
  <c r="AF63" i="11" s="1"/>
  <c r="W285" i="1"/>
  <c r="W286" i="1" s="1"/>
  <c r="T58" i="11"/>
  <c r="S67" i="11"/>
  <c r="S68" i="11"/>
  <c r="S69" i="11"/>
  <c r="V291" i="1"/>
  <c r="AP119" i="1"/>
  <c r="AP101" i="1"/>
  <c r="AP102" i="1"/>
  <c r="AP204" i="1"/>
  <c r="AP112" i="1"/>
  <c r="AP205" i="1"/>
  <c r="AP203" i="1"/>
  <c r="W112" i="1"/>
  <c r="W168" i="1" s="1"/>
  <c r="W300" i="1"/>
  <c r="W122" i="1" s="1"/>
  <c r="W167" i="1" s="1"/>
  <c r="V111" i="1"/>
  <c r="AP111" i="1" s="1"/>
  <c r="U156" i="1"/>
  <c r="H54" i="7"/>
  <c r="AI369" i="1"/>
  <c r="S5" i="6"/>
  <c r="AI497" i="1"/>
  <c r="P54" i="6"/>
  <c r="R4" i="6"/>
  <c r="R3" i="6"/>
  <c r="X457" i="1"/>
  <c r="AH185" i="1"/>
  <c r="R54" i="6"/>
  <c r="G8" i="6"/>
  <c r="H7" i="6"/>
  <c r="H8" i="6" s="1"/>
  <c r="AR332" i="1"/>
  <c r="AQ332" i="1"/>
  <c r="AS332" i="1"/>
  <c r="AI139" i="1"/>
  <c r="AI185" i="1" s="1"/>
  <c r="X9" i="1"/>
  <c r="T242" i="1"/>
  <c r="T153" i="1" s="1"/>
  <c r="AO219" i="1"/>
  <c r="AP201" i="1"/>
  <c r="AO104" i="1"/>
  <c r="U272" i="1"/>
  <c r="U274" i="1" s="1"/>
  <c r="U22" i="1" s="1"/>
  <c r="U53" i="1" s="1"/>
  <c r="U54" i="1" s="1"/>
  <c r="AO123" i="1"/>
  <c r="AO131" i="1" s="1"/>
  <c r="AN104" i="1"/>
  <c r="AN123" i="1"/>
  <c r="AN131" i="1" s="1"/>
  <c r="K36" i="1"/>
  <c r="K38" i="1" s="1"/>
  <c r="K94" i="1" s="1"/>
  <c r="AI311" i="1"/>
  <c r="AF183" i="1"/>
  <c r="AG136" i="1"/>
  <c r="AI107" i="1"/>
  <c r="AI174" i="1" s="1"/>
  <c r="AI100" i="1"/>
  <c r="AH174" i="1"/>
  <c r="AI35" i="1"/>
  <c r="AI134" i="1"/>
  <c r="AI137" i="1"/>
  <c r="AI135" i="1"/>
  <c r="AI138" i="1"/>
  <c r="AI184" i="1" s="1"/>
  <c r="AI142" i="1"/>
  <c r="AI188" i="1" s="1"/>
  <c r="AI136" i="1"/>
  <c r="F83" i="2"/>
  <c r="F112" i="2"/>
  <c r="J112" i="2" s="1"/>
  <c r="AI3" i="1"/>
  <c r="F109" i="2"/>
  <c r="F110" i="2"/>
  <c r="J110" i="2" s="1"/>
  <c r="AO54" i="1"/>
  <c r="AP43" i="1"/>
  <c r="AP42" i="1"/>
  <c r="AP44" i="1"/>
  <c r="AP54" i="1"/>
  <c r="AQ42" i="1"/>
  <c r="AQ54" i="1"/>
  <c r="AQ44" i="1"/>
  <c r="AQ43" i="1"/>
  <c r="AR43" i="1"/>
  <c r="AR42" i="1"/>
  <c r="AR44" i="1"/>
  <c r="AR54" i="1"/>
  <c r="AS43" i="1"/>
  <c r="AS44" i="1"/>
  <c r="AS42" i="1"/>
  <c r="AS54" i="1"/>
  <c r="AT54" i="1"/>
  <c r="AT42" i="1"/>
  <c r="AT43" i="1"/>
  <c r="AT44" i="1"/>
  <c r="T26" i="1"/>
  <c r="R242" i="1"/>
  <c r="R245" i="1" s="1"/>
  <c r="R26" i="1"/>
  <c r="R28" i="1" s="1"/>
  <c r="J11" i="27" s="1"/>
  <c r="J12" i="27" s="1"/>
  <c r="V160" i="1"/>
  <c r="V167" i="1"/>
  <c r="V162" i="1"/>
  <c r="W277" i="1"/>
  <c r="W280" i="1" s="1"/>
  <c r="W109" i="1" s="1"/>
  <c r="X279" i="1"/>
  <c r="X154" i="1" s="1"/>
  <c r="X278" i="1"/>
  <c r="X172" i="1" s="1"/>
  <c r="K272" i="1"/>
  <c r="AI253" i="1"/>
  <c r="AI252" i="1"/>
  <c r="AI254" i="1"/>
  <c r="AI255" i="1"/>
  <c r="AI269" i="1"/>
  <c r="AI270" i="1"/>
  <c r="AI271" i="1"/>
  <c r="S255" i="1"/>
  <c r="V255" i="1"/>
  <c r="V272" i="1" s="1"/>
  <c r="V274" i="1" s="1"/>
  <c r="W255" i="1"/>
  <c r="X255" i="1"/>
  <c r="Y255" i="1"/>
  <c r="Z255" i="1"/>
  <c r="AA255" i="1"/>
  <c r="AB255" i="1"/>
  <c r="AC255" i="1"/>
  <c r="AD255" i="1"/>
  <c r="AE255" i="1"/>
  <c r="AF255" i="1"/>
  <c r="AG255" i="1"/>
  <c r="C256" i="1"/>
  <c r="H256" i="1"/>
  <c r="AH255" i="1"/>
  <c r="AI4" i="1"/>
  <c r="AJ5" i="1"/>
  <c r="AJ306" i="1" s="1"/>
  <c r="Y217" i="1"/>
  <c r="Z208" i="1"/>
  <c r="AQ208" i="1" s="1"/>
  <c r="Z165" i="1"/>
  <c r="W240" i="1"/>
  <c r="W173" i="1"/>
  <c r="W241" i="1"/>
  <c r="X8" i="1"/>
  <c r="X198" i="1"/>
  <c r="W205" i="1"/>
  <c r="W119" i="1" s="1"/>
  <c r="W201" i="1"/>
  <c r="W101" i="1" s="1"/>
  <c r="W203" i="1"/>
  <c r="W103" i="1" s="1"/>
  <c r="W204" i="1"/>
  <c r="W102" i="1" s="1"/>
  <c r="W161" i="1" s="1"/>
  <c r="AO40" i="1"/>
  <c r="AN54" i="1"/>
  <c r="AO44" i="1"/>
  <c r="AO42" i="1"/>
  <c r="AN40" i="1"/>
  <c r="AO43" i="1"/>
  <c r="AN42" i="1"/>
  <c r="T14" i="28" l="1"/>
  <c r="T12" i="28"/>
  <c r="U11" i="28"/>
  <c r="V10" i="28"/>
  <c r="U13" i="28"/>
  <c r="T26" i="28"/>
  <c r="T24" i="28"/>
  <c r="T20" i="28"/>
  <c r="T18" i="28"/>
  <c r="V22" i="28"/>
  <c r="U25" i="28"/>
  <c r="U27" i="28"/>
  <c r="U23" i="28"/>
  <c r="U36" i="28"/>
  <c r="U19" i="28"/>
  <c r="U17" i="28"/>
  <c r="V16" i="28"/>
  <c r="K8" i="27"/>
  <c r="D8" i="27"/>
  <c r="C12" i="27"/>
  <c r="C10" i="27"/>
  <c r="C17" i="27"/>
  <c r="C20" i="27"/>
  <c r="C28" i="27"/>
  <c r="V245" i="1"/>
  <c r="Z245" i="1" s="1"/>
  <c r="F30" i="17"/>
  <c r="D41" i="17" s="1"/>
  <c r="T64" i="11"/>
  <c r="T66" i="11"/>
  <c r="W410" i="1"/>
  <c r="U57" i="11"/>
  <c r="Y32" i="1"/>
  <c r="Y81" i="1" s="1"/>
  <c r="Y82" i="1" s="1"/>
  <c r="U56" i="11"/>
  <c r="U65" i="11" s="1"/>
  <c r="U54" i="11"/>
  <c r="AF47" i="11"/>
  <c r="AF46" i="11"/>
  <c r="S35" i="6"/>
  <c r="S41" i="6"/>
  <c r="S44" i="6"/>
  <c r="S38" i="6"/>
  <c r="X342" i="1"/>
  <c r="X343" i="1" s="1"/>
  <c r="W164" i="1"/>
  <c r="W412" i="1"/>
  <c r="X420" i="1"/>
  <c r="AJ94" i="1"/>
  <c r="U72" i="11"/>
  <c r="AG48" i="11"/>
  <c r="AG63" i="11" s="1"/>
  <c r="U71" i="11"/>
  <c r="V50" i="11"/>
  <c r="V71" i="11" s="1"/>
  <c r="T68" i="11"/>
  <c r="T67" i="11"/>
  <c r="T69" i="11"/>
  <c r="V126" i="1"/>
  <c r="AP291" i="1"/>
  <c r="W291" i="1"/>
  <c r="W126" i="1" s="1"/>
  <c r="X285" i="1"/>
  <c r="X286" i="1" s="1"/>
  <c r="U58" i="11"/>
  <c r="W294" i="1"/>
  <c r="X112" i="1"/>
  <c r="X168" i="1" s="1"/>
  <c r="X300" i="1"/>
  <c r="X122" i="1" s="1"/>
  <c r="X167" i="1" s="1"/>
  <c r="V156" i="1"/>
  <c r="AJ369" i="1"/>
  <c r="AJ390" i="1" s="1"/>
  <c r="T5" i="6"/>
  <c r="AJ497" i="1"/>
  <c r="S4" i="6"/>
  <c r="S3" i="6"/>
  <c r="Y457" i="1"/>
  <c r="S54" i="6"/>
  <c r="I7" i="6"/>
  <c r="I8" i="6" s="1"/>
  <c r="AI390" i="1"/>
  <c r="AJ139" i="1"/>
  <c r="AJ185" i="1" s="1"/>
  <c r="Y9" i="1"/>
  <c r="U242" i="1"/>
  <c r="U153" i="1" s="1"/>
  <c r="AP245" i="1"/>
  <c r="K41" i="1"/>
  <c r="S272" i="1"/>
  <c r="S274" i="1" s="1"/>
  <c r="S242" i="1" s="1"/>
  <c r="AJ311" i="1"/>
  <c r="C111" i="2"/>
  <c r="F111" i="2" s="1"/>
  <c r="J111" i="2" s="1"/>
  <c r="AG183" i="1"/>
  <c r="AH183" i="1"/>
  <c r="AE138" i="1"/>
  <c r="AJ100" i="1"/>
  <c r="AJ107" i="1"/>
  <c r="AJ174" i="1" s="1"/>
  <c r="F114" i="2"/>
  <c r="J114" i="2" s="1"/>
  <c r="AJ35" i="1"/>
  <c r="AJ138" i="1"/>
  <c r="AJ184" i="1" s="1"/>
  <c r="AJ142" i="1"/>
  <c r="AJ188" i="1" s="1"/>
  <c r="AJ134" i="1"/>
  <c r="AJ137" i="1"/>
  <c r="AJ135" i="1"/>
  <c r="AJ136" i="1"/>
  <c r="AI183" i="1"/>
  <c r="J109" i="2"/>
  <c r="J83" i="2"/>
  <c r="AJ3" i="1"/>
  <c r="U26" i="1"/>
  <c r="W162" i="1"/>
  <c r="W160" i="1"/>
  <c r="X277" i="1"/>
  <c r="X280" i="1" s="1"/>
  <c r="X109" i="1" s="1"/>
  <c r="V22" i="1"/>
  <c r="V53" i="1" s="1"/>
  <c r="V54" i="1" s="1"/>
  <c r="V242" i="1"/>
  <c r="V153" i="1" s="1"/>
  <c r="Y278" i="1"/>
  <c r="Y172" i="1" s="1"/>
  <c r="Y279" i="1"/>
  <c r="Y154" i="1" s="1"/>
  <c r="AI256" i="1"/>
  <c r="X256" i="1"/>
  <c r="AJ255" i="1"/>
  <c r="AJ256" i="1"/>
  <c r="AJ253" i="1"/>
  <c r="AJ254" i="1"/>
  <c r="AJ252" i="1"/>
  <c r="AJ270" i="1"/>
  <c r="AJ271" i="1"/>
  <c r="AJ4" i="1"/>
  <c r="AK5" i="1"/>
  <c r="AK306" i="1" s="1"/>
  <c r="H257" i="1"/>
  <c r="C257" i="1"/>
  <c r="W256" i="1"/>
  <c r="Y256" i="1"/>
  <c r="Z256" i="1"/>
  <c r="AA256" i="1"/>
  <c r="AB256" i="1"/>
  <c r="AC256" i="1"/>
  <c r="AD256" i="1"/>
  <c r="AE256" i="1"/>
  <c r="AF256" i="1"/>
  <c r="AG256" i="1"/>
  <c r="AH256" i="1"/>
  <c r="AA208" i="1"/>
  <c r="Z217" i="1"/>
  <c r="AQ217" i="1" s="1"/>
  <c r="AA165" i="1"/>
  <c r="X203" i="1"/>
  <c r="X103" i="1" s="1"/>
  <c r="X205" i="1"/>
  <c r="X119" i="1" s="1"/>
  <c r="X201" i="1"/>
  <c r="X101" i="1" s="1"/>
  <c r="X204" i="1"/>
  <c r="X102" i="1" s="1"/>
  <c r="X240" i="1"/>
  <c r="X241" i="1"/>
  <c r="X173" i="1"/>
  <c r="Y198" i="1"/>
  <c r="Y8" i="1"/>
  <c r="R38" i="1"/>
  <c r="R47" i="1"/>
  <c r="F25" i="17" s="1"/>
  <c r="U20" i="28" l="1"/>
  <c r="U18" i="28"/>
  <c r="U26" i="28"/>
  <c r="U24" i="28"/>
  <c r="V13" i="28"/>
  <c r="W10" i="28"/>
  <c r="V11" i="28"/>
  <c r="U14" i="28"/>
  <c r="U12" i="28"/>
  <c r="V25" i="28"/>
  <c r="V23" i="28"/>
  <c r="W22" i="28"/>
  <c r="V27" i="28"/>
  <c r="V36" i="28"/>
  <c r="W16" i="28"/>
  <c r="V19" i="28"/>
  <c r="V17" i="28"/>
  <c r="Z138" i="1"/>
  <c r="AQ138" i="1" s="1"/>
  <c r="AD245" i="1"/>
  <c r="AH245" i="1" s="1"/>
  <c r="AL245" i="1" s="1"/>
  <c r="AQ245" i="1"/>
  <c r="F27" i="17"/>
  <c r="F31" i="17" s="1"/>
  <c r="D38" i="17"/>
  <c r="F23" i="17"/>
  <c r="U64" i="11"/>
  <c r="U66" i="11"/>
  <c r="V57" i="11"/>
  <c r="Z32" i="1"/>
  <c r="Z81" i="1" s="1"/>
  <c r="Z82" i="1" s="1"/>
  <c r="V54" i="11"/>
  <c r="Y420" i="1"/>
  <c r="V56" i="11"/>
  <c r="V66" i="11" s="1"/>
  <c r="X410" i="1"/>
  <c r="AG46" i="11"/>
  <c r="AJ428" i="1"/>
  <c r="AI428" i="1"/>
  <c r="T44" i="6"/>
  <c r="T38" i="6"/>
  <c r="T35" i="6"/>
  <c r="T41" i="6"/>
  <c r="X164" i="1"/>
  <c r="X412" i="1"/>
  <c r="Y342" i="1"/>
  <c r="Y343" i="1" s="1"/>
  <c r="AK94" i="1"/>
  <c r="X294" i="1"/>
  <c r="X111" i="1" s="1"/>
  <c r="AG47" i="11"/>
  <c r="AH48" i="11"/>
  <c r="AH63" i="11" s="1"/>
  <c r="X291" i="1"/>
  <c r="X126" i="1" s="1"/>
  <c r="X155" i="1" s="1"/>
  <c r="V72" i="11"/>
  <c r="V70" i="11"/>
  <c r="W50" i="11"/>
  <c r="W71" i="11" s="1"/>
  <c r="H22" i="17"/>
  <c r="V155" i="1"/>
  <c r="AP126" i="1"/>
  <c r="U68" i="11"/>
  <c r="U67" i="11"/>
  <c r="U69" i="11"/>
  <c r="W111" i="1"/>
  <c r="W156" i="1" s="1"/>
  <c r="Y285" i="1"/>
  <c r="Y286" i="1" s="1"/>
  <c r="V58" i="11"/>
  <c r="W155" i="1"/>
  <c r="Y112" i="1"/>
  <c r="Y168" i="1" s="1"/>
  <c r="Y300" i="1"/>
  <c r="Y122" i="1" s="1"/>
  <c r="AK369" i="1"/>
  <c r="AK390" i="1" s="1"/>
  <c r="U5" i="6"/>
  <c r="AK497" i="1"/>
  <c r="T3" i="6"/>
  <c r="T4" i="6"/>
  <c r="Z457" i="1"/>
  <c r="U138" i="1"/>
  <c r="T54" i="6"/>
  <c r="J7" i="6"/>
  <c r="J8" i="6" s="1"/>
  <c r="S138" i="1"/>
  <c r="S184" i="1" s="1"/>
  <c r="AK139" i="1"/>
  <c r="AK185" i="1" s="1"/>
  <c r="S22" i="1"/>
  <c r="S53" i="1" s="1"/>
  <c r="Y138" i="1"/>
  <c r="AR245" i="1"/>
  <c r="Z9" i="1"/>
  <c r="K31" i="2" s="1"/>
  <c r="V138" i="1"/>
  <c r="W272" i="1"/>
  <c r="W274" i="1" s="1"/>
  <c r="W242" i="1" s="1"/>
  <c r="W153" i="1" s="1"/>
  <c r="AA138" i="1"/>
  <c r="X138" i="1"/>
  <c r="X184" i="1" s="1"/>
  <c r="AK311" i="1"/>
  <c r="T138" i="1"/>
  <c r="AG138" i="1"/>
  <c r="AE184" i="1"/>
  <c r="AF184" i="1"/>
  <c r="AK100" i="1"/>
  <c r="AK107" i="1"/>
  <c r="AK35" i="1"/>
  <c r="AK136" i="1"/>
  <c r="AK134" i="1"/>
  <c r="AK137" i="1"/>
  <c r="AK138" i="1"/>
  <c r="AK184" i="1" s="1"/>
  <c r="AK142" i="1"/>
  <c r="AK188" i="1" s="1"/>
  <c r="AK135" i="1"/>
  <c r="AJ183" i="1"/>
  <c r="AK3" i="1"/>
  <c r="S243" i="1"/>
  <c r="S106" i="1" s="1"/>
  <c r="S153" i="1"/>
  <c r="X162" i="1"/>
  <c r="X160" i="1"/>
  <c r="X161" i="1"/>
  <c r="Z278" i="1"/>
  <c r="Z279" i="1"/>
  <c r="Z154" i="1" s="1"/>
  <c r="Y277" i="1"/>
  <c r="Y280" i="1" s="1"/>
  <c r="Y109" i="1" s="1"/>
  <c r="AL5" i="1"/>
  <c r="AL306" i="1" s="1"/>
  <c r="AK4" i="1"/>
  <c r="AB257" i="1"/>
  <c r="X257" i="1"/>
  <c r="Y257" i="1"/>
  <c r="Z257" i="1"/>
  <c r="AA257" i="1"/>
  <c r="AC257" i="1"/>
  <c r="AD257" i="1"/>
  <c r="AE257" i="1"/>
  <c r="AF257" i="1"/>
  <c r="AG257" i="1"/>
  <c r="AH257" i="1"/>
  <c r="AI257" i="1"/>
  <c r="AK253" i="1"/>
  <c r="AK252" i="1"/>
  <c r="AK255" i="1"/>
  <c r="AK254" i="1"/>
  <c r="AK256" i="1"/>
  <c r="AK257" i="1"/>
  <c r="AK271" i="1"/>
  <c r="AJ257" i="1"/>
  <c r="C258" i="1"/>
  <c r="H258" i="1"/>
  <c r="AB165" i="1"/>
  <c r="AB208" i="1"/>
  <c r="AA217" i="1"/>
  <c r="Z8" i="1"/>
  <c r="Z198" i="1"/>
  <c r="Y204" i="1"/>
  <c r="Y102" i="1" s="1"/>
  <c r="Y205" i="1"/>
  <c r="Y119" i="1" s="1"/>
  <c r="Y412" i="1" s="1"/>
  <c r="Y201" i="1"/>
  <c r="Y203" i="1"/>
  <c r="Y103" i="1" s="1"/>
  <c r="Y173" i="1"/>
  <c r="Y241" i="1"/>
  <c r="Y240" i="1"/>
  <c r="R94" i="1"/>
  <c r="Z94" i="1" s="1"/>
  <c r="AQ94" i="1" s="1"/>
  <c r="R65" i="1"/>
  <c r="R41" i="1"/>
  <c r="W19" i="28" l="1"/>
  <c r="W17" i="28"/>
  <c r="X16" i="28"/>
  <c r="V14" i="28"/>
  <c r="V12" i="28"/>
  <c r="W11" i="28"/>
  <c r="W13" i="28"/>
  <c r="X10" i="28"/>
  <c r="W23" i="28"/>
  <c r="W27" i="28"/>
  <c r="X22" i="28"/>
  <c r="W25" i="28"/>
  <c r="W36" i="28"/>
  <c r="V26" i="28"/>
  <c r="V24" i="28"/>
  <c r="V20" i="28"/>
  <c r="V18" i="28"/>
  <c r="AT93" i="1"/>
  <c r="I54" i="2"/>
  <c r="K32" i="2"/>
  <c r="I56" i="2"/>
  <c r="I52" i="2"/>
  <c r="I53" i="2"/>
  <c r="I55" i="2"/>
  <c r="Z184" i="1"/>
  <c r="Y167" i="1"/>
  <c r="V94" i="1"/>
  <c r="AP94" i="1" s="1"/>
  <c r="W94" i="1"/>
  <c r="X94" i="1"/>
  <c r="Y94" i="1"/>
  <c r="AT91" i="1"/>
  <c r="AT89" i="1"/>
  <c r="AT90" i="1"/>
  <c r="AT92" i="1"/>
  <c r="S94" i="1"/>
  <c r="AO94" i="1"/>
  <c r="V65" i="11"/>
  <c r="V64" i="11"/>
  <c r="W57" i="11"/>
  <c r="AA32" i="1"/>
  <c r="AA81" i="1" s="1"/>
  <c r="AA82" i="1" s="1"/>
  <c r="W56" i="11"/>
  <c r="W66" i="11" s="1"/>
  <c r="Z420" i="1"/>
  <c r="AQ420" i="1" s="1"/>
  <c r="W54" i="11"/>
  <c r="I35" i="7"/>
  <c r="I38" i="7"/>
  <c r="I41" i="7"/>
  <c r="I44" i="7"/>
  <c r="AT422" i="1"/>
  <c r="AH46" i="11"/>
  <c r="U38" i="6"/>
  <c r="U44" i="6"/>
  <c r="U35" i="6"/>
  <c r="U41" i="6"/>
  <c r="AK428" i="1"/>
  <c r="Y164" i="1"/>
  <c r="AL94" i="1"/>
  <c r="AT94" i="1" s="1"/>
  <c r="T94" i="1"/>
  <c r="U94" i="1"/>
  <c r="AH47" i="11"/>
  <c r="AI48" i="11"/>
  <c r="AI63" i="11" s="1"/>
  <c r="AQ279" i="1"/>
  <c r="Y291" i="1"/>
  <c r="Y126" i="1" s="1"/>
  <c r="Y294" i="1"/>
  <c r="Y111" i="1" s="1"/>
  <c r="W72" i="11"/>
  <c r="W70" i="11"/>
  <c r="R84" i="1"/>
  <c r="J13" i="27" s="1"/>
  <c r="J14" i="27" s="1"/>
  <c r="X50" i="11"/>
  <c r="X71" i="11" s="1"/>
  <c r="Z285" i="1"/>
  <c r="Z286" i="1" s="1"/>
  <c r="W58" i="11"/>
  <c r="V69" i="11"/>
  <c r="V68" i="11"/>
  <c r="V67" i="11"/>
  <c r="AT301" i="1"/>
  <c r="AT213" i="1"/>
  <c r="AT113" i="1"/>
  <c r="S26" i="1"/>
  <c r="S54" i="1"/>
  <c r="AT120" i="1"/>
  <c r="AT209" i="1"/>
  <c r="AT212" i="1"/>
  <c r="W184" i="1"/>
  <c r="AP138" i="1"/>
  <c r="AT210" i="1"/>
  <c r="AT211" i="1"/>
  <c r="Z112" i="1"/>
  <c r="AQ112" i="1" s="1"/>
  <c r="Z300" i="1"/>
  <c r="X156" i="1"/>
  <c r="U3" i="6"/>
  <c r="U4" i="6"/>
  <c r="V5" i="6"/>
  <c r="AL497" i="1"/>
  <c r="AA457" i="1"/>
  <c r="T184" i="1"/>
  <c r="U54" i="6"/>
  <c r="K7" i="6"/>
  <c r="K8" i="6" s="1"/>
  <c r="AT335" i="1"/>
  <c r="AT339" i="1"/>
  <c r="AL369" i="1"/>
  <c r="AL390" i="1" s="1"/>
  <c r="AL428" i="1" s="1"/>
  <c r="AT428" i="1" s="1"/>
  <c r="AT399" i="1"/>
  <c r="AT331" i="1"/>
  <c r="AT362" i="1"/>
  <c r="AT363" i="1"/>
  <c r="AT354" i="1"/>
  <c r="AT330" i="1"/>
  <c r="AA9" i="1"/>
  <c r="AT244" i="1"/>
  <c r="AL139" i="1"/>
  <c r="AT139" i="1" s="1"/>
  <c r="AS245" i="1"/>
  <c r="V184" i="1"/>
  <c r="W22" i="1"/>
  <c r="W53" i="1" s="1"/>
  <c r="W54" i="1" s="1"/>
  <c r="AT281" i="1"/>
  <c r="AT282" i="1"/>
  <c r="Z172" i="1"/>
  <c r="AQ278" i="1"/>
  <c r="X272" i="1"/>
  <c r="X274" i="1" s="1"/>
  <c r="X242" i="1" s="1"/>
  <c r="X153" i="1" s="1"/>
  <c r="Y184" i="1"/>
  <c r="AA184" i="1"/>
  <c r="AB184" i="1"/>
  <c r="AL311" i="1"/>
  <c r="U184" i="1"/>
  <c r="AG184" i="1"/>
  <c r="AH184" i="1"/>
  <c r="AL100" i="1"/>
  <c r="AT100" i="1" s="1"/>
  <c r="AL107" i="1"/>
  <c r="AK174" i="1"/>
  <c r="AL35" i="1"/>
  <c r="AL134" i="1"/>
  <c r="AT134" i="1" s="1"/>
  <c r="AL137" i="1"/>
  <c r="AT137" i="1" s="1"/>
  <c r="AL136" i="1"/>
  <c r="AT136" i="1" s="1"/>
  <c r="AL135" i="1"/>
  <c r="AT135" i="1" s="1"/>
  <c r="AL138" i="1"/>
  <c r="AT138" i="1" s="1"/>
  <c r="AL142" i="1"/>
  <c r="AK183" i="1"/>
  <c r="AL3" i="1"/>
  <c r="T226" i="1"/>
  <c r="T243" i="1" s="1"/>
  <c r="T106" i="1" s="1"/>
  <c r="Y101" i="1"/>
  <c r="Y410" i="1" s="1"/>
  <c r="AL255" i="1"/>
  <c r="Y162" i="1"/>
  <c r="Y161" i="1"/>
  <c r="AL256" i="1"/>
  <c r="AL254" i="1"/>
  <c r="AL252" i="1"/>
  <c r="AL4" i="1"/>
  <c r="AP81" i="1" s="1"/>
  <c r="AL257" i="1"/>
  <c r="AL253" i="1"/>
  <c r="AA278" i="1"/>
  <c r="AA172" i="1" s="1"/>
  <c r="AA279" i="1"/>
  <c r="AA154" i="1" s="1"/>
  <c r="Z277" i="1"/>
  <c r="C259" i="1"/>
  <c r="H259" i="1"/>
  <c r="Y258" i="1"/>
  <c r="Z258" i="1"/>
  <c r="AA258" i="1"/>
  <c r="AB258" i="1"/>
  <c r="AC258" i="1"/>
  <c r="AD258" i="1"/>
  <c r="AE258" i="1"/>
  <c r="AF258" i="1"/>
  <c r="AG258" i="1"/>
  <c r="AH258" i="1"/>
  <c r="AI258" i="1"/>
  <c r="AJ258" i="1"/>
  <c r="AL258" i="1"/>
  <c r="AK258" i="1"/>
  <c r="AB217" i="1"/>
  <c r="AC208" i="1"/>
  <c r="AC165" i="1"/>
  <c r="Z204" i="1"/>
  <c r="AQ204" i="1" s="1"/>
  <c r="Z203" i="1"/>
  <c r="AQ203" i="1" s="1"/>
  <c r="Z201" i="1"/>
  <c r="Z205" i="1"/>
  <c r="AQ205" i="1" s="1"/>
  <c r="AA8" i="1"/>
  <c r="AA198" i="1"/>
  <c r="Z240" i="1"/>
  <c r="Z173" i="1"/>
  <c r="Z241" i="1"/>
  <c r="R86" i="1"/>
  <c r="X11" i="28" l="1"/>
  <c r="Y10" i="28"/>
  <c r="X13" i="28"/>
  <c r="W14" i="28"/>
  <c r="W12" i="28"/>
  <c r="Y22" i="28"/>
  <c r="X27" i="28"/>
  <c r="X25" i="28"/>
  <c r="X23" i="28"/>
  <c r="X36" i="28"/>
  <c r="X19" i="28"/>
  <c r="Y16" i="28"/>
  <c r="X17" i="28"/>
  <c r="W20" i="28"/>
  <c r="W18" i="28"/>
  <c r="W26" i="28"/>
  <c r="W24" i="28"/>
  <c r="I54" i="7"/>
  <c r="X458" i="1"/>
  <c r="AF458" i="1"/>
  <c r="AI458" i="1"/>
  <c r="AJ458" i="1"/>
  <c r="U458" i="1"/>
  <c r="Y458" i="1"/>
  <c r="AG458" i="1"/>
  <c r="AH458" i="1"/>
  <c r="T458" i="1"/>
  <c r="AC458" i="1"/>
  <c r="AQ458" i="1"/>
  <c r="Z458" i="1"/>
  <c r="S458" i="1"/>
  <c r="S463" i="1" s="1"/>
  <c r="AB458" i="1"/>
  <c r="AK458" i="1"/>
  <c r="AR458" i="1"/>
  <c r="AP458" i="1"/>
  <c r="AA458" i="1"/>
  <c r="AT458" i="1"/>
  <c r="AT509" i="1" s="1"/>
  <c r="AS458" i="1"/>
  <c r="V458" i="1"/>
  <c r="AD458" i="1"/>
  <c r="AL458" i="1"/>
  <c r="W458" i="1"/>
  <c r="AE458" i="1"/>
  <c r="Y155" i="1"/>
  <c r="AN78" i="1"/>
  <c r="AN81" i="1"/>
  <c r="AR77" i="1"/>
  <c r="AT79" i="1"/>
  <c r="AR80" i="1"/>
  <c r="AQ81" i="1"/>
  <c r="AN77" i="1"/>
  <c r="AS80" i="1"/>
  <c r="AP77" i="1"/>
  <c r="AT80" i="1"/>
  <c r="AO78" i="1"/>
  <c r="AS78" i="1"/>
  <c r="AO80" i="1"/>
  <c r="AP80" i="1"/>
  <c r="AT77" i="1"/>
  <c r="AP78" i="1"/>
  <c r="AN79" i="1"/>
  <c r="AO79" i="1"/>
  <c r="AR78" i="1"/>
  <c r="AN76" i="1"/>
  <c r="AQ77" i="1"/>
  <c r="AQ79" i="1"/>
  <c r="AO77" i="1"/>
  <c r="AR76" i="1"/>
  <c r="AO81" i="1"/>
  <c r="AQ80" i="1"/>
  <c r="AP79" i="1"/>
  <c r="AN80" i="1"/>
  <c r="AR79" i="1"/>
  <c r="AS76" i="1"/>
  <c r="AT78" i="1"/>
  <c r="AS79" i="1"/>
  <c r="AQ78" i="1"/>
  <c r="AS77" i="1"/>
  <c r="AP76" i="1"/>
  <c r="AQ76" i="1"/>
  <c r="AO76" i="1"/>
  <c r="AT76" i="1"/>
  <c r="W65" i="11"/>
  <c r="W64" i="11"/>
  <c r="F17" i="17"/>
  <c r="D36" i="17" s="1"/>
  <c r="X56" i="11"/>
  <c r="X64" i="11" s="1"/>
  <c r="X57" i="11"/>
  <c r="X54" i="11"/>
  <c r="AA420" i="1"/>
  <c r="AB32" i="1"/>
  <c r="AB81" i="1" s="1"/>
  <c r="AB82" i="1" s="1"/>
  <c r="AI46" i="11"/>
  <c r="V44" i="6"/>
  <c r="V38" i="6"/>
  <c r="V35" i="6"/>
  <c r="V41" i="6"/>
  <c r="Z342" i="1"/>
  <c r="AQ342" i="1" s="1"/>
  <c r="AT142" i="1"/>
  <c r="AL188" i="1"/>
  <c r="AT188" i="1" s="1"/>
  <c r="X72" i="11"/>
  <c r="Z294" i="1"/>
  <c r="AQ294" i="1" s="1"/>
  <c r="Z168" i="1"/>
  <c r="X70" i="11"/>
  <c r="AQ285" i="1"/>
  <c r="Y50" i="11"/>
  <c r="Y71" i="11" s="1"/>
  <c r="W67" i="11"/>
  <c r="W68" i="11"/>
  <c r="W69" i="11"/>
  <c r="AA285" i="1"/>
  <c r="AA286" i="1" s="1"/>
  <c r="X58" i="11"/>
  <c r="AP59" i="1"/>
  <c r="AI47" i="11"/>
  <c r="AS184" i="1"/>
  <c r="Z122" i="1"/>
  <c r="AQ300" i="1"/>
  <c r="AQ68" i="1"/>
  <c r="AP161" i="1"/>
  <c r="AP160" i="1"/>
  <c r="AN47" i="1"/>
  <c r="AO72" i="1"/>
  <c r="AO50" i="1"/>
  <c r="AQ184" i="1"/>
  <c r="AP152" i="1"/>
  <c r="AS71" i="1"/>
  <c r="AP71" i="1"/>
  <c r="AP51" i="1"/>
  <c r="AS52" i="1"/>
  <c r="AR50" i="1"/>
  <c r="AS51" i="1"/>
  <c r="AR58" i="1"/>
  <c r="AR59" i="1"/>
  <c r="AN52" i="1"/>
  <c r="AN51" i="1"/>
  <c r="AN58" i="1"/>
  <c r="AQ152" i="1"/>
  <c r="AR152" i="1"/>
  <c r="AS59" i="1"/>
  <c r="AN71" i="1"/>
  <c r="AR52" i="1"/>
  <c r="AQ52" i="1"/>
  <c r="AO71" i="1"/>
  <c r="AP184" i="1"/>
  <c r="AR185" i="1"/>
  <c r="AQ50" i="1"/>
  <c r="AS152" i="1"/>
  <c r="AP52" i="1"/>
  <c r="AP155" i="1"/>
  <c r="AL174" i="1"/>
  <c r="AT174" i="1" s="1"/>
  <c r="AT107" i="1"/>
  <c r="AN50" i="1"/>
  <c r="AT70" i="1"/>
  <c r="AT71" i="1"/>
  <c r="AS70" i="1"/>
  <c r="AO47" i="1"/>
  <c r="AR69" i="1"/>
  <c r="AP153" i="1"/>
  <c r="AQ185" i="1"/>
  <c r="AP69" i="1"/>
  <c r="AN59" i="1"/>
  <c r="AT58" i="1"/>
  <c r="AO69" i="1"/>
  <c r="AS391" i="1"/>
  <c r="AS185" i="1"/>
  <c r="AP156" i="1"/>
  <c r="AN70" i="1"/>
  <c r="AP162" i="1"/>
  <c r="AS174" i="1"/>
  <c r="AS183" i="1"/>
  <c r="AT59" i="1"/>
  <c r="AO59" i="1"/>
  <c r="AN72" i="1"/>
  <c r="AQ71" i="1"/>
  <c r="AO68" i="1"/>
  <c r="AR70" i="1"/>
  <c r="AO51" i="1"/>
  <c r="AT52" i="1"/>
  <c r="AS50" i="1"/>
  <c r="AP183" i="1"/>
  <c r="AR71" i="1"/>
  <c r="AS69" i="1"/>
  <c r="AQ69" i="1"/>
  <c r="AS68" i="1"/>
  <c r="AQ72" i="1"/>
  <c r="AT51" i="1"/>
  <c r="AO70" i="1"/>
  <c r="AQ183" i="1"/>
  <c r="AT50" i="1"/>
  <c r="AR51" i="1"/>
  <c r="AP165" i="1"/>
  <c r="AS72" i="1"/>
  <c r="Z291" i="1"/>
  <c r="AQ286" i="1"/>
  <c r="AR72" i="1"/>
  <c r="AQ174" i="1"/>
  <c r="AN69" i="1"/>
  <c r="AR184" i="1"/>
  <c r="AP174" i="1"/>
  <c r="AQ59" i="1"/>
  <c r="AP70" i="1"/>
  <c r="AP185" i="1"/>
  <c r="AP68" i="1"/>
  <c r="AR183" i="1"/>
  <c r="AR68" i="1"/>
  <c r="AQ70" i="1"/>
  <c r="AP72" i="1"/>
  <c r="AT68" i="1"/>
  <c r="AN68" i="1"/>
  <c r="AQ58" i="1"/>
  <c r="AQ51" i="1"/>
  <c r="AP58" i="1"/>
  <c r="AP62" i="1" s="1"/>
  <c r="AO52" i="1"/>
  <c r="AO58" i="1"/>
  <c r="AP173" i="1"/>
  <c r="G29" i="17" s="1"/>
  <c r="AR174" i="1"/>
  <c r="AT72" i="1"/>
  <c r="AT69" i="1"/>
  <c r="AP50" i="1"/>
  <c r="AP172" i="1"/>
  <c r="AT152" i="1"/>
  <c r="AP164" i="1"/>
  <c r="AP168" i="1"/>
  <c r="AS58" i="1"/>
  <c r="AQ165" i="1"/>
  <c r="AA112" i="1"/>
  <c r="C88" i="2" s="1"/>
  <c r="J88" i="2" s="1"/>
  <c r="AA300" i="1"/>
  <c r="AA122" i="1" s="1"/>
  <c r="Y156" i="1"/>
  <c r="V3" i="6"/>
  <c r="V4" i="6"/>
  <c r="AB457" i="1"/>
  <c r="AL185" i="1"/>
  <c r="AT185" i="1" s="1"/>
  <c r="V54" i="6"/>
  <c r="L7" i="6"/>
  <c r="L8" i="6" s="1"/>
  <c r="AT332" i="1"/>
  <c r="AQ391" i="1"/>
  <c r="AT391" i="1"/>
  <c r="AP390" i="1"/>
  <c r="AQ390" i="1"/>
  <c r="AR391" i="1"/>
  <c r="AR390" i="1"/>
  <c r="AP391" i="1"/>
  <c r="AT390" i="1"/>
  <c r="AS390" i="1"/>
  <c r="AP369" i="1"/>
  <c r="AQ369" i="1"/>
  <c r="AR369" i="1"/>
  <c r="AT369" i="1"/>
  <c r="AS369" i="1"/>
  <c r="AP322" i="1"/>
  <c r="AR322" i="1"/>
  <c r="AQ322" i="1"/>
  <c r="AS322" i="1"/>
  <c r="AT322" i="1"/>
  <c r="X22" i="1"/>
  <c r="X53" i="1" s="1"/>
  <c r="X54" i="1" s="1"/>
  <c r="AT245" i="1"/>
  <c r="AB9" i="1"/>
  <c r="AT253" i="1"/>
  <c r="AT236" i="1"/>
  <c r="AS236" i="1"/>
  <c r="AR254" i="1"/>
  <c r="AR256" i="1"/>
  <c r="AS257" i="1"/>
  <c r="AR268" i="1"/>
  <c r="AQ252" i="1"/>
  <c r="AR271" i="1"/>
  <c r="Z280" i="1"/>
  <c r="Z109" i="1" s="1"/>
  <c r="C85" i="2" s="1"/>
  <c r="AQ277" i="1"/>
  <c r="AQ280" i="1" s="1"/>
  <c r="AT257" i="1"/>
  <c r="AQ257" i="1"/>
  <c r="AP254" i="1"/>
  <c r="AS253" i="1"/>
  <c r="AS255" i="1"/>
  <c r="AQ256" i="1"/>
  <c r="AQ254" i="1"/>
  <c r="AT255" i="1"/>
  <c r="AS235" i="1"/>
  <c r="AR235" i="1"/>
  <c r="AP258" i="1"/>
  <c r="AP235" i="1"/>
  <c r="AR257" i="1"/>
  <c r="AP236" i="1"/>
  <c r="AQ261" i="1"/>
  <c r="Z119" i="1"/>
  <c r="Z412" i="1" s="1"/>
  <c r="AQ412" i="1" s="1"/>
  <c r="AO32" i="1"/>
  <c r="AQ235" i="1"/>
  <c r="AS254" i="1"/>
  <c r="AT235" i="1"/>
  <c r="AR236" i="1"/>
  <c r="AP260" i="1"/>
  <c r="AS252" i="1"/>
  <c r="AR253" i="1"/>
  <c r="AQ253" i="1"/>
  <c r="AR269" i="1"/>
  <c r="Z101" i="1"/>
  <c r="AQ201" i="1"/>
  <c r="AQ255" i="1"/>
  <c r="AR252" i="1"/>
  <c r="AQ236" i="1"/>
  <c r="AP269" i="1"/>
  <c r="AQ271" i="1"/>
  <c r="AP255" i="1"/>
  <c r="AT252" i="1"/>
  <c r="Z103" i="1"/>
  <c r="AQ103" i="1" s="1"/>
  <c r="AT254" i="1"/>
  <c r="AP266" i="1"/>
  <c r="AR270" i="1"/>
  <c r="AR255" i="1"/>
  <c r="AP253" i="1"/>
  <c r="AP262" i="1"/>
  <c r="AP271" i="1"/>
  <c r="AP257" i="1"/>
  <c r="AP259" i="1"/>
  <c r="AQ263" i="1"/>
  <c r="AP265" i="1"/>
  <c r="AP267" i="1"/>
  <c r="AQ270" i="1"/>
  <c r="AQ268" i="1"/>
  <c r="Z102" i="1"/>
  <c r="AQ102" i="1" s="1"/>
  <c r="AP256" i="1"/>
  <c r="AP268" i="1"/>
  <c r="AP270" i="1"/>
  <c r="AP252" i="1"/>
  <c r="AS256" i="1"/>
  <c r="AR267" i="1"/>
  <c r="AL184" i="1"/>
  <c r="AT184" i="1" s="1"/>
  <c r="Y272" i="1"/>
  <c r="Y274" i="1" s="1"/>
  <c r="Y22" i="1" s="1"/>
  <c r="Y53" i="1" s="1"/>
  <c r="Y54" i="1" s="1"/>
  <c r="AQ258" i="1"/>
  <c r="AS258" i="1"/>
  <c r="AT256" i="1"/>
  <c r="AR258" i="1"/>
  <c r="AT258" i="1"/>
  <c r="AP7" i="1"/>
  <c r="AN34" i="1"/>
  <c r="AQ32" i="1"/>
  <c r="AR35" i="1"/>
  <c r="AP32" i="1"/>
  <c r="AS35" i="1"/>
  <c r="AN32" i="1"/>
  <c r="AO33" i="1"/>
  <c r="AN33" i="1"/>
  <c r="AQ35" i="1"/>
  <c r="AO34" i="1"/>
  <c r="AN35" i="1"/>
  <c r="AO35" i="1"/>
  <c r="AT35" i="1"/>
  <c r="AL183" i="1"/>
  <c r="AT183" i="1" s="1"/>
  <c r="AO23" i="1"/>
  <c r="AT24" i="1"/>
  <c r="AQ31" i="1"/>
  <c r="AP13" i="1"/>
  <c r="AO31" i="1"/>
  <c r="AP20" i="1"/>
  <c r="AR14" i="1"/>
  <c r="AP19" i="1"/>
  <c r="AS14" i="1"/>
  <c r="AP12" i="1"/>
  <c r="AN23" i="1"/>
  <c r="AT14" i="1"/>
  <c r="Y160" i="1"/>
  <c r="AO25" i="1"/>
  <c r="AQ13" i="1"/>
  <c r="AO19" i="1"/>
  <c r="U226" i="1"/>
  <c r="U243" i="1" s="1"/>
  <c r="U106" i="1" s="1"/>
  <c r="AQ24" i="1"/>
  <c r="AP31" i="1"/>
  <c r="AN24" i="1"/>
  <c r="AN14" i="1"/>
  <c r="AP24" i="1"/>
  <c r="AO14" i="1"/>
  <c r="AN22" i="1"/>
  <c r="AO11" i="1"/>
  <c r="AO199" i="1" s="1"/>
  <c r="AN12" i="1"/>
  <c r="AN31" i="1"/>
  <c r="AN25" i="1"/>
  <c r="AQ7" i="1"/>
  <c r="AS13" i="1"/>
  <c r="AN19" i="1"/>
  <c r="AO7" i="1"/>
  <c r="AO22" i="1"/>
  <c r="AQ12" i="1"/>
  <c r="AO20" i="1"/>
  <c r="AO12" i="1"/>
  <c r="AO13" i="1"/>
  <c r="AQ14" i="1"/>
  <c r="AN20" i="1"/>
  <c r="AP22" i="1"/>
  <c r="AN7" i="1"/>
  <c r="AS12" i="1"/>
  <c r="AT31" i="1"/>
  <c r="AR24" i="1"/>
  <c r="AN11" i="1"/>
  <c r="AN199" i="1" s="1"/>
  <c r="AQ25" i="1"/>
  <c r="AP14" i="1"/>
  <c r="AP25" i="1"/>
  <c r="AN13" i="1"/>
  <c r="AN21" i="1"/>
  <c r="AS24" i="1"/>
  <c r="AT12" i="1"/>
  <c r="AO21" i="1"/>
  <c r="AQ20" i="1"/>
  <c r="AT13" i="1"/>
  <c r="AS31" i="1"/>
  <c r="AP21" i="1"/>
  <c r="AO24" i="1"/>
  <c r="AR13" i="1"/>
  <c r="AR31" i="1"/>
  <c r="AR12" i="1"/>
  <c r="AB278" i="1"/>
  <c r="AB172" i="1" s="1"/>
  <c r="AB279" i="1"/>
  <c r="AB154" i="1" s="1"/>
  <c r="H260" i="1"/>
  <c r="C260" i="1"/>
  <c r="Z259" i="1"/>
  <c r="AA259" i="1"/>
  <c r="AB259" i="1"/>
  <c r="AC259" i="1"/>
  <c r="AD259" i="1"/>
  <c r="AE259" i="1"/>
  <c r="AF259" i="1"/>
  <c r="AG259" i="1"/>
  <c r="AH259" i="1"/>
  <c r="AI259" i="1"/>
  <c r="AJ259" i="1"/>
  <c r="AK259" i="1"/>
  <c r="AL259" i="1"/>
  <c r="AD165" i="1"/>
  <c r="AC217" i="1"/>
  <c r="AD208" i="1"/>
  <c r="AR208" i="1" s="1"/>
  <c r="AA201" i="1"/>
  <c r="AA101" i="1" s="1"/>
  <c r="AA205" i="1"/>
  <c r="AA119" i="1" s="1"/>
  <c r="AA412" i="1" s="1"/>
  <c r="AA203" i="1"/>
  <c r="AA103" i="1" s="1"/>
  <c r="C79" i="2" s="1"/>
  <c r="J79" i="2" s="1"/>
  <c r="AA204" i="1"/>
  <c r="AA102" i="1" s="1"/>
  <c r="AA240" i="1"/>
  <c r="AA173" i="1"/>
  <c r="AA241" i="1"/>
  <c r="AB8" i="1"/>
  <c r="AB198" i="1"/>
  <c r="R85" i="1"/>
  <c r="Y27" i="28" l="1"/>
  <c r="Y23" i="28"/>
  <c r="Y25" i="28"/>
  <c r="Z22" i="28"/>
  <c r="Y36" i="28"/>
  <c r="X20" i="28"/>
  <c r="X18" i="28"/>
  <c r="Y17" i="28"/>
  <c r="Z16" i="28"/>
  <c r="Y19" i="28"/>
  <c r="Y11" i="28"/>
  <c r="Z10" i="28"/>
  <c r="Y13" i="28"/>
  <c r="X26" i="28"/>
  <c r="X24" i="28"/>
  <c r="X14" i="28"/>
  <c r="X12" i="28"/>
  <c r="AS62" i="1"/>
  <c r="AQ122" i="1"/>
  <c r="C97" i="2"/>
  <c r="J97" i="2" s="1"/>
  <c r="C78" i="2"/>
  <c r="J78" i="2" s="1"/>
  <c r="AP82" i="1"/>
  <c r="AO82" i="1"/>
  <c r="AQ82" i="1"/>
  <c r="AN82" i="1"/>
  <c r="AA294" i="1"/>
  <c r="AA111" i="1" s="1"/>
  <c r="X65" i="11"/>
  <c r="X66" i="11"/>
  <c r="Z111" i="1"/>
  <c r="AA168" i="1"/>
  <c r="Z343" i="1"/>
  <c r="AQ343" i="1" s="1"/>
  <c r="Y56" i="11"/>
  <c r="Y66" i="11" s="1"/>
  <c r="Y57" i="11"/>
  <c r="AB420" i="1"/>
  <c r="Y54" i="11"/>
  <c r="AC32" i="1"/>
  <c r="AC81" i="1" s="1"/>
  <c r="AC82" i="1" s="1"/>
  <c r="AB342" i="1"/>
  <c r="AB343" i="1" s="1"/>
  <c r="AA410" i="1"/>
  <c r="AQ101" i="1"/>
  <c r="Z410" i="1"/>
  <c r="AQ410" i="1" s="1"/>
  <c r="AO62" i="1"/>
  <c r="AO65" i="1" s="1"/>
  <c r="Z167" i="1"/>
  <c r="AA167" i="1"/>
  <c r="AN62" i="1"/>
  <c r="AN65" i="1" s="1"/>
  <c r="AR62" i="1"/>
  <c r="Y70" i="11"/>
  <c r="Y72" i="11"/>
  <c r="Z50" i="11"/>
  <c r="Z71" i="11" s="1"/>
  <c r="C7" i="7"/>
  <c r="D7" i="7"/>
  <c r="X69" i="11"/>
  <c r="X67" i="11"/>
  <c r="X68" i="11"/>
  <c r="AB285" i="1"/>
  <c r="AB286" i="1" s="1"/>
  <c r="Y58" i="11"/>
  <c r="Z126" i="1"/>
  <c r="AQ291" i="1"/>
  <c r="AQ62" i="1"/>
  <c r="AR73" i="1"/>
  <c r="AQ73" i="1"/>
  <c r="AT62" i="1"/>
  <c r="AN73" i="1"/>
  <c r="AS73" i="1"/>
  <c r="AT73" i="1"/>
  <c r="Z164" i="1"/>
  <c r="AQ119" i="1"/>
  <c r="AP73" i="1"/>
  <c r="AA291" i="1"/>
  <c r="AA126" i="1" s="1"/>
  <c r="AO73" i="1"/>
  <c r="AB112" i="1"/>
  <c r="AB168" i="1" s="1"/>
  <c r="AB300" i="1"/>
  <c r="AB122" i="1" s="1"/>
  <c r="AB167" i="1" s="1"/>
  <c r="AP457" i="1"/>
  <c r="E7" i="7"/>
  <c r="AQ457" i="1"/>
  <c r="F7" i="7"/>
  <c r="AC457" i="1"/>
  <c r="M7" i="6"/>
  <c r="M8" i="6" s="1"/>
  <c r="AA342" i="1"/>
  <c r="AA343" i="1" s="1"/>
  <c r="AN198" i="1"/>
  <c r="AA277" i="1"/>
  <c r="AA280" i="1" s="1"/>
  <c r="AA109" i="1" s="1"/>
  <c r="Z160" i="1"/>
  <c r="AC9" i="1"/>
  <c r="Z162" i="1"/>
  <c r="Z161" i="1"/>
  <c r="AT237" i="1"/>
  <c r="AT273" i="1" s="1"/>
  <c r="AS237" i="1"/>
  <c r="AS273" i="1" s="1"/>
  <c r="Y242" i="1"/>
  <c r="Y153" i="1" s="1"/>
  <c r="AN36" i="1"/>
  <c r="AP237" i="1"/>
  <c r="AP273" i="1" s="1"/>
  <c r="AP8" i="1"/>
  <c r="AO198" i="1"/>
  <c r="AQ198" i="1"/>
  <c r="AQ239" i="1"/>
  <c r="AR237" i="1"/>
  <c r="AR273" i="1" s="1"/>
  <c r="AP198" i="1"/>
  <c r="AP239" i="1"/>
  <c r="AQ237" i="1"/>
  <c r="AQ273" i="1" s="1"/>
  <c r="AS259" i="1"/>
  <c r="AT259" i="1"/>
  <c r="Z272" i="1"/>
  <c r="Z274" i="1" s="1"/>
  <c r="Z22" i="1" s="1"/>
  <c r="Z53" i="1" s="1"/>
  <c r="Z54" i="1" s="1"/>
  <c r="AQ259" i="1"/>
  <c r="AR259" i="1"/>
  <c r="AA164" i="1"/>
  <c r="C95" i="2"/>
  <c r="J95" i="2" s="1"/>
  <c r="C77" i="2"/>
  <c r="J77" i="2" s="1"/>
  <c r="AO36" i="1"/>
  <c r="AN26" i="1"/>
  <c r="AO26" i="1"/>
  <c r="AQ8" i="1"/>
  <c r="AN15" i="1"/>
  <c r="V226" i="1"/>
  <c r="V243" i="1" s="1"/>
  <c r="V106" i="1" s="1"/>
  <c r="AP106" i="1" s="1"/>
  <c r="AO8" i="1"/>
  <c r="AA162" i="1"/>
  <c r="AA161" i="1"/>
  <c r="AA160" i="1"/>
  <c r="AC278" i="1"/>
  <c r="AC172" i="1" s="1"/>
  <c r="AC279" i="1"/>
  <c r="AC154" i="1" s="1"/>
  <c r="H261" i="1"/>
  <c r="C261" i="1"/>
  <c r="AA260" i="1"/>
  <c r="AB260" i="1"/>
  <c r="AC260" i="1"/>
  <c r="AD260" i="1"/>
  <c r="AE260" i="1"/>
  <c r="AF260" i="1"/>
  <c r="AG260" i="1"/>
  <c r="AH260" i="1"/>
  <c r="AI260" i="1"/>
  <c r="AJ260" i="1"/>
  <c r="AK260" i="1"/>
  <c r="AL260" i="1"/>
  <c r="AQ260" i="1" s="1"/>
  <c r="AD217" i="1"/>
  <c r="AR217" i="1" s="1"/>
  <c r="AE208" i="1"/>
  <c r="AE165" i="1"/>
  <c r="AC198" i="1"/>
  <c r="AC8" i="1"/>
  <c r="AB241" i="1"/>
  <c r="AB173" i="1"/>
  <c r="AB240" i="1"/>
  <c r="AB203" i="1"/>
  <c r="AB103" i="1" s="1"/>
  <c r="AB201" i="1"/>
  <c r="AB101" i="1" s="1"/>
  <c r="AB205" i="1"/>
  <c r="AB119" i="1" s="1"/>
  <c r="AB204" i="1"/>
  <c r="AB102" i="1" s="1"/>
  <c r="Z11" i="28" l="1"/>
  <c r="Z13" i="28"/>
  <c r="AA10" i="28"/>
  <c r="Z27" i="28"/>
  <c r="Z25" i="28"/>
  <c r="Z23" i="28"/>
  <c r="AA22" i="28"/>
  <c r="Z36" i="28"/>
  <c r="Y14" i="28"/>
  <c r="Y12" i="28"/>
  <c r="Y26" i="28"/>
  <c r="Y24" i="28"/>
  <c r="Y20" i="28"/>
  <c r="Y18" i="28"/>
  <c r="Z17" i="28"/>
  <c r="AA16" i="28"/>
  <c r="Z19" i="28"/>
  <c r="Z155" i="1"/>
  <c r="AQ155" i="1" s="1"/>
  <c r="C101" i="2"/>
  <c r="J101" i="2" s="1"/>
  <c r="AQ111" i="1"/>
  <c r="C87" i="2"/>
  <c r="J87" i="2" s="1"/>
  <c r="AO84" i="1"/>
  <c r="D16" i="7" s="1"/>
  <c r="D17" i="7" s="1"/>
  <c r="AN84" i="1"/>
  <c r="AB294" i="1"/>
  <c r="AB111" i="1" s="1"/>
  <c r="Z156" i="1"/>
  <c r="Y64" i="11"/>
  <c r="Y65" i="11"/>
  <c r="AB164" i="1"/>
  <c r="AB412" i="1"/>
  <c r="AC342" i="1"/>
  <c r="AC343" i="1" s="1"/>
  <c r="AB410" i="1"/>
  <c r="AC420" i="1"/>
  <c r="Z57" i="11"/>
  <c r="Z54" i="11"/>
  <c r="AD32" i="1"/>
  <c r="Z56" i="11"/>
  <c r="Z66" i="11" s="1"/>
  <c r="E8" i="7"/>
  <c r="AQ126" i="1"/>
  <c r="Z72" i="11"/>
  <c r="Z70" i="11"/>
  <c r="D8" i="7"/>
  <c r="AA50" i="11"/>
  <c r="AA72" i="11" s="1"/>
  <c r="I22" i="17"/>
  <c r="AO15" i="1"/>
  <c r="AO16" i="1" s="1"/>
  <c r="Y69" i="11"/>
  <c r="Y67" i="11"/>
  <c r="Y68" i="11"/>
  <c r="C10" i="7"/>
  <c r="C11" i="7" s="1"/>
  <c r="AC285" i="1"/>
  <c r="AC286" i="1" s="1"/>
  <c r="Z58" i="11"/>
  <c r="AA155" i="1"/>
  <c r="AB291" i="1"/>
  <c r="AB126" i="1" s="1"/>
  <c r="AB155" i="1" s="1"/>
  <c r="AC112" i="1"/>
  <c r="AC168" i="1" s="1"/>
  <c r="AC300" i="1"/>
  <c r="AC122" i="1" s="1"/>
  <c r="AC167" i="1" s="1"/>
  <c r="AA156" i="1"/>
  <c r="F8" i="7"/>
  <c r="AD457" i="1"/>
  <c r="N7" i="6"/>
  <c r="N8" i="6" s="1"/>
  <c r="AD9" i="1"/>
  <c r="AB277" i="1"/>
  <c r="AB280" i="1" s="1"/>
  <c r="AB109" i="1" s="1"/>
  <c r="AS260" i="1"/>
  <c r="Z242" i="1"/>
  <c r="Z153" i="1" s="1"/>
  <c r="AT260" i="1"/>
  <c r="AA272" i="1"/>
  <c r="AA274" i="1" s="1"/>
  <c r="AA242" i="1" s="1"/>
  <c r="AA153" i="1" s="1"/>
  <c r="AR260" i="1"/>
  <c r="AN16" i="1"/>
  <c r="AN28" i="1"/>
  <c r="W226" i="1"/>
  <c r="W243" i="1" s="1"/>
  <c r="W106" i="1" s="1"/>
  <c r="AB162" i="1"/>
  <c r="AB160" i="1"/>
  <c r="AB161" i="1"/>
  <c r="AD278" i="1"/>
  <c r="AD279" i="1"/>
  <c r="AD154" i="1" s="1"/>
  <c r="H262" i="1"/>
  <c r="C262" i="1"/>
  <c r="AB261" i="1"/>
  <c r="AC261" i="1"/>
  <c r="AD261" i="1"/>
  <c r="AE261" i="1"/>
  <c r="AF261" i="1"/>
  <c r="AG261" i="1"/>
  <c r="AH261" i="1"/>
  <c r="AI261" i="1"/>
  <c r="AJ261" i="1"/>
  <c r="AL261" i="1"/>
  <c r="AP261" i="1" s="1"/>
  <c r="AK261" i="1"/>
  <c r="AF165" i="1"/>
  <c r="AF208" i="1"/>
  <c r="AE217" i="1"/>
  <c r="AC205" i="1"/>
  <c r="AC119" i="1" s="1"/>
  <c r="AC203" i="1"/>
  <c r="AC103" i="1" s="1"/>
  <c r="AC204" i="1"/>
  <c r="AC102" i="1" s="1"/>
  <c r="AC161" i="1" s="1"/>
  <c r="AC201" i="1"/>
  <c r="AC101" i="1" s="1"/>
  <c r="AD198" i="1"/>
  <c r="AD8" i="1"/>
  <c r="AC240" i="1"/>
  <c r="AC173" i="1"/>
  <c r="AC241" i="1"/>
  <c r="AB16" i="28" l="1"/>
  <c r="AA17" i="28"/>
  <c r="AA19" i="28"/>
  <c r="Z20" i="28"/>
  <c r="Z18" i="28"/>
  <c r="AA25" i="28"/>
  <c r="AA23" i="28"/>
  <c r="AB22" i="28"/>
  <c r="AA27" i="28"/>
  <c r="AA36" i="28"/>
  <c r="Z26" i="28"/>
  <c r="Z24" i="28"/>
  <c r="AB10" i="28"/>
  <c r="AA13" i="28"/>
  <c r="AA11" i="28"/>
  <c r="Z14" i="28"/>
  <c r="Z12" i="28"/>
  <c r="AR25" i="1"/>
  <c r="AD81" i="1"/>
  <c r="AD82" i="1" s="1"/>
  <c r="AO85" i="1"/>
  <c r="AR32" i="1"/>
  <c r="C16" i="7"/>
  <c r="C17" i="7" s="1"/>
  <c r="AN85" i="1"/>
  <c r="AC294" i="1"/>
  <c r="AC111" i="1" s="1"/>
  <c r="Z65" i="11"/>
  <c r="Z64" i="11"/>
  <c r="S445" i="1"/>
  <c r="S419" i="1"/>
  <c r="S423" i="1" s="1"/>
  <c r="S460" i="1"/>
  <c r="T463" i="1"/>
  <c r="T460" i="1"/>
  <c r="AA56" i="11"/>
  <c r="AA64" i="11" s="1"/>
  <c r="AD420" i="1"/>
  <c r="AR420" i="1" s="1"/>
  <c r="AA54" i="11"/>
  <c r="AE32" i="1"/>
  <c r="AE81" i="1" s="1"/>
  <c r="AE82" i="1" s="1"/>
  <c r="AA57" i="11"/>
  <c r="AD342" i="1"/>
  <c r="AD343" i="1" s="1"/>
  <c r="AC410" i="1"/>
  <c r="AC164" i="1"/>
  <c r="AC412" i="1"/>
  <c r="AR279" i="1"/>
  <c r="AC277" i="1"/>
  <c r="AC280" i="1" s="1"/>
  <c r="AC109" i="1" s="1"/>
  <c r="AA70" i="11"/>
  <c r="AO28" i="1"/>
  <c r="AO38" i="1" s="1"/>
  <c r="AO41" i="1" s="1"/>
  <c r="AA71" i="11"/>
  <c r="AB50" i="11"/>
  <c r="AB72" i="11" s="1"/>
  <c r="U463" i="1"/>
  <c r="Z67" i="11"/>
  <c r="Z69" i="11"/>
  <c r="Z68" i="11"/>
  <c r="AD285" i="1"/>
  <c r="AD286" i="1" s="1"/>
  <c r="AA58" i="11"/>
  <c r="D10" i="7"/>
  <c r="D11" i="7" s="1"/>
  <c r="AC291" i="1"/>
  <c r="AC126" i="1" s="1"/>
  <c r="AC155" i="1" s="1"/>
  <c r="AD112" i="1"/>
  <c r="AR112" i="1" s="1"/>
  <c r="AD300" i="1"/>
  <c r="AB156" i="1"/>
  <c r="AN38" i="1"/>
  <c r="AN41" i="1" s="1"/>
  <c r="C13" i="7"/>
  <c r="C14" i="7" s="1"/>
  <c r="AE457" i="1"/>
  <c r="O7" i="6"/>
  <c r="O8" i="6" s="1"/>
  <c r="AE9" i="1"/>
  <c r="AA22" i="1"/>
  <c r="AA53" i="1" s="1"/>
  <c r="AA54" i="1" s="1"/>
  <c r="AD172" i="1"/>
  <c r="AR278" i="1"/>
  <c r="AS261" i="1"/>
  <c r="AB272" i="1"/>
  <c r="AB274" i="1" s="1"/>
  <c r="AB242" i="1" s="1"/>
  <c r="AB153" i="1" s="1"/>
  <c r="AR261" i="1"/>
  <c r="AT261" i="1"/>
  <c r="X226" i="1"/>
  <c r="X243" i="1" s="1"/>
  <c r="X106" i="1" s="1"/>
  <c r="AC162" i="1"/>
  <c r="AC160" i="1"/>
  <c r="AE279" i="1"/>
  <c r="AE154" i="1" s="1"/>
  <c r="AE278" i="1"/>
  <c r="AE172" i="1" s="1"/>
  <c r="H263" i="1"/>
  <c r="C263" i="1"/>
  <c r="AC262" i="1"/>
  <c r="AD262" i="1"/>
  <c r="AE262" i="1"/>
  <c r="AF262" i="1"/>
  <c r="AG262" i="1"/>
  <c r="AH262" i="1"/>
  <c r="AI262" i="1"/>
  <c r="AJ262" i="1"/>
  <c r="AL262" i="1"/>
  <c r="AQ262" i="1" s="1"/>
  <c r="AK262" i="1"/>
  <c r="AG208" i="1"/>
  <c r="AF217" i="1"/>
  <c r="AG165" i="1"/>
  <c r="AD205" i="1"/>
  <c r="AR205" i="1" s="1"/>
  <c r="AD201" i="1"/>
  <c r="AD204" i="1"/>
  <c r="AR204" i="1" s="1"/>
  <c r="AD203" i="1"/>
  <c r="AR203" i="1" s="1"/>
  <c r="AD173" i="1"/>
  <c r="AD240" i="1"/>
  <c r="AD241" i="1"/>
  <c r="AE8" i="1"/>
  <c r="AE198" i="1"/>
  <c r="S217" i="1"/>
  <c r="T167" i="1"/>
  <c r="AB27" i="28" l="1"/>
  <c r="AB23" i="28"/>
  <c r="AB25" i="28"/>
  <c r="AC22" i="28"/>
  <c r="AB36" i="28"/>
  <c r="AA14" i="28"/>
  <c r="AA12" i="28"/>
  <c r="AA26" i="28"/>
  <c r="AA24" i="28"/>
  <c r="AB11" i="28"/>
  <c r="AC10" i="28"/>
  <c r="AB13" i="28"/>
  <c r="AA20" i="28"/>
  <c r="AA18" i="28"/>
  <c r="AB19" i="28"/>
  <c r="AB17" i="28"/>
  <c r="AC16" i="28"/>
  <c r="AR81" i="1"/>
  <c r="AR82" i="1" s="1"/>
  <c r="AD294" i="1"/>
  <c r="AR294" i="1" s="1"/>
  <c r="AR342" i="1"/>
  <c r="AA65" i="11"/>
  <c r="AA66" i="11"/>
  <c r="S448" i="1"/>
  <c r="S452" i="1"/>
  <c r="AB56" i="11"/>
  <c r="AB65" i="11" s="1"/>
  <c r="AB54" i="11"/>
  <c r="AF32" i="1"/>
  <c r="AF81" i="1" s="1"/>
  <c r="AF82" i="1" s="1"/>
  <c r="AB57" i="11"/>
  <c r="AE420" i="1"/>
  <c r="AD277" i="1"/>
  <c r="AD280" i="1" s="1"/>
  <c r="AD109" i="1" s="1"/>
  <c r="D13" i="7"/>
  <c r="D14" i="7" s="1"/>
  <c r="AB70" i="11"/>
  <c r="AB71" i="11"/>
  <c r="AR285" i="1"/>
  <c r="AC50" i="11"/>
  <c r="AC72" i="11" s="1"/>
  <c r="AA69" i="11"/>
  <c r="AA67" i="11"/>
  <c r="AA68" i="11"/>
  <c r="AE285" i="1"/>
  <c r="AE286" i="1" s="1"/>
  <c r="AB58" i="11"/>
  <c r="AD168" i="1"/>
  <c r="AD122" i="1"/>
  <c r="AR122" i="1" s="1"/>
  <c r="AR300" i="1"/>
  <c r="AD291" i="1"/>
  <c r="AR286" i="1"/>
  <c r="AE112" i="1"/>
  <c r="AE168" i="1" s="1"/>
  <c r="AE300" i="1"/>
  <c r="AE122" i="1" s="1"/>
  <c r="AC156" i="1"/>
  <c r="AF457" i="1"/>
  <c r="P7" i="6"/>
  <c r="P8" i="6" s="1"/>
  <c r="AR343" i="1"/>
  <c r="AB22" i="1"/>
  <c r="AB53" i="1" s="1"/>
  <c r="AB54" i="1" s="1"/>
  <c r="AF9" i="1"/>
  <c r="AT262" i="1"/>
  <c r="AD101" i="1"/>
  <c r="AR201" i="1"/>
  <c r="AD119" i="1"/>
  <c r="AD412" i="1" s="1"/>
  <c r="AR412" i="1" s="1"/>
  <c r="AD103" i="1"/>
  <c r="AR103" i="1" s="1"/>
  <c r="AD102" i="1"/>
  <c r="AR102" i="1" s="1"/>
  <c r="AS262" i="1"/>
  <c r="AC272" i="1"/>
  <c r="AC274" i="1" s="1"/>
  <c r="AC22" i="1" s="1"/>
  <c r="AC53" i="1" s="1"/>
  <c r="AC54" i="1" s="1"/>
  <c r="AR262" i="1"/>
  <c r="Y226" i="1"/>
  <c r="Y243" i="1" s="1"/>
  <c r="Y106" i="1" s="1"/>
  <c r="AF278" i="1"/>
  <c r="AF172" i="1" s="1"/>
  <c r="AF279" i="1"/>
  <c r="AF154" i="1" s="1"/>
  <c r="C264" i="1"/>
  <c r="H264" i="1"/>
  <c r="AD263" i="1"/>
  <c r="AD272" i="1" s="1"/>
  <c r="AD274" i="1" s="1"/>
  <c r="AE263" i="1"/>
  <c r="AF263" i="1"/>
  <c r="AG263" i="1"/>
  <c r="AH263" i="1"/>
  <c r="AI263" i="1"/>
  <c r="AJ263" i="1"/>
  <c r="AL263" i="1"/>
  <c r="AK263" i="1"/>
  <c r="AH165" i="1"/>
  <c r="AG217" i="1"/>
  <c r="AH208" i="1"/>
  <c r="AS208" i="1" s="1"/>
  <c r="AE241" i="1"/>
  <c r="AE240" i="1"/>
  <c r="AE173" i="1"/>
  <c r="AF198" i="1"/>
  <c r="AF8" i="1"/>
  <c r="AE201" i="1"/>
  <c r="AE101" i="1" s="1"/>
  <c r="AE205" i="1"/>
  <c r="AE119" i="1" s="1"/>
  <c r="AE412" i="1" s="1"/>
  <c r="AE203" i="1"/>
  <c r="AE103" i="1" s="1"/>
  <c r="AE204" i="1"/>
  <c r="AE102" i="1" s="1"/>
  <c r="S167" i="1"/>
  <c r="AP167" i="1" s="1"/>
  <c r="AB20" i="28" l="1"/>
  <c r="AB18" i="28"/>
  <c r="AD22" i="28"/>
  <c r="AC27" i="28"/>
  <c r="AC23" i="28"/>
  <c r="AC25" i="28"/>
  <c r="AC36" i="28"/>
  <c r="AC13" i="28"/>
  <c r="AC11" i="28"/>
  <c r="AD10" i="28"/>
  <c r="AB14" i="28"/>
  <c r="AB12" i="28"/>
  <c r="AB26" i="28"/>
  <c r="AB24" i="28"/>
  <c r="AC19" i="28"/>
  <c r="AC17" i="28"/>
  <c r="AD16" i="28"/>
  <c r="AR277" i="1"/>
  <c r="AR280" i="1" s="1"/>
  <c r="AD111" i="1"/>
  <c r="AR111" i="1" s="1"/>
  <c r="AE294" i="1"/>
  <c r="AE111" i="1" s="1"/>
  <c r="AB64" i="11"/>
  <c r="AB66" i="11"/>
  <c r="S453" i="1"/>
  <c r="C45" i="6"/>
  <c r="S449" i="1"/>
  <c r="C42" i="6"/>
  <c r="AF342" i="1"/>
  <c r="AF343" i="1" s="1"/>
  <c r="AE410" i="1"/>
  <c r="AC56" i="11"/>
  <c r="AC64" i="11" s="1"/>
  <c r="AC54" i="11"/>
  <c r="AF420" i="1"/>
  <c r="AC57" i="11"/>
  <c r="AG32" i="1"/>
  <c r="AG81" i="1" s="1"/>
  <c r="AG82" i="1" s="1"/>
  <c r="AR101" i="1"/>
  <c r="AD410" i="1"/>
  <c r="AR410" i="1" s="1"/>
  <c r="AE277" i="1"/>
  <c r="AE280" i="1" s="1"/>
  <c r="AE109" i="1" s="1"/>
  <c r="AC70" i="11"/>
  <c r="AC71" i="11"/>
  <c r="AB69" i="11"/>
  <c r="AB68" i="11"/>
  <c r="AB67" i="11"/>
  <c r="AG457" i="1"/>
  <c r="AD50" i="11"/>
  <c r="AF285" i="1"/>
  <c r="AF286" i="1" s="1"/>
  <c r="AF294" i="1" s="1"/>
  <c r="AC58" i="11"/>
  <c r="AE167" i="1"/>
  <c r="AD167" i="1"/>
  <c r="AD126" i="1"/>
  <c r="AR126" i="1" s="1"/>
  <c r="AR291" i="1"/>
  <c r="AE291" i="1"/>
  <c r="AE126" i="1" s="1"/>
  <c r="AD164" i="1"/>
  <c r="AR119" i="1"/>
  <c r="AF112" i="1"/>
  <c r="AF168" i="1" s="1"/>
  <c r="AF300" i="1"/>
  <c r="AF122" i="1" s="1"/>
  <c r="AF167" i="1" s="1"/>
  <c r="Q7" i="6"/>
  <c r="Q8" i="6" s="1"/>
  <c r="AE342" i="1"/>
  <c r="AE343" i="1" s="1"/>
  <c r="AD160" i="1"/>
  <c r="AD161" i="1"/>
  <c r="AR161" i="1" s="1"/>
  <c r="AD162" i="1"/>
  <c r="AG9" i="1"/>
  <c r="AE164" i="1"/>
  <c r="AT263" i="1"/>
  <c r="AS263" i="1"/>
  <c r="AC242" i="1"/>
  <c r="AC153" i="1" s="1"/>
  <c r="AP263" i="1"/>
  <c r="AR263" i="1"/>
  <c r="Z226" i="1"/>
  <c r="Z243" i="1" s="1"/>
  <c r="Z106" i="1" s="1"/>
  <c r="AQ106" i="1" s="1"/>
  <c r="AE162" i="1"/>
  <c r="AE160" i="1"/>
  <c r="AE161" i="1"/>
  <c r="AD22" i="1"/>
  <c r="AD53" i="1" s="1"/>
  <c r="AD54" i="1" s="1"/>
  <c r="AD242" i="1"/>
  <c r="AG279" i="1"/>
  <c r="AG154" i="1" s="1"/>
  <c r="AG278" i="1"/>
  <c r="AG172" i="1" s="1"/>
  <c r="C265" i="1"/>
  <c r="H265" i="1"/>
  <c r="AE264" i="1"/>
  <c r="AF264" i="1"/>
  <c r="AG264" i="1"/>
  <c r="AH264" i="1"/>
  <c r="AI264" i="1"/>
  <c r="AJ264" i="1"/>
  <c r="AL264" i="1"/>
  <c r="AK264" i="1"/>
  <c r="AI208" i="1"/>
  <c r="AH217" i="1"/>
  <c r="AS217" i="1" s="1"/>
  <c r="AI165" i="1"/>
  <c r="AG8" i="1"/>
  <c r="AG198" i="1"/>
  <c r="AF173" i="1"/>
  <c r="AF241" i="1"/>
  <c r="AF240" i="1"/>
  <c r="AF204" i="1"/>
  <c r="AF102" i="1" s="1"/>
  <c r="AF161" i="1" s="1"/>
  <c r="AF203" i="1"/>
  <c r="AF103" i="1" s="1"/>
  <c r="AF205" i="1"/>
  <c r="AF119" i="1" s="1"/>
  <c r="AF201" i="1"/>
  <c r="AC20" i="28" l="1"/>
  <c r="AC18" i="28"/>
  <c r="AC26" i="28"/>
  <c r="AC24" i="28"/>
  <c r="AD25" i="28"/>
  <c r="AD23" i="28"/>
  <c r="AD27" i="28"/>
  <c r="AE22" i="28"/>
  <c r="AD36" i="28"/>
  <c r="AD13" i="28"/>
  <c r="AD11" i="28"/>
  <c r="AE10" i="28"/>
  <c r="AD19" i="28"/>
  <c r="AD17" i="28"/>
  <c r="AE16" i="28"/>
  <c r="AC14" i="28"/>
  <c r="AC12" i="28"/>
  <c r="C43" i="6"/>
  <c r="C46" i="6"/>
  <c r="AD156" i="1"/>
  <c r="AC66" i="11"/>
  <c r="AC65" i="11"/>
  <c r="AF277" i="1"/>
  <c r="AF280" i="1" s="1"/>
  <c r="AF109" i="1" s="1"/>
  <c r="AR464" i="1"/>
  <c r="AF164" i="1"/>
  <c r="AF412" i="1"/>
  <c r="AD54" i="11"/>
  <c r="AD56" i="11"/>
  <c r="AD66" i="11" s="1"/>
  <c r="AD57" i="11"/>
  <c r="AG420" i="1"/>
  <c r="J22" i="17"/>
  <c r="AH32" i="1"/>
  <c r="AH81" i="1" s="1"/>
  <c r="AH82" i="1" s="1"/>
  <c r="AE155" i="1"/>
  <c r="AC68" i="11"/>
  <c r="AC67" i="11"/>
  <c r="AC69" i="11"/>
  <c r="AD72" i="11"/>
  <c r="AD70" i="11"/>
  <c r="AD71" i="11"/>
  <c r="AG285" i="1"/>
  <c r="AG286" i="1" s="1"/>
  <c r="AG294" i="1" s="1"/>
  <c r="AD58" i="11"/>
  <c r="AH457" i="1"/>
  <c r="AE50" i="11"/>
  <c r="AD155" i="1"/>
  <c r="AR155" i="1" s="1"/>
  <c r="AF291" i="1"/>
  <c r="AF126" i="1" s="1"/>
  <c r="AF155" i="1" s="1"/>
  <c r="AG112" i="1"/>
  <c r="AG168" i="1" s="1"/>
  <c r="AG300" i="1"/>
  <c r="AG122" i="1" s="1"/>
  <c r="AG167" i="1" s="1"/>
  <c r="AF111" i="1"/>
  <c r="AE156" i="1"/>
  <c r="C29" i="7"/>
  <c r="R7" i="6"/>
  <c r="R8" i="6" s="1"/>
  <c r="AH9" i="1"/>
  <c r="AT264" i="1"/>
  <c r="AP264" i="1"/>
  <c r="AP272" i="1" s="1"/>
  <c r="AP274" i="1" s="1"/>
  <c r="AP242" i="1" s="1"/>
  <c r="AQ264" i="1"/>
  <c r="AR264" i="1"/>
  <c r="AE272" i="1"/>
  <c r="AE274" i="1" s="1"/>
  <c r="AE22" i="1" s="1"/>
  <c r="AE53" i="1" s="1"/>
  <c r="AE54" i="1" s="1"/>
  <c r="AS264" i="1"/>
  <c r="K40" i="2"/>
  <c r="AA226" i="1"/>
  <c r="AA243" i="1" s="1"/>
  <c r="AA106" i="1" s="1"/>
  <c r="C82" i="2" s="1"/>
  <c r="J82" i="2" s="1"/>
  <c r="AD153" i="1"/>
  <c r="AF101" i="1"/>
  <c r="AF162" i="1"/>
  <c r="AH8" i="1"/>
  <c r="AH198" i="1"/>
  <c r="AH300" i="1" s="1"/>
  <c r="AH278" i="1"/>
  <c r="AH279" i="1"/>
  <c r="AH154" i="1" s="1"/>
  <c r="C266" i="1"/>
  <c r="H266" i="1"/>
  <c r="AF265" i="1"/>
  <c r="AG265" i="1"/>
  <c r="AH265" i="1"/>
  <c r="AI265" i="1"/>
  <c r="AJ265" i="1"/>
  <c r="AK265" i="1"/>
  <c r="AL265" i="1"/>
  <c r="AJ165" i="1"/>
  <c r="AJ208" i="1"/>
  <c r="AI217" i="1"/>
  <c r="AG173" i="1"/>
  <c r="AG241" i="1"/>
  <c r="AG240" i="1"/>
  <c r="AG204" i="1"/>
  <c r="AG102" i="1" s="1"/>
  <c r="AG205" i="1"/>
  <c r="AG119" i="1" s="1"/>
  <c r="AG203" i="1"/>
  <c r="AG103" i="1" s="1"/>
  <c r="AG201" i="1"/>
  <c r="AG101" i="1" s="1"/>
  <c r="AE25" i="28" l="1"/>
  <c r="AE23" i="28"/>
  <c r="AE27" i="28"/>
  <c r="AE36" i="28"/>
  <c r="AE19" i="28"/>
  <c r="AE17" i="28"/>
  <c r="AD20" i="28"/>
  <c r="AD18" i="28"/>
  <c r="AD26" i="28"/>
  <c r="AD24" i="28"/>
  <c r="AE13" i="28"/>
  <c r="AE11" i="28"/>
  <c r="AD14" i="28"/>
  <c r="AD12" i="28"/>
  <c r="O35" i="2"/>
  <c r="O34" i="2"/>
  <c r="O36" i="2"/>
  <c r="AS32" i="1"/>
  <c r="AG277" i="1"/>
  <c r="AG280" i="1" s="1"/>
  <c r="AG109" i="1" s="1"/>
  <c r="AD65" i="11"/>
  <c r="AD64" i="11"/>
  <c r="AH342" i="1"/>
  <c r="AH343" i="1" s="1"/>
  <c r="AS343" i="1" s="1"/>
  <c r="AG410" i="1"/>
  <c r="AG164" i="1"/>
  <c r="AG412" i="1"/>
  <c r="AE56" i="11"/>
  <c r="AE66" i="11" s="1"/>
  <c r="AH420" i="1"/>
  <c r="AS420" i="1" s="1"/>
  <c r="AE54" i="11"/>
  <c r="AG342" i="1"/>
  <c r="AG343" i="1" s="1"/>
  <c r="AF410" i="1"/>
  <c r="AI32" i="1"/>
  <c r="AI81" i="1" s="1"/>
  <c r="AI82" i="1" s="1"/>
  <c r="AS279" i="1"/>
  <c r="H267" i="1"/>
  <c r="AF50" i="11"/>
  <c r="AF70" i="11" s="1"/>
  <c r="AH285" i="1"/>
  <c r="AH286" i="1" s="1"/>
  <c r="AH294" i="1" s="1"/>
  <c r="AS294" i="1" s="1"/>
  <c r="AE58" i="11"/>
  <c r="AD68" i="11"/>
  <c r="AD67" i="11"/>
  <c r="AD69" i="11"/>
  <c r="AS20" i="1"/>
  <c r="AE57" i="11"/>
  <c r="AE71" i="11"/>
  <c r="AE70" i="11"/>
  <c r="AE72" i="11"/>
  <c r="AH122" i="1"/>
  <c r="AS122" i="1" s="1"/>
  <c r="AS300" i="1"/>
  <c r="AG291" i="1"/>
  <c r="AG126" i="1" s="1"/>
  <c r="AG155" i="1" s="1"/>
  <c r="AG111" i="1"/>
  <c r="AF156" i="1"/>
  <c r="AI457" i="1"/>
  <c r="S7" i="6"/>
  <c r="S8" i="6" s="1"/>
  <c r="C24" i="7"/>
  <c r="AI279" i="1"/>
  <c r="AI154" i="1" s="1"/>
  <c r="AI8" i="1"/>
  <c r="AI198" i="1"/>
  <c r="AI278" i="1"/>
  <c r="AI172" i="1" s="1"/>
  <c r="AE242" i="1"/>
  <c r="AE153" i="1" s="1"/>
  <c r="AI9" i="1"/>
  <c r="AT265" i="1"/>
  <c r="AH172" i="1"/>
  <c r="AS278" i="1"/>
  <c r="AF272" i="1"/>
  <c r="AF274" i="1" s="1"/>
  <c r="AF22" i="1" s="1"/>
  <c r="AF53" i="1" s="1"/>
  <c r="AF54" i="1" s="1"/>
  <c r="AS265" i="1"/>
  <c r="AQ265" i="1"/>
  <c r="AR265" i="1"/>
  <c r="AF160" i="1"/>
  <c r="AB226" i="1"/>
  <c r="AB243" i="1" s="1"/>
  <c r="AB106" i="1" s="1"/>
  <c r="AH112" i="1"/>
  <c r="AS112" i="1" s="1"/>
  <c r="AG162" i="1"/>
  <c r="AG161" i="1"/>
  <c r="AG160" i="1"/>
  <c r="C267" i="1"/>
  <c r="AH173" i="1"/>
  <c r="AH241" i="1"/>
  <c r="AH240" i="1"/>
  <c r="AH201" i="1"/>
  <c r="AH203" i="1"/>
  <c r="AS203" i="1" s="1"/>
  <c r="AH204" i="1"/>
  <c r="AS204" i="1" s="1"/>
  <c r="AH205" i="1"/>
  <c r="AS205" i="1" s="1"/>
  <c r="AG266" i="1"/>
  <c r="AH266" i="1"/>
  <c r="AI266" i="1"/>
  <c r="AJ266" i="1"/>
  <c r="AK266" i="1"/>
  <c r="AL266" i="1"/>
  <c r="AK165" i="1"/>
  <c r="AJ217" i="1"/>
  <c r="AK208" i="1"/>
  <c r="AE20" i="28" l="1"/>
  <c r="AE18" i="28"/>
  <c r="AE14" i="28"/>
  <c r="AE12" i="28"/>
  <c r="AE26" i="28"/>
  <c r="AE24" i="28"/>
  <c r="O37" i="2"/>
  <c r="O39" i="2" s="1"/>
  <c r="AS81" i="1"/>
  <c r="AS82" i="1" s="1"/>
  <c r="AH277" i="1"/>
  <c r="AS277" i="1" s="1"/>
  <c r="AS280" i="1" s="1"/>
  <c r="AS342" i="1"/>
  <c r="AE65" i="11"/>
  <c r="AE64" i="11"/>
  <c r="AF56" i="11"/>
  <c r="AF66" i="11" s="1"/>
  <c r="AF57" i="11"/>
  <c r="AF54" i="11"/>
  <c r="AI420" i="1"/>
  <c r="AJ32" i="1"/>
  <c r="AJ81" i="1" s="1"/>
  <c r="AJ82" i="1" s="1"/>
  <c r="AH267" i="1"/>
  <c r="AH272" i="1" s="1"/>
  <c r="AH274" i="1" s="1"/>
  <c r="AH167" i="1"/>
  <c r="AS285" i="1"/>
  <c r="AF72" i="11"/>
  <c r="AF71" i="11"/>
  <c r="C268" i="1"/>
  <c r="AJ457" i="1"/>
  <c r="AG50" i="11"/>
  <c r="AI285" i="1"/>
  <c r="AI286" i="1" s="1"/>
  <c r="AI294" i="1" s="1"/>
  <c r="AF58" i="11"/>
  <c r="AE68" i="11"/>
  <c r="AE69" i="11"/>
  <c r="AE67" i="11"/>
  <c r="AH291" i="1"/>
  <c r="AS286" i="1"/>
  <c r="AI112" i="1"/>
  <c r="AI168" i="1" s="1"/>
  <c r="AI300" i="1"/>
  <c r="AI122" i="1" s="1"/>
  <c r="AI167" i="1" s="1"/>
  <c r="AH111" i="1"/>
  <c r="AS111" i="1" s="1"/>
  <c r="AG156" i="1"/>
  <c r="AJ9" i="1"/>
  <c r="T7" i="6"/>
  <c r="T8" i="6" s="1"/>
  <c r="AJ8" i="1"/>
  <c r="AJ198" i="1"/>
  <c r="AJ279" i="1"/>
  <c r="AJ154" i="1" s="1"/>
  <c r="AJ278" i="1"/>
  <c r="AJ172" i="1" s="1"/>
  <c r="AI240" i="1"/>
  <c r="H268" i="1"/>
  <c r="AI173" i="1"/>
  <c r="AI241" i="1"/>
  <c r="AI204" i="1"/>
  <c r="AI102" i="1" s="1"/>
  <c r="AI203" i="1"/>
  <c r="AI103" i="1" s="1"/>
  <c r="AI205" i="1"/>
  <c r="AI119" i="1" s="1"/>
  <c r="AI412" i="1" s="1"/>
  <c r="AI201" i="1"/>
  <c r="AI101" i="1" s="1"/>
  <c r="AF242" i="1"/>
  <c r="AF153" i="1" s="1"/>
  <c r="AH119" i="1"/>
  <c r="AH412" i="1" s="1"/>
  <c r="AS412" i="1" s="1"/>
  <c r="AH102" i="1"/>
  <c r="AS102" i="1" s="1"/>
  <c r="AH103" i="1"/>
  <c r="AS103" i="1" s="1"/>
  <c r="AH101" i="1"/>
  <c r="AS201" i="1"/>
  <c r="AT266" i="1"/>
  <c r="AQ266" i="1"/>
  <c r="AR266" i="1"/>
  <c r="AR272" i="1" s="1"/>
  <c r="AR274" i="1" s="1"/>
  <c r="AR242" i="1" s="1"/>
  <c r="AG272" i="1"/>
  <c r="AG274" i="1" s="1"/>
  <c r="AG242" i="1" s="1"/>
  <c r="AS266" i="1"/>
  <c r="AC226" i="1"/>
  <c r="AC243" i="1" s="1"/>
  <c r="AC106" i="1" s="1"/>
  <c r="AH168" i="1"/>
  <c r="AK267" i="1"/>
  <c r="AL267" i="1"/>
  <c r="AI267" i="1"/>
  <c r="AJ267" i="1"/>
  <c r="AK217" i="1"/>
  <c r="AL208" i="1"/>
  <c r="AL165" i="1"/>
  <c r="K46" i="2" l="1"/>
  <c r="H76" i="2" s="1"/>
  <c r="N39" i="2"/>
  <c r="AH280" i="1"/>
  <c r="AH109" i="1" s="1"/>
  <c r="AF64" i="11"/>
  <c r="AF65" i="11"/>
  <c r="AH410" i="1"/>
  <c r="AS410" i="1" s="1"/>
  <c r="AJ342" i="1"/>
  <c r="AJ343" i="1" s="1"/>
  <c r="AI410" i="1"/>
  <c r="AG57" i="11"/>
  <c r="AK32" i="1"/>
  <c r="AK81" i="1" s="1"/>
  <c r="AK82" i="1" s="1"/>
  <c r="AG56" i="11"/>
  <c r="AG64" i="11" s="1"/>
  <c r="AG54" i="11"/>
  <c r="AJ420" i="1"/>
  <c r="AJ268" i="1"/>
  <c r="AJ240" i="1"/>
  <c r="AF67" i="11"/>
  <c r="AF69" i="11"/>
  <c r="AF68" i="11"/>
  <c r="AH50" i="11"/>
  <c r="AJ285" i="1"/>
  <c r="AJ286" i="1" s="1"/>
  <c r="AJ294" i="1" s="1"/>
  <c r="AG58" i="11"/>
  <c r="AG70" i="11"/>
  <c r="AG71" i="11"/>
  <c r="AG72" i="11"/>
  <c r="AH126" i="1"/>
  <c r="AS126" i="1" s="1"/>
  <c r="AS291" i="1"/>
  <c r="AI342" i="1"/>
  <c r="AI343" i="1" s="1"/>
  <c r="AS101" i="1"/>
  <c r="AI291" i="1"/>
  <c r="AI126" i="1" s="1"/>
  <c r="AR165" i="1"/>
  <c r="AS165" i="1"/>
  <c r="AT165" i="1"/>
  <c r="AH164" i="1"/>
  <c r="AS119" i="1"/>
  <c r="AJ112" i="1"/>
  <c r="AJ168" i="1" s="1"/>
  <c r="AJ300" i="1"/>
  <c r="AJ122" i="1" s="1"/>
  <c r="AJ167" i="1" s="1"/>
  <c r="AI111" i="1"/>
  <c r="AH156" i="1"/>
  <c r="AJ201" i="1"/>
  <c r="AJ101" i="1" s="1"/>
  <c r="AJ203" i="1"/>
  <c r="AJ103" i="1" s="1"/>
  <c r="AJ162" i="1" s="1"/>
  <c r="AJ205" i="1"/>
  <c r="AJ119" i="1" s="1"/>
  <c r="AJ241" i="1"/>
  <c r="AJ173" i="1"/>
  <c r="C269" i="1"/>
  <c r="H269" i="1"/>
  <c r="AK278" i="1"/>
  <c r="AK172" i="1" s="1"/>
  <c r="AK457" i="1"/>
  <c r="U7" i="6"/>
  <c r="U8" i="6" s="1"/>
  <c r="AJ204" i="1"/>
  <c r="AJ102" i="1" s="1"/>
  <c r="AJ161" i="1" s="1"/>
  <c r="AK198" i="1"/>
  <c r="AK9" i="1"/>
  <c r="AK8" i="1"/>
  <c r="AK279" i="1"/>
  <c r="AK154" i="1" s="1"/>
  <c r="AL268" i="1"/>
  <c r="AS268" i="1" s="1"/>
  <c r="AI268" i="1"/>
  <c r="AI272" i="1" s="1"/>
  <c r="AI274" i="1" s="1"/>
  <c r="AI22" i="1" s="1"/>
  <c r="AI53" i="1" s="1"/>
  <c r="AI54" i="1" s="1"/>
  <c r="AK268" i="1"/>
  <c r="AI160" i="1"/>
  <c r="AH160" i="1"/>
  <c r="AI164" i="1"/>
  <c r="AH161" i="1"/>
  <c r="AI161" i="1"/>
  <c r="AH162" i="1"/>
  <c r="AG22" i="1"/>
  <c r="AG53" i="1" s="1"/>
  <c r="AG54" i="1" s="1"/>
  <c r="AI162" i="1"/>
  <c r="AL217" i="1"/>
  <c r="AT217" i="1" s="1"/>
  <c r="AT208" i="1"/>
  <c r="AT267" i="1"/>
  <c r="AQ267" i="1"/>
  <c r="AS267" i="1"/>
  <c r="AR7" i="1"/>
  <c r="AS7" i="1"/>
  <c r="AD226" i="1"/>
  <c r="AD243" i="1" s="1"/>
  <c r="AD106" i="1" s="1"/>
  <c r="AR106" i="1" s="1"/>
  <c r="AG153" i="1"/>
  <c r="AH22" i="1"/>
  <c r="AH53" i="1" s="1"/>
  <c r="AH54" i="1" s="1"/>
  <c r="AH242" i="1"/>
  <c r="AI277" i="1" l="1"/>
  <c r="AI280" i="1" s="1"/>
  <c r="AI109" i="1" s="1"/>
  <c r="AG65" i="11"/>
  <c r="AG66" i="11"/>
  <c r="AS464" i="1"/>
  <c r="AH54" i="11"/>
  <c r="AH57" i="11"/>
  <c r="AH56" i="11"/>
  <c r="AH65" i="11" s="1"/>
  <c r="AK420" i="1"/>
  <c r="AJ164" i="1"/>
  <c r="AJ412" i="1"/>
  <c r="AK342" i="1"/>
  <c r="AK343" i="1" s="1"/>
  <c r="AJ410" i="1"/>
  <c r="AL32" i="1"/>
  <c r="AT20" i="1"/>
  <c r="AL420" i="1"/>
  <c r="AT420" i="1" s="1"/>
  <c r="AT7" i="1"/>
  <c r="AL8" i="1"/>
  <c r="AL279" i="1"/>
  <c r="AL154" i="1" s="1"/>
  <c r="AL9" i="1"/>
  <c r="AL198" i="1"/>
  <c r="AL112" i="1" s="1"/>
  <c r="AT112" i="1" s="1"/>
  <c r="AL278" i="1"/>
  <c r="AL172" i="1" s="1"/>
  <c r="V7" i="6"/>
  <c r="V8" i="6" s="1"/>
  <c r="AJ160" i="1"/>
  <c r="AK241" i="1"/>
  <c r="AI50" i="11"/>
  <c r="AI70" i="11" s="1"/>
  <c r="K22" i="17"/>
  <c r="AG67" i="11"/>
  <c r="AG68" i="11"/>
  <c r="AG69" i="11"/>
  <c r="AI155" i="1"/>
  <c r="AH72" i="11"/>
  <c r="AH70" i="11"/>
  <c r="AH71" i="11"/>
  <c r="AK285" i="1"/>
  <c r="AK286" i="1" s="1"/>
  <c r="AK294" i="1" s="1"/>
  <c r="AH58" i="11"/>
  <c r="AH155" i="1"/>
  <c r="AS155" i="1" s="1"/>
  <c r="AL457" i="1"/>
  <c r="AJ291" i="1"/>
  <c r="AJ126" i="1" s="1"/>
  <c r="AJ155" i="1" s="1"/>
  <c r="AJ269" i="1"/>
  <c r="AJ272" i="1" s="1"/>
  <c r="AJ274" i="1" s="1"/>
  <c r="AJ22" i="1" s="1"/>
  <c r="AJ53" i="1" s="1"/>
  <c r="AJ54" i="1" s="1"/>
  <c r="AK112" i="1"/>
  <c r="AK168" i="1" s="1"/>
  <c r="AK300" i="1"/>
  <c r="AK122" i="1" s="1"/>
  <c r="AK167" i="1" s="1"/>
  <c r="AL269" i="1"/>
  <c r="AK269" i="1"/>
  <c r="AJ111" i="1"/>
  <c r="AI156" i="1"/>
  <c r="AK201" i="1"/>
  <c r="AK101" i="1" s="1"/>
  <c r="C270" i="1"/>
  <c r="AS457" i="1"/>
  <c r="H7" i="7"/>
  <c r="AK204" i="1"/>
  <c r="AK102" i="1" s="1"/>
  <c r="AK161" i="1" s="1"/>
  <c r="AK173" i="1"/>
  <c r="H270" i="1"/>
  <c r="AR457" i="1"/>
  <c r="G7" i="7"/>
  <c r="G8" i="7" s="1"/>
  <c r="AK240" i="1"/>
  <c r="AK205" i="1"/>
  <c r="AK119" i="1" s="1"/>
  <c r="AK203" i="1"/>
  <c r="AK103" i="1" s="1"/>
  <c r="AK162" i="1" s="1"/>
  <c r="AT268" i="1"/>
  <c r="AS22" i="1"/>
  <c r="AS198" i="1"/>
  <c r="AS239" i="1"/>
  <c r="AR198" i="1"/>
  <c r="AR239" i="1"/>
  <c r="AQ269" i="1"/>
  <c r="AQ272" i="1" s="1"/>
  <c r="AQ274" i="1" s="1"/>
  <c r="AQ242" i="1" s="1"/>
  <c r="AS269" i="1"/>
  <c r="AI242" i="1"/>
  <c r="AI153" i="1" s="1"/>
  <c r="AE226" i="1"/>
  <c r="AE243" i="1" s="1"/>
  <c r="AE106" i="1" s="1"/>
  <c r="AR20" i="1"/>
  <c r="AS8" i="1"/>
  <c r="AQ21" i="1"/>
  <c r="AR21" i="1"/>
  <c r="AS21" i="1"/>
  <c r="AR8" i="1"/>
  <c r="AQ19" i="1"/>
  <c r="AR19" i="1"/>
  <c r="AS19" i="1"/>
  <c r="AH153" i="1"/>
  <c r="AU7" i="1" l="1"/>
  <c r="AJ277" i="1"/>
  <c r="AJ280" i="1" s="1"/>
  <c r="AJ109" i="1" s="1"/>
  <c r="AS25" i="1"/>
  <c r="AL81" i="1"/>
  <c r="AL82" i="1" s="1"/>
  <c r="AT25" i="1"/>
  <c r="AT32" i="1"/>
  <c r="AT457" i="1"/>
  <c r="AT508" i="1" s="1"/>
  <c r="AT510" i="1" s="1"/>
  <c r="AH66" i="11"/>
  <c r="AH64" i="11"/>
  <c r="AL205" i="1"/>
  <c r="AT205" i="1" s="1"/>
  <c r="AL241" i="1"/>
  <c r="AT241" i="1" s="1"/>
  <c r="AL203" i="1"/>
  <c r="AT203" i="1" s="1"/>
  <c r="AL204" i="1"/>
  <c r="AT204" i="1" s="1"/>
  <c r="AL240" i="1"/>
  <c r="AT240" i="1" s="1"/>
  <c r="AK164" i="1"/>
  <c r="AK412" i="1"/>
  <c r="AL342" i="1"/>
  <c r="AL343" i="1" s="1"/>
  <c r="AK410" i="1"/>
  <c r="AI56" i="11"/>
  <c r="AI64" i="11" s="1"/>
  <c r="AI54" i="11"/>
  <c r="AI58" i="11"/>
  <c r="AI69" i="11" s="1"/>
  <c r="AI57" i="11"/>
  <c r="AI71" i="11"/>
  <c r="AL173" i="1"/>
  <c r="AT173" i="1" s="1"/>
  <c r="K29" i="17" s="1"/>
  <c r="C271" i="1"/>
  <c r="AL201" i="1"/>
  <c r="AT201" i="1" s="1"/>
  <c r="H271" i="1"/>
  <c r="AT19" i="1"/>
  <c r="AI72" i="11"/>
  <c r="AT8" i="1"/>
  <c r="AT21" i="1"/>
  <c r="AT239" i="1"/>
  <c r="AL300" i="1"/>
  <c r="AL122" i="1" s="1"/>
  <c r="AT122" i="1" s="1"/>
  <c r="AT198" i="1"/>
  <c r="AT279" i="1"/>
  <c r="AL285" i="1"/>
  <c r="AT285" i="1" s="1"/>
  <c r="I7" i="7"/>
  <c r="AT278" i="1"/>
  <c r="AL168" i="1"/>
  <c r="AT168" i="1" s="1"/>
  <c r="AK270" i="1"/>
  <c r="AK272" i="1" s="1"/>
  <c r="AK274" i="1" s="1"/>
  <c r="AK22" i="1" s="1"/>
  <c r="AK53" i="1" s="1"/>
  <c r="AK54" i="1" s="1"/>
  <c r="AT269" i="1"/>
  <c r="AH67" i="11"/>
  <c r="AH69" i="11"/>
  <c r="AH68" i="11"/>
  <c r="AQ173" i="1"/>
  <c r="H29" i="17" s="1"/>
  <c r="AR173" i="1"/>
  <c r="I29" i="17" s="1"/>
  <c r="AS173" i="1"/>
  <c r="J29" i="17" s="1"/>
  <c r="AQ172" i="1"/>
  <c r="AR172" i="1"/>
  <c r="AS172" i="1"/>
  <c r="AT172" i="1"/>
  <c r="AQ168" i="1"/>
  <c r="AR168" i="1"/>
  <c r="AS168" i="1"/>
  <c r="AK291" i="1"/>
  <c r="AK126" i="1" s="1"/>
  <c r="AK155" i="1" s="1"/>
  <c r="AK111" i="1"/>
  <c r="AJ156" i="1"/>
  <c r="AL270" i="1"/>
  <c r="AS270" i="1" s="1"/>
  <c r="H8" i="7"/>
  <c r="AJ242" i="1"/>
  <c r="AJ153" i="1" s="1"/>
  <c r="AP241" i="1"/>
  <c r="AQ241" i="1"/>
  <c r="AR241" i="1"/>
  <c r="AS241" i="1"/>
  <c r="AP240" i="1"/>
  <c r="AQ240" i="1"/>
  <c r="AR240" i="1"/>
  <c r="AS240" i="1"/>
  <c r="AF226" i="1"/>
  <c r="AF243" i="1" s="1"/>
  <c r="AF106" i="1" s="1"/>
  <c r="AK160" i="1"/>
  <c r="I8" i="7" l="1"/>
  <c r="J8" i="7"/>
  <c r="AK277" i="1"/>
  <c r="AK280" i="1" s="1"/>
  <c r="AK109" i="1" s="1"/>
  <c r="AT81" i="1"/>
  <c r="AT82" i="1" s="1"/>
  <c r="AI65" i="11"/>
  <c r="AL101" i="1"/>
  <c r="AL160" i="1" s="1"/>
  <c r="AL103" i="1"/>
  <c r="AT103" i="1" s="1"/>
  <c r="AL102" i="1"/>
  <c r="AI66" i="11"/>
  <c r="AI67" i="11"/>
  <c r="AL271" i="1"/>
  <c r="AL272" i="1" s="1"/>
  <c r="AL274" i="1" s="1"/>
  <c r="AL22" i="1" s="1"/>
  <c r="AL53" i="1" s="1"/>
  <c r="AL54" i="1" s="1"/>
  <c r="AT342" i="1"/>
  <c r="AI68" i="11"/>
  <c r="AL119" i="1"/>
  <c r="AT119" i="1" s="1"/>
  <c r="AT300" i="1"/>
  <c r="AL167" i="1"/>
  <c r="AT167" i="1" s="1"/>
  <c r="AL286" i="1"/>
  <c r="AL291" i="1" s="1"/>
  <c r="AQ156" i="1"/>
  <c r="AR156" i="1"/>
  <c r="AS156" i="1"/>
  <c r="AQ167" i="1"/>
  <c r="AR167" i="1"/>
  <c r="AS167" i="1"/>
  <c r="AK156" i="1"/>
  <c r="AT270" i="1"/>
  <c r="AT343" i="1"/>
  <c r="AP243" i="1"/>
  <c r="AQ226" i="1" s="1"/>
  <c r="AQ243" i="1" s="1"/>
  <c r="AR226" i="1" s="1"/>
  <c r="AR243" i="1" s="1"/>
  <c r="AS226" i="1" s="1"/>
  <c r="AK242" i="1"/>
  <c r="AK153" i="1" s="1"/>
  <c r="AS271" i="1"/>
  <c r="AS272" i="1" s="1"/>
  <c r="AS274" i="1" s="1"/>
  <c r="AS242" i="1" s="1"/>
  <c r="AG226" i="1"/>
  <c r="AG243" i="1" s="1"/>
  <c r="AG106" i="1" s="1"/>
  <c r="AL277" i="1" l="1"/>
  <c r="AL280" i="1" s="1"/>
  <c r="AL109" i="1" s="1"/>
  <c r="AT271" i="1"/>
  <c r="AT272" i="1" s="1"/>
  <c r="AT274" i="1" s="1"/>
  <c r="AT242" i="1" s="1"/>
  <c r="AT101" i="1"/>
  <c r="AL162" i="1"/>
  <c r="AT162" i="1" s="1"/>
  <c r="AL410" i="1"/>
  <c r="AT410" i="1" s="1"/>
  <c r="AT102" i="1"/>
  <c r="AL161" i="1"/>
  <c r="AT161" i="1" s="1"/>
  <c r="AL412" i="1"/>
  <c r="AT412" i="1" s="1"/>
  <c r="AL164" i="1"/>
  <c r="AT164" i="1" s="1"/>
  <c r="AT286" i="1"/>
  <c r="AL294" i="1"/>
  <c r="AL126" i="1"/>
  <c r="AT291" i="1"/>
  <c r="AQ162" i="1"/>
  <c r="AR162" i="1"/>
  <c r="AS162" i="1"/>
  <c r="AQ164" i="1"/>
  <c r="AR164" i="1"/>
  <c r="AS164" i="1"/>
  <c r="AQ161" i="1"/>
  <c r="AS161" i="1"/>
  <c r="AQ160" i="1"/>
  <c r="AR160" i="1"/>
  <c r="AS160" i="1"/>
  <c r="AT160" i="1"/>
  <c r="AL242" i="1"/>
  <c r="AL153" i="1" s="1"/>
  <c r="AS243" i="1"/>
  <c r="AT226" i="1" s="1"/>
  <c r="AQ22" i="1"/>
  <c r="AR22" i="1"/>
  <c r="AT22" i="1"/>
  <c r="AH226" i="1"/>
  <c r="AH243" i="1" s="1"/>
  <c r="AH106" i="1" s="1"/>
  <c r="AS106" i="1" s="1"/>
  <c r="AT277" i="1" l="1"/>
  <c r="AT280" i="1" s="1"/>
  <c r="AT294" i="1"/>
  <c r="AL111" i="1"/>
  <c r="AT126" i="1"/>
  <c r="AL155" i="1"/>
  <c r="AT155" i="1" s="1"/>
  <c r="AQ153" i="1"/>
  <c r="AR153" i="1"/>
  <c r="AS153" i="1"/>
  <c r="AT153" i="1"/>
  <c r="AT243" i="1"/>
  <c r="AI226" i="1"/>
  <c r="AI243" i="1" s="1"/>
  <c r="AI106" i="1" s="1"/>
  <c r="AT111" i="1" l="1"/>
  <c r="AL156" i="1"/>
  <c r="AT156" i="1" s="1"/>
  <c r="AJ226" i="1"/>
  <c r="AJ243" i="1" s="1"/>
  <c r="AJ106" i="1" s="1"/>
  <c r="AK226" i="1" l="1"/>
  <c r="AK243" i="1" s="1"/>
  <c r="AK106" i="1" s="1"/>
  <c r="AL226" i="1" l="1"/>
  <c r="AL243" i="1" s="1"/>
  <c r="AL106" i="1" s="1"/>
  <c r="AT106" i="1" s="1"/>
  <c r="S329" i="1" l="1"/>
  <c r="S388" i="1" s="1"/>
  <c r="S426" i="1" l="1"/>
  <c r="S431" i="1" s="1"/>
  <c r="S434" i="1" s="1"/>
  <c r="S394" i="1"/>
  <c r="S34" i="1" s="1"/>
  <c r="AE142" i="1"/>
  <c r="S435" i="1" l="1"/>
  <c r="C39" i="6"/>
  <c r="AE188" i="1"/>
  <c r="AF188" i="1"/>
  <c r="AG142" i="1"/>
  <c r="C40" i="6" l="1"/>
  <c r="AG188" i="1"/>
  <c r="AH188" i="1"/>
  <c r="AS188" i="1"/>
  <c r="AE100" i="1"/>
  <c r="AG100" i="1" l="1"/>
  <c r="X142" i="1" l="1"/>
  <c r="X188" i="1" s="1"/>
  <c r="X100" i="1" l="1"/>
  <c r="AA100" i="1" l="1"/>
  <c r="AA142" i="1"/>
  <c r="AB188" i="1" l="1"/>
  <c r="S142" i="1" l="1"/>
  <c r="S188" i="1" l="1"/>
  <c r="S100" i="1" l="1"/>
  <c r="C20" i="7" l="1"/>
  <c r="S321" i="1"/>
  <c r="D50" i="7" l="1"/>
  <c r="T313" i="1"/>
  <c r="T312" i="1"/>
  <c r="S323" i="1"/>
  <c r="T315" i="1" l="1"/>
  <c r="C49" i="7" l="1"/>
  <c r="D25" i="7"/>
  <c r="D26" i="7" l="1"/>
  <c r="C53" i="7"/>
  <c r="D27" i="7"/>
  <c r="C51" i="7"/>
  <c r="D28" i="7" l="1"/>
  <c r="C55" i="7"/>
  <c r="C52" i="7"/>
  <c r="C56" i="7" l="1"/>
  <c r="D29" i="7"/>
  <c r="D20" i="7" l="1"/>
  <c r="D24" i="7"/>
  <c r="D49" i="7" l="1"/>
  <c r="D53" i="7" l="1"/>
  <c r="D51" i="7"/>
  <c r="D52" i="7" l="1"/>
  <c r="D55" i="7"/>
  <c r="D56" i="7" l="1"/>
  <c r="T314" i="1" l="1"/>
  <c r="T316" i="1" l="1"/>
  <c r="T318" i="1" s="1"/>
  <c r="T319" i="1" s="1"/>
  <c r="T327" i="1" s="1"/>
  <c r="T328" i="1" l="1"/>
  <c r="T337" i="1" s="1"/>
  <c r="T320" i="1"/>
  <c r="T350" i="1"/>
  <c r="T359" i="1" s="1"/>
  <c r="T345" i="1" l="1"/>
  <c r="T127" i="1"/>
  <c r="U326" i="1"/>
  <c r="T329" i="1"/>
  <c r="T388" i="1" s="1"/>
  <c r="T426" i="1" s="1"/>
  <c r="T338" i="1"/>
  <c r="T360" i="1"/>
  <c r="T367" i="1"/>
  <c r="T351" i="1"/>
  <c r="T439" i="1" l="1"/>
  <c r="U336" i="1"/>
  <c r="D25" i="6"/>
  <c r="T179" i="1"/>
  <c r="T128" i="1"/>
  <c r="U348" i="1"/>
  <c r="T352" i="1"/>
  <c r="T368" i="1"/>
  <c r="T129" i="1"/>
  <c r="U357" i="1"/>
  <c r="T361" i="1"/>
  <c r="T440" i="1" l="1"/>
  <c r="T441" i="1"/>
  <c r="T130" i="1"/>
  <c r="U366" i="1"/>
  <c r="T389" i="1"/>
  <c r="T427" i="1" s="1"/>
  <c r="U349" i="1"/>
  <c r="T180" i="1"/>
  <c r="D26" i="6"/>
  <c r="T392" i="1"/>
  <c r="T429" i="1" s="1"/>
  <c r="U358" i="1"/>
  <c r="T182" i="1"/>
  <c r="D27" i="6"/>
  <c r="T442" i="1" l="1"/>
  <c r="T443" i="1" s="1"/>
  <c r="T431" i="1"/>
  <c r="U430" i="1"/>
  <c r="U317" i="1"/>
  <c r="U393" i="1"/>
  <c r="T394" i="1"/>
  <c r="T34" i="1" s="1"/>
  <c r="T181" i="1"/>
  <c r="D28" i="6"/>
  <c r="U157" i="1" l="1"/>
  <c r="J85" i="2" l="1"/>
  <c r="AP109" i="1" l="1"/>
  <c r="AQ109" i="1" l="1"/>
  <c r="AR109" i="1" l="1"/>
  <c r="AS109" i="1" l="1"/>
  <c r="AT109" i="1"/>
  <c r="AP154" i="1" l="1"/>
  <c r="AQ154" i="1" l="1"/>
  <c r="AR154" i="1"/>
  <c r="AS154" i="1"/>
  <c r="AT154" i="1"/>
  <c r="AP306" i="1" l="1"/>
  <c r="S166" i="1" l="1"/>
  <c r="R140" i="1" l="1"/>
  <c r="Q140" i="1"/>
  <c r="Q143" i="1" s="1"/>
  <c r="P140" i="1"/>
  <c r="P143" i="1" s="1"/>
  <c r="O140" i="1"/>
  <c r="O143" i="1" s="1"/>
  <c r="N140" i="1"/>
  <c r="M140" i="1"/>
  <c r="M143" i="1" s="1"/>
  <c r="L140" i="1"/>
  <c r="L143" i="1" s="1"/>
  <c r="S140" i="1"/>
  <c r="R108" i="1"/>
  <c r="Q108" i="1"/>
  <c r="Q114" i="1" s="1"/>
  <c r="I18" i="27" s="1"/>
  <c r="I17" i="27" s="1"/>
  <c r="P108" i="1"/>
  <c r="P114" i="1" s="1"/>
  <c r="H18" i="27" s="1"/>
  <c r="H17" i="27" s="1"/>
  <c r="O108" i="1"/>
  <c r="O114" i="1" s="1"/>
  <c r="G18" i="27" s="1"/>
  <c r="G17" i="27" s="1"/>
  <c r="N108" i="1"/>
  <c r="M108" i="1"/>
  <c r="M114" i="1" s="1"/>
  <c r="E18" i="27" s="1"/>
  <c r="E17" i="27" s="1"/>
  <c r="L108" i="1"/>
  <c r="L114" i="1" s="1"/>
  <c r="D18" i="27" s="1"/>
  <c r="D17" i="27" s="1"/>
  <c r="S108" i="1"/>
  <c r="L145" i="1" l="1"/>
  <c r="L146" i="1" s="1"/>
  <c r="D27" i="27"/>
  <c r="D28" i="27" s="1"/>
  <c r="M145" i="1"/>
  <c r="E27" i="27"/>
  <c r="E28" i="27" s="1"/>
  <c r="O145" i="1"/>
  <c r="O146" i="1" s="1"/>
  <c r="G27" i="27"/>
  <c r="G28" i="27" s="1"/>
  <c r="P145" i="1"/>
  <c r="H27" i="27"/>
  <c r="H28" i="27" s="1"/>
  <c r="Q145" i="1"/>
  <c r="Q146" i="1" s="1"/>
  <c r="I27" i="27"/>
  <c r="I28" i="27" s="1"/>
  <c r="P146" i="1"/>
  <c r="M146" i="1"/>
  <c r="N114" i="1"/>
  <c r="F18" i="27" s="1"/>
  <c r="F17" i="27" s="1"/>
  <c r="AN108" i="1"/>
  <c r="AN114" i="1" s="1"/>
  <c r="R114" i="1"/>
  <c r="J18" i="27" s="1"/>
  <c r="J17" i="27" s="1"/>
  <c r="AO108" i="1"/>
  <c r="AO114" i="1" s="1"/>
  <c r="S175" i="1"/>
  <c r="S491" i="1"/>
  <c r="T491" i="1"/>
  <c r="S186" i="1"/>
  <c r="N143" i="1"/>
  <c r="F27" i="27" s="1"/>
  <c r="F28" i="27" s="1"/>
  <c r="AN140" i="1"/>
  <c r="AN143" i="1" s="1"/>
  <c r="AN145" i="1" s="1"/>
  <c r="R143" i="1"/>
  <c r="J27" i="27" s="1"/>
  <c r="J28" i="27" s="1"/>
  <c r="AO140" i="1"/>
  <c r="AO143" i="1" s="1"/>
  <c r="AO145" i="1" s="1"/>
  <c r="D50" i="6" l="1"/>
  <c r="C50" i="6"/>
  <c r="AO146" i="1"/>
  <c r="AN146" i="1"/>
  <c r="R145" i="1"/>
  <c r="R146" i="1" s="1"/>
  <c r="D31" i="7"/>
  <c r="D32" i="7" s="1"/>
  <c r="N145" i="1"/>
  <c r="N146" i="1" s="1"/>
  <c r="C31" i="7"/>
  <c r="C32" i="7" s="1"/>
  <c r="S176" i="1"/>
  <c r="D22" i="7"/>
  <c r="D21" i="7" s="1"/>
  <c r="C22" i="7"/>
  <c r="C21" i="7" s="1"/>
  <c r="C33" i="7" l="1"/>
  <c r="D33" i="7"/>
  <c r="S305" i="1" l="1"/>
  <c r="S307" i="1" s="1"/>
  <c r="T305" i="1"/>
  <c r="S398" i="1"/>
  <c r="S400" i="1" s="1"/>
  <c r="S33" i="1" s="1"/>
  <c r="S464" i="1"/>
  <c r="S465" i="1" s="1"/>
  <c r="T464" i="1"/>
  <c r="T465" i="1" s="1"/>
  <c r="T466" i="1" l="1"/>
  <c r="T467" i="1" s="1"/>
  <c r="S466" i="1"/>
  <c r="S467" i="1" s="1"/>
  <c r="S36" i="1"/>
  <c r="T121" i="1"/>
  <c r="T304" i="1"/>
  <c r="S468" i="1" l="1"/>
  <c r="S469" i="1" s="1"/>
  <c r="T468" i="1"/>
  <c r="T469" i="1" s="1"/>
  <c r="T307" i="1"/>
  <c r="W306" i="1" s="1"/>
  <c r="T166" i="1"/>
  <c r="S470" i="1" l="1"/>
  <c r="S471" i="1" s="1"/>
  <c r="S482" i="1" s="1"/>
  <c r="U121" i="1"/>
  <c r="U304" i="1"/>
  <c r="S472" i="1" l="1"/>
  <c r="S475" i="1" s="1"/>
  <c r="S481" i="1"/>
  <c r="U166" i="1"/>
  <c r="S476" i="1" l="1"/>
  <c r="D13" i="17" l="1"/>
  <c r="D14" i="17"/>
  <c r="D50" i="17"/>
  <c r="H50" i="17"/>
  <c r="E12" i="17" l="1"/>
  <c r="E13" i="17"/>
  <c r="E14" i="17" l="1"/>
  <c r="I14" i="17"/>
  <c r="D45" i="17" s="1"/>
  <c r="H45" i="17" l="1"/>
  <c r="E9" i="17" l="1"/>
  <c r="S411" i="1" l="1"/>
  <c r="S414" i="1" s="1"/>
  <c r="S11" i="1"/>
  <c r="S16" i="1"/>
  <c r="S28" i="1"/>
  <c r="C10" i="6"/>
  <c r="C11" i="6" s="1"/>
  <c r="P59" i="11"/>
  <c r="S38" i="1" l="1"/>
  <c r="S41" i="1" s="1"/>
  <c r="C13" i="6"/>
  <c r="C14" i="6" s="1"/>
  <c r="S415" i="1"/>
  <c r="C36" i="6"/>
  <c r="S47" i="1"/>
  <c r="S65" i="1" s="1"/>
  <c r="S84" i="1" s="1"/>
  <c r="S199" i="1"/>
  <c r="S202" i="1" s="1"/>
  <c r="S118" i="1" s="1"/>
  <c r="S123" i="1" s="1"/>
  <c r="S131" i="1" s="1"/>
  <c r="S141" i="1"/>
  <c r="C29" i="6" l="1"/>
  <c r="C24" i="6" s="1"/>
  <c r="C37" i="6"/>
  <c r="S85" i="1"/>
  <c r="S187" i="1"/>
  <c r="S143" i="1"/>
  <c r="S151" i="1"/>
  <c r="S86" i="1"/>
  <c r="S219" i="1"/>
  <c r="S223" i="1" s="1"/>
  <c r="S163" i="1"/>
  <c r="C16" i="6"/>
  <c r="C17" i="6" s="1"/>
  <c r="C31" i="6" l="1"/>
  <c r="C32" i="6" s="1"/>
  <c r="S145" i="1"/>
  <c r="S221" i="1"/>
  <c r="S222" i="1"/>
  <c r="S169" i="1"/>
  <c r="S189" i="1"/>
  <c r="S191" i="1" l="1"/>
  <c r="S193" i="1" s="1"/>
  <c r="S99" i="1" s="1"/>
  <c r="S104" i="1" l="1"/>
  <c r="S216" i="1" s="1"/>
  <c r="C20" i="6"/>
  <c r="T192" i="1"/>
  <c r="T397" i="1" s="1"/>
  <c r="S194" i="1"/>
  <c r="S114" i="1" l="1"/>
  <c r="S146" i="1" s="1"/>
  <c r="C22" i="6" l="1"/>
  <c r="C21" i="6" s="1"/>
  <c r="T11" i="1"/>
  <c r="T199" i="1" s="1"/>
  <c r="T202" i="1" s="1"/>
  <c r="T118" i="1" s="1"/>
  <c r="U11" i="1"/>
  <c r="U199" i="1" s="1"/>
  <c r="U202" i="1" s="1"/>
  <c r="U118" i="1" s="1"/>
  <c r="V11" i="1"/>
  <c r="W11" i="1"/>
  <c r="W199" i="1" s="1"/>
  <c r="W202" i="1" s="1"/>
  <c r="W118" i="1" s="1"/>
  <c r="X11" i="1"/>
  <c r="X199" i="1" s="1"/>
  <c r="X202" i="1" s="1"/>
  <c r="X118" i="1" s="1"/>
  <c r="Y11" i="1"/>
  <c r="Y199" i="1" s="1"/>
  <c r="Y202" i="1" s="1"/>
  <c r="Y118" i="1" s="1"/>
  <c r="Z11" i="1"/>
  <c r="Z199" i="1" s="1"/>
  <c r="Z202" i="1" s="1"/>
  <c r="AA11" i="1"/>
  <c r="AA199" i="1" s="1"/>
  <c r="AA202" i="1" s="1"/>
  <c r="AA118" i="1" s="1"/>
  <c r="AB11" i="1"/>
  <c r="AB199" i="1" s="1"/>
  <c r="AB202" i="1" s="1"/>
  <c r="AB118" i="1" s="1"/>
  <c r="AC11" i="1"/>
  <c r="AC199" i="1" s="1"/>
  <c r="AC202" i="1" s="1"/>
  <c r="AC118" i="1" s="1"/>
  <c r="AD11" i="1"/>
  <c r="AE11" i="1"/>
  <c r="AE199" i="1" s="1"/>
  <c r="AE202" i="1" s="1"/>
  <c r="AE118" i="1" s="1"/>
  <c r="AF11" i="1"/>
  <c r="AG11" i="1"/>
  <c r="AG199" i="1" s="1"/>
  <c r="AG202" i="1" s="1"/>
  <c r="AG118" i="1" s="1"/>
  <c r="AH11" i="1"/>
  <c r="AH199" i="1" s="1"/>
  <c r="AH202" i="1" s="1"/>
  <c r="AI11" i="1"/>
  <c r="AI199" i="1" s="1"/>
  <c r="AI202" i="1" s="1"/>
  <c r="AI118" i="1" s="1"/>
  <c r="AJ11" i="1"/>
  <c r="AJ199" i="1" s="1"/>
  <c r="AJ202" i="1" s="1"/>
  <c r="AJ118" i="1" s="1"/>
  <c r="AK11" i="1"/>
  <c r="AK199" i="1" s="1"/>
  <c r="AK202" i="1" s="1"/>
  <c r="AK118" i="1" s="1"/>
  <c r="AL11" i="1"/>
  <c r="T16" i="1"/>
  <c r="U16" i="1"/>
  <c r="V16" i="1"/>
  <c r="W16" i="1"/>
  <c r="X16" i="1"/>
  <c r="Y16" i="1"/>
  <c r="Z16" i="1"/>
  <c r="AA16" i="1"/>
  <c r="AB16" i="1"/>
  <c r="AC16" i="1"/>
  <c r="AD16" i="1"/>
  <c r="AE16" i="1"/>
  <c r="AF16" i="1"/>
  <c r="AG16" i="1"/>
  <c r="AH16" i="1"/>
  <c r="AI16" i="1"/>
  <c r="AJ16" i="1"/>
  <c r="AK16" i="1"/>
  <c r="AL16" i="1"/>
  <c r="T28" i="1"/>
  <c r="U28" i="1"/>
  <c r="D10" i="6"/>
  <c r="D11" i="6" s="1"/>
  <c r="E10" i="6"/>
  <c r="E11" i="6" s="1"/>
  <c r="F10" i="6"/>
  <c r="F11" i="6" s="1"/>
  <c r="G10" i="6"/>
  <c r="G11" i="6" s="1"/>
  <c r="H10" i="6"/>
  <c r="H11" i="6" s="1"/>
  <c r="I10" i="6"/>
  <c r="I11" i="6" s="1"/>
  <c r="J10" i="6"/>
  <c r="J11" i="6" s="1"/>
  <c r="K10" i="6"/>
  <c r="K11" i="6" s="1"/>
  <c r="L10" i="6"/>
  <c r="L11" i="6" s="1"/>
  <c r="M10" i="6"/>
  <c r="M11" i="6" s="1"/>
  <c r="N10" i="6"/>
  <c r="N11" i="6" s="1"/>
  <c r="O10" i="6"/>
  <c r="O11" i="6" s="1"/>
  <c r="P10" i="6"/>
  <c r="P11" i="6" s="1"/>
  <c r="Q10" i="6"/>
  <c r="Q11" i="6" s="1"/>
  <c r="R10" i="6"/>
  <c r="R11" i="6" s="1"/>
  <c r="S10" i="6"/>
  <c r="S11" i="6" s="1"/>
  <c r="T10" i="6"/>
  <c r="T11" i="6" s="1"/>
  <c r="U10" i="6"/>
  <c r="U11" i="6" s="1"/>
  <c r="V10" i="6"/>
  <c r="V11" i="6" s="1"/>
  <c r="Q59" i="11"/>
  <c r="R59" i="11"/>
  <c r="S59" i="11"/>
  <c r="T59" i="11"/>
  <c r="U59" i="11"/>
  <c r="V59" i="11"/>
  <c r="W59" i="11"/>
  <c r="X59" i="11"/>
  <c r="Y59" i="11"/>
  <c r="Z59" i="11"/>
  <c r="AA59" i="11"/>
  <c r="AB59" i="11"/>
  <c r="AC59" i="11"/>
  <c r="AD59" i="11"/>
  <c r="AE59" i="11"/>
  <c r="AF59" i="11"/>
  <c r="AG59" i="11"/>
  <c r="AH59" i="11"/>
  <c r="AI59" i="11"/>
  <c r="C33" i="6" l="1"/>
  <c r="U47" i="1"/>
  <c r="U65" i="1" s="1"/>
  <c r="U84" i="1" s="1"/>
  <c r="T47" i="1"/>
  <c r="T65" i="1" s="1"/>
  <c r="T84" i="1" s="1"/>
  <c r="T86" i="1" s="1"/>
  <c r="T419" i="1"/>
  <c r="T423" i="1" s="1"/>
  <c r="T434" i="1" s="1"/>
  <c r="T445" i="1"/>
  <c r="D13" i="6"/>
  <c r="D14" i="6" s="1"/>
  <c r="E13" i="6"/>
  <c r="E14" i="6" s="1"/>
  <c r="AT11" i="1"/>
  <c r="AT199" i="1" s="1"/>
  <c r="AR11" i="1"/>
  <c r="AR15" i="1" s="1"/>
  <c r="AR16" i="1" s="1"/>
  <c r="AP11" i="1"/>
  <c r="AP15" i="1" s="1"/>
  <c r="E10" i="7" s="1"/>
  <c r="E11" i="7" s="1"/>
  <c r="V199" i="1"/>
  <c r="V202" i="1" s="1"/>
  <c r="V118" i="1" s="1"/>
  <c r="AP118" i="1" s="1"/>
  <c r="AH118" i="1"/>
  <c r="AI163" i="1" s="1"/>
  <c r="AS202" i="1"/>
  <c r="U219" i="1"/>
  <c r="U223" i="1" s="1"/>
  <c r="C94" i="2"/>
  <c r="J94" i="2" s="1"/>
  <c r="J98" i="2" s="1"/>
  <c r="J106" i="2" s="1"/>
  <c r="T123" i="1"/>
  <c r="T219" i="1"/>
  <c r="T221" i="1" s="1"/>
  <c r="Z118" i="1"/>
  <c r="AA163" i="1" s="1"/>
  <c r="AQ202" i="1"/>
  <c r="Y163" i="1"/>
  <c r="AS11" i="1"/>
  <c r="AS15" i="1" s="1"/>
  <c r="AS16" i="1" s="1"/>
  <c r="AQ11" i="1"/>
  <c r="AQ15" i="1" s="1"/>
  <c r="AQ16" i="1" s="1"/>
  <c r="AF199" i="1"/>
  <c r="AF202" i="1" s="1"/>
  <c r="AF118" i="1" s="1"/>
  <c r="AF163" i="1" s="1"/>
  <c r="AL199" i="1"/>
  <c r="AL202" i="1" s="1"/>
  <c r="AL118" i="1" s="1"/>
  <c r="AT118" i="1" s="1"/>
  <c r="AD199" i="1"/>
  <c r="AD202" i="1" s="1"/>
  <c r="AD118" i="1" s="1"/>
  <c r="AR118" i="1" s="1"/>
  <c r="E16" i="6"/>
  <c r="E17" i="6" s="1"/>
  <c r="AK163" i="1"/>
  <c r="AC163" i="1"/>
  <c r="U123" i="1"/>
  <c r="U163" i="1"/>
  <c r="T163" i="1"/>
  <c r="AJ163" i="1"/>
  <c r="X163" i="1"/>
  <c r="AB163" i="1"/>
  <c r="U86" i="1" l="1"/>
  <c r="U460" i="1" s="1"/>
  <c r="U85" i="1"/>
  <c r="D16" i="6"/>
  <c r="D17" i="6" s="1"/>
  <c r="T85" i="1"/>
  <c r="U419" i="1"/>
  <c r="U423" i="1" s="1"/>
  <c r="U445" i="1"/>
  <c r="T448" i="1"/>
  <c r="T452" i="1"/>
  <c r="T131" i="1"/>
  <c r="T411" i="1"/>
  <c r="T414" i="1" s="1"/>
  <c r="T435" i="1"/>
  <c r="D39" i="6"/>
  <c r="AR199" i="1"/>
  <c r="G10" i="7"/>
  <c r="G11" i="7" s="1"/>
  <c r="Z163" i="1"/>
  <c r="W163" i="1"/>
  <c r="AP220" i="1"/>
  <c r="G30" i="17" s="1"/>
  <c r="AH163" i="1"/>
  <c r="V163" i="1"/>
  <c r="AP163" i="1" s="1"/>
  <c r="AP202" i="1"/>
  <c r="AS118" i="1"/>
  <c r="AS220" i="1" s="1"/>
  <c r="AT15" i="1"/>
  <c r="AG163" i="1"/>
  <c r="AP16" i="1"/>
  <c r="AQ199" i="1"/>
  <c r="T222" i="1"/>
  <c r="AP199" i="1"/>
  <c r="T223" i="1"/>
  <c r="AQ118" i="1"/>
  <c r="U221" i="1"/>
  <c r="U222" i="1"/>
  <c r="C98" i="2"/>
  <c r="C106" i="2" s="1"/>
  <c r="F10" i="7"/>
  <c r="F11" i="7" s="1"/>
  <c r="AR202" i="1"/>
  <c r="H10" i="7"/>
  <c r="H11" i="7" s="1"/>
  <c r="AL163" i="1"/>
  <c r="AT163" i="1" s="1"/>
  <c r="AE163" i="1"/>
  <c r="AS199" i="1"/>
  <c r="AD163" i="1"/>
  <c r="AR163" i="1" s="1"/>
  <c r="AT202" i="1"/>
  <c r="AR220" i="1"/>
  <c r="U411" i="1"/>
  <c r="U414" i="1" s="1"/>
  <c r="O5" i="2"/>
  <c r="K26" i="2"/>
  <c r="AT220" i="1"/>
  <c r="D40" i="6" l="1"/>
  <c r="D29" i="6"/>
  <c r="D24" i="6" s="1"/>
  <c r="D36" i="6"/>
  <c r="T415" i="1"/>
  <c r="T453" i="1"/>
  <c r="D45" i="6"/>
  <c r="T449" i="1"/>
  <c r="D42" i="6"/>
  <c r="AQ163" i="1"/>
  <c r="AU15" i="1"/>
  <c r="AT16" i="1"/>
  <c r="AS163" i="1"/>
  <c r="I10" i="7"/>
  <c r="AQ220" i="1"/>
  <c r="H30" i="17" s="1"/>
  <c r="J30" i="17"/>
  <c r="K27" i="2"/>
  <c r="U415" i="1"/>
  <c r="E36" i="6"/>
  <c r="K30" i="17"/>
  <c r="D46" i="6" l="1"/>
  <c r="D37" i="6"/>
  <c r="E37" i="6"/>
  <c r="D43" i="6"/>
  <c r="I11" i="7"/>
  <c r="J11" i="7"/>
  <c r="I30" i="17"/>
  <c r="O28" i="2"/>
  <c r="O30" i="2" s="1"/>
  <c r="K45" i="2" l="1"/>
  <c r="N30" i="2"/>
  <c r="T35" i="1" l="1"/>
  <c r="I76" i="2"/>
  <c r="U35" i="1"/>
  <c r="AP35" i="1" s="1"/>
  <c r="K47" i="2"/>
  <c r="K58" i="2" s="1"/>
  <c r="I86" i="2" l="1"/>
  <c r="J86" i="2" s="1"/>
  <c r="U405" i="1" s="1"/>
  <c r="I80" i="2"/>
  <c r="I90" i="2" s="1"/>
  <c r="I120" i="2" s="1"/>
  <c r="J56" i="2"/>
  <c r="J55" i="2"/>
  <c r="J54" i="2"/>
  <c r="J52" i="2"/>
  <c r="J53" i="2"/>
  <c r="H80" i="2"/>
  <c r="H90" i="2" s="1"/>
  <c r="H113" i="2"/>
  <c r="H117" i="2" s="1"/>
  <c r="H119" i="2" s="1"/>
  <c r="U110" i="1" l="1"/>
  <c r="V403" i="1"/>
  <c r="AO405" i="1"/>
  <c r="AP403" i="1" s="1"/>
  <c r="H120" i="2"/>
  <c r="V404" i="1" l="1"/>
  <c r="V405" i="1" s="1"/>
  <c r="U158" i="1"/>
  <c r="Y100" i="1"/>
  <c r="Y142" i="1"/>
  <c r="Y188" i="1" s="1"/>
  <c r="V110" i="1" l="1"/>
  <c r="W403" i="1"/>
  <c r="W404" i="1" s="1"/>
  <c r="V23" i="1"/>
  <c r="AP404" i="1"/>
  <c r="AP405" i="1" s="1"/>
  <c r="AQ403" i="1" s="1"/>
  <c r="Z100" i="1"/>
  <c r="AQ100" i="1" s="1"/>
  <c r="AQ464" i="1" s="1"/>
  <c r="Z142" i="1"/>
  <c r="AQ142" i="1" s="1"/>
  <c r="V60" i="1" l="1"/>
  <c r="V62" i="1" s="1"/>
  <c r="G24" i="17"/>
  <c r="G28" i="17" s="1"/>
  <c r="V26" i="1"/>
  <c r="V28" i="1" s="1"/>
  <c r="AP23" i="1"/>
  <c r="AP26" i="1" s="1"/>
  <c r="AP28" i="1" s="1"/>
  <c r="E13" i="7" s="1"/>
  <c r="E14" i="7" s="1"/>
  <c r="W405" i="1"/>
  <c r="W23" i="1"/>
  <c r="AP110" i="1"/>
  <c r="V158" i="1"/>
  <c r="AP158" i="1" s="1"/>
  <c r="AA188" i="1"/>
  <c r="AR188" i="1" s="1"/>
  <c r="Z188" i="1"/>
  <c r="W60" i="1" l="1"/>
  <c r="W62" i="1" s="1"/>
  <c r="W26" i="1"/>
  <c r="W28" i="1" s="1"/>
  <c r="W110" i="1"/>
  <c r="X403" i="1"/>
  <c r="X404" i="1" s="1"/>
  <c r="V47" i="1"/>
  <c r="F13" i="6"/>
  <c r="F14" i="6" s="1"/>
  <c r="V100" i="1"/>
  <c r="AP100" i="1" s="1"/>
  <c r="AP464" i="1" s="1"/>
  <c r="V142" i="1"/>
  <c r="AP142" i="1" s="1"/>
  <c r="U40" i="1"/>
  <c r="U307" i="1" s="1"/>
  <c r="T100" i="1"/>
  <c r="T108" i="1"/>
  <c r="T175" i="1" s="1"/>
  <c r="T176" i="1" s="1"/>
  <c r="T140" i="1"/>
  <c r="T142" i="1"/>
  <c r="T188" i="1" s="1"/>
  <c r="U305" i="1"/>
  <c r="T321" i="1"/>
  <c r="U312" i="1" s="1"/>
  <c r="U314" i="1" s="1"/>
  <c r="U328" i="1"/>
  <c r="U345" i="1" s="1"/>
  <c r="U351" i="1"/>
  <c r="U352" i="1" s="1"/>
  <c r="U389" i="1" s="1"/>
  <c r="U427" i="1" s="1"/>
  <c r="U360" i="1"/>
  <c r="U361" i="1" s="1"/>
  <c r="U392" i="1" s="1"/>
  <c r="U429" i="1" s="1"/>
  <c r="U368" i="1"/>
  <c r="V366" i="1" s="1"/>
  <c r="T398" i="1"/>
  <c r="T400" i="1" s="1"/>
  <c r="T33" i="1" s="1"/>
  <c r="U464" i="1"/>
  <c r="T470" i="1"/>
  <c r="U491" i="1"/>
  <c r="E50" i="6" l="1"/>
  <c r="V65" i="1"/>
  <c r="V84" i="1" s="1"/>
  <c r="AP47" i="1"/>
  <c r="X405" i="1"/>
  <c r="X23" i="1"/>
  <c r="W158" i="1"/>
  <c r="W47" i="1"/>
  <c r="G13" i="6"/>
  <c r="G14" i="6" s="1"/>
  <c r="V121" i="1"/>
  <c r="V166" i="1" s="1"/>
  <c r="T471" i="1"/>
  <c r="T482" i="1" s="1"/>
  <c r="T186" i="1"/>
  <c r="U337" i="1"/>
  <c r="U338" i="1" s="1"/>
  <c r="U329" i="1"/>
  <c r="U388" i="1" s="1"/>
  <c r="W188" i="1"/>
  <c r="AQ188" i="1" s="1"/>
  <c r="V326" i="1"/>
  <c r="V336" i="1" s="1"/>
  <c r="AP336" i="1" s="1"/>
  <c r="T323" i="1"/>
  <c r="T481" i="1"/>
  <c r="T36" i="1"/>
  <c r="T38" i="1" s="1"/>
  <c r="AO360" i="1"/>
  <c r="AP357" i="1" s="1"/>
  <c r="U129" i="1"/>
  <c r="V357" i="1"/>
  <c r="AO368" i="1"/>
  <c r="AP366" i="1" s="1"/>
  <c r="U130" i="1"/>
  <c r="U313" i="1"/>
  <c r="AO351" i="1"/>
  <c r="AP348" i="1" s="1"/>
  <c r="U128" i="1"/>
  <c r="U315" i="1"/>
  <c r="V348" i="1"/>
  <c r="AO328" i="1"/>
  <c r="AP326" i="1" s="1"/>
  <c r="U127" i="1"/>
  <c r="V304" i="1"/>
  <c r="V219" i="1" l="1"/>
  <c r="V221" i="1" s="1"/>
  <c r="AP221" i="1" s="1"/>
  <c r="T472" i="1"/>
  <c r="T475" i="1" s="1"/>
  <c r="W65" i="1"/>
  <c r="W84" i="1" s="1"/>
  <c r="X60" i="1"/>
  <c r="X62" i="1" s="1"/>
  <c r="X26" i="1"/>
  <c r="X28" i="1" s="1"/>
  <c r="X110" i="1"/>
  <c r="X158" i="1" s="1"/>
  <c r="Y403" i="1"/>
  <c r="AP65" i="1"/>
  <c r="AP84" i="1" s="1"/>
  <c r="G25" i="17"/>
  <c r="F16" i="6"/>
  <c r="F17" i="6" s="1"/>
  <c r="V85" i="1"/>
  <c r="V86" i="1"/>
  <c r="G17" i="17"/>
  <c r="V123" i="1"/>
  <c r="V411" i="1" s="1"/>
  <c r="AP121" i="1"/>
  <c r="U316" i="1"/>
  <c r="U318" i="1" s="1"/>
  <c r="U319" i="1" s="1"/>
  <c r="U320" i="1" s="1"/>
  <c r="U394" i="1"/>
  <c r="U34" i="1" s="1"/>
  <c r="U426" i="1"/>
  <c r="U431" i="1" s="1"/>
  <c r="U434" i="1" s="1"/>
  <c r="T476" i="1"/>
  <c r="T141" i="1"/>
  <c r="T41" i="1"/>
  <c r="T151" i="1" s="1"/>
  <c r="T169" i="1" s="1"/>
  <c r="U131" i="1"/>
  <c r="U179" i="1"/>
  <c r="U465" i="1"/>
  <c r="U466" i="1" s="1"/>
  <c r="U439" i="1"/>
  <c r="E25" i="6"/>
  <c r="V349" i="1"/>
  <c r="U181" i="1"/>
  <c r="U442" i="1"/>
  <c r="E28" i="6"/>
  <c r="V358" i="1"/>
  <c r="U182" i="1"/>
  <c r="U441" i="1"/>
  <c r="E27" i="6"/>
  <c r="AP304" i="1"/>
  <c r="U180" i="1"/>
  <c r="U440" i="1"/>
  <c r="E26" i="6"/>
  <c r="E29" i="6" l="1"/>
  <c r="E24" i="6" s="1"/>
  <c r="W86" i="1"/>
  <c r="W445" i="1" s="1"/>
  <c r="V222" i="1"/>
  <c r="AP222" i="1" s="1"/>
  <c r="V223" i="1"/>
  <c r="AP223" i="1" s="1"/>
  <c r="T187" i="1"/>
  <c r="V419" i="1"/>
  <c r="V445" i="1"/>
  <c r="AP445" i="1" s="1"/>
  <c r="V460" i="1"/>
  <c r="V463" i="1" s="1"/>
  <c r="G23" i="17"/>
  <c r="G26" i="17"/>
  <c r="G27" i="17" s="1"/>
  <c r="G31" i="17" s="1"/>
  <c r="G32" i="17" s="1"/>
  <c r="AP85" i="1"/>
  <c r="E16" i="7"/>
  <c r="E17" i="7" s="1"/>
  <c r="AP460" i="1"/>
  <c r="AP463" i="1" s="1"/>
  <c r="Y404" i="1"/>
  <c r="Y405" i="1"/>
  <c r="X47" i="1"/>
  <c r="H13" i="6"/>
  <c r="H14" i="6" s="1"/>
  <c r="G16" i="6"/>
  <c r="G17" i="6" s="1"/>
  <c r="W85" i="1"/>
  <c r="AP123" i="1"/>
  <c r="AP219" i="1"/>
  <c r="V414" i="1"/>
  <c r="AP411" i="1"/>
  <c r="AP414" i="1" s="1"/>
  <c r="AP415" i="1" s="1"/>
  <c r="U327" i="1"/>
  <c r="U350" i="1" s="1"/>
  <c r="U359" i="1" s="1"/>
  <c r="U435" i="1"/>
  <c r="E39" i="6"/>
  <c r="U443" i="1"/>
  <c r="U452" i="1" s="1"/>
  <c r="U448" i="1"/>
  <c r="U467" i="1"/>
  <c r="U468" i="1" s="1"/>
  <c r="V317" i="1"/>
  <c r="AP317" i="1" s="1"/>
  <c r="AP349" i="1"/>
  <c r="V430" i="1"/>
  <c r="AP430" i="1" s="1"/>
  <c r="T143" i="1"/>
  <c r="V393" i="1"/>
  <c r="AP358" i="1"/>
  <c r="W419" i="1" l="1"/>
  <c r="W460" i="1"/>
  <c r="W463" i="1" s="1"/>
  <c r="E40" i="6"/>
  <c r="X65" i="1"/>
  <c r="X84" i="1" s="1"/>
  <c r="Y110" i="1"/>
  <c r="Z403" i="1"/>
  <c r="Y23" i="1"/>
  <c r="AP419" i="1"/>
  <c r="AP423" i="1" s="1"/>
  <c r="V423" i="1"/>
  <c r="F36" i="6"/>
  <c r="E36" i="7"/>
  <c r="V415" i="1"/>
  <c r="U367" i="1"/>
  <c r="U449" i="1"/>
  <c r="E42" i="6"/>
  <c r="T189" i="1"/>
  <c r="T191" i="1" s="1"/>
  <c r="T193" i="1" s="1"/>
  <c r="T145" i="1"/>
  <c r="D31" i="6"/>
  <c r="D32" i="6" s="1"/>
  <c r="U453" i="1"/>
  <c r="E45" i="6"/>
  <c r="V157" i="1"/>
  <c r="AP157" i="1" s="1"/>
  <c r="AP393" i="1"/>
  <c r="U469" i="1"/>
  <c r="E43" i="6" l="1"/>
  <c r="E46" i="6"/>
  <c r="Y60" i="1"/>
  <c r="Y62" i="1" s="1"/>
  <c r="Y26" i="1"/>
  <c r="Y28" i="1" s="1"/>
  <c r="Z404" i="1"/>
  <c r="Z405" i="1"/>
  <c r="Y158" i="1"/>
  <c r="X85" i="1"/>
  <c r="H16" i="6"/>
  <c r="H17" i="6" s="1"/>
  <c r="X86" i="1"/>
  <c r="F37" i="6"/>
  <c r="E37" i="7"/>
  <c r="T99" i="1"/>
  <c r="U192" i="1"/>
  <c r="X460" i="1" l="1"/>
  <c r="X463" i="1" s="1"/>
  <c r="X419" i="1"/>
  <c r="X445" i="1"/>
  <c r="Z110" i="1"/>
  <c r="AA403" i="1"/>
  <c r="AA404" i="1" s="1"/>
  <c r="Z23" i="1"/>
  <c r="AQ404" i="1"/>
  <c r="AQ405" i="1" s="1"/>
  <c r="AR403" i="1" s="1"/>
  <c r="Y47" i="1"/>
  <c r="I13" i="6"/>
  <c r="I14" i="6" s="1"/>
  <c r="U397" i="1"/>
  <c r="T104" i="1"/>
  <c r="T194" i="1"/>
  <c r="D20" i="6"/>
  <c r="Y65" i="1" l="1"/>
  <c r="Y84" i="1" s="1"/>
  <c r="Z60" i="1"/>
  <c r="Z62" i="1" s="1"/>
  <c r="Z26" i="1"/>
  <c r="Z28" i="1" s="1"/>
  <c r="AQ23" i="1"/>
  <c r="AQ26" i="1" s="1"/>
  <c r="AQ28" i="1" s="1"/>
  <c r="F13" i="7" s="1"/>
  <c r="F14" i="7" s="1"/>
  <c r="H24" i="17"/>
  <c r="H28" i="17" s="1"/>
  <c r="AA405" i="1"/>
  <c r="AA23" i="1"/>
  <c r="AQ110" i="1"/>
  <c r="Z158" i="1"/>
  <c r="AQ158" i="1" s="1"/>
  <c r="T114" i="1"/>
  <c r="T216" i="1"/>
  <c r="AA60" i="1" l="1"/>
  <c r="AA62" i="1" s="1"/>
  <c r="AA26" i="1"/>
  <c r="AA28" i="1" s="1"/>
  <c r="AA110" i="1"/>
  <c r="AB403" i="1"/>
  <c r="J13" i="6"/>
  <c r="J14" i="6" s="1"/>
  <c r="Z47" i="1"/>
  <c r="Y85" i="1"/>
  <c r="I16" i="6"/>
  <c r="I17" i="6" s="1"/>
  <c r="Y86" i="1"/>
  <c r="T146" i="1"/>
  <c r="D22" i="6"/>
  <c r="Y460" i="1" l="1"/>
  <c r="Y463" i="1" s="1"/>
  <c r="Y419" i="1"/>
  <c r="Y445" i="1"/>
  <c r="Z65" i="1"/>
  <c r="Z84" i="1" s="1"/>
  <c r="AQ47" i="1"/>
  <c r="AB404" i="1"/>
  <c r="AB405" i="1"/>
  <c r="AA158" i="1"/>
  <c r="K13" i="6"/>
  <c r="K14" i="6" s="1"/>
  <c r="AA47" i="1"/>
  <c r="D21" i="6"/>
  <c r="D33" i="6"/>
  <c r="AA65" i="1" l="1"/>
  <c r="AA84" i="1" s="1"/>
  <c r="AB110" i="1"/>
  <c r="AC403" i="1"/>
  <c r="AB23" i="1"/>
  <c r="AQ65" i="1"/>
  <c r="AQ84" i="1" s="1"/>
  <c r="H25" i="17"/>
  <c r="Z85" i="1"/>
  <c r="J16" i="6"/>
  <c r="J17" i="6" s="1"/>
  <c r="H17" i="17"/>
  <c r="Z86" i="1"/>
  <c r="AQ306" i="1"/>
  <c r="W421" i="1"/>
  <c r="W423" i="1" s="1"/>
  <c r="X421" i="1"/>
  <c r="X423" i="1" s="1"/>
  <c r="Y421" i="1"/>
  <c r="Y423" i="1" s="1"/>
  <c r="Z421" i="1"/>
  <c r="AA86" i="1" l="1"/>
  <c r="AA445" i="1" s="1"/>
  <c r="Z419" i="1"/>
  <c r="Z445" i="1"/>
  <c r="AQ445" i="1" s="1"/>
  <c r="Z460" i="1"/>
  <c r="Z463" i="1" s="1"/>
  <c r="H26" i="17"/>
  <c r="H27" i="17" s="1"/>
  <c r="H31" i="17" s="1"/>
  <c r="H32" i="17" s="1"/>
  <c r="H23" i="17"/>
  <c r="AQ85" i="1"/>
  <c r="AQ460" i="1"/>
  <c r="AQ463" i="1" s="1"/>
  <c r="F16" i="7"/>
  <c r="F17" i="7" s="1"/>
  <c r="AB60" i="1"/>
  <c r="AB62" i="1" s="1"/>
  <c r="AB26" i="1"/>
  <c r="AB28" i="1" s="1"/>
  <c r="AC404" i="1"/>
  <c r="AC405" i="1" s="1"/>
  <c r="AB158" i="1"/>
  <c r="AA85" i="1"/>
  <c r="K16" i="6"/>
  <c r="K17" i="6" s="1"/>
  <c r="AQ421" i="1"/>
  <c r="AP166" i="1"/>
  <c r="AA460" i="1" l="1"/>
  <c r="AA463" i="1" s="1"/>
  <c r="AA419" i="1"/>
  <c r="AC110" i="1"/>
  <c r="AD403" i="1"/>
  <c r="AD404" i="1" s="1"/>
  <c r="AR404" i="1" s="1"/>
  <c r="AR405" i="1" s="1"/>
  <c r="AS403" i="1" s="1"/>
  <c r="AC23" i="1"/>
  <c r="AB47" i="1"/>
  <c r="L13" i="6"/>
  <c r="L14" i="6" s="1"/>
  <c r="AQ419" i="1"/>
  <c r="AQ423" i="1" s="1"/>
  <c r="Z423" i="1"/>
  <c r="AB65" i="1" l="1"/>
  <c r="AB84" i="1" s="1"/>
  <c r="AC60" i="1"/>
  <c r="AC62" i="1" s="1"/>
  <c r="AC26" i="1"/>
  <c r="AC28" i="1" s="1"/>
  <c r="AD405" i="1"/>
  <c r="AD23" i="1"/>
  <c r="AC158" i="1"/>
  <c r="AD60" i="1" l="1"/>
  <c r="AD62" i="1" s="1"/>
  <c r="AD26" i="1"/>
  <c r="AD28" i="1" s="1"/>
  <c r="I24" i="17"/>
  <c r="I28" i="17" s="1"/>
  <c r="AR23" i="1"/>
  <c r="AR26" i="1" s="1"/>
  <c r="AR28" i="1" s="1"/>
  <c r="AD110" i="1"/>
  <c r="AE403" i="1"/>
  <c r="AE404" i="1" s="1"/>
  <c r="AC47" i="1"/>
  <c r="M13" i="6"/>
  <c r="M14" i="6" s="1"/>
  <c r="L16" i="6"/>
  <c r="L17" i="6" s="1"/>
  <c r="AB85" i="1"/>
  <c r="AB86" i="1"/>
  <c r="AB419" i="1" l="1"/>
  <c r="AB460" i="1"/>
  <c r="AB463" i="1" s="1"/>
  <c r="AB445" i="1"/>
  <c r="AC65" i="1"/>
  <c r="AC84" i="1" s="1"/>
  <c r="AE405" i="1"/>
  <c r="AE23" i="1"/>
  <c r="AR110" i="1"/>
  <c r="AD158" i="1"/>
  <c r="AR158" i="1" s="1"/>
  <c r="G13" i="7"/>
  <c r="G14" i="7" s="1"/>
  <c r="AD47" i="1"/>
  <c r="N13" i="6"/>
  <c r="N14" i="6" s="1"/>
  <c r="AD65" i="1" l="1"/>
  <c r="AD84" i="1" s="1"/>
  <c r="AR47" i="1"/>
  <c r="AE60" i="1"/>
  <c r="AE62" i="1" s="1"/>
  <c r="AE26" i="1"/>
  <c r="AE28" i="1" s="1"/>
  <c r="AE110" i="1"/>
  <c r="AF403" i="1"/>
  <c r="AF404" i="1" s="1"/>
  <c r="M16" i="6"/>
  <c r="M17" i="6" s="1"/>
  <c r="AC85" i="1"/>
  <c r="AC86" i="1"/>
  <c r="I17" i="17" l="1"/>
  <c r="AD86" i="1"/>
  <c r="AD419" i="1" s="1"/>
  <c r="AC419" i="1"/>
  <c r="AC445" i="1"/>
  <c r="AC460" i="1"/>
  <c r="AC463" i="1" s="1"/>
  <c r="AF405" i="1"/>
  <c r="AF23" i="1"/>
  <c r="AE158" i="1"/>
  <c r="AE47" i="1"/>
  <c r="O13" i="6"/>
  <c r="O14" i="6" s="1"/>
  <c r="I25" i="17"/>
  <c r="AR65" i="1"/>
  <c r="AR84" i="1" s="1"/>
  <c r="N16" i="6"/>
  <c r="N17" i="6" s="1"/>
  <c r="AD85" i="1"/>
  <c r="AD445" i="1" l="1"/>
  <c r="AR445" i="1" s="1"/>
  <c r="AD460" i="1"/>
  <c r="AD463" i="1" s="1"/>
  <c r="G16" i="7"/>
  <c r="G17" i="7" s="1"/>
  <c r="AR85" i="1"/>
  <c r="AR460" i="1"/>
  <c r="AR463" i="1" s="1"/>
  <c r="I26" i="17"/>
  <c r="I27" i="17" s="1"/>
  <c r="I31" i="17" s="1"/>
  <c r="I32" i="17" s="1"/>
  <c r="I23" i="17"/>
  <c r="AE65" i="1"/>
  <c r="AE84" i="1" s="1"/>
  <c r="AF60" i="1"/>
  <c r="AF62" i="1" s="1"/>
  <c r="AF26" i="1"/>
  <c r="AF28" i="1" s="1"/>
  <c r="AF110" i="1"/>
  <c r="AF158" i="1" s="1"/>
  <c r="AG403" i="1"/>
  <c r="AG404" i="1" s="1"/>
  <c r="AR419" i="1"/>
  <c r="AG405" i="1" l="1"/>
  <c r="AG23" i="1"/>
  <c r="AF47" i="1"/>
  <c r="P13" i="6"/>
  <c r="P14" i="6" s="1"/>
  <c r="O16" i="6"/>
  <c r="O17" i="6" s="1"/>
  <c r="AE85" i="1"/>
  <c r="AE86" i="1"/>
  <c r="AE445" i="1" l="1"/>
  <c r="AE460" i="1"/>
  <c r="AE463" i="1" s="1"/>
  <c r="AE419" i="1"/>
  <c r="AF65" i="1"/>
  <c r="AF84" i="1" s="1"/>
  <c r="AG60" i="1"/>
  <c r="AG62" i="1" s="1"/>
  <c r="AG26" i="1"/>
  <c r="AG28" i="1" s="1"/>
  <c r="AG110" i="1"/>
  <c r="AH403" i="1"/>
  <c r="AH404" i="1" s="1"/>
  <c r="AH405" i="1" l="1"/>
  <c r="AH23" i="1"/>
  <c r="AS404" i="1"/>
  <c r="AS405" i="1" s="1"/>
  <c r="AT403" i="1" s="1"/>
  <c r="AG158" i="1"/>
  <c r="AG47" i="1"/>
  <c r="Q13" i="6"/>
  <c r="Q14" i="6" s="1"/>
  <c r="P16" i="6"/>
  <c r="P17" i="6" s="1"/>
  <c r="AF85" i="1"/>
  <c r="AF86" i="1"/>
  <c r="AF460" i="1" l="1"/>
  <c r="AF463" i="1" s="1"/>
  <c r="AF419" i="1"/>
  <c r="AF445" i="1"/>
  <c r="AG65" i="1"/>
  <c r="AG84" i="1" s="1"/>
  <c r="AH60" i="1"/>
  <c r="AH62" i="1" s="1"/>
  <c r="AH26" i="1"/>
  <c r="AH28" i="1" s="1"/>
  <c r="J24" i="17"/>
  <c r="J28" i="17" s="1"/>
  <c r="AS23" i="1"/>
  <c r="AS26" i="1" s="1"/>
  <c r="AS28" i="1" s="1"/>
  <c r="AH110" i="1"/>
  <c r="AI403" i="1"/>
  <c r="AI404" i="1" s="1"/>
  <c r="AI405" i="1" l="1"/>
  <c r="AI23" i="1"/>
  <c r="AS110" i="1"/>
  <c r="AH158" i="1"/>
  <c r="AS158" i="1" s="1"/>
  <c r="H13" i="7"/>
  <c r="H14" i="7" s="1"/>
  <c r="AH47" i="1"/>
  <c r="R13" i="6"/>
  <c r="R14" i="6" s="1"/>
  <c r="Q16" i="6"/>
  <c r="Q17" i="6" s="1"/>
  <c r="AG85" i="1"/>
  <c r="AG86" i="1"/>
  <c r="AG460" i="1" l="1"/>
  <c r="AG463" i="1" s="1"/>
  <c r="AG445" i="1"/>
  <c r="AG419" i="1"/>
  <c r="AH65" i="1"/>
  <c r="AH84" i="1" s="1"/>
  <c r="AS47" i="1"/>
  <c r="AI60" i="1"/>
  <c r="AI62" i="1" s="1"/>
  <c r="AI26" i="1"/>
  <c r="AI28" i="1" s="1"/>
  <c r="AI110" i="1"/>
  <c r="AJ403" i="1"/>
  <c r="AJ404" i="1" l="1"/>
  <c r="AJ405" i="1" s="1"/>
  <c r="AI158" i="1"/>
  <c r="S13" i="6"/>
  <c r="S14" i="6" s="1"/>
  <c r="AI47" i="1"/>
  <c r="J25" i="17"/>
  <c r="AS65" i="1"/>
  <c r="AS84" i="1" s="1"/>
  <c r="AH85" i="1"/>
  <c r="R16" i="6"/>
  <c r="R17" i="6" s="1"/>
  <c r="J17" i="17"/>
  <c r="AH86" i="1"/>
  <c r="AH419" i="1" l="1"/>
  <c r="AH460" i="1"/>
  <c r="AH463" i="1" s="1"/>
  <c r="AH445" i="1"/>
  <c r="AS445" i="1" s="1"/>
  <c r="H16" i="7"/>
  <c r="H17" i="7" s="1"/>
  <c r="AS85" i="1"/>
  <c r="AS460" i="1"/>
  <c r="AS463" i="1" s="1"/>
  <c r="J23" i="17"/>
  <c r="J26" i="17"/>
  <c r="J27" i="17" s="1"/>
  <c r="J31" i="17" s="1"/>
  <c r="J32" i="17" s="1"/>
  <c r="AI65" i="1"/>
  <c r="AJ110" i="1"/>
  <c r="AK403" i="1"/>
  <c r="AJ23" i="1"/>
  <c r="AJ60" i="1" l="1"/>
  <c r="AJ62" i="1" s="1"/>
  <c r="AJ26" i="1"/>
  <c r="AJ28" i="1" s="1"/>
  <c r="AK404" i="1"/>
  <c r="AK405" i="1" s="1"/>
  <c r="AJ158" i="1"/>
  <c r="AI84" i="1"/>
  <c r="AS419" i="1"/>
  <c r="AI85" i="1" l="1"/>
  <c r="S16" i="6"/>
  <c r="S17" i="6" s="1"/>
  <c r="AI86" i="1"/>
  <c r="AK110" i="1"/>
  <c r="AL403" i="1"/>
  <c r="AL404" i="1" s="1"/>
  <c r="AK23" i="1"/>
  <c r="AT404" i="1"/>
  <c r="AT405" i="1" s="1"/>
  <c r="T13" i="6"/>
  <c r="T14" i="6" s="1"/>
  <c r="AJ47" i="1"/>
  <c r="AJ65" i="1" l="1"/>
  <c r="AK60" i="1"/>
  <c r="AK62" i="1" s="1"/>
  <c r="AK26" i="1"/>
  <c r="AK28" i="1" s="1"/>
  <c r="AL405" i="1"/>
  <c r="AL110" i="1" s="1"/>
  <c r="AT110" i="1" s="1"/>
  <c r="AL23" i="1"/>
  <c r="AK158" i="1"/>
  <c r="AI419" i="1"/>
  <c r="AI460" i="1"/>
  <c r="AI463" i="1" s="1"/>
  <c r="AI445" i="1"/>
  <c r="AL158" i="1" l="1"/>
  <c r="AT158" i="1" s="1"/>
  <c r="AL60" i="1"/>
  <c r="AL62" i="1" s="1"/>
  <c r="AL26" i="1"/>
  <c r="AL28" i="1" s="1"/>
  <c r="AT23" i="1"/>
  <c r="AT26" i="1" s="1"/>
  <c r="AT28" i="1" s="1"/>
  <c r="K24" i="17"/>
  <c r="K28" i="17" s="1"/>
  <c r="AK47" i="1"/>
  <c r="U13" i="6"/>
  <c r="U14" i="6" s="1"/>
  <c r="AJ84" i="1"/>
  <c r="AJ85" i="1" l="1"/>
  <c r="T16" i="6"/>
  <c r="T17" i="6" s="1"/>
  <c r="AJ86" i="1"/>
  <c r="AK65" i="1"/>
  <c r="I13" i="7"/>
  <c r="I14" i="7" s="1"/>
  <c r="AL47" i="1"/>
  <c r="V13" i="6"/>
  <c r="V14" i="6" s="1"/>
  <c r="AL65" i="1" l="1"/>
  <c r="AL84" i="1" s="1"/>
  <c r="AT47" i="1"/>
  <c r="AK84" i="1"/>
  <c r="AJ419" i="1"/>
  <c r="AJ460" i="1"/>
  <c r="AJ463" i="1" s="1"/>
  <c r="AJ445" i="1"/>
  <c r="K17" i="17" l="1"/>
  <c r="AK85" i="1"/>
  <c r="U16" i="6"/>
  <c r="U17" i="6" s="1"/>
  <c r="AL86" i="1"/>
  <c r="AK86" i="1"/>
  <c r="K25" i="17"/>
  <c r="AT65" i="1"/>
  <c r="AT84" i="1" s="1"/>
  <c r="V16" i="6"/>
  <c r="V17" i="6" s="1"/>
  <c r="AL85" i="1"/>
  <c r="I16" i="7" l="1"/>
  <c r="AT85" i="1"/>
  <c r="AT460" i="1"/>
  <c r="AT463" i="1" s="1"/>
  <c r="K23" i="17"/>
  <c r="H48" i="17" s="1"/>
  <c r="K26" i="17"/>
  <c r="K27" i="17" s="1"/>
  <c r="K31" i="17" s="1"/>
  <c r="AK419" i="1"/>
  <c r="AK445" i="1"/>
  <c r="AK460" i="1"/>
  <c r="AK463" i="1" s="1"/>
  <c r="AL419" i="1"/>
  <c r="AL445" i="1"/>
  <c r="AT445" i="1" s="1"/>
  <c r="AL460" i="1"/>
  <c r="AL463" i="1" s="1"/>
  <c r="AT419" i="1" l="1"/>
  <c r="D48" i="17"/>
  <c r="K32" i="17"/>
  <c r="D47" i="17" s="1"/>
  <c r="I17" i="7"/>
  <c r="J17" i="7"/>
  <c r="H47" i="17" l="1"/>
  <c r="H49" i="17" s="1"/>
  <c r="D49" i="17"/>
  <c r="D54" i="17" l="1"/>
  <c r="D51" i="17"/>
  <c r="D53" i="17" s="1"/>
  <c r="H54" i="17"/>
  <c r="H51" i="17"/>
  <c r="H53" i="17" s="1"/>
  <c r="E20" i="7" l="1"/>
  <c r="F20" i="7"/>
  <c r="G20" i="7"/>
  <c r="H20" i="7"/>
  <c r="I20" i="7"/>
  <c r="E21" i="7"/>
  <c r="F21" i="7"/>
  <c r="G21" i="7"/>
  <c r="H21" i="7"/>
  <c r="I21" i="7"/>
  <c r="E22" i="7"/>
  <c r="F22" i="7"/>
  <c r="G22" i="7"/>
  <c r="H22" i="7"/>
  <c r="I22" i="7"/>
  <c r="E24" i="7"/>
  <c r="F24" i="7"/>
  <c r="G24" i="7"/>
  <c r="H24" i="7"/>
  <c r="I24" i="7"/>
  <c r="E25" i="7"/>
  <c r="F25" i="7"/>
  <c r="G25" i="7"/>
  <c r="H25" i="7"/>
  <c r="I25" i="7"/>
  <c r="E26" i="7"/>
  <c r="F26" i="7"/>
  <c r="G26" i="7"/>
  <c r="H26" i="7"/>
  <c r="I26" i="7"/>
  <c r="E27" i="7"/>
  <c r="F27" i="7"/>
  <c r="G27" i="7"/>
  <c r="H27" i="7"/>
  <c r="I27" i="7"/>
  <c r="E28" i="7"/>
  <c r="F28" i="7"/>
  <c r="G28" i="7"/>
  <c r="H28" i="7"/>
  <c r="I28" i="7"/>
  <c r="E29" i="7"/>
  <c r="F29" i="7"/>
  <c r="G29" i="7"/>
  <c r="H29" i="7"/>
  <c r="I29" i="7"/>
  <c r="E31" i="7"/>
  <c r="F31" i="7"/>
  <c r="G31" i="7"/>
  <c r="H31" i="7"/>
  <c r="I31" i="7"/>
  <c r="E32" i="7"/>
  <c r="F32" i="7"/>
  <c r="G32" i="7"/>
  <c r="H32" i="7"/>
  <c r="I32" i="7"/>
  <c r="E33" i="7"/>
  <c r="F33" i="7"/>
  <c r="G33" i="7"/>
  <c r="H33" i="7"/>
  <c r="I33" i="7"/>
  <c r="F36" i="7"/>
  <c r="G36" i="7"/>
  <c r="H36" i="7"/>
  <c r="I36" i="7"/>
  <c r="F37" i="7"/>
  <c r="G37" i="7"/>
  <c r="H37" i="7"/>
  <c r="I37" i="7"/>
  <c r="E39" i="7"/>
  <c r="F39" i="7"/>
  <c r="G39" i="7"/>
  <c r="H39" i="7"/>
  <c r="I39" i="7"/>
  <c r="E40" i="7"/>
  <c r="F40" i="7"/>
  <c r="G40" i="7"/>
  <c r="H40" i="7"/>
  <c r="I40" i="7"/>
  <c r="E42" i="7"/>
  <c r="F42" i="7"/>
  <c r="G42" i="7"/>
  <c r="H42" i="7"/>
  <c r="I42" i="7"/>
  <c r="E43" i="7"/>
  <c r="F43" i="7"/>
  <c r="G43" i="7"/>
  <c r="H43" i="7"/>
  <c r="I43" i="7"/>
  <c r="E45" i="7"/>
  <c r="F45" i="7"/>
  <c r="G45" i="7"/>
  <c r="H45" i="7"/>
  <c r="I45" i="7"/>
  <c r="E46" i="7"/>
  <c r="F46" i="7"/>
  <c r="G46" i="7"/>
  <c r="H46" i="7"/>
  <c r="I46" i="7"/>
  <c r="E49" i="7"/>
  <c r="F49" i="7"/>
  <c r="G49" i="7"/>
  <c r="H49" i="7"/>
  <c r="I49" i="7"/>
  <c r="E50" i="7"/>
  <c r="F50" i="7"/>
  <c r="G50" i="7"/>
  <c r="H50" i="7"/>
  <c r="I50" i="7"/>
  <c r="E51" i="7"/>
  <c r="F51" i="7"/>
  <c r="G51" i="7"/>
  <c r="H51" i="7"/>
  <c r="I51" i="7"/>
  <c r="E52" i="7"/>
  <c r="F52" i="7"/>
  <c r="G52" i="7"/>
  <c r="H52" i="7"/>
  <c r="I52" i="7"/>
  <c r="E53" i="7"/>
  <c r="F53" i="7"/>
  <c r="G53" i="7"/>
  <c r="H53" i="7"/>
  <c r="I53" i="7"/>
  <c r="E55" i="7"/>
  <c r="F55" i="7"/>
  <c r="G55" i="7"/>
  <c r="H55" i="7"/>
  <c r="I55" i="7"/>
  <c r="E56" i="7"/>
  <c r="F56" i="7"/>
  <c r="G56" i="7"/>
  <c r="H56" i="7"/>
  <c r="I56" i="7"/>
  <c r="U33" i="1"/>
  <c r="V33" i="1"/>
  <c r="W33" i="1"/>
  <c r="X33" i="1"/>
  <c r="Y33" i="1"/>
  <c r="Z33" i="1"/>
  <c r="AA33" i="1"/>
  <c r="AB33" i="1"/>
  <c r="AC33" i="1"/>
  <c r="AD33" i="1"/>
  <c r="AE33" i="1"/>
  <c r="AF33" i="1"/>
  <c r="AG33" i="1"/>
  <c r="AH33" i="1"/>
  <c r="AI33" i="1"/>
  <c r="AJ33" i="1"/>
  <c r="AK33" i="1"/>
  <c r="AL33" i="1"/>
  <c r="AP33" i="1"/>
  <c r="AQ33" i="1"/>
  <c r="AR33" i="1"/>
  <c r="AS33" i="1"/>
  <c r="AT33" i="1"/>
  <c r="V34" i="1"/>
  <c r="W34" i="1"/>
  <c r="X34" i="1"/>
  <c r="Y34" i="1"/>
  <c r="Z34" i="1"/>
  <c r="AA34" i="1"/>
  <c r="AB34" i="1"/>
  <c r="AC34" i="1"/>
  <c r="AD34" i="1"/>
  <c r="AE34" i="1"/>
  <c r="AF34" i="1"/>
  <c r="AG34" i="1"/>
  <c r="AH34" i="1"/>
  <c r="AI34" i="1"/>
  <c r="AJ34" i="1"/>
  <c r="AK34" i="1"/>
  <c r="AL34" i="1"/>
  <c r="AP34" i="1"/>
  <c r="AQ34" i="1"/>
  <c r="AR34" i="1"/>
  <c r="AS34" i="1"/>
  <c r="AT34" i="1"/>
  <c r="U36" i="1"/>
  <c r="V36" i="1"/>
  <c r="W36" i="1"/>
  <c r="X36" i="1"/>
  <c r="Y36" i="1"/>
  <c r="Z36" i="1"/>
  <c r="AA36" i="1"/>
  <c r="AB36" i="1"/>
  <c r="AC36" i="1"/>
  <c r="AD36" i="1"/>
  <c r="AE36" i="1"/>
  <c r="AF36" i="1"/>
  <c r="AG36" i="1"/>
  <c r="AH36" i="1"/>
  <c r="AI36" i="1"/>
  <c r="AJ36" i="1"/>
  <c r="AK36" i="1"/>
  <c r="AL36" i="1"/>
  <c r="AP36" i="1"/>
  <c r="AQ36" i="1"/>
  <c r="AR36" i="1"/>
  <c r="AS36" i="1"/>
  <c r="AT36" i="1"/>
  <c r="U38" i="1"/>
  <c r="V38" i="1"/>
  <c r="W38" i="1"/>
  <c r="X38" i="1"/>
  <c r="Y38" i="1"/>
  <c r="Z38" i="1"/>
  <c r="AA38" i="1"/>
  <c r="AB38" i="1"/>
  <c r="AC38" i="1"/>
  <c r="AD38" i="1"/>
  <c r="AE38" i="1"/>
  <c r="AF38" i="1"/>
  <c r="AG38" i="1"/>
  <c r="AH38" i="1"/>
  <c r="AI38" i="1"/>
  <c r="AJ38" i="1"/>
  <c r="AK38" i="1"/>
  <c r="AL38" i="1"/>
  <c r="AP38" i="1"/>
  <c r="AQ38" i="1"/>
  <c r="AR38" i="1"/>
  <c r="AS38" i="1"/>
  <c r="AT38" i="1"/>
  <c r="V40" i="1"/>
  <c r="W40" i="1"/>
  <c r="X40" i="1"/>
  <c r="Y40" i="1"/>
  <c r="Z40" i="1"/>
  <c r="AA40" i="1"/>
  <c r="AB40" i="1"/>
  <c r="AC40" i="1"/>
  <c r="AD40" i="1"/>
  <c r="AE40" i="1"/>
  <c r="AF40" i="1"/>
  <c r="AG40" i="1"/>
  <c r="AH40" i="1"/>
  <c r="AI40" i="1"/>
  <c r="AJ40" i="1"/>
  <c r="AK40" i="1"/>
  <c r="AL40" i="1"/>
  <c r="AP40" i="1"/>
  <c r="AQ40" i="1"/>
  <c r="AR40" i="1"/>
  <c r="AS40" i="1"/>
  <c r="AT40" i="1"/>
  <c r="U41" i="1"/>
  <c r="V41" i="1"/>
  <c r="W41" i="1"/>
  <c r="X41" i="1"/>
  <c r="Y41" i="1"/>
  <c r="Z41" i="1"/>
  <c r="AA41" i="1"/>
  <c r="AB41" i="1"/>
  <c r="AC41" i="1"/>
  <c r="AD41" i="1"/>
  <c r="AE41" i="1"/>
  <c r="AF41" i="1"/>
  <c r="AG41" i="1"/>
  <c r="AH41" i="1"/>
  <c r="AI41" i="1"/>
  <c r="AJ41" i="1"/>
  <c r="AK41" i="1"/>
  <c r="AL41" i="1"/>
  <c r="AP41" i="1"/>
  <c r="AQ41" i="1"/>
  <c r="AR41" i="1"/>
  <c r="AS41" i="1"/>
  <c r="AT41" i="1"/>
  <c r="U99" i="1"/>
  <c r="V99" i="1"/>
  <c r="W99" i="1"/>
  <c r="X99" i="1"/>
  <c r="Y99" i="1"/>
  <c r="Z99" i="1"/>
  <c r="AA99" i="1"/>
  <c r="AB99" i="1"/>
  <c r="AC99" i="1"/>
  <c r="AD99" i="1"/>
  <c r="AE99" i="1"/>
  <c r="AF99" i="1"/>
  <c r="AG99" i="1"/>
  <c r="AH99" i="1"/>
  <c r="AI99" i="1"/>
  <c r="AJ99" i="1"/>
  <c r="AK99" i="1"/>
  <c r="AL99" i="1"/>
  <c r="AP99" i="1"/>
  <c r="AQ99" i="1"/>
  <c r="AR99" i="1"/>
  <c r="AS99" i="1"/>
  <c r="AT99" i="1"/>
  <c r="U100" i="1"/>
  <c r="U104" i="1"/>
  <c r="V104" i="1"/>
  <c r="W104" i="1"/>
  <c r="X104" i="1"/>
  <c r="Y104" i="1"/>
  <c r="Z104" i="1"/>
  <c r="AA104" i="1"/>
  <c r="AB104" i="1"/>
  <c r="AC104" i="1"/>
  <c r="AD104" i="1"/>
  <c r="AE104" i="1"/>
  <c r="AF104" i="1"/>
  <c r="AG104" i="1"/>
  <c r="AH104" i="1"/>
  <c r="AI104" i="1"/>
  <c r="AJ104" i="1"/>
  <c r="AK104" i="1"/>
  <c r="AL104" i="1"/>
  <c r="AP104" i="1"/>
  <c r="AQ104" i="1"/>
  <c r="AR104" i="1"/>
  <c r="AS104" i="1"/>
  <c r="AT104" i="1"/>
  <c r="U108" i="1"/>
  <c r="V108" i="1"/>
  <c r="W108" i="1"/>
  <c r="X108" i="1"/>
  <c r="Y108" i="1"/>
  <c r="Z108" i="1"/>
  <c r="AA108" i="1"/>
  <c r="AB108" i="1"/>
  <c r="AC108" i="1"/>
  <c r="AD108" i="1"/>
  <c r="AE108" i="1"/>
  <c r="AF108" i="1"/>
  <c r="AG108" i="1"/>
  <c r="AH108" i="1"/>
  <c r="AI108" i="1"/>
  <c r="AJ108" i="1"/>
  <c r="AK108" i="1"/>
  <c r="AL108" i="1"/>
  <c r="AP108" i="1"/>
  <c r="AQ108" i="1"/>
  <c r="AR108" i="1"/>
  <c r="AS108" i="1"/>
  <c r="AT108" i="1"/>
  <c r="U114" i="1"/>
  <c r="V114" i="1"/>
  <c r="W114" i="1"/>
  <c r="X114" i="1"/>
  <c r="Y114" i="1"/>
  <c r="Z114" i="1"/>
  <c r="AA114" i="1"/>
  <c r="AB114" i="1"/>
  <c r="AC114" i="1"/>
  <c r="AD114" i="1"/>
  <c r="AE114" i="1"/>
  <c r="AF114" i="1"/>
  <c r="AG114" i="1"/>
  <c r="AH114" i="1"/>
  <c r="AI114" i="1"/>
  <c r="AJ114" i="1"/>
  <c r="AK114" i="1"/>
  <c r="AL114" i="1"/>
  <c r="AP114" i="1"/>
  <c r="AQ114" i="1"/>
  <c r="AR114" i="1"/>
  <c r="AS114" i="1"/>
  <c r="AT114" i="1"/>
  <c r="W121" i="1"/>
  <c r="X121" i="1"/>
  <c r="Y121" i="1"/>
  <c r="Z121" i="1"/>
  <c r="AA121" i="1"/>
  <c r="AB121" i="1"/>
  <c r="AC121" i="1"/>
  <c r="AD121" i="1"/>
  <c r="AE121" i="1"/>
  <c r="AF121" i="1"/>
  <c r="AG121" i="1"/>
  <c r="AH121" i="1"/>
  <c r="AI121" i="1"/>
  <c r="AJ121" i="1"/>
  <c r="AK121" i="1"/>
  <c r="AL121" i="1"/>
  <c r="AQ121" i="1"/>
  <c r="AR121" i="1"/>
  <c r="AS121" i="1"/>
  <c r="AT121" i="1"/>
  <c r="W123" i="1"/>
  <c r="X123" i="1"/>
  <c r="Y123" i="1"/>
  <c r="Z123" i="1"/>
  <c r="AA123" i="1"/>
  <c r="AB123" i="1"/>
  <c r="AC123" i="1"/>
  <c r="AD123" i="1"/>
  <c r="AE123" i="1"/>
  <c r="AF123" i="1"/>
  <c r="AG123" i="1"/>
  <c r="AH123" i="1"/>
  <c r="AI123" i="1"/>
  <c r="AJ123" i="1"/>
  <c r="AK123" i="1"/>
  <c r="AL123" i="1"/>
  <c r="AQ123" i="1"/>
  <c r="AR123" i="1"/>
  <c r="AS123" i="1"/>
  <c r="AT123" i="1"/>
  <c r="V127" i="1"/>
  <c r="W127" i="1"/>
  <c r="X127" i="1"/>
  <c r="Y127" i="1"/>
  <c r="Z127" i="1"/>
  <c r="AA127" i="1"/>
  <c r="AB127" i="1"/>
  <c r="AC127" i="1"/>
  <c r="AD127" i="1"/>
  <c r="AE127" i="1"/>
  <c r="AF127" i="1"/>
  <c r="AG127" i="1"/>
  <c r="AH127" i="1"/>
  <c r="AI127" i="1"/>
  <c r="AJ127" i="1"/>
  <c r="AK127" i="1"/>
  <c r="AL127" i="1"/>
  <c r="AP127" i="1"/>
  <c r="AQ127" i="1"/>
  <c r="AR127" i="1"/>
  <c r="AS127" i="1"/>
  <c r="AT127" i="1"/>
  <c r="V128" i="1"/>
  <c r="W128" i="1"/>
  <c r="X128" i="1"/>
  <c r="Y128" i="1"/>
  <c r="Z128" i="1"/>
  <c r="AA128" i="1"/>
  <c r="AB128" i="1"/>
  <c r="AC128" i="1"/>
  <c r="AD128" i="1"/>
  <c r="AE128" i="1"/>
  <c r="AF128" i="1"/>
  <c r="AG128" i="1"/>
  <c r="AH128" i="1"/>
  <c r="AI128" i="1"/>
  <c r="AJ128" i="1"/>
  <c r="AK128" i="1"/>
  <c r="AL128" i="1"/>
  <c r="AP128" i="1"/>
  <c r="AQ128" i="1"/>
  <c r="AR128" i="1"/>
  <c r="AS128" i="1"/>
  <c r="AT128" i="1"/>
  <c r="V129" i="1"/>
  <c r="W129" i="1"/>
  <c r="X129" i="1"/>
  <c r="Y129" i="1"/>
  <c r="Z129" i="1"/>
  <c r="AA129" i="1"/>
  <c r="AB129" i="1"/>
  <c r="AC129" i="1"/>
  <c r="AD129" i="1"/>
  <c r="AE129" i="1"/>
  <c r="AF129" i="1"/>
  <c r="AG129" i="1"/>
  <c r="AH129" i="1"/>
  <c r="AI129" i="1"/>
  <c r="AJ129" i="1"/>
  <c r="AK129" i="1"/>
  <c r="AL129" i="1"/>
  <c r="AP129" i="1"/>
  <c r="AQ129" i="1"/>
  <c r="AR129" i="1"/>
  <c r="AS129" i="1"/>
  <c r="AT129" i="1"/>
  <c r="V130" i="1"/>
  <c r="W130" i="1"/>
  <c r="X130" i="1"/>
  <c r="Y130" i="1"/>
  <c r="Z130" i="1"/>
  <c r="AA130" i="1"/>
  <c r="AB130" i="1"/>
  <c r="AC130" i="1"/>
  <c r="AD130" i="1"/>
  <c r="AE130" i="1"/>
  <c r="AF130" i="1"/>
  <c r="AG130" i="1"/>
  <c r="AH130" i="1"/>
  <c r="AI130" i="1"/>
  <c r="AJ130" i="1"/>
  <c r="AK130" i="1"/>
  <c r="AL130" i="1"/>
  <c r="AP130" i="1"/>
  <c r="AQ130" i="1"/>
  <c r="AR130" i="1"/>
  <c r="AS130" i="1"/>
  <c r="AT130" i="1"/>
  <c r="V131" i="1"/>
  <c r="W131" i="1"/>
  <c r="X131" i="1"/>
  <c r="Y131" i="1"/>
  <c r="Z131" i="1"/>
  <c r="AA131" i="1"/>
  <c r="AB131" i="1"/>
  <c r="AC131" i="1"/>
  <c r="AD131" i="1"/>
  <c r="AE131" i="1"/>
  <c r="AF131" i="1"/>
  <c r="AG131" i="1"/>
  <c r="AH131" i="1"/>
  <c r="AI131" i="1"/>
  <c r="AJ131" i="1"/>
  <c r="AK131" i="1"/>
  <c r="AL131" i="1"/>
  <c r="AP131" i="1"/>
  <c r="AQ131" i="1"/>
  <c r="AR131" i="1"/>
  <c r="AS131" i="1"/>
  <c r="AT131" i="1"/>
  <c r="U140" i="1"/>
  <c r="V140" i="1"/>
  <c r="W140" i="1"/>
  <c r="X140" i="1"/>
  <c r="Y140" i="1"/>
  <c r="Z140" i="1"/>
  <c r="AA140" i="1"/>
  <c r="AB140" i="1"/>
  <c r="AC140" i="1"/>
  <c r="AD140" i="1"/>
  <c r="AE140" i="1"/>
  <c r="AF140" i="1"/>
  <c r="AG140" i="1"/>
  <c r="AH140" i="1"/>
  <c r="AI140" i="1"/>
  <c r="AJ140" i="1"/>
  <c r="AK140" i="1"/>
  <c r="AL140" i="1"/>
  <c r="AP140" i="1"/>
  <c r="AQ140" i="1"/>
  <c r="AR140" i="1"/>
  <c r="AS140" i="1"/>
  <c r="AT140" i="1"/>
  <c r="U141" i="1"/>
  <c r="V141" i="1"/>
  <c r="W141" i="1"/>
  <c r="X141" i="1"/>
  <c r="Y141" i="1"/>
  <c r="Z141" i="1"/>
  <c r="AA141" i="1"/>
  <c r="AB141" i="1"/>
  <c r="AC141" i="1"/>
  <c r="AD141" i="1"/>
  <c r="AE141" i="1"/>
  <c r="AF141" i="1"/>
  <c r="AG141" i="1"/>
  <c r="AH141" i="1"/>
  <c r="AI141" i="1"/>
  <c r="AJ141" i="1"/>
  <c r="AK141" i="1"/>
  <c r="AL141" i="1"/>
  <c r="AP141" i="1"/>
  <c r="AQ141" i="1"/>
  <c r="AR141" i="1"/>
  <c r="AS141" i="1"/>
  <c r="AT141" i="1"/>
  <c r="U142" i="1"/>
  <c r="U143" i="1"/>
  <c r="V143" i="1"/>
  <c r="W143" i="1"/>
  <c r="X143" i="1"/>
  <c r="Y143" i="1"/>
  <c r="Z143" i="1"/>
  <c r="AA143" i="1"/>
  <c r="AB143" i="1"/>
  <c r="AC143" i="1"/>
  <c r="AD143" i="1"/>
  <c r="AE143" i="1"/>
  <c r="AF143" i="1"/>
  <c r="AG143" i="1"/>
  <c r="AH143" i="1"/>
  <c r="AI143" i="1"/>
  <c r="AJ143" i="1"/>
  <c r="AK143" i="1"/>
  <c r="AL143" i="1"/>
  <c r="AP143" i="1"/>
  <c r="AQ143" i="1"/>
  <c r="AR143" i="1"/>
  <c r="AS143" i="1"/>
  <c r="AT143" i="1"/>
  <c r="U145" i="1"/>
  <c r="V145" i="1"/>
  <c r="W145" i="1"/>
  <c r="X145" i="1"/>
  <c r="Y145" i="1"/>
  <c r="Z145" i="1"/>
  <c r="AA145" i="1"/>
  <c r="AB145" i="1"/>
  <c r="AC145" i="1"/>
  <c r="AD145" i="1"/>
  <c r="AE145" i="1"/>
  <c r="AF145" i="1"/>
  <c r="AG145" i="1"/>
  <c r="AH145" i="1"/>
  <c r="AI145" i="1"/>
  <c r="AJ145" i="1"/>
  <c r="AK145" i="1"/>
  <c r="AL145" i="1"/>
  <c r="AP145" i="1"/>
  <c r="AQ145" i="1"/>
  <c r="AR145" i="1"/>
  <c r="AS145" i="1"/>
  <c r="AT145" i="1"/>
  <c r="U146" i="1"/>
  <c r="V146" i="1"/>
  <c r="W146" i="1"/>
  <c r="X146" i="1"/>
  <c r="Y146" i="1"/>
  <c r="Z146" i="1"/>
  <c r="AA146" i="1"/>
  <c r="AB146" i="1"/>
  <c r="AC146" i="1"/>
  <c r="AD146" i="1"/>
  <c r="AE146" i="1"/>
  <c r="AF146" i="1"/>
  <c r="AG146" i="1"/>
  <c r="AH146" i="1"/>
  <c r="AI146" i="1"/>
  <c r="AJ146" i="1"/>
  <c r="AK146" i="1"/>
  <c r="AL146" i="1"/>
  <c r="AP146" i="1"/>
  <c r="AQ146" i="1"/>
  <c r="AR146" i="1"/>
  <c r="AS146" i="1"/>
  <c r="AT146" i="1"/>
  <c r="U151" i="1"/>
  <c r="V151" i="1"/>
  <c r="W151" i="1"/>
  <c r="X151" i="1"/>
  <c r="Y151" i="1"/>
  <c r="Z151" i="1"/>
  <c r="AA151" i="1"/>
  <c r="AB151" i="1"/>
  <c r="AC151" i="1"/>
  <c r="AD151" i="1"/>
  <c r="AE151" i="1"/>
  <c r="AF151" i="1"/>
  <c r="AG151" i="1"/>
  <c r="AH151" i="1"/>
  <c r="AI151" i="1"/>
  <c r="AJ151" i="1"/>
  <c r="AK151" i="1"/>
  <c r="AL151" i="1"/>
  <c r="AP151" i="1"/>
  <c r="AQ151" i="1"/>
  <c r="AR151" i="1"/>
  <c r="AS151" i="1"/>
  <c r="AT151" i="1"/>
  <c r="W157" i="1"/>
  <c r="X157" i="1"/>
  <c r="Y157" i="1"/>
  <c r="Z157" i="1"/>
  <c r="AA157" i="1"/>
  <c r="AB157" i="1"/>
  <c r="AC157" i="1"/>
  <c r="AD157" i="1"/>
  <c r="AE157" i="1"/>
  <c r="AF157" i="1"/>
  <c r="AG157" i="1"/>
  <c r="AH157" i="1"/>
  <c r="AI157" i="1"/>
  <c r="AJ157" i="1"/>
  <c r="AK157" i="1"/>
  <c r="AL157" i="1"/>
  <c r="AQ157" i="1"/>
  <c r="AR157" i="1"/>
  <c r="AS157" i="1"/>
  <c r="AT157" i="1"/>
  <c r="W166" i="1"/>
  <c r="X166" i="1"/>
  <c r="Y166" i="1"/>
  <c r="Z166" i="1"/>
  <c r="AA166" i="1"/>
  <c r="AB166" i="1"/>
  <c r="AC166" i="1"/>
  <c r="AD166" i="1"/>
  <c r="AE166" i="1"/>
  <c r="AF166" i="1"/>
  <c r="AG166" i="1"/>
  <c r="AH166" i="1"/>
  <c r="AI166" i="1"/>
  <c r="AJ166" i="1"/>
  <c r="AK166" i="1"/>
  <c r="AL166" i="1"/>
  <c r="AQ166" i="1"/>
  <c r="AR166" i="1"/>
  <c r="AS166" i="1"/>
  <c r="AT166" i="1"/>
  <c r="U169" i="1"/>
  <c r="V169" i="1"/>
  <c r="W169" i="1"/>
  <c r="X169" i="1"/>
  <c r="Y169" i="1"/>
  <c r="Z169" i="1"/>
  <c r="AA169" i="1"/>
  <c r="AB169" i="1"/>
  <c r="AC169" i="1"/>
  <c r="AD169" i="1"/>
  <c r="AE169" i="1"/>
  <c r="AF169" i="1"/>
  <c r="AG169" i="1"/>
  <c r="AH169" i="1"/>
  <c r="AI169" i="1"/>
  <c r="AJ169" i="1"/>
  <c r="AK169" i="1"/>
  <c r="AL169" i="1"/>
  <c r="AP169" i="1"/>
  <c r="AQ169" i="1"/>
  <c r="AR169" i="1"/>
  <c r="AS169" i="1"/>
  <c r="AT169" i="1"/>
  <c r="U175" i="1"/>
  <c r="V175" i="1"/>
  <c r="W175" i="1"/>
  <c r="X175" i="1"/>
  <c r="Y175" i="1"/>
  <c r="Z175" i="1"/>
  <c r="AA175" i="1"/>
  <c r="AB175" i="1"/>
  <c r="AC175" i="1"/>
  <c r="AD175" i="1"/>
  <c r="AE175" i="1"/>
  <c r="AF175" i="1"/>
  <c r="AG175" i="1"/>
  <c r="AH175" i="1"/>
  <c r="AI175" i="1"/>
  <c r="AJ175" i="1"/>
  <c r="AK175" i="1"/>
  <c r="AL175" i="1"/>
  <c r="AP175" i="1"/>
  <c r="AQ175" i="1"/>
  <c r="AR175" i="1"/>
  <c r="AS175" i="1"/>
  <c r="AT175" i="1"/>
  <c r="U176" i="1"/>
  <c r="V176" i="1"/>
  <c r="W176" i="1"/>
  <c r="X176" i="1"/>
  <c r="Y176" i="1"/>
  <c r="Z176" i="1"/>
  <c r="AA176" i="1"/>
  <c r="AB176" i="1"/>
  <c r="AC176" i="1"/>
  <c r="AD176" i="1"/>
  <c r="AE176" i="1"/>
  <c r="AF176" i="1"/>
  <c r="AG176" i="1"/>
  <c r="AH176" i="1"/>
  <c r="AI176" i="1"/>
  <c r="AJ176" i="1"/>
  <c r="AK176" i="1"/>
  <c r="AL176" i="1"/>
  <c r="AP176" i="1"/>
  <c r="AQ176" i="1"/>
  <c r="AR176" i="1"/>
  <c r="AS176" i="1"/>
  <c r="AT176" i="1"/>
  <c r="V179" i="1"/>
  <c r="W179" i="1"/>
  <c r="X179" i="1"/>
  <c r="Y179" i="1"/>
  <c r="Z179" i="1"/>
  <c r="AA179" i="1"/>
  <c r="AB179" i="1"/>
  <c r="AC179" i="1"/>
  <c r="AD179" i="1"/>
  <c r="AE179" i="1"/>
  <c r="AF179" i="1"/>
  <c r="AG179" i="1"/>
  <c r="AH179" i="1"/>
  <c r="AI179" i="1"/>
  <c r="AJ179" i="1"/>
  <c r="AK179" i="1"/>
  <c r="AL179" i="1"/>
  <c r="AP179" i="1"/>
  <c r="AQ179" i="1"/>
  <c r="AR179" i="1"/>
  <c r="AS179" i="1"/>
  <c r="AT179" i="1"/>
  <c r="V180" i="1"/>
  <c r="W180" i="1"/>
  <c r="X180" i="1"/>
  <c r="Y180" i="1"/>
  <c r="Z180" i="1"/>
  <c r="AA180" i="1"/>
  <c r="AB180" i="1"/>
  <c r="AC180" i="1"/>
  <c r="AD180" i="1"/>
  <c r="AE180" i="1"/>
  <c r="AF180" i="1"/>
  <c r="AG180" i="1"/>
  <c r="AH180" i="1"/>
  <c r="AI180" i="1"/>
  <c r="AJ180" i="1"/>
  <c r="AK180" i="1"/>
  <c r="AL180" i="1"/>
  <c r="AP180" i="1"/>
  <c r="AQ180" i="1"/>
  <c r="AR180" i="1"/>
  <c r="AS180" i="1"/>
  <c r="AT180" i="1"/>
  <c r="V181" i="1"/>
  <c r="W181" i="1"/>
  <c r="X181" i="1"/>
  <c r="Y181" i="1"/>
  <c r="Z181" i="1"/>
  <c r="AA181" i="1"/>
  <c r="AB181" i="1"/>
  <c r="AC181" i="1"/>
  <c r="AD181" i="1"/>
  <c r="AE181" i="1"/>
  <c r="AF181" i="1"/>
  <c r="AG181" i="1"/>
  <c r="AH181" i="1"/>
  <c r="AI181" i="1"/>
  <c r="AJ181" i="1"/>
  <c r="AK181" i="1"/>
  <c r="AL181" i="1"/>
  <c r="AP181" i="1"/>
  <c r="AQ181" i="1"/>
  <c r="AR181" i="1"/>
  <c r="AS181" i="1"/>
  <c r="AT181" i="1"/>
  <c r="V182" i="1"/>
  <c r="W182" i="1"/>
  <c r="X182" i="1"/>
  <c r="Y182" i="1"/>
  <c r="Z182" i="1"/>
  <c r="AA182" i="1"/>
  <c r="AB182" i="1"/>
  <c r="AC182" i="1"/>
  <c r="AD182" i="1"/>
  <c r="AE182" i="1"/>
  <c r="AF182" i="1"/>
  <c r="AG182" i="1"/>
  <c r="AH182" i="1"/>
  <c r="AI182" i="1"/>
  <c r="AJ182" i="1"/>
  <c r="AK182" i="1"/>
  <c r="AL182" i="1"/>
  <c r="AP182" i="1"/>
  <c r="AQ182" i="1"/>
  <c r="AR182" i="1"/>
  <c r="AS182" i="1"/>
  <c r="AT182" i="1"/>
  <c r="U186" i="1"/>
  <c r="V186" i="1"/>
  <c r="W186" i="1"/>
  <c r="X186" i="1"/>
  <c r="Y186" i="1"/>
  <c r="Z186" i="1"/>
  <c r="AA186" i="1"/>
  <c r="AB186" i="1"/>
  <c r="AC186" i="1"/>
  <c r="AD186" i="1"/>
  <c r="AE186" i="1"/>
  <c r="AF186" i="1"/>
  <c r="AG186" i="1"/>
  <c r="AH186" i="1"/>
  <c r="AI186" i="1"/>
  <c r="AJ186" i="1"/>
  <c r="AK186" i="1"/>
  <c r="AL186" i="1"/>
  <c r="AP186" i="1"/>
  <c r="AQ186" i="1"/>
  <c r="AR186" i="1"/>
  <c r="AS186" i="1"/>
  <c r="AT186" i="1"/>
  <c r="U187" i="1"/>
  <c r="V187" i="1"/>
  <c r="W187" i="1"/>
  <c r="X187" i="1"/>
  <c r="Y187" i="1"/>
  <c r="Z187" i="1"/>
  <c r="AA187" i="1"/>
  <c r="AB187" i="1"/>
  <c r="AC187" i="1"/>
  <c r="AD187" i="1"/>
  <c r="AE187" i="1"/>
  <c r="AF187" i="1"/>
  <c r="AG187" i="1"/>
  <c r="AH187" i="1"/>
  <c r="AI187" i="1"/>
  <c r="AJ187" i="1"/>
  <c r="AK187" i="1"/>
  <c r="AL187" i="1"/>
  <c r="AP187" i="1"/>
  <c r="AQ187" i="1"/>
  <c r="AR187" i="1"/>
  <c r="AS187" i="1"/>
  <c r="AT187" i="1"/>
  <c r="U188" i="1"/>
  <c r="V188" i="1"/>
  <c r="AP188" i="1"/>
  <c r="U189" i="1"/>
  <c r="V189" i="1"/>
  <c r="W189" i="1"/>
  <c r="X189" i="1"/>
  <c r="Y189" i="1"/>
  <c r="Z189" i="1"/>
  <c r="AA189" i="1"/>
  <c r="AB189" i="1"/>
  <c r="AC189" i="1"/>
  <c r="AD189" i="1"/>
  <c r="AE189" i="1"/>
  <c r="AF189" i="1"/>
  <c r="AG189" i="1"/>
  <c r="AH189" i="1"/>
  <c r="AI189" i="1"/>
  <c r="AJ189" i="1"/>
  <c r="AK189" i="1"/>
  <c r="AL189" i="1"/>
  <c r="AP189" i="1"/>
  <c r="AQ189" i="1"/>
  <c r="AR189" i="1"/>
  <c r="AS189" i="1"/>
  <c r="AT189" i="1"/>
  <c r="U191" i="1"/>
  <c r="V191" i="1"/>
  <c r="W191" i="1"/>
  <c r="X191" i="1"/>
  <c r="Y191" i="1"/>
  <c r="Z191" i="1"/>
  <c r="AA191" i="1"/>
  <c r="AB191" i="1"/>
  <c r="AC191" i="1"/>
  <c r="AD191" i="1"/>
  <c r="AE191" i="1"/>
  <c r="AF191" i="1"/>
  <c r="AG191" i="1"/>
  <c r="AH191" i="1"/>
  <c r="AI191" i="1"/>
  <c r="AJ191" i="1"/>
  <c r="AK191" i="1"/>
  <c r="AL191" i="1"/>
  <c r="AP191" i="1"/>
  <c r="AQ191" i="1"/>
  <c r="AR191" i="1"/>
  <c r="AS191" i="1"/>
  <c r="AT191" i="1"/>
  <c r="V192" i="1"/>
  <c r="W192" i="1"/>
  <c r="X192" i="1"/>
  <c r="Y192" i="1"/>
  <c r="Z192" i="1"/>
  <c r="AA192" i="1"/>
  <c r="AB192" i="1"/>
  <c r="AC192" i="1"/>
  <c r="AD192" i="1"/>
  <c r="AE192" i="1"/>
  <c r="AF192" i="1"/>
  <c r="AG192" i="1"/>
  <c r="AH192" i="1"/>
  <c r="AI192" i="1"/>
  <c r="AJ192" i="1"/>
  <c r="AK192" i="1"/>
  <c r="AL192" i="1"/>
  <c r="AQ192" i="1"/>
  <c r="AR192" i="1"/>
  <c r="AS192" i="1"/>
  <c r="AT192" i="1"/>
  <c r="U193" i="1"/>
  <c r="V193" i="1"/>
  <c r="W193" i="1"/>
  <c r="X193" i="1"/>
  <c r="Y193" i="1"/>
  <c r="Z193" i="1"/>
  <c r="AA193" i="1"/>
  <c r="AB193" i="1"/>
  <c r="AC193" i="1"/>
  <c r="AD193" i="1"/>
  <c r="AE193" i="1"/>
  <c r="AF193" i="1"/>
  <c r="AG193" i="1"/>
  <c r="AH193" i="1"/>
  <c r="AI193" i="1"/>
  <c r="AJ193" i="1"/>
  <c r="AK193" i="1"/>
  <c r="AL193" i="1"/>
  <c r="AP193" i="1"/>
  <c r="AQ193" i="1"/>
  <c r="AR193" i="1"/>
  <c r="AS193" i="1"/>
  <c r="AT193" i="1"/>
  <c r="U194" i="1"/>
  <c r="V194" i="1"/>
  <c r="W194" i="1"/>
  <c r="X194" i="1"/>
  <c r="Y194" i="1"/>
  <c r="Z194" i="1"/>
  <c r="AA194" i="1"/>
  <c r="AB194" i="1"/>
  <c r="AC194" i="1"/>
  <c r="AD194" i="1"/>
  <c r="AE194" i="1"/>
  <c r="AF194" i="1"/>
  <c r="AG194" i="1"/>
  <c r="AH194" i="1"/>
  <c r="AI194" i="1"/>
  <c r="AJ194" i="1"/>
  <c r="AK194" i="1"/>
  <c r="AL194" i="1"/>
  <c r="AP194" i="1"/>
  <c r="AQ194" i="1"/>
  <c r="AR194" i="1"/>
  <c r="AS194" i="1"/>
  <c r="AT194" i="1"/>
  <c r="U216" i="1"/>
  <c r="V216" i="1"/>
  <c r="W216" i="1"/>
  <c r="X216" i="1"/>
  <c r="Y216" i="1"/>
  <c r="Z216" i="1"/>
  <c r="AA216" i="1"/>
  <c r="AB216" i="1"/>
  <c r="AC216" i="1"/>
  <c r="AD216" i="1"/>
  <c r="AE216" i="1"/>
  <c r="AF216" i="1"/>
  <c r="AG216" i="1"/>
  <c r="AH216" i="1"/>
  <c r="AI216" i="1"/>
  <c r="AJ216" i="1"/>
  <c r="AK216" i="1"/>
  <c r="AL216" i="1"/>
  <c r="AP216" i="1"/>
  <c r="AQ216" i="1"/>
  <c r="AR216" i="1"/>
  <c r="AS216" i="1"/>
  <c r="AT216" i="1"/>
  <c r="W219" i="1"/>
  <c r="X219" i="1"/>
  <c r="Y219" i="1"/>
  <c r="Z219" i="1"/>
  <c r="AA219" i="1"/>
  <c r="AB219" i="1"/>
  <c r="AC219" i="1"/>
  <c r="AD219" i="1"/>
  <c r="AE219" i="1"/>
  <c r="AF219" i="1"/>
  <c r="AG219" i="1"/>
  <c r="AH219" i="1"/>
  <c r="AI219" i="1"/>
  <c r="AJ219" i="1"/>
  <c r="AK219" i="1"/>
  <c r="AL219" i="1"/>
  <c r="AQ219" i="1"/>
  <c r="AR219" i="1"/>
  <c r="AS219" i="1"/>
  <c r="AT219" i="1"/>
  <c r="W221" i="1"/>
  <c r="X221" i="1"/>
  <c r="Y221" i="1"/>
  <c r="Z221" i="1"/>
  <c r="AA221" i="1"/>
  <c r="AB221" i="1"/>
  <c r="AC221" i="1"/>
  <c r="AD221" i="1"/>
  <c r="AE221" i="1"/>
  <c r="AF221" i="1"/>
  <c r="AG221" i="1"/>
  <c r="AH221" i="1"/>
  <c r="AI221" i="1"/>
  <c r="AJ221" i="1"/>
  <c r="AK221" i="1"/>
  <c r="AL221" i="1"/>
  <c r="AQ221" i="1"/>
  <c r="AR221" i="1"/>
  <c r="AS221" i="1"/>
  <c r="AT221" i="1"/>
  <c r="W222" i="1"/>
  <c r="X222" i="1"/>
  <c r="Y222" i="1"/>
  <c r="Z222" i="1"/>
  <c r="AA222" i="1"/>
  <c r="AB222" i="1"/>
  <c r="AC222" i="1"/>
  <c r="AD222" i="1"/>
  <c r="AE222" i="1"/>
  <c r="AF222" i="1"/>
  <c r="AG222" i="1"/>
  <c r="AH222" i="1"/>
  <c r="AI222" i="1"/>
  <c r="AJ222" i="1"/>
  <c r="AK222" i="1"/>
  <c r="AL222" i="1"/>
  <c r="AQ222" i="1"/>
  <c r="AR222" i="1"/>
  <c r="AS222" i="1"/>
  <c r="AT222" i="1"/>
  <c r="W223" i="1"/>
  <c r="X223" i="1"/>
  <c r="Y223" i="1"/>
  <c r="Z223" i="1"/>
  <c r="AA223" i="1"/>
  <c r="AB223" i="1"/>
  <c r="AC223" i="1"/>
  <c r="AD223" i="1"/>
  <c r="AE223" i="1"/>
  <c r="AF223" i="1"/>
  <c r="AG223" i="1"/>
  <c r="AH223" i="1"/>
  <c r="AI223" i="1"/>
  <c r="AJ223" i="1"/>
  <c r="AK223" i="1"/>
  <c r="AL223" i="1"/>
  <c r="AQ223" i="1"/>
  <c r="AR223" i="1"/>
  <c r="AS223" i="1"/>
  <c r="AT223" i="1"/>
  <c r="W304" i="1"/>
  <c r="X304" i="1"/>
  <c r="Y304" i="1"/>
  <c r="Z304" i="1"/>
  <c r="AA304" i="1"/>
  <c r="AB304" i="1"/>
  <c r="AC304" i="1"/>
  <c r="AD304" i="1"/>
  <c r="AE304" i="1"/>
  <c r="AF304" i="1"/>
  <c r="AG304" i="1"/>
  <c r="AH304" i="1"/>
  <c r="AI304" i="1"/>
  <c r="AJ304" i="1"/>
  <c r="AK304" i="1"/>
  <c r="AL304" i="1"/>
  <c r="AQ304" i="1"/>
  <c r="AR304" i="1"/>
  <c r="AS304" i="1"/>
  <c r="AT304" i="1"/>
  <c r="V305" i="1"/>
  <c r="W305" i="1"/>
  <c r="X305" i="1"/>
  <c r="Y305" i="1"/>
  <c r="Z305" i="1"/>
  <c r="AA305" i="1"/>
  <c r="AB305" i="1"/>
  <c r="AC305" i="1"/>
  <c r="AD305" i="1"/>
  <c r="AE305" i="1"/>
  <c r="AF305" i="1"/>
  <c r="AG305" i="1"/>
  <c r="AH305" i="1"/>
  <c r="AI305" i="1"/>
  <c r="AJ305" i="1"/>
  <c r="AK305" i="1"/>
  <c r="AL305" i="1"/>
  <c r="AP305" i="1"/>
  <c r="AQ305" i="1"/>
  <c r="AR305" i="1"/>
  <c r="AS305" i="1"/>
  <c r="AT305" i="1"/>
  <c r="AA306" i="1"/>
  <c r="AE306" i="1"/>
  <c r="AI306" i="1"/>
  <c r="AR306" i="1"/>
  <c r="AS306" i="1"/>
  <c r="AT306" i="1"/>
  <c r="V307" i="1"/>
  <c r="W307" i="1"/>
  <c r="X307" i="1"/>
  <c r="Y307" i="1"/>
  <c r="Z307" i="1"/>
  <c r="AA307" i="1"/>
  <c r="AB307" i="1"/>
  <c r="AC307" i="1"/>
  <c r="AD307" i="1"/>
  <c r="AE307" i="1"/>
  <c r="AF307" i="1"/>
  <c r="AG307" i="1"/>
  <c r="AH307" i="1"/>
  <c r="AI307" i="1"/>
  <c r="AJ307" i="1"/>
  <c r="AK307" i="1"/>
  <c r="AL307" i="1"/>
  <c r="AP307" i="1"/>
  <c r="AQ307" i="1"/>
  <c r="AR307" i="1"/>
  <c r="AS307" i="1"/>
  <c r="AT307" i="1"/>
  <c r="V312" i="1"/>
  <c r="W312" i="1"/>
  <c r="X312" i="1"/>
  <c r="Y312" i="1"/>
  <c r="Z312" i="1"/>
  <c r="AA312" i="1"/>
  <c r="AB312" i="1"/>
  <c r="AC312" i="1"/>
  <c r="AD312" i="1"/>
  <c r="AE312" i="1"/>
  <c r="AF312" i="1"/>
  <c r="AG312" i="1"/>
  <c r="AH312" i="1"/>
  <c r="AI312" i="1"/>
  <c r="AJ312" i="1"/>
  <c r="AK312" i="1"/>
  <c r="AL312" i="1"/>
  <c r="AP312" i="1"/>
  <c r="AQ312" i="1"/>
  <c r="AR312" i="1"/>
  <c r="AS312" i="1"/>
  <c r="AT312" i="1"/>
  <c r="V313" i="1"/>
  <c r="W313" i="1"/>
  <c r="X313" i="1"/>
  <c r="Y313" i="1"/>
  <c r="Z313" i="1"/>
  <c r="AA313" i="1"/>
  <c r="AB313" i="1"/>
  <c r="AC313" i="1"/>
  <c r="AD313" i="1"/>
  <c r="AE313" i="1"/>
  <c r="AF313" i="1"/>
  <c r="AG313" i="1"/>
  <c r="AH313" i="1"/>
  <c r="AI313" i="1"/>
  <c r="AJ313" i="1"/>
  <c r="AK313" i="1"/>
  <c r="AL313" i="1"/>
  <c r="AP313" i="1"/>
  <c r="AQ313" i="1"/>
  <c r="AR313" i="1"/>
  <c r="AS313" i="1"/>
  <c r="AT313" i="1"/>
  <c r="V314" i="1"/>
  <c r="W314" i="1"/>
  <c r="X314" i="1"/>
  <c r="Y314" i="1"/>
  <c r="Z314" i="1"/>
  <c r="AA314" i="1"/>
  <c r="AB314" i="1"/>
  <c r="AC314" i="1"/>
  <c r="AD314" i="1"/>
  <c r="AE314" i="1"/>
  <c r="AF314" i="1"/>
  <c r="AG314" i="1"/>
  <c r="AH314" i="1"/>
  <c r="AI314" i="1"/>
  <c r="AJ314" i="1"/>
  <c r="AK314" i="1"/>
  <c r="AL314" i="1"/>
  <c r="AP314" i="1"/>
  <c r="AQ314" i="1"/>
  <c r="AR314" i="1"/>
  <c r="AS314" i="1"/>
  <c r="AT314" i="1"/>
  <c r="V315" i="1"/>
  <c r="W315" i="1"/>
  <c r="X315" i="1"/>
  <c r="Y315" i="1"/>
  <c r="Z315" i="1"/>
  <c r="AA315" i="1"/>
  <c r="AB315" i="1"/>
  <c r="AC315" i="1"/>
  <c r="AD315" i="1"/>
  <c r="AE315" i="1"/>
  <c r="AF315" i="1"/>
  <c r="AG315" i="1"/>
  <c r="AH315" i="1"/>
  <c r="AI315" i="1"/>
  <c r="AJ315" i="1"/>
  <c r="AK315" i="1"/>
  <c r="AL315" i="1"/>
  <c r="AP315" i="1"/>
  <c r="AQ315" i="1"/>
  <c r="AR315" i="1"/>
  <c r="AS315" i="1"/>
  <c r="AT315" i="1"/>
  <c r="V316" i="1"/>
  <c r="W316" i="1"/>
  <c r="X316" i="1"/>
  <c r="Y316" i="1"/>
  <c r="Z316" i="1"/>
  <c r="AA316" i="1"/>
  <c r="AB316" i="1"/>
  <c r="AC316" i="1"/>
  <c r="AD316" i="1"/>
  <c r="AE316" i="1"/>
  <c r="AF316" i="1"/>
  <c r="AG316" i="1"/>
  <c r="AH316" i="1"/>
  <c r="AI316" i="1"/>
  <c r="AJ316" i="1"/>
  <c r="AK316" i="1"/>
  <c r="AL316" i="1"/>
  <c r="AP316" i="1"/>
  <c r="AQ316" i="1"/>
  <c r="AR316" i="1"/>
  <c r="AS316" i="1"/>
  <c r="AT316" i="1"/>
  <c r="W317" i="1"/>
  <c r="X317" i="1"/>
  <c r="Y317" i="1"/>
  <c r="Z317" i="1"/>
  <c r="AA317" i="1"/>
  <c r="AB317" i="1"/>
  <c r="AC317" i="1"/>
  <c r="AD317" i="1"/>
  <c r="AE317" i="1"/>
  <c r="AF317" i="1"/>
  <c r="AG317" i="1"/>
  <c r="AH317" i="1"/>
  <c r="AI317" i="1"/>
  <c r="AJ317" i="1"/>
  <c r="AK317" i="1"/>
  <c r="AL317" i="1"/>
  <c r="AQ317" i="1"/>
  <c r="AR317" i="1"/>
  <c r="AS317" i="1"/>
  <c r="AT317" i="1"/>
  <c r="V318" i="1"/>
  <c r="W318" i="1"/>
  <c r="X318" i="1"/>
  <c r="Y318" i="1"/>
  <c r="Z318" i="1"/>
  <c r="AA318" i="1"/>
  <c r="AB318" i="1"/>
  <c r="AC318" i="1"/>
  <c r="AD318" i="1"/>
  <c r="AE318" i="1"/>
  <c r="AF318" i="1"/>
  <c r="AG318" i="1"/>
  <c r="AH318" i="1"/>
  <c r="AI318" i="1"/>
  <c r="AJ318" i="1"/>
  <c r="AK318" i="1"/>
  <c r="AL318" i="1"/>
  <c r="AP318" i="1"/>
  <c r="AQ318" i="1"/>
  <c r="AR318" i="1"/>
  <c r="AS318" i="1"/>
  <c r="AT318" i="1"/>
  <c r="V319" i="1"/>
  <c r="W319" i="1"/>
  <c r="X319" i="1"/>
  <c r="Y319" i="1"/>
  <c r="Z319" i="1"/>
  <c r="AA319" i="1"/>
  <c r="AB319" i="1"/>
  <c r="AC319" i="1"/>
  <c r="AD319" i="1"/>
  <c r="AE319" i="1"/>
  <c r="AF319" i="1"/>
  <c r="AG319" i="1"/>
  <c r="AH319" i="1"/>
  <c r="AI319" i="1"/>
  <c r="AJ319" i="1"/>
  <c r="AK319" i="1"/>
  <c r="AL319" i="1"/>
  <c r="AP319" i="1"/>
  <c r="AQ319" i="1"/>
  <c r="AR319" i="1"/>
  <c r="AS319" i="1"/>
  <c r="AT319" i="1"/>
  <c r="V320" i="1"/>
  <c r="W320" i="1"/>
  <c r="X320" i="1"/>
  <c r="Y320" i="1"/>
  <c r="Z320" i="1"/>
  <c r="AA320" i="1"/>
  <c r="AB320" i="1"/>
  <c r="AC320" i="1"/>
  <c r="AD320" i="1"/>
  <c r="AE320" i="1"/>
  <c r="AF320" i="1"/>
  <c r="AG320" i="1"/>
  <c r="AH320" i="1"/>
  <c r="AI320" i="1"/>
  <c r="AJ320" i="1"/>
  <c r="AK320" i="1"/>
  <c r="AL320" i="1"/>
  <c r="AP320" i="1"/>
  <c r="AQ320" i="1"/>
  <c r="AR320" i="1"/>
  <c r="AS320" i="1"/>
  <c r="AT320" i="1"/>
  <c r="U321" i="1"/>
  <c r="V321" i="1"/>
  <c r="W321" i="1"/>
  <c r="X321" i="1"/>
  <c r="Y321" i="1"/>
  <c r="Z321" i="1"/>
  <c r="AA321" i="1"/>
  <c r="AB321" i="1"/>
  <c r="AC321" i="1"/>
  <c r="AD321" i="1"/>
  <c r="AE321" i="1"/>
  <c r="AF321" i="1"/>
  <c r="AG321" i="1"/>
  <c r="AH321" i="1"/>
  <c r="AI321" i="1"/>
  <c r="AJ321" i="1"/>
  <c r="AK321" i="1"/>
  <c r="AL321" i="1"/>
  <c r="AO321" i="1"/>
  <c r="AP321" i="1"/>
  <c r="AQ321" i="1"/>
  <c r="AR321" i="1"/>
  <c r="AS321" i="1"/>
  <c r="AT321" i="1"/>
  <c r="U323" i="1"/>
  <c r="V323" i="1"/>
  <c r="W323" i="1"/>
  <c r="X323" i="1"/>
  <c r="Y323" i="1"/>
  <c r="Z323" i="1"/>
  <c r="AA323" i="1"/>
  <c r="AB323" i="1"/>
  <c r="AC323" i="1"/>
  <c r="AD323" i="1"/>
  <c r="AE323" i="1"/>
  <c r="AF323" i="1"/>
  <c r="AG323" i="1"/>
  <c r="AH323" i="1"/>
  <c r="AI323" i="1"/>
  <c r="AJ323" i="1"/>
  <c r="AK323" i="1"/>
  <c r="AL323" i="1"/>
  <c r="AP323" i="1"/>
  <c r="AQ323" i="1"/>
  <c r="AR323" i="1"/>
  <c r="AS323" i="1"/>
  <c r="AT323" i="1"/>
  <c r="V324" i="1"/>
  <c r="W326" i="1"/>
  <c r="X326" i="1"/>
  <c r="Y326" i="1"/>
  <c r="Z326" i="1"/>
  <c r="AA326" i="1"/>
  <c r="AB326" i="1"/>
  <c r="AC326" i="1"/>
  <c r="AD326" i="1"/>
  <c r="AE326" i="1"/>
  <c r="AF326" i="1"/>
  <c r="AG326" i="1"/>
  <c r="AH326" i="1"/>
  <c r="AI326" i="1"/>
  <c r="AJ326" i="1"/>
  <c r="AK326" i="1"/>
  <c r="AL326" i="1"/>
  <c r="AQ326" i="1"/>
  <c r="AR326" i="1"/>
  <c r="AS326" i="1"/>
  <c r="AT326" i="1"/>
  <c r="V327" i="1"/>
  <c r="W327" i="1"/>
  <c r="X327" i="1"/>
  <c r="Y327" i="1"/>
  <c r="Z327" i="1"/>
  <c r="AA327" i="1"/>
  <c r="AB327" i="1"/>
  <c r="AC327" i="1"/>
  <c r="AD327" i="1"/>
  <c r="AE327" i="1"/>
  <c r="AF327" i="1"/>
  <c r="AG327" i="1"/>
  <c r="AH327" i="1"/>
  <c r="AI327" i="1"/>
  <c r="AJ327" i="1"/>
  <c r="AK327" i="1"/>
  <c r="AL327" i="1"/>
  <c r="AP327" i="1"/>
  <c r="AQ327" i="1"/>
  <c r="AR327" i="1"/>
  <c r="AS327" i="1"/>
  <c r="AT327" i="1"/>
  <c r="V328" i="1"/>
  <c r="W328" i="1"/>
  <c r="X328" i="1"/>
  <c r="Y328" i="1"/>
  <c r="Z328" i="1"/>
  <c r="AA328" i="1"/>
  <c r="AB328" i="1"/>
  <c r="AC328" i="1"/>
  <c r="AD328" i="1"/>
  <c r="AE328" i="1"/>
  <c r="AF328" i="1"/>
  <c r="AG328" i="1"/>
  <c r="AH328" i="1"/>
  <c r="AI328" i="1"/>
  <c r="AJ328" i="1"/>
  <c r="AK328" i="1"/>
  <c r="AL328" i="1"/>
  <c r="AP328" i="1"/>
  <c r="AQ328" i="1"/>
  <c r="AR328" i="1"/>
  <c r="AS328" i="1"/>
  <c r="AT328" i="1"/>
  <c r="V329" i="1"/>
  <c r="W329" i="1"/>
  <c r="X329" i="1"/>
  <c r="Y329" i="1"/>
  <c r="Z329" i="1"/>
  <c r="AA329" i="1"/>
  <c r="AB329" i="1"/>
  <c r="AC329" i="1"/>
  <c r="AD329" i="1"/>
  <c r="AE329" i="1"/>
  <c r="AF329" i="1"/>
  <c r="AG329" i="1"/>
  <c r="AH329" i="1"/>
  <c r="AI329" i="1"/>
  <c r="AJ329" i="1"/>
  <c r="AK329" i="1"/>
  <c r="AL329" i="1"/>
  <c r="AP329" i="1"/>
  <c r="AQ329" i="1"/>
  <c r="AR329" i="1"/>
  <c r="AS329" i="1"/>
  <c r="AT329" i="1"/>
  <c r="W336" i="1"/>
  <c r="X336" i="1"/>
  <c r="Y336" i="1"/>
  <c r="Z336" i="1"/>
  <c r="AA336" i="1"/>
  <c r="AB336" i="1"/>
  <c r="AC336" i="1"/>
  <c r="AD336" i="1"/>
  <c r="AE336" i="1"/>
  <c r="AF336" i="1"/>
  <c r="AG336" i="1"/>
  <c r="AH336" i="1"/>
  <c r="AI336" i="1"/>
  <c r="AJ336" i="1"/>
  <c r="AK336" i="1"/>
  <c r="AL336" i="1"/>
  <c r="AQ336" i="1"/>
  <c r="AR336" i="1"/>
  <c r="AS336" i="1"/>
  <c r="AT336" i="1"/>
  <c r="V337" i="1"/>
  <c r="W337" i="1"/>
  <c r="X337" i="1"/>
  <c r="Y337" i="1"/>
  <c r="Z337" i="1"/>
  <c r="AA337" i="1"/>
  <c r="AB337" i="1"/>
  <c r="AC337" i="1"/>
  <c r="AD337" i="1"/>
  <c r="AE337" i="1"/>
  <c r="AF337" i="1"/>
  <c r="AG337" i="1"/>
  <c r="AH337" i="1"/>
  <c r="AI337" i="1"/>
  <c r="AJ337" i="1"/>
  <c r="AK337" i="1"/>
  <c r="AL337" i="1"/>
  <c r="AP337" i="1"/>
  <c r="AQ337" i="1"/>
  <c r="AR337" i="1"/>
  <c r="AS337" i="1"/>
  <c r="AT337" i="1"/>
  <c r="V338" i="1"/>
  <c r="W338" i="1"/>
  <c r="X338" i="1"/>
  <c r="Y338" i="1"/>
  <c r="Z338" i="1"/>
  <c r="AA338" i="1"/>
  <c r="AB338" i="1"/>
  <c r="AC338" i="1"/>
  <c r="AD338" i="1"/>
  <c r="AE338" i="1"/>
  <c r="AF338" i="1"/>
  <c r="AG338" i="1"/>
  <c r="AH338" i="1"/>
  <c r="AI338" i="1"/>
  <c r="AJ338" i="1"/>
  <c r="AK338" i="1"/>
  <c r="AL338" i="1"/>
  <c r="AP338" i="1"/>
  <c r="AQ338" i="1"/>
  <c r="AR338" i="1"/>
  <c r="AS338" i="1"/>
  <c r="AT338" i="1"/>
  <c r="V345" i="1"/>
  <c r="W345" i="1"/>
  <c r="X345" i="1"/>
  <c r="Y345" i="1"/>
  <c r="Z345" i="1"/>
  <c r="AA345" i="1"/>
  <c r="AB345" i="1"/>
  <c r="AC345" i="1"/>
  <c r="AD345" i="1"/>
  <c r="AE345" i="1"/>
  <c r="AF345" i="1"/>
  <c r="AG345" i="1"/>
  <c r="AH345" i="1"/>
  <c r="AI345" i="1"/>
  <c r="AJ345" i="1"/>
  <c r="AK345" i="1"/>
  <c r="AL345" i="1"/>
  <c r="AP345" i="1"/>
  <c r="AQ345" i="1"/>
  <c r="AR345" i="1"/>
  <c r="AS345" i="1"/>
  <c r="AT345" i="1"/>
  <c r="W348" i="1"/>
  <c r="X348" i="1"/>
  <c r="Y348" i="1"/>
  <c r="Z348" i="1"/>
  <c r="AA348" i="1"/>
  <c r="AB348" i="1"/>
  <c r="AC348" i="1"/>
  <c r="AD348" i="1"/>
  <c r="AE348" i="1"/>
  <c r="AF348" i="1"/>
  <c r="AG348" i="1"/>
  <c r="AH348" i="1"/>
  <c r="AI348" i="1"/>
  <c r="AJ348" i="1"/>
  <c r="AK348" i="1"/>
  <c r="AL348" i="1"/>
  <c r="AQ348" i="1"/>
  <c r="AR348" i="1"/>
  <c r="AS348" i="1"/>
  <c r="AT348" i="1"/>
  <c r="W349" i="1"/>
  <c r="X349" i="1"/>
  <c r="Y349" i="1"/>
  <c r="Z349" i="1"/>
  <c r="AA349" i="1"/>
  <c r="AB349" i="1"/>
  <c r="AC349" i="1"/>
  <c r="AD349" i="1"/>
  <c r="AE349" i="1"/>
  <c r="AF349" i="1"/>
  <c r="AG349" i="1"/>
  <c r="AH349" i="1"/>
  <c r="AI349" i="1"/>
  <c r="AJ349" i="1"/>
  <c r="AK349" i="1"/>
  <c r="AL349" i="1"/>
  <c r="AQ349" i="1"/>
  <c r="AR349" i="1"/>
  <c r="AS349" i="1"/>
  <c r="AT349" i="1"/>
  <c r="V350" i="1"/>
  <c r="W350" i="1"/>
  <c r="X350" i="1"/>
  <c r="Y350" i="1"/>
  <c r="Z350" i="1"/>
  <c r="AA350" i="1"/>
  <c r="AB350" i="1"/>
  <c r="AC350" i="1"/>
  <c r="AD350" i="1"/>
  <c r="AE350" i="1"/>
  <c r="AF350" i="1"/>
  <c r="AG350" i="1"/>
  <c r="AH350" i="1"/>
  <c r="AI350" i="1"/>
  <c r="AJ350" i="1"/>
  <c r="AK350" i="1"/>
  <c r="AL350" i="1"/>
  <c r="AP350" i="1"/>
  <c r="AQ350" i="1"/>
  <c r="AR350" i="1"/>
  <c r="AS350" i="1"/>
  <c r="AT350" i="1"/>
  <c r="V351" i="1"/>
  <c r="W351" i="1"/>
  <c r="X351" i="1"/>
  <c r="Y351" i="1"/>
  <c r="Z351" i="1"/>
  <c r="AA351" i="1"/>
  <c r="AB351" i="1"/>
  <c r="AC351" i="1"/>
  <c r="AD351" i="1"/>
  <c r="AE351" i="1"/>
  <c r="AF351" i="1"/>
  <c r="AG351" i="1"/>
  <c r="AH351" i="1"/>
  <c r="AI351" i="1"/>
  <c r="AJ351" i="1"/>
  <c r="AK351" i="1"/>
  <c r="AL351" i="1"/>
  <c r="AP351" i="1"/>
  <c r="AQ351" i="1"/>
  <c r="AR351" i="1"/>
  <c r="AS351" i="1"/>
  <c r="AT351" i="1"/>
  <c r="V352" i="1"/>
  <c r="W352" i="1"/>
  <c r="X352" i="1"/>
  <c r="Y352" i="1"/>
  <c r="Z352" i="1"/>
  <c r="AA352" i="1"/>
  <c r="AB352" i="1"/>
  <c r="AC352" i="1"/>
  <c r="AD352" i="1"/>
  <c r="AE352" i="1"/>
  <c r="AF352" i="1"/>
  <c r="AG352" i="1"/>
  <c r="AH352" i="1"/>
  <c r="AI352" i="1"/>
  <c r="AJ352" i="1"/>
  <c r="AK352" i="1"/>
  <c r="AL352" i="1"/>
  <c r="AP352" i="1"/>
  <c r="AQ352" i="1"/>
  <c r="AR352" i="1"/>
  <c r="AS352" i="1"/>
  <c r="AT352" i="1"/>
  <c r="W357" i="1"/>
  <c r="X357" i="1"/>
  <c r="Y357" i="1"/>
  <c r="Z357" i="1"/>
  <c r="AA357" i="1"/>
  <c r="AB357" i="1"/>
  <c r="AC357" i="1"/>
  <c r="AD357" i="1"/>
  <c r="AE357" i="1"/>
  <c r="AF357" i="1"/>
  <c r="AG357" i="1"/>
  <c r="AH357" i="1"/>
  <c r="AI357" i="1"/>
  <c r="AJ357" i="1"/>
  <c r="AK357" i="1"/>
  <c r="AL357" i="1"/>
  <c r="AQ357" i="1"/>
  <c r="AR357" i="1"/>
  <c r="AS357" i="1"/>
  <c r="AT357" i="1"/>
  <c r="W358" i="1"/>
  <c r="X358" i="1"/>
  <c r="Y358" i="1"/>
  <c r="Z358" i="1"/>
  <c r="AA358" i="1"/>
  <c r="AB358" i="1"/>
  <c r="AC358" i="1"/>
  <c r="AD358" i="1"/>
  <c r="AE358" i="1"/>
  <c r="AF358" i="1"/>
  <c r="AG358" i="1"/>
  <c r="AH358" i="1"/>
  <c r="AI358" i="1"/>
  <c r="AJ358" i="1"/>
  <c r="AK358" i="1"/>
  <c r="AL358" i="1"/>
  <c r="AQ358" i="1"/>
  <c r="AR358" i="1"/>
  <c r="AS358" i="1"/>
  <c r="AT358" i="1"/>
  <c r="V359" i="1"/>
  <c r="W359" i="1"/>
  <c r="X359" i="1"/>
  <c r="Y359" i="1"/>
  <c r="Z359" i="1"/>
  <c r="AA359" i="1"/>
  <c r="AB359" i="1"/>
  <c r="AC359" i="1"/>
  <c r="AD359" i="1"/>
  <c r="AE359" i="1"/>
  <c r="AF359" i="1"/>
  <c r="AG359" i="1"/>
  <c r="AH359" i="1"/>
  <c r="AI359" i="1"/>
  <c r="AJ359" i="1"/>
  <c r="AK359" i="1"/>
  <c r="AL359" i="1"/>
  <c r="AP359" i="1"/>
  <c r="AQ359" i="1"/>
  <c r="AR359" i="1"/>
  <c r="AS359" i="1"/>
  <c r="AT359" i="1"/>
  <c r="V360" i="1"/>
  <c r="W360" i="1"/>
  <c r="X360" i="1"/>
  <c r="Y360" i="1"/>
  <c r="Z360" i="1"/>
  <c r="AA360" i="1"/>
  <c r="AB360" i="1"/>
  <c r="AC360" i="1"/>
  <c r="AD360" i="1"/>
  <c r="AE360" i="1"/>
  <c r="AF360" i="1"/>
  <c r="AG360" i="1"/>
  <c r="AH360" i="1"/>
  <c r="AI360" i="1"/>
  <c r="AJ360" i="1"/>
  <c r="AK360" i="1"/>
  <c r="AL360" i="1"/>
  <c r="AP360" i="1"/>
  <c r="AQ360" i="1"/>
  <c r="AR360" i="1"/>
  <c r="AS360" i="1"/>
  <c r="AT360" i="1"/>
  <c r="V361" i="1"/>
  <c r="W361" i="1"/>
  <c r="X361" i="1"/>
  <c r="Y361" i="1"/>
  <c r="Z361" i="1"/>
  <c r="AA361" i="1"/>
  <c r="AB361" i="1"/>
  <c r="AC361" i="1"/>
  <c r="AD361" i="1"/>
  <c r="AE361" i="1"/>
  <c r="AF361" i="1"/>
  <c r="AG361" i="1"/>
  <c r="AH361" i="1"/>
  <c r="AI361" i="1"/>
  <c r="AJ361" i="1"/>
  <c r="AK361" i="1"/>
  <c r="AL361" i="1"/>
  <c r="AP361" i="1"/>
  <c r="AQ361" i="1"/>
  <c r="AR361" i="1"/>
  <c r="AS361" i="1"/>
  <c r="AT361" i="1"/>
  <c r="W366" i="1"/>
  <c r="X366" i="1"/>
  <c r="Y366" i="1"/>
  <c r="Z366" i="1"/>
  <c r="AA366" i="1"/>
  <c r="AB366" i="1"/>
  <c r="AC366" i="1"/>
  <c r="AD366" i="1"/>
  <c r="AE366" i="1"/>
  <c r="AF366" i="1"/>
  <c r="AG366" i="1"/>
  <c r="AH366" i="1"/>
  <c r="AI366" i="1"/>
  <c r="AJ366" i="1"/>
  <c r="AK366" i="1"/>
  <c r="AL366" i="1"/>
  <c r="AQ366" i="1"/>
  <c r="AR366" i="1"/>
  <c r="AS366" i="1"/>
  <c r="AT366" i="1"/>
  <c r="V367" i="1"/>
  <c r="W367" i="1"/>
  <c r="X367" i="1"/>
  <c r="Y367" i="1"/>
  <c r="Z367" i="1"/>
  <c r="AA367" i="1"/>
  <c r="AB367" i="1"/>
  <c r="AC367" i="1"/>
  <c r="AD367" i="1"/>
  <c r="AE367" i="1"/>
  <c r="AF367" i="1"/>
  <c r="AG367" i="1"/>
  <c r="AH367" i="1"/>
  <c r="AI367" i="1"/>
  <c r="AJ367" i="1"/>
  <c r="AK367" i="1"/>
  <c r="AL367" i="1"/>
  <c r="AP367" i="1"/>
  <c r="AQ367" i="1"/>
  <c r="AR367" i="1"/>
  <c r="AS367" i="1"/>
  <c r="AT367" i="1"/>
  <c r="V368" i="1"/>
  <c r="W368" i="1"/>
  <c r="X368" i="1"/>
  <c r="Y368" i="1"/>
  <c r="Z368" i="1"/>
  <c r="AA368" i="1"/>
  <c r="AB368" i="1"/>
  <c r="AC368" i="1"/>
  <c r="AD368" i="1"/>
  <c r="AE368" i="1"/>
  <c r="AF368" i="1"/>
  <c r="AG368" i="1"/>
  <c r="AH368" i="1"/>
  <c r="AI368" i="1"/>
  <c r="AJ368" i="1"/>
  <c r="AK368" i="1"/>
  <c r="AL368" i="1"/>
  <c r="AP368" i="1"/>
  <c r="AQ368" i="1"/>
  <c r="AR368" i="1"/>
  <c r="AS368" i="1"/>
  <c r="AT368" i="1"/>
  <c r="V388" i="1"/>
  <c r="W388" i="1"/>
  <c r="X388" i="1"/>
  <c r="Y388" i="1"/>
  <c r="Z388" i="1"/>
  <c r="AA388" i="1"/>
  <c r="AB388" i="1"/>
  <c r="AC388" i="1"/>
  <c r="AD388" i="1"/>
  <c r="AE388" i="1"/>
  <c r="AF388" i="1"/>
  <c r="AG388" i="1"/>
  <c r="AH388" i="1"/>
  <c r="AI388" i="1"/>
  <c r="AJ388" i="1"/>
  <c r="AK388" i="1"/>
  <c r="AL388" i="1"/>
  <c r="AP388" i="1"/>
  <c r="AQ388" i="1"/>
  <c r="AR388" i="1"/>
  <c r="AS388" i="1"/>
  <c r="AT388" i="1"/>
  <c r="V389" i="1"/>
  <c r="W389" i="1"/>
  <c r="X389" i="1"/>
  <c r="Y389" i="1"/>
  <c r="Z389" i="1"/>
  <c r="AA389" i="1"/>
  <c r="AB389" i="1"/>
  <c r="AC389" i="1"/>
  <c r="AD389" i="1"/>
  <c r="AE389" i="1"/>
  <c r="AF389" i="1"/>
  <c r="AG389" i="1"/>
  <c r="AH389" i="1"/>
  <c r="AI389" i="1"/>
  <c r="AJ389" i="1"/>
  <c r="AK389" i="1"/>
  <c r="AL389" i="1"/>
  <c r="AP389" i="1"/>
  <c r="AQ389" i="1"/>
  <c r="AR389" i="1"/>
  <c r="AS389" i="1"/>
  <c r="AT389" i="1"/>
  <c r="V392" i="1"/>
  <c r="W392" i="1"/>
  <c r="X392" i="1"/>
  <c r="Y392" i="1"/>
  <c r="Z392" i="1"/>
  <c r="AA392" i="1"/>
  <c r="AB392" i="1"/>
  <c r="AC392" i="1"/>
  <c r="AD392" i="1"/>
  <c r="AE392" i="1"/>
  <c r="AF392" i="1"/>
  <c r="AG392" i="1"/>
  <c r="AH392" i="1"/>
  <c r="AI392" i="1"/>
  <c r="AJ392" i="1"/>
  <c r="AK392" i="1"/>
  <c r="AL392" i="1"/>
  <c r="AP392" i="1"/>
  <c r="AQ392" i="1"/>
  <c r="AR392" i="1"/>
  <c r="AS392" i="1"/>
  <c r="AT392" i="1"/>
  <c r="W393" i="1"/>
  <c r="X393" i="1"/>
  <c r="Y393" i="1"/>
  <c r="Z393" i="1"/>
  <c r="AA393" i="1"/>
  <c r="AB393" i="1"/>
  <c r="AC393" i="1"/>
  <c r="AD393" i="1"/>
  <c r="AE393" i="1"/>
  <c r="AF393" i="1"/>
  <c r="AG393" i="1"/>
  <c r="AH393" i="1"/>
  <c r="AI393" i="1"/>
  <c r="AJ393" i="1"/>
  <c r="AK393" i="1"/>
  <c r="AL393" i="1"/>
  <c r="AQ393" i="1"/>
  <c r="AR393" i="1"/>
  <c r="AS393" i="1"/>
  <c r="AT393" i="1"/>
  <c r="V394" i="1"/>
  <c r="W394" i="1"/>
  <c r="X394" i="1"/>
  <c r="Y394" i="1"/>
  <c r="Z394" i="1"/>
  <c r="AA394" i="1"/>
  <c r="AB394" i="1"/>
  <c r="AC394" i="1"/>
  <c r="AD394" i="1"/>
  <c r="AE394" i="1"/>
  <c r="AF394" i="1"/>
  <c r="AG394" i="1"/>
  <c r="AH394" i="1"/>
  <c r="AI394" i="1"/>
  <c r="AJ394" i="1"/>
  <c r="AK394" i="1"/>
  <c r="AL394" i="1"/>
  <c r="AP394" i="1"/>
  <c r="AQ394" i="1"/>
  <c r="AR394" i="1"/>
  <c r="AS394" i="1"/>
  <c r="AT394" i="1"/>
  <c r="V397" i="1"/>
  <c r="W397" i="1"/>
  <c r="X397" i="1"/>
  <c r="Y397" i="1"/>
  <c r="Z397" i="1"/>
  <c r="AA397" i="1"/>
  <c r="AB397" i="1"/>
  <c r="AC397" i="1"/>
  <c r="AD397" i="1"/>
  <c r="AE397" i="1"/>
  <c r="AF397" i="1"/>
  <c r="AG397" i="1"/>
  <c r="AH397" i="1"/>
  <c r="AI397" i="1"/>
  <c r="AJ397" i="1"/>
  <c r="AK397" i="1"/>
  <c r="AL397" i="1"/>
  <c r="AP397" i="1"/>
  <c r="AQ397" i="1"/>
  <c r="AR397" i="1"/>
  <c r="AS397" i="1"/>
  <c r="AT397" i="1"/>
  <c r="U398" i="1"/>
  <c r="V398" i="1"/>
  <c r="W398" i="1"/>
  <c r="X398" i="1"/>
  <c r="Y398" i="1"/>
  <c r="Z398" i="1"/>
  <c r="AA398" i="1"/>
  <c r="AB398" i="1"/>
  <c r="AC398" i="1"/>
  <c r="AD398" i="1"/>
  <c r="AE398" i="1"/>
  <c r="AF398" i="1"/>
  <c r="AG398" i="1"/>
  <c r="AH398" i="1"/>
  <c r="AI398" i="1"/>
  <c r="AJ398" i="1"/>
  <c r="AK398" i="1"/>
  <c r="AL398" i="1"/>
  <c r="AP398" i="1"/>
  <c r="AQ398" i="1"/>
  <c r="AR398" i="1"/>
  <c r="AS398" i="1"/>
  <c r="AT398" i="1"/>
  <c r="U400" i="1"/>
  <c r="V400" i="1"/>
  <c r="W400" i="1"/>
  <c r="X400" i="1"/>
  <c r="Y400" i="1"/>
  <c r="Z400" i="1"/>
  <c r="AA400" i="1"/>
  <c r="AB400" i="1"/>
  <c r="AC400" i="1"/>
  <c r="AD400" i="1"/>
  <c r="AE400" i="1"/>
  <c r="AF400" i="1"/>
  <c r="AG400" i="1"/>
  <c r="AH400" i="1"/>
  <c r="AI400" i="1"/>
  <c r="AJ400" i="1"/>
  <c r="AK400" i="1"/>
  <c r="AL400" i="1"/>
  <c r="AP400" i="1"/>
  <c r="AQ400" i="1"/>
  <c r="AR400" i="1"/>
  <c r="AS400" i="1"/>
  <c r="AT400" i="1"/>
  <c r="W411" i="1"/>
  <c r="X411" i="1"/>
  <c r="Y411" i="1"/>
  <c r="Z411" i="1"/>
  <c r="AA411" i="1"/>
  <c r="AB411" i="1"/>
  <c r="AC411" i="1"/>
  <c r="AD411" i="1"/>
  <c r="AE411" i="1"/>
  <c r="AF411" i="1"/>
  <c r="AG411" i="1"/>
  <c r="AH411" i="1"/>
  <c r="AI411" i="1"/>
  <c r="AJ411" i="1"/>
  <c r="AK411" i="1"/>
  <c r="AL411" i="1"/>
  <c r="AQ411" i="1"/>
  <c r="AR411" i="1"/>
  <c r="AS411" i="1"/>
  <c r="AT411" i="1"/>
  <c r="W414" i="1"/>
  <c r="X414" i="1"/>
  <c r="Y414" i="1"/>
  <c r="Z414" i="1"/>
  <c r="AA414" i="1"/>
  <c r="AB414" i="1"/>
  <c r="AC414" i="1"/>
  <c r="AD414" i="1"/>
  <c r="AE414" i="1"/>
  <c r="AF414" i="1"/>
  <c r="AG414" i="1"/>
  <c r="AH414" i="1"/>
  <c r="AI414" i="1"/>
  <c r="AJ414" i="1"/>
  <c r="AK414" i="1"/>
  <c r="AL414" i="1"/>
  <c r="AQ414" i="1"/>
  <c r="AR414" i="1"/>
  <c r="AS414" i="1"/>
  <c r="AT414" i="1"/>
  <c r="W415" i="1"/>
  <c r="X415" i="1"/>
  <c r="Y415" i="1"/>
  <c r="Z415" i="1"/>
  <c r="AA415" i="1"/>
  <c r="AB415" i="1"/>
  <c r="AC415" i="1"/>
  <c r="AD415" i="1"/>
  <c r="AE415" i="1"/>
  <c r="AF415" i="1"/>
  <c r="AG415" i="1"/>
  <c r="AH415" i="1"/>
  <c r="AI415" i="1"/>
  <c r="AJ415" i="1"/>
  <c r="AK415" i="1"/>
  <c r="AL415" i="1"/>
  <c r="AQ415" i="1"/>
  <c r="AR415" i="1"/>
  <c r="AS415" i="1"/>
  <c r="AT415" i="1"/>
  <c r="AA421" i="1"/>
  <c r="AB421" i="1"/>
  <c r="AC421" i="1"/>
  <c r="AD421" i="1"/>
  <c r="AE421" i="1"/>
  <c r="AF421" i="1"/>
  <c r="AG421" i="1"/>
  <c r="AH421" i="1"/>
  <c r="AI421" i="1"/>
  <c r="AJ421" i="1"/>
  <c r="AK421" i="1"/>
  <c r="AL421" i="1"/>
  <c r="AR421" i="1"/>
  <c r="AS421" i="1"/>
  <c r="AT421" i="1"/>
  <c r="AA423" i="1"/>
  <c r="AB423" i="1"/>
  <c r="AC423" i="1"/>
  <c r="AD423" i="1"/>
  <c r="AE423" i="1"/>
  <c r="AF423" i="1"/>
  <c r="AG423" i="1"/>
  <c r="AH423" i="1"/>
  <c r="AI423" i="1"/>
  <c r="AJ423" i="1"/>
  <c r="AK423" i="1"/>
  <c r="AL423" i="1"/>
  <c r="AR423" i="1"/>
  <c r="AS423" i="1"/>
  <c r="AT423" i="1"/>
  <c r="V426" i="1"/>
  <c r="W426" i="1"/>
  <c r="X426" i="1"/>
  <c r="Y426" i="1"/>
  <c r="Z426" i="1"/>
  <c r="AA426" i="1"/>
  <c r="AB426" i="1"/>
  <c r="AC426" i="1"/>
  <c r="AD426" i="1"/>
  <c r="AE426" i="1"/>
  <c r="AF426" i="1"/>
  <c r="AG426" i="1"/>
  <c r="AH426" i="1"/>
  <c r="AI426" i="1"/>
  <c r="AJ426" i="1"/>
  <c r="AK426" i="1"/>
  <c r="AL426" i="1"/>
  <c r="AP426" i="1"/>
  <c r="AQ426" i="1"/>
  <c r="AR426" i="1"/>
  <c r="AS426" i="1"/>
  <c r="AT426" i="1"/>
  <c r="V427" i="1"/>
  <c r="W427" i="1"/>
  <c r="X427" i="1"/>
  <c r="Y427" i="1"/>
  <c r="Z427" i="1"/>
  <c r="AA427" i="1"/>
  <c r="AB427" i="1"/>
  <c r="AC427" i="1"/>
  <c r="AD427" i="1"/>
  <c r="AE427" i="1"/>
  <c r="AF427" i="1"/>
  <c r="AG427" i="1"/>
  <c r="AH427" i="1"/>
  <c r="AI427" i="1"/>
  <c r="AJ427" i="1"/>
  <c r="AK427" i="1"/>
  <c r="AL427" i="1"/>
  <c r="AP427" i="1"/>
  <c r="AQ427" i="1"/>
  <c r="AR427" i="1"/>
  <c r="AS427" i="1"/>
  <c r="AT427" i="1"/>
  <c r="V429" i="1"/>
  <c r="W429" i="1"/>
  <c r="X429" i="1"/>
  <c r="Y429" i="1"/>
  <c r="Z429" i="1"/>
  <c r="AA429" i="1"/>
  <c r="AB429" i="1"/>
  <c r="AC429" i="1"/>
  <c r="AD429" i="1"/>
  <c r="AE429" i="1"/>
  <c r="AF429" i="1"/>
  <c r="AG429" i="1"/>
  <c r="AH429" i="1"/>
  <c r="AI429" i="1"/>
  <c r="AJ429" i="1"/>
  <c r="AK429" i="1"/>
  <c r="AL429" i="1"/>
  <c r="AP429" i="1"/>
  <c r="AQ429" i="1"/>
  <c r="AR429" i="1"/>
  <c r="AS429" i="1"/>
  <c r="AT429" i="1"/>
  <c r="W430" i="1"/>
  <c r="X430" i="1"/>
  <c r="Y430" i="1"/>
  <c r="Z430" i="1"/>
  <c r="AA430" i="1"/>
  <c r="AB430" i="1"/>
  <c r="AC430" i="1"/>
  <c r="AD430" i="1"/>
  <c r="AE430" i="1"/>
  <c r="AF430" i="1"/>
  <c r="AG430" i="1"/>
  <c r="AH430" i="1"/>
  <c r="AI430" i="1"/>
  <c r="AJ430" i="1"/>
  <c r="AK430" i="1"/>
  <c r="AL430" i="1"/>
  <c r="AQ430" i="1"/>
  <c r="AR430" i="1"/>
  <c r="AS430" i="1"/>
  <c r="AT430" i="1"/>
  <c r="V431" i="1"/>
  <c r="W431" i="1"/>
  <c r="X431" i="1"/>
  <c r="Y431" i="1"/>
  <c r="Z431" i="1"/>
  <c r="AA431" i="1"/>
  <c r="AB431" i="1"/>
  <c r="AC431" i="1"/>
  <c r="AD431" i="1"/>
  <c r="AE431" i="1"/>
  <c r="AF431" i="1"/>
  <c r="AG431" i="1"/>
  <c r="AH431" i="1"/>
  <c r="AI431" i="1"/>
  <c r="AJ431" i="1"/>
  <c r="AK431" i="1"/>
  <c r="AL431" i="1"/>
  <c r="AP431" i="1"/>
  <c r="AQ431" i="1"/>
  <c r="AR431" i="1"/>
  <c r="AS431" i="1"/>
  <c r="AT431" i="1"/>
  <c r="V434" i="1"/>
  <c r="W434" i="1"/>
  <c r="X434" i="1"/>
  <c r="Y434" i="1"/>
  <c r="Z434" i="1"/>
  <c r="AA434" i="1"/>
  <c r="AB434" i="1"/>
  <c r="AC434" i="1"/>
  <c r="AD434" i="1"/>
  <c r="AE434" i="1"/>
  <c r="AF434" i="1"/>
  <c r="AG434" i="1"/>
  <c r="AH434" i="1"/>
  <c r="AI434" i="1"/>
  <c r="AJ434" i="1"/>
  <c r="AK434" i="1"/>
  <c r="AL434" i="1"/>
  <c r="AP434" i="1"/>
  <c r="AQ434" i="1"/>
  <c r="AR434" i="1"/>
  <c r="AS434" i="1"/>
  <c r="AT434" i="1"/>
  <c r="V435" i="1"/>
  <c r="W435" i="1"/>
  <c r="X435" i="1"/>
  <c r="Y435" i="1"/>
  <c r="Z435" i="1"/>
  <c r="AA435" i="1"/>
  <c r="AB435" i="1"/>
  <c r="AC435" i="1"/>
  <c r="AD435" i="1"/>
  <c r="AE435" i="1"/>
  <c r="AF435" i="1"/>
  <c r="AG435" i="1"/>
  <c r="AH435" i="1"/>
  <c r="AI435" i="1"/>
  <c r="AJ435" i="1"/>
  <c r="AK435" i="1"/>
  <c r="AL435" i="1"/>
  <c r="AP435" i="1"/>
  <c r="AQ435" i="1"/>
  <c r="AR435" i="1"/>
  <c r="AS435" i="1"/>
  <c r="AT435" i="1"/>
  <c r="V439" i="1"/>
  <c r="W439" i="1"/>
  <c r="X439" i="1"/>
  <c r="Y439" i="1"/>
  <c r="Z439" i="1"/>
  <c r="AA439" i="1"/>
  <c r="AB439" i="1"/>
  <c r="AC439" i="1"/>
  <c r="AD439" i="1"/>
  <c r="AE439" i="1"/>
  <c r="AF439" i="1"/>
  <c r="AG439" i="1"/>
  <c r="AH439" i="1"/>
  <c r="AI439" i="1"/>
  <c r="AJ439" i="1"/>
  <c r="AK439" i="1"/>
  <c r="AL439" i="1"/>
  <c r="AP439" i="1"/>
  <c r="AQ439" i="1"/>
  <c r="AR439" i="1"/>
  <c r="AS439" i="1"/>
  <c r="AT439" i="1"/>
  <c r="V440" i="1"/>
  <c r="W440" i="1"/>
  <c r="X440" i="1"/>
  <c r="Y440" i="1"/>
  <c r="Z440" i="1"/>
  <c r="AA440" i="1"/>
  <c r="AB440" i="1"/>
  <c r="AC440" i="1"/>
  <c r="AD440" i="1"/>
  <c r="AE440" i="1"/>
  <c r="AF440" i="1"/>
  <c r="AG440" i="1"/>
  <c r="AH440" i="1"/>
  <c r="AI440" i="1"/>
  <c r="AJ440" i="1"/>
  <c r="AK440" i="1"/>
  <c r="AL440" i="1"/>
  <c r="AP440" i="1"/>
  <c r="AQ440" i="1"/>
  <c r="AR440" i="1"/>
  <c r="AS440" i="1"/>
  <c r="AT440" i="1"/>
  <c r="V441" i="1"/>
  <c r="W441" i="1"/>
  <c r="X441" i="1"/>
  <c r="Y441" i="1"/>
  <c r="Z441" i="1"/>
  <c r="AA441" i="1"/>
  <c r="AB441" i="1"/>
  <c r="AC441" i="1"/>
  <c r="AD441" i="1"/>
  <c r="AE441" i="1"/>
  <c r="AF441" i="1"/>
  <c r="AG441" i="1"/>
  <c r="AH441" i="1"/>
  <c r="AI441" i="1"/>
  <c r="AJ441" i="1"/>
  <c r="AK441" i="1"/>
  <c r="AL441" i="1"/>
  <c r="AP441" i="1"/>
  <c r="AQ441" i="1"/>
  <c r="AR441" i="1"/>
  <c r="AS441" i="1"/>
  <c r="AT441" i="1"/>
  <c r="V442" i="1"/>
  <c r="W442" i="1"/>
  <c r="X442" i="1"/>
  <c r="Y442" i="1"/>
  <c r="Z442" i="1"/>
  <c r="AA442" i="1"/>
  <c r="AB442" i="1"/>
  <c r="AC442" i="1"/>
  <c r="AD442" i="1"/>
  <c r="AE442" i="1"/>
  <c r="AF442" i="1"/>
  <c r="AG442" i="1"/>
  <c r="AH442" i="1"/>
  <c r="AI442" i="1"/>
  <c r="AJ442" i="1"/>
  <c r="AK442" i="1"/>
  <c r="AL442" i="1"/>
  <c r="AP442" i="1"/>
  <c r="AQ442" i="1"/>
  <c r="AR442" i="1"/>
  <c r="AS442" i="1"/>
  <c r="AT442" i="1"/>
  <c r="V443" i="1"/>
  <c r="W443" i="1"/>
  <c r="X443" i="1"/>
  <c r="Y443" i="1"/>
  <c r="Z443" i="1"/>
  <c r="AA443" i="1"/>
  <c r="AB443" i="1"/>
  <c r="AC443" i="1"/>
  <c r="AD443" i="1"/>
  <c r="AE443" i="1"/>
  <c r="AF443" i="1"/>
  <c r="AG443" i="1"/>
  <c r="AH443" i="1"/>
  <c r="AI443" i="1"/>
  <c r="AJ443" i="1"/>
  <c r="AK443" i="1"/>
  <c r="AL443" i="1"/>
  <c r="AP443" i="1"/>
  <c r="AQ443" i="1"/>
  <c r="AR443" i="1"/>
  <c r="AS443" i="1"/>
  <c r="AT443" i="1"/>
  <c r="V448" i="1"/>
  <c r="W448" i="1"/>
  <c r="X448" i="1"/>
  <c r="Y448" i="1"/>
  <c r="Z448" i="1"/>
  <c r="AA448" i="1"/>
  <c r="AB448" i="1"/>
  <c r="AC448" i="1"/>
  <c r="AD448" i="1"/>
  <c r="AE448" i="1"/>
  <c r="AF448" i="1"/>
  <c r="AG448" i="1"/>
  <c r="AH448" i="1"/>
  <c r="AI448" i="1"/>
  <c r="AJ448" i="1"/>
  <c r="AK448" i="1"/>
  <c r="AL448" i="1"/>
  <c r="AP448" i="1"/>
  <c r="AQ448" i="1"/>
  <c r="AR448" i="1"/>
  <c r="AS448" i="1"/>
  <c r="AT448" i="1"/>
  <c r="V449" i="1"/>
  <c r="W449" i="1"/>
  <c r="X449" i="1"/>
  <c r="Y449" i="1"/>
  <c r="Z449" i="1"/>
  <c r="AA449" i="1"/>
  <c r="AB449" i="1"/>
  <c r="AC449" i="1"/>
  <c r="AD449" i="1"/>
  <c r="AE449" i="1"/>
  <c r="AF449" i="1"/>
  <c r="AG449" i="1"/>
  <c r="AH449" i="1"/>
  <c r="AI449" i="1"/>
  <c r="AJ449" i="1"/>
  <c r="AK449" i="1"/>
  <c r="AL449" i="1"/>
  <c r="AP449" i="1"/>
  <c r="AQ449" i="1"/>
  <c r="AR449" i="1"/>
  <c r="AS449" i="1"/>
  <c r="AT449" i="1"/>
  <c r="V452" i="1"/>
  <c r="W452" i="1"/>
  <c r="X452" i="1"/>
  <c r="Y452" i="1"/>
  <c r="Z452" i="1"/>
  <c r="AA452" i="1"/>
  <c r="AB452" i="1"/>
  <c r="AC452" i="1"/>
  <c r="AD452" i="1"/>
  <c r="AE452" i="1"/>
  <c r="AF452" i="1"/>
  <c r="AG452" i="1"/>
  <c r="AH452" i="1"/>
  <c r="AI452" i="1"/>
  <c r="AJ452" i="1"/>
  <c r="AK452" i="1"/>
  <c r="AL452" i="1"/>
  <c r="AP452" i="1"/>
  <c r="AQ452" i="1"/>
  <c r="AR452" i="1"/>
  <c r="AS452" i="1"/>
  <c r="AT452" i="1"/>
  <c r="V453" i="1"/>
  <c r="W453" i="1"/>
  <c r="X453" i="1"/>
  <c r="Y453" i="1"/>
  <c r="Z453" i="1"/>
  <c r="AA453" i="1"/>
  <c r="AB453" i="1"/>
  <c r="AC453" i="1"/>
  <c r="AD453" i="1"/>
  <c r="AE453" i="1"/>
  <c r="AF453" i="1"/>
  <c r="AG453" i="1"/>
  <c r="AH453" i="1"/>
  <c r="AI453" i="1"/>
  <c r="AJ453" i="1"/>
  <c r="AK453" i="1"/>
  <c r="AL453" i="1"/>
  <c r="AP453" i="1"/>
  <c r="AQ453" i="1"/>
  <c r="AR453" i="1"/>
  <c r="AS453" i="1"/>
  <c r="AT453" i="1"/>
  <c r="V464" i="1"/>
  <c r="W464" i="1"/>
  <c r="X464" i="1"/>
  <c r="Y464" i="1"/>
  <c r="Z464" i="1"/>
  <c r="AA464" i="1"/>
  <c r="AB464" i="1"/>
  <c r="AC464" i="1"/>
  <c r="AD464" i="1"/>
  <c r="AE464" i="1"/>
  <c r="AF464" i="1"/>
  <c r="AG464" i="1"/>
  <c r="AH464" i="1"/>
  <c r="AI464" i="1"/>
  <c r="AJ464" i="1"/>
  <c r="AK464" i="1"/>
  <c r="AL464" i="1"/>
  <c r="AT464" i="1"/>
  <c r="V465" i="1"/>
  <c r="W465" i="1"/>
  <c r="X465" i="1"/>
  <c r="Y465" i="1"/>
  <c r="Z465" i="1"/>
  <c r="AA465" i="1"/>
  <c r="AB465" i="1"/>
  <c r="AC465" i="1"/>
  <c r="AD465" i="1"/>
  <c r="AE465" i="1"/>
  <c r="AF465" i="1"/>
  <c r="AG465" i="1"/>
  <c r="AH465" i="1"/>
  <c r="AI465" i="1"/>
  <c r="AJ465" i="1"/>
  <c r="AK465" i="1"/>
  <c r="AL465" i="1"/>
  <c r="AP465" i="1"/>
  <c r="AQ465" i="1"/>
  <c r="AR465" i="1"/>
  <c r="AS465" i="1"/>
  <c r="AT465" i="1"/>
  <c r="AU465" i="1"/>
  <c r="V466" i="1"/>
  <c r="W466" i="1"/>
  <c r="X466" i="1"/>
  <c r="Y466" i="1"/>
  <c r="Z466" i="1"/>
  <c r="AA466" i="1"/>
  <c r="AB466" i="1"/>
  <c r="AC466" i="1"/>
  <c r="AD466" i="1"/>
  <c r="AE466" i="1"/>
  <c r="AF466" i="1"/>
  <c r="AG466" i="1"/>
  <c r="AH466" i="1"/>
  <c r="AI466" i="1"/>
  <c r="AJ466" i="1"/>
  <c r="AK466" i="1"/>
  <c r="AL466" i="1"/>
  <c r="AP466" i="1"/>
  <c r="AQ466" i="1"/>
  <c r="AR466" i="1"/>
  <c r="AS466" i="1"/>
  <c r="AT466" i="1"/>
  <c r="V467" i="1"/>
  <c r="W467" i="1"/>
  <c r="X467" i="1"/>
  <c r="Y467" i="1"/>
  <c r="Z467" i="1"/>
  <c r="AA467" i="1"/>
  <c r="AB467" i="1"/>
  <c r="AC467" i="1"/>
  <c r="AD467" i="1"/>
  <c r="AE467" i="1"/>
  <c r="AF467" i="1"/>
  <c r="AG467" i="1"/>
  <c r="AH467" i="1"/>
  <c r="AI467" i="1"/>
  <c r="AJ467" i="1"/>
  <c r="AK467" i="1"/>
  <c r="AL467" i="1"/>
  <c r="AP467" i="1"/>
  <c r="AQ467" i="1"/>
  <c r="AR467" i="1"/>
  <c r="AS467" i="1"/>
  <c r="AT467" i="1"/>
  <c r="V468" i="1"/>
  <c r="W468" i="1"/>
  <c r="X468" i="1"/>
  <c r="Y468" i="1"/>
  <c r="Z468" i="1"/>
  <c r="AA468" i="1"/>
  <c r="AB468" i="1"/>
  <c r="AC468" i="1"/>
  <c r="AD468" i="1"/>
  <c r="AE468" i="1"/>
  <c r="AF468" i="1"/>
  <c r="AG468" i="1"/>
  <c r="AH468" i="1"/>
  <c r="AI468" i="1"/>
  <c r="AJ468" i="1"/>
  <c r="AK468" i="1"/>
  <c r="AL468" i="1"/>
  <c r="AP468" i="1"/>
  <c r="AQ468" i="1"/>
  <c r="AR468" i="1"/>
  <c r="AS468" i="1"/>
  <c r="AT468" i="1"/>
  <c r="V469" i="1"/>
  <c r="W469" i="1"/>
  <c r="X469" i="1"/>
  <c r="Y469" i="1"/>
  <c r="Z469" i="1"/>
  <c r="AA469" i="1"/>
  <c r="AB469" i="1"/>
  <c r="AC469" i="1"/>
  <c r="AD469" i="1"/>
  <c r="AE469" i="1"/>
  <c r="AF469" i="1"/>
  <c r="AG469" i="1"/>
  <c r="AH469" i="1"/>
  <c r="AI469" i="1"/>
  <c r="AJ469" i="1"/>
  <c r="AK469" i="1"/>
  <c r="AL469" i="1"/>
  <c r="AP469" i="1"/>
  <c r="AQ469" i="1"/>
  <c r="AR469" i="1"/>
  <c r="AS469" i="1"/>
  <c r="AT469" i="1"/>
  <c r="U470" i="1"/>
  <c r="V470" i="1"/>
  <c r="W470" i="1"/>
  <c r="X470" i="1"/>
  <c r="Y470" i="1"/>
  <c r="Z470" i="1"/>
  <c r="AA470" i="1"/>
  <c r="AB470" i="1"/>
  <c r="AC470" i="1"/>
  <c r="AD470" i="1"/>
  <c r="AE470" i="1"/>
  <c r="AF470" i="1"/>
  <c r="AG470" i="1"/>
  <c r="AH470" i="1"/>
  <c r="AI470" i="1"/>
  <c r="AJ470" i="1"/>
  <c r="AK470" i="1"/>
  <c r="AL470" i="1"/>
  <c r="AP470" i="1"/>
  <c r="AQ470" i="1"/>
  <c r="AR470" i="1"/>
  <c r="AS470" i="1"/>
  <c r="AT470" i="1"/>
  <c r="U471" i="1"/>
  <c r="V471" i="1"/>
  <c r="W471" i="1"/>
  <c r="X471" i="1"/>
  <c r="Y471" i="1"/>
  <c r="Z471" i="1"/>
  <c r="AA471" i="1"/>
  <c r="AB471" i="1"/>
  <c r="AC471" i="1"/>
  <c r="AD471" i="1"/>
  <c r="AE471" i="1"/>
  <c r="AF471" i="1"/>
  <c r="AG471" i="1"/>
  <c r="AH471" i="1"/>
  <c r="AI471" i="1"/>
  <c r="AJ471" i="1"/>
  <c r="AK471" i="1"/>
  <c r="AL471" i="1"/>
  <c r="AP471" i="1"/>
  <c r="AQ471" i="1"/>
  <c r="AR471" i="1"/>
  <c r="AS471" i="1"/>
  <c r="AT471" i="1"/>
  <c r="H472" i="1"/>
  <c r="U472" i="1"/>
  <c r="V472" i="1"/>
  <c r="W472" i="1"/>
  <c r="X472" i="1"/>
  <c r="Y472" i="1"/>
  <c r="Z472" i="1"/>
  <c r="AA472" i="1"/>
  <c r="AB472" i="1"/>
  <c r="AC472" i="1"/>
  <c r="AD472" i="1"/>
  <c r="AE472" i="1"/>
  <c r="AF472" i="1"/>
  <c r="AG472" i="1"/>
  <c r="AH472" i="1"/>
  <c r="AI472" i="1"/>
  <c r="AJ472" i="1"/>
  <c r="AK472" i="1"/>
  <c r="AL472" i="1"/>
  <c r="AP472" i="1"/>
  <c r="AQ472" i="1"/>
  <c r="AR472" i="1"/>
  <c r="AS472" i="1"/>
  <c r="AT472" i="1"/>
  <c r="D473" i="1"/>
  <c r="S473" i="1"/>
  <c r="T473" i="1"/>
  <c r="U473" i="1"/>
  <c r="V473" i="1"/>
  <c r="W473" i="1"/>
  <c r="X473" i="1"/>
  <c r="Y473" i="1"/>
  <c r="Z473" i="1"/>
  <c r="AA473" i="1"/>
  <c r="AB473" i="1"/>
  <c r="AC473" i="1"/>
  <c r="AD473" i="1"/>
  <c r="AE473" i="1"/>
  <c r="AF473" i="1"/>
  <c r="AG473" i="1"/>
  <c r="AH473" i="1"/>
  <c r="AI473" i="1"/>
  <c r="AJ473" i="1"/>
  <c r="AK473" i="1"/>
  <c r="AL473" i="1"/>
  <c r="AP473" i="1"/>
  <c r="AQ473" i="1"/>
  <c r="AR473" i="1"/>
  <c r="AS473" i="1"/>
  <c r="AT473" i="1"/>
  <c r="D474" i="1"/>
  <c r="S474" i="1"/>
  <c r="T474" i="1"/>
  <c r="U474" i="1"/>
  <c r="V474" i="1"/>
  <c r="W474" i="1"/>
  <c r="X474" i="1"/>
  <c r="Y474" i="1"/>
  <c r="Z474" i="1"/>
  <c r="AA474" i="1"/>
  <c r="AB474" i="1"/>
  <c r="AC474" i="1"/>
  <c r="AD474" i="1"/>
  <c r="AE474" i="1"/>
  <c r="AF474" i="1"/>
  <c r="AG474" i="1"/>
  <c r="AH474" i="1"/>
  <c r="AI474" i="1"/>
  <c r="AJ474" i="1"/>
  <c r="AK474" i="1"/>
  <c r="AL474" i="1"/>
  <c r="AP474" i="1"/>
  <c r="AQ474" i="1"/>
  <c r="AR474" i="1"/>
  <c r="AS474" i="1"/>
  <c r="AT474" i="1"/>
  <c r="U475" i="1"/>
  <c r="V475" i="1"/>
  <c r="W475" i="1"/>
  <c r="X475" i="1"/>
  <c r="Y475" i="1"/>
  <c r="Z475" i="1"/>
  <c r="AA475" i="1"/>
  <c r="AB475" i="1"/>
  <c r="AC475" i="1"/>
  <c r="AD475" i="1"/>
  <c r="AE475" i="1"/>
  <c r="AF475" i="1"/>
  <c r="AG475" i="1"/>
  <c r="AH475" i="1"/>
  <c r="AI475" i="1"/>
  <c r="AJ475" i="1"/>
  <c r="AK475" i="1"/>
  <c r="AL475" i="1"/>
  <c r="AP475" i="1"/>
  <c r="AQ475" i="1"/>
  <c r="AR475" i="1"/>
  <c r="AS475" i="1"/>
  <c r="AT475" i="1"/>
  <c r="U476" i="1"/>
  <c r="V476" i="1"/>
  <c r="W476" i="1"/>
  <c r="X476" i="1"/>
  <c r="Y476" i="1"/>
  <c r="Z476" i="1"/>
  <c r="AA476" i="1"/>
  <c r="AB476" i="1"/>
  <c r="AC476" i="1"/>
  <c r="AD476" i="1"/>
  <c r="AE476" i="1"/>
  <c r="AF476" i="1"/>
  <c r="AG476" i="1"/>
  <c r="AH476" i="1"/>
  <c r="AI476" i="1"/>
  <c r="AJ476" i="1"/>
  <c r="AK476" i="1"/>
  <c r="AL476" i="1"/>
  <c r="AP476" i="1"/>
  <c r="AQ476" i="1"/>
  <c r="AR476" i="1"/>
  <c r="AS476" i="1"/>
  <c r="AT476" i="1"/>
  <c r="S477" i="1"/>
  <c r="T477" i="1"/>
  <c r="U477" i="1"/>
  <c r="V477" i="1"/>
  <c r="W477" i="1"/>
  <c r="X477" i="1"/>
  <c r="Y477" i="1"/>
  <c r="Z477" i="1"/>
  <c r="AA477" i="1"/>
  <c r="AB477" i="1"/>
  <c r="AC477" i="1"/>
  <c r="AD477" i="1"/>
  <c r="AE477" i="1"/>
  <c r="AF477" i="1"/>
  <c r="AG477" i="1"/>
  <c r="AH477" i="1"/>
  <c r="AI477" i="1"/>
  <c r="AJ477" i="1"/>
  <c r="AK477" i="1"/>
  <c r="AL477" i="1"/>
  <c r="AP477" i="1"/>
  <c r="AQ477" i="1"/>
  <c r="AR477" i="1"/>
  <c r="AS477" i="1"/>
  <c r="AT477" i="1"/>
  <c r="S480" i="1"/>
  <c r="T480" i="1"/>
  <c r="U480" i="1"/>
  <c r="V480" i="1"/>
  <c r="W480" i="1"/>
  <c r="X480" i="1"/>
  <c r="Y480" i="1"/>
  <c r="Z480" i="1"/>
  <c r="AA480" i="1"/>
  <c r="AB480" i="1"/>
  <c r="AC480" i="1"/>
  <c r="AD480" i="1"/>
  <c r="AE480" i="1"/>
  <c r="AF480" i="1"/>
  <c r="AG480" i="1"/>
  <c r="AH480" i="1"/>
  <c r="AI480" i="1"/>
  <c r="AJ480" i="1"/>
  <c r="AK480" i="1"/>
  <c r="AL480" i="1"/>
  <c r="AP480" i="1"/>
  <c r="AQ480" i="1"/>
  <c r="AR480" i="1"/>
  <c r="AS480" i="1"/>
  <c r="AT480" i="1"/>
  <c r="U481" i="1"/>
  <c r="V481" i="1"/>
  <c r="W481" i="1"/>
  <c r="X481" i="1"/>
  <c r="Y481" i="1"/>
  <c r="Z481" i="1"/>
  <c r="AA481" i="1"/>
  <c r="AB481" i="1"/>
  <c r="AC481" i="1"/>
  <c r="AD481" i="1"/>
  <c r="AE481" i="1"/>
  <c r="AF481" i="1"/>
  <c r="AG481" i="1"/>
  <c r="AH481" i="1"/>
  <c r="AI481" i="1"/>
  <c r="AJ481" i="1"/>
  <c r="AK481" i="1"/>
  <c r="AL481" i="1"/>
  <c r="AP481" i="1"/>
  <c r="AQ481" i="1"/>
  <c r="AR481" i="1"/>
  <c r="AS481" i="1"/>
  <c r="AT481" i="1"/>
  <c r="U482" i="1"/>
  <c r="V482" i="1"/>
  <c r="W482" i="1"/>
  <c r="X482" i="1"/>
  <c r="Y482" i="1"/>
  <c r="Z482" i="1"/>
  <c r="AA482" i="1"/>
  <c r="AB482" i="1"/>
  <c r="AC482" i="1"/>
  <c r="AD482" i="1"/>
  <c r="AE482" i="1"/>
  <c r="AF482" i="1"/>
  <c r="AG482" i="1"/>
  <c r="AH482" i="1"/>
  <c r="AI482" i="1"/>
  <c r="AJ482" i="1"/>
  <c r="AK482" i="1"/>
  <c r="AL482" i="1"/>
  <c r="AP482" i="1"/>
  <c r="AQ482" i="1"/>
  <c r="AR482" i="1"/>
  <c r="AS482" i="1"/>
  <c r="AT482" i="1"/>
  <c r="S483" i="1"/>
  <c r="T483" i="1"/>
  <c r="U483" i="1"/>
  <c r="V483" i="1"/>
  <c r="W483" i="1"/>
  <c r="X483" i="1"/>
  <c r="Y483" i="1"/>
  <c r="Z483" i="1"/>
  <c r="AA483" i="1"/>
  <c r="AB483" i="1"/>
  <c r="AC483" i="1"/>
  <c r="AD483" i="1"/>
  <c r="AE483" i="1"/>
  <c r="AF483" i="1"/>
  <c r="AG483" i="1"/>
  <c r="AH483" i="1"/>
  <c r="AI483" i="1"/>
  <c r="AJ483" i="1"/>
  <c r="AK483" i="1"/>
  <c r="AL483" i="1"/>
  <c r="AP483" i="1"/>
  <c r="AQ483" i="1"/>
  <c r="AR483" i="1"/>
  <c r="AS483" i="1"/>
  <c r="AT483" i="1"/>
  <c r="S484" i="1"/>
  <c r="T484" i="1"/>
  <c r="U484" i="1"/>
  <c r="V484" i="1"/>
  <c r="W484" i="1"/>
  <c r="X484" i="1"/>
  <c r="Y484" i="1"/>
  <c r="Z484" i="1"/>
  <c r="AA484" i="1"/>
  <c r="AB484" i="1"/>
  <c r="AC484" i="1"/>
  <c r="AD484" i="1"/>
  <c r="AE484" i="1"/>
  <c r="AF484" i="1"/>
  <c r="AG484" i="1"/>
  <c r="AH484" i="1"/>
  <c r="AI484" i="1"/>
  <c r="AJ484" i="1"/>
  <c r="AK484" i="1"/>
  <c r="AL484" i="1"/>
  <c r="AP484" i="1"/>
  <c r="AQ484" i="1"/>
  <c r="AR484" i="1"/>
  <c r="AS484" i="1"/>
  <c r="AT484" i="1"/>
  <c r="S485" i="1"/>
  <c r="T485" i="1"/>
  <c r="U485" i="1"/>
  <c r="V485" i="1"/>
  <c r="W485" i="1"/>
  <c r="X485" i="1"/>
  <c r="Y485" i="1"/>
  <c r="Z485" i="1"/>
  <c r="AA485" i="1"/>
  <c r="AB485" i="1"/>
  <c r="AC485" i="1"/>
  <c r="AD485" i="1"/>
  <c r="AE485" i="1"/>
  <c r="AF485" i="1"/>
  <c r="AG485" i="1"/>
  <c r="AH485" i="1"/>
  <c r="AI485" i="1"/>
  <c r="AJ485" i="1"/>
  <c r="AK485" i="1"/>
  <c r="AL485" i="1"/>
  <c r="AP485" i="1"/>
  <c r="AQ485" i="1"/>
  <c r="AR485" i="1"/>
  <c r="AS485" i="1"/>
  <c r="AT485" i="1"/>
  <c r="S486" i="1"/>
  <c r="T486" i="1"/>
  <c r="U486" i="1"/>
  <c r="V486" i="1"/>
  <c r="W486" i="1"/>
  <c r="X486" i="1"/>
  <c r="Y486" i="1"/>
  <c r="Z486" i="1"/>
  <c r="AA486" i="1"/>
  <c r="AB486" i="1"/>
  <c r="AC486" i="1"/>
  <c r="AD486" i="1"/>
  <c r="AE486" i="1"/>
  <c r="AF486" i="1"/>
  <c r="AG486" i="1"/>
  <c r="AH486" i="1"/>
  <c r="AI486" i="1"/>
  <c r="AJ486" i="1"/>
  <c r="AK486" i="1"/>
  <c r="AL486" i="1"/>
  <c r="AP486" i="1"/>
  <c r="AQ486" i="1"/>
  <c r="AR486" i="1"/>
  <c r="AS486" i="1"/>
  <c r="AT486" i="1"/>
  <c r="S487" i="1"/>
  <c r="T487" i="1"/>
  <c r="U487" i="1"/>
  <c r="V487" i="1"/>
  <c r="W487" i="1"/>
  <c r="X487" i="1"/>
  <c r="Y487" i="1"/>
  <c r="Z487" i="1"/>
  <c r="AA487" i="1"/>
  <c r="AB487" i="1"/>
  <c r="AC487" i="1"/>
  <c r="AD487" i="1"/>
  <c r="AE487" i="1"/>
  <c r="AF487" i="1"/>
  <c r="AG487" i="1"/>
  <c r="AH487" i="1"/>
  <c r="AI487" i="1"/>
  <c r="AJ487" i="1"/>
  <c r="AK487" i="1"/>
  <c r="AL487" i="1"/>
  <c r="AP487" i="1"/>
  <c r="AQ487" i="1"/>
  <c r="AR487" i="1"/>
  <c r="AS487" i="1"/>
  <c r="AT487" i="1"/>
  <c r="S490" i="1"/>
  <c r="T490" i="1"/>
  <c r="U490" i="1"/>
  <c r="V490" i="1"/>
  <c r="W490" i="1"/>
  <c r="X490" i="1"/>
  <c r="Y490" i="1"/>
  <c r="Z490" i="1"/>
  <c r="AA490" i="1"/>
  <c r="AB490" i="1"/>
  <c r="AC490" i="1"/>
  <c r="AD490" i="1"/>
  <c r="AE490" i="1"/>
  <c r="AF490" i="1"/>
  <c r="AG490" i="1"/>
  <c r="AH490" i="1"/>
  <c r="AI490" i="1"/>
  <c r="AJ490" i="1"/>
  <c r="AK490" i="1"/>
  <c r="AL490" i="1"/>
  <c r="AP490" i="1"/>
  <c r="AQ490" i="1"/>
  <c r="AR490" i="1"/>
  <c r="AS490" i="1"/>
  <c r="AT490" i="1"/>
  <c r="D491" i="1"/>
  <c r="V491" i="1"/>
  <c r="W491" i="1"/>
  <c r="X491" i="1"/>
  <c r="Y491" i="1"/>
  <c r="Z491" i="1"/>
  <c r="AA491" i="1"/>
  <c r="AB491" i="1"/>
  <c r="AC491" i="1"/>
  <c r="AD491" i="1"/>
  <c r="AE491" i="1"/>
  <c r="AF491" i="1"/>
  <c r="AG491" i="1"/>
  <c r="AH491" i="1"/>
  <c r="AI491" i="1"/>
  <c r="AJ491" i="1"/>
  <c r="AK491" i="1"/>
  <c r="AL491" i="1"/>
  <c r="AP491" i="1"/>
  <c r="AQ491" i="1"/>
  <c r="AR491" i="1"/>
  <c r="AS491" i="1"/>
  <c r="AT491" i="1"/>
  <c r="S492" i="1"/>
  <c r="T492" i="1"/>
  <c r="U492" i="1"/>
  <c r="V492" i="1"/>
  <c r="W492" i="1"/>
  <c r="X492" i="1"/>
  <c r="Y492" i="1"/>
  <c r="Z492" i="1"/>
  <c r="AA492" i="1"/>
  <c r="AB492" i="1"/>
  <c r="AC492" i="1"/>
  <c r="AD492" i="1"/>
  <c r="AE492" i="1"/>
  <c r="AF492" i="1"/>
  <c r="AG492" i="1"/>
  <c r="AH492" i="1"/>
  <c r="AI492" i="1"/>
  <c r="AJ492" i="1"/>
  <c r="AK492" i="1"/>
  <c r="AL492" i="1"/>
  <c r="AP492" i="1"/>
  <c r="AQ492" i="1"/>
  <c r="AR492" i="1"/>
  <c r="AS492" i="1"/>
  <c r="AT492" i="1"/>
  <c r="S493" i="1"/>
  <c r="T493" i="1"/>
  <c r="U493" i="1"/>
  <c r="V493" i="1"/>
  <c r="W493" i="1"/>
  <c r="X493" i="1"/>
  <c r="Y493" i="1"/>
  <c r="Z493" i="1"/>
  <c r="AA493" i="1"/>
  <c r="AB493" i="1"/>
  <c r="AC493" i="1"/>
  <c r="AD493" i="1"/>
  <c r="AE493" i="1"/>
  <c r="AF493" i="1"/>
  <c r="AG493" i="1"/>
  <c r="AH493" i="1"/>
  <c r="AI493" i="1"/>
  <c r="AJ493" i="1"/>
  <c r="AK493" i="1"/>
  <c r="AL493" i="1"/>
  <c r="AP493" i="1"/>
  <c r="AQ493" i="1"/>
  <c r="AR493" i="1"/>
  <c r="AS493" i="1"/>
  <c r="AT493" i="1"/>
  <c r="S494" i="1"/>
  <c r="T494" i="1"/>
  <c r="U494" i="1"/>
  <c r="V494" i="1"/>
  <c r="W494" i="1"/>
  <c r="X494" i="1"/>
  <c r="Y494" i="1"/>
  <c r="Z494" i="1"/>
  <c r="AA494" i="1"/>
  <c r="AB494" i="1"/>
  <c r="AC494" i="1"/>
  <c r="AD494" i="1"/>
  <c r="AE494" i="1"/>
  <c r="AF494" i="1"/>
  <c r="AG494" i="1"/>
  <c r="AH494" i="1"/>
  <c r="AI494" i="1"/>
  <c r="AJ494" i="1"/>
  <c r="AK494" i="1"/>
  <c r="AL494" i="1"/>
  <c r="AP494" i="1"/>
  <c r="AQ494" i="1"/>
  <c r="AR494" i="1"/>
  <c r="AS494" i="1"/>
  <c r="AT494" i="1"/>
  <c r="S496" i="1"/>
  <c r="T496" i="1"/>
  <c r="U496" i="1"/>
  <c r="V496" i="1"/>
  <c r="W496" i="1"/>
  <c r="X496" i="1"/>
  <c r="Y496" i="1"/>
  <c r="Z496" i="1"/>
  <c r="AA496" i="1"/>
  <c r="AB496" i="1"/>
  <c r="AC496" i="1"/>
  <c r="AD496" i="1"/>
  <c r="AE496" i="1"/>
  <c r="AF496" i="1"/>
  <c r="AG496" i="1"/>
  <c r="AH496" i="1"/>
  <c r="AI496" i="1"/>
  <c r="AJ496" i="1"/>
  <c r="AK496" i="1"/>
  <c r="AL496" i="1"/>
  <c r="AP496" i="1"/>
  <c r="AQ496" i="1"/>
  <c r="AR496" i="1"/>
  <c r="AS496" i="1"/>
  <c r="AT496" i="1"/>
  <c r="S498" i="1"/>
  <c r="T498" i="1"/>
  <c r="U498" i="1"/>
  <c r="V498" i="1"/>
  <c r="W498" i="1"/>
  <c r="X498" i="1"/>
  <c r="Y498" i="1"/>
  <c r="Z498" i="1"/>
  <c r="AA498" i="1"/>
  <c r="AB498" i="1"/>
  <c r="AC498" i="1"/>
  <c r="AD498" i="1"/>
  <c r="AE498" i="1"/>
  <c r="AF498" i="1"/>
  <c r="AG498" i="1"/>
  <c r="AH498" i="1"/>
  <c r="AI498" i="1"/>
  <c r="AJ498" i="1"/>
  <c r="AK498" i="1"/>
  <c r="AL498" i="1"/>
  <c r="AP498" i="1"/>
  <c r="AQ498" i="1"/>
  <c r="AR498" i="1"/>
  <c r="AS498" i="1"/>
  <c r="AT498" i="1"/>
  <c r="S499" i="1"/>
  <c r="T499" i="1"/>
  <c r="U499" i="1"/>
  <c r="V499" i="1"/>
  <c r="W499" i="1"/>
  <c r="X499" i="1"/>
  <c r="Y499" i="1"/>
  <c r="Z499" i="1"/>
  <c r="AA499" i="1"/>
  <c r="AB499" i="1"/>
  <c r="AC499" i="1"/>
  <c r="AD499" i="1"/>
  <c r="AE499" i="1"/>
  <c r="AF499" i="1"/>
  <c r="AG499" i="1"/>
  <c r="AH499" i="1"/>
  <c r="AI499" i="1"/>
  <c r="AJ499" i="1"/>
  <c r="AK499" i="1"/>
  <c r="AL499" i="1"/>
  <c r="AP499" i="1"/>
  <c r="AQ499" i="1"/>
  <c r="AR499" i="1"/>
  <c r="AS499" i="1"/>
  <c r="AT499" i="1"/>
  <c r="S500" i="1"/>
  <c r="T500" i="1"/>
  <c r="U500" i="1"/>
  <c r="V500" i="1"/>
  <c r="W500" i="1"/>
  <c r="X500" i="1"/>
  <c r="Y500" i="1"/>
  <c r="Z500" i="1"/>
  <c r="AA500" i="1"/>
  <c r="AB500" i="1"/>
  <c r="AC500" i="1"/>
  <c r="AD500" i="1"/>
  <c r="AE500" i="1"/>
  <c r="AF500" i="1"/>
  <c r="AG500" i="1"/>
  <c r="AH500" i="1"/>
  <c r="AI500" i="1"/>
  <c r="AJ500" i="1"/>
  <c r="AK500" i="1"/>
  <c r="AL500" i="1"/>
  <c r="AP500" i="1"/>
  <c r="AQ500" i="1"/>
  <c r="AR500" i="1"/>
  <c r="AS500" i="1"/>
  <c r="AT500" i="1"/>
  <c r="S501" i="1"/>
  <c r="T501" i="1"/>
  <c r="U501" i="1"/>
  <c r="V501" i="1"/>
  <c r="W501" i="1"/>
  <c r="X501" i="1"/>
  <c r="Y501" i="1"/>
  <c r="Z501" i="1"/>
  <c r="AA501" i="1"/>
  <c r="AB501" i="1"/>
  <c r="AC501" i="1"/>
  <c r="AD501" i="1"/>
  <c r="AE501" i="1"/>
  <c r="AF501" i="1"/>
  <c r="AG501" i="1"/>
  <c r="AH501" i="1"/>
  <c r="AI501" i="1"/>
  <c r="AJ501" i="1"/>
  <c r="AK501" i="1"/>
  <c r="AL501" i="1"/>
  <c r="AP501" i="1"/>
  <c r="AQ501" i="1"/>
  <c r="AR501" i="1"/>
  <c r="AS501" i="1"/>
  <c r="AT501" i="1"/>
  <c r="S502" i="1"/>
  <c r="T502" i="1"/>
  <c r="U502" i="1"/>
  <c r="V502" i="1"/>
  <c r="W502" i="1"/>
  <c r="X502" i="1"/>
  <c r="Y502" i="1"/>
  <c r="Z502" i="1"/>
  <c r="AA502" i="1"/>
  <c r="AB502" i="1"/>
  <c r="AC502" i="1"/>
  <c r="AD502" i="1"/>
  <c r="AE502" i="1"/>
  <c r="AF502" i="1"/>
  <c r="AG502" i="1"/>
  <c r="AH502" i="1"/>
  <c r="AI502" i="1"/>
  <c r="AJ502" i="1"/>
  <c r="AK502" i="1"/>
  <c r="AL502" i="1"/>
  <c r="AP502" i="1"/>
  <c r="AQ502" i="1"/>
  <c r="AR502" i="1"/>
  <c r="AS502" i="1"/>
  <c r="AT502" i="1"/>
  <c r="AT511" i="1"/>
  <c r="AT512" i="1"/>
  <c r="AT514" i="1"/>
  <c r="AT515" i="1"/>
  <c r="AT516" i="1"/>
  <c r="AT517" i="1"/>
  <c r="E20" i="6"/>
  <c r="F20" i="6"/>
  <c r="G20" i="6"/>
  <c r="H20" i="6"/>
  <c r="I20" i="6"/>
  <c r="J20" i="6"/>
  <c r="K20" i="6"/>
  <c r="L20" i="6"/>
  <c r="M20" i="6"/>
  <c r="N20" i="6"/>
  <c r="O20" i="6"/>
  <c r="P20" i="6"/>
  <c r="Q20" i="6"/>
  <c r="R20" i="6"/>
  <c r="S20" i="6"/>
  <c r="T20" i="6"/>
  <c r="U20" i="6"/>
  <c r="V20" i="6"/>
  <c r="E21" i="6"/>
  <c r="F21" i="6"/>
  <c r="G21" i="6"/>
  <c r="H21" i="6"/>
  <c r="I21" i="6"/>
  <c r="J21" i="6"/>
  <c r="K21" i="6"/>
  <c r="L21" i="6"/>
  <c r="M21" i="6"/>
  <c r="N21" i="6"/>
  <c r="O21" i="6"/>
  <c r="P21" i="6"/>
  <c r="Q21" i="6"/>
  <c r="R21" i="6"/>
  <c r="S21" i="6"/>
  <c r="T21" i="6"/>
  <c r="U21" i="6"/>
  <c r="V21" i="6"/>
  <c r="E22" i="6"/>
  <c r="F22" i="6"/>
  <c r="G22" i="6"/>
  <c r="H22" i="6"/>
  <c r="I22" i="6"/>
  <c r="J22" i="6"/>
  <c r="K22" i="6"/>
  <c r="L22" i="6"/>
  <c r="M22" i="6"/>
  <c r="N22" i="6"/>
  <c r="O22" i="6"/>
  <c r="P22" i="6"/>
  <c r="Q22" i="6"/>
  <c r="R22" i="6"/>
  <c r="S22" i="6"/>
  <c r="T22" i="6"/>
  <c r="U22" i="6"/>
  <c r="V22" i="6"/>
  <c r="F24" i="6"/>
  <c r="G24" i="6"/>
  <c r="H24" i="6"/>
  <c r="I24" i="6"/>
  <c r="J24" i="6"/>
  <c r="K24" i="6"/>
  <c r="L24" i="6"/>
  <c r="M24" i="6"/>
  <c r="N24" i="6"/>
  <c r="O24" i="6"/>
  <c r="P24" i="6"/>
  <c r="Q24" i="6"/>
  <c r="R24" i="6"/>
  <c r="S24" i="6"/>
  <c r="T24" i="6"/>
  <c r="U24" i="6"/>
  <c r="V24" i="6"/>
  <c r="F25" i="6"/>
  <c r="G25" i="6"/>
  <c r="H25" i="6"/>
  <c r="I25" i="6"/>
  <c r="J25" i="6"/>
  <c r="K25" i="6"/>
  <c r="L25" i="6"/>
  <c r="M25" i="6"/>
  <c r="N25" i="6"/>
  <c r="O25" i="6"/>
  <c r="P25" i="6"/>
  <c r="Q25" i="6"/>
  <c r="R25" i="6"/>
  <c r="S25" i="6"/>
  <c r="T25" i="6"/>
  <c r="U25" i="6"/>
  <c r="V25" i="6"/>
  <c r="F26" i="6"/>
  <c r="G26" i="6"/>
  <c r="H26" i="6"/>
  <c r="I26" i="6"/>
  <c r="J26" i="6"/>
  <c r="K26" i="6"/>
  <c r="L26" i="6"/>
  <c r="M26" i="6"/>
  <c r="N26" i="6"/>
  <c r="O26" i="6"/>
  <c r="P26" i="6"/>
  <c r="Q26" i="6"/>
  <c r="R26" i="6"/>
  <c r="S26" i="6"/>
  <c r="T26" i="6"/>
  <c r="U26" i="6"/>
  <c r="V26" i="6"/>
  <c r="F27" i="6"/>
  <c r="G27" i="6"/>
  <c r="H27" i="6"/>
  <c r="I27" i="6"/>
  <c r="J27" i="6"/>
  <c r="K27" i="6"/>
  <c r="L27" i="6"/>
  <c r="M27" i="6"/>
  <c r="N27" i="6"/>
  <c r="O27" i="6"/>
  <c r="P27" i="6"/>
  <c r="Q27" i="6"/>
  <c r="R27" i="6"/>
  <c r="S27" i="6"/>
  <c r="T27" i="6"/>
  <c r="U27" i="6"/>
  <c r="V27" i="6"/>
  <c r="F28" i="6"/>
  <c r="G28" i="6"/>
  <c r="H28" i="6"/>
  <c r="I28" i="6"/>
  <c r="J28" i="6"/>
  <c r="K28" i="6"/>
  <c r="L28" i="6"/>
  <c r="M28" i="6"/>
  <c r="N28" i="6"/>
  <c r="O28" i="6"/>
  <c r="P28" i="6"/>
  <c r="Q28" i="6"/>
  <c r="R28" i="6"/>
  <c r="S28" i="6"/>
  <c r="T28" i="6"/>
  <c r="U28" i="6"/>
  <c r="V28" i="6"/>
  <c r="F29" i="6"/>
  <c r="G29" i="6"/>
  <c r="H29" i="6"/>
  <c r="I29" i="6"/>
  <c r="J29" i="6"/>
  <c r="K29" i="6"/>
  <c r="L29" i="6"/>
  <c r="M29" i="6"/>
  <c r="N29" i="6"/>
  <c r="O29" i="6"/>
  <c r="P29" i="6"/>
  <c r="Q29" i="6"/>
  <c r="R29" i="6"/>
  <c r="S29" i="6"/>
  <c r="T29" i="6"/>
  <c r="U29" i="6"/>
  <c r="V29" i="6"/>
  <c r="E31" i="6"/>
  <c r="F31" i="6"/>
  <c r="G31" i="6"/>
  <c r="H31" i="6"/>
  <c r="I31" i="6"/>
  <c r="J31" i="6"/>
  <c r="K31" i="6"/>
  <c r="L31" i="6"/>
  <c r="M31" i="6"/>
  <c r="N31" i="6"/>
  <c r="O31" i="6"/>
  <c r="P31" i="6"/>
  <c r="Q31" i="6"/>
  <c r="R31" i="6"/>
  <c r="S31" i="6"/>
  <c r="T31" i="6"/>
  <c r="U31" i="6"/>
  <c r="V31" i="6"/>
  <c r="E32" i="6"/>
  <c r="F32" i="6"/>
  <c r="G32" i="6"/>
  <c r="H32" i="6"/>
  <c r="I32" i="6"/>
  <c r="J32" i="6"/>
  <c r="K32" i="6"/>
  <c r="L32" i="6"/>
  <c r="M32" i="6"/>
  <c r="N32" i="6"/>
  <c r="O32" i="6"/>
  <c r="P32" i="6"/>
  <c r="Q32" i="6"/>
  <c r="R32" i="6"/>
  <c r="S32" i="6"/>
  <c r="T32" i="6"/>
  <c r="U32" i="6"/>
  <c r="V32" i="6"/>
  <c r="E33" i="6"/>
  <c r="F33" i="6"/>
  <c r="G33" i="6"/>
  <c r="H33" i="6"/>
  <c r="I33" i="6"/>
  <c r="J33" i="6"/>
  <c r="K33" i="6"/>
  <c r="L33" i="6"/>
  <c r="M33" i="6"/>
  <c r="N33" i="6"/>
  <c r="O33" i="6"/>
  <c r="P33" i="6"/>
  <c r="Q33" i="6"/>
  <c r="R33" i="6"/>
  <c r="S33" i="6"/>
  <c r="T33" i="6"/>
  <c r="U33" i="6"/>
  <c r="V33" i="6"/>
  <c r="G36" i="6"/>
  <c r="H36" i="6"/>
  <c r="I36" i="6"/>
  <c r="J36" i="6"/>
  <c r="K36" i="6"/>
  <c r="L36" i="6"/>
  <c r="M36" i="6"/>
  <c r="N36" i="6"/>
  <c r="O36" i="6"/>
  <c r="P36" i="6"/>
  <c r="Q36" i="6"/>
  <c r="R36" i="6"/>
  <c r="S36" i="6"/>
  <c r="T36" i="6"/>
  <c r="U36" i="6"/>
  <c r="V36" i="6"/>
  <c r="G37" i="6"/>
  <c r="H37" i="6"/>
  <c r="I37" i="6"/>
  <c r="J37" i="6"/>
  <c r="K37" i="6"/>
  <c r="L37" i="6"/>
  <c r="M37" i="6"/>
  <c r="N37" i="6"/>
  <c r="O37" i="6"/>
  <c r="P37" i="6"/>
  <c r="Q37" i="6"/>
  <c r="R37" i="6"/>
  <c r="S37" i="6"/>
  <c r="T37" i="6"/>
  <c r="U37" i="6"/>
  <c r="V37" i="6"/>
  <c r="F39" i="6"/>
  <c r="G39" i="6"/>
  <c r="H39" i="6"/>
  <c r="I39" i="6"/>
  <c r="J39" i="6"/>
  <c r="K39" i="6"/>
  <c r="L39" i="6"/>
  <c r="M39" i="6"/>
  <c r="N39" i="6"/>
  <c r="O39" i="6"/>
  <c r="P39" i="6"/>
  <c r="Q39" i="6"/>
  <c r="R39" i="6"/>
  <c r="S39" i="6"/>
  <c r="T39" i="6"/>
  <c r="U39" i="6"/>
  <c r="V39" i="6"/>
  <c r="F40" i="6"/>
  <c r="G40" i="6"/>
  <c r="H40" i="6"/>
  <c r="I40" i="6"/>
  <c r="J40" i="6"/>
  <c r="K40" i="6"/>
  <c r="L40" i="6"/>
  <c r="M40" i="6"/>
  <c r="N40" i="6"/>
  <c r="O40" i="6"/>
  <c r="P40" i="6"/>
  <c r="Q40" i="6"/>
  <c r="R40" i="6"/>
  <c r="S40" i="6"/>
  <c r="T40" i="6"/>
  <c r="U40" i="6"/>
  <c r="V40" i="6"/>
  <c r="F42" i="6"/>
  <c r="G42" i="6"/>
  <c r="H42" i="6"/>
  <c r="I42" i="6"/>
  <c r="J42" i="6"/>
  <c r="K42" i="6"/>
  <c r="L42" i="6"/>
  <c r="M42" i="6"/>
  <c r="N42" i="6"/>
  <c r="O42" i="6"/>
  <c r="P42" i="6"/>
  <c r="Q42" i="6"/>
  <c r="R42" i="6"/>
  <c r="S42" i="6"/>
  <c r="T42" i="6"/>
  <c r="U42" i="6"/>
  <c r="V42" i="6"/>
  <c r="F43" i="6"/>
  <c r="G43" i="6"/>
  <c r="H43" i="6"/>
  <c r="I43" i="6"/>
  <c r="J43" i="6"/>
  <c r="K43" i="6"/>
  <c r="L43" i="6"/>
  <c r="M43" i="6"/>
  <c r="N43" i="6"/>
  <c r="O43" i="6"/>
  <c r="P43" i="6"/>
  <c r="Q43" i="6"/>
  <c r="R43" i="6"/>
  <c r="S43" i="6"/>
  <c r="T43" i="6"/>
  <c r="U43" i="6"/>
  <c r="V43" i="6"/>
  <c r="F45" i="6"/>
  <c r="G45" i="6"/>
  <c r="H45" i="6"/>
  <c r="I45" i="6"/>
  <c r="J45" i="6"/>
  <c r="K45" i="6"/>
  <c r="L45" i="6"/>
  <c r="M45" i="6"/>
  <c r="N45" i="6"/>
  <c r="O45" i="6"/>
  <c r="P45" i="6"/>
  <c r="Q45" i="6"/>
  <c r="R45" i="6"/>
  <c r="S45" i="6"/>
  <c r="T45" i="6"/>
  <c r="U45" i="6"/>
  <c r="V45" i="6"/>
  <c r="F46" i="6"/>
  <c r="G46" i="6"/>
  <c r="H46" i="6"/>
  <c r="I46" i="6"/>
  <c r="J46" i="6"/>
  <c r="K46" i="6"/>
  <c r="L46" i="6"/>
  <c r="M46" i="6"/>
  <c r="N46" i="6"/>
  <c r="O46" i="6"/>
  <c r="P46" i="6"/>
  <c r="Q46" i="6"/>
  <c r="R46" i="6"/>
  <c r="S46" i="6"/>
  <c r="T46" i="6"/>
  <c r="U46" i="6"/>
  <c r="V46" i="6"/>
  <c r="C49" i="6"/>
  <c r="D49" i="6"/>
  <c r="E49" i="6"/>
  <c r="F49" i="6"/>
  <c r="G49" i="6"/>
  <c r="H49" i="6"/>
  <c r="I49" i="6"/>
  <c r="J49" i="6"/>
  <c r="K49" i="6"/>
  <c r="L49" i="6"/>
  <c r="M49" i="6"/>
  <c r="N49" i="6"/>
  <c r="O49" i="6"/>
  <c r="P49" i="6"/>
  <c r="Q49" i="6"/>
  <c r="R49" i="6"/>
  <c r="S49" i="6"/>
  <c r="T49" i="6"/>
  <c r="U49" i="6"/>
  <c r="V49" i="6"/>
  <c r="F50" i="6"/>
  <c r="G50" i="6"/>
  <c r="H50" i="6"/>
  <c r="I50" i="6"/>
  <c r="J50" i="6"/>
  <c r="K50" i="6"/>
  <c r="L50" i="6"/>
  <c r="M50" i="6"/>
  <c r="N50" i="6"/>
  <c r="O50" i="6"/>
  <c r="P50" i="6"/>
  <c r="Q50" i="6"/>
  <c r="R50" i="6"/>
  <c r="S50" i="6"/>
  <c r="T50" i="6"/>
  <c r="U50" i="6"/>
  <c r="V50" i="6"/>
  <c r="C51" i="6"/>
  <c r="D51" i="6"/>
  <c r="E51" i="6"/>
  <c r="F51" i="6"/>
  <c r="G51" i="6"/>
  <c r="H51" i="6"/>
  <c r="I51" i="6"/>
  <c r="J51" i="6"/>
  <c r="K51" i="6"/>
  <c r="L51" i="6"/>
  <c r="M51" i="6"/>
  <c r="N51" i="6"/>
  <c r="O51" i="6"/>
  <c r="P51" i="6"/>
  <c r="Q51" i="6"/>
  <c r="R51" i="6"/>
  <c r="S51" i="6"/>
  <c r="T51" i="6"/>
  <c r="U51" i="6"/>
  <c r="V51" i="6"/>
  <c r="C52" i="6"/>
  <c r="D52" i="6"/>
  <c r="E52" i="6"/>
  <c r="F52" i="6"/>
  <c r="G52" i="6"/>
  <c r="H52" i="6"/>
  <c r="I52" i="6"/>
  <c r="J52" i="6"/>
  <c r="K52" i="6"/>
  <c r="L52" i="6"/>
  <c r="M52" i="6"/>
  <c r="N52" i="6"/>
  <c r="O52" i="6"/>
  <c r="P52" i="6"/>
  <c r="Q52" i="6"/>
  <c r="R52" i="6"/>
  <c r="S52" i="6"/>
  <c r="T52" i="6"/>
  <c r="U52" i="6"/>
  <c r="V52" i="6"/>
  <c r="C53" i="6"/>
  <c r="D53" i="6"/>
  <c r="E53" i="6"/>
  <c r="F53" i="6"/>
  <c r="G53" i="6"/>
  <c r="H53" i="6"/>
  <c r="I53" i="6"/>
  <c r="J53" i="6"/>
  <c r="K53" i="6"/>
  <c r="L53" i="6"/>
  <c r="M53" i="6"/>
  <c r="N53" i="6"/>
  <c r="O53" i="6"/>
  <c r="P53" i="6"/>
  <c r="Q53" i="6"/>
  <c r="R53" i="6"/>
  <c r="S53" i="6"/>
  <c r="T53" i="6"/>
  <c r="U53" i="6"/>
  <c r="V53" i="6"/>
  <c r="C55" i="6"/>
  <c r="D55" i="6"/>
  <c r="E55" i="6"/>
  <c r="F55" i="6"/>
  <c r="G55" i="6"/>
  <c r="H55" i="6"/>
  <c r="I55" i="6"/>
  <c r="J55" i="6"/>
  <c r="K55" i="6"/>
  <c r="L55" i="6"/>
  <c r="M55" i="6"/>
  <c r="N55" i="6"/>
  <c r="O55" i="6"/>
  <c r="P55" i="6"/>
  <c r="Q55" i="6"/>
  <c r="R55" i="6"/>
  <c r="S55" i="6"/>
  <c r="T55" i="6"/>
  <c r="U55" i="6"/>
  <c r="V55" i="6"/>
  <c r="C56" i="6"/>
  <c r="D56" i="6"/>
  <c r="E56" i="6"/>
  <c r="F56" i="6"/>
  <c r="G56" i="6"/>
  <c r="H56" i="6"/>
  <c r="I56" i="6"/>
  <c r="J56" i="6"/>
  <c r="K56" i="6"/>
  <c r="L56" i="6"/>
  <c r="M56" i="6"/>
  <c r="N56" i="6"/>
  <c r="O56" i="6"/>
  <c r="P56" i="6"/>
  <c r="Q56" i="6"/>
  <c r="R56" i="6"/>
  <c r="S56" i="6"/>
  <c r="T56" i="6"/>
  <c r="U56" i="6"/>
  <c r="V56" i="6"/>
  <c r="U7" i="2"/>
  <c r="U8" i="2"/>
  <c r="U9" i="2"/>
  <c r="U10" i="2"/>
  <c r="K16" i="2"/>
  <c r="K18" i="2"/>
  <c r="I51" i="2"/>
  <c r="J51" i="2"/>
  <c r="K51" i="2"/>
  <c r="I57" i="2"/>
  <c r="J57" i="2"/>
  <c r="K57" i="2"/>
  <c r="I58" i="2"/>
  <c r="J58" i="2"/>
  <c r="I62" i="2"/>
  <c r="J62" i="2"/>
  <c r="K62" i="2"/>
  <c r="J63" i="2"/>
  <c r="K63" i="2"/>
  <c r="I66" i="2"/>
  <c r="J66" i="2"/>
  <c r="K66" i="2"/>
  <c r="C76" i="2"/>
  <c r="D76" i="2"/>
  <c r="F76" i="2"/>
  <c r="J76" i="2"/>
  <c r="C80" i="2"/>
  <c r="D80" i="2"/>
  <c r="F80" i="2"/>
  <c r="J80" i="2"/>
  <c r="F84" i="2"/>
  <c r="J84" i="2"/>
  <c r="C90" i="2"/>
  <c r="D90" i="2"/>
  <c r="F90" i="2"/>
  <c r="J90" i="2"/>
  <c r="C113" i="2"/>
  <c r="F113" i="2"/>
  <c r="J113" i="2"/>
  <c r="D115" i="2"/>
  <c r="J115" i="2"/>
  <c r="C117" i="2"/>
  <c r="D117" i="2"/>
  <c r="F117" i="2"/>
  <c r="J117" i="2"/>
  <c r="C119" i="2"/>
  <c r="D119" i="2"/>
  <c r="F119" i="2"/>
  <c r="J119" i="2"/>
  <c r="C120" i="2"/>
  <c r="D120" i="2"/>
  <c r="F120" i="2"/>
  <c r="J120" i="2"/>
</calcChain>
</file>

<file path=xl/comments1.xml><?xml version="1.0" encoding="utf-8"?>
<comments xmlns="http://schemas.openxmlformats.org/spreadsheetml/2006/main">
  <authors>
    <author>Author</author>
  </authors>
  <commentList>
    <comment ref="K8" authorId="0" shapeId="0">
      <text>
        <r>
          <rPr>
            <b/>
            <sz val="11"/>
            <color theme="1"/>
            <rFont val="Calibri"/>
            <family val="2"/>
            <scheme val="minor"/>
          </rPr>
          <t>Author:</t>
        </r>
        <r>
          <rPr>
            <sz val="11"/>
            <color theme="1"/>
            <rFont val="Calibri"/>
            <family val="2"/>
            <scheme val="minor"/>
          </rPr>
          <t xml:space="preserve">
Should be dates</t>
        </r>
      </text>
    </comment>
    <comment ref="U17" authorId="0" shapeId="0">
      <text>
        <r>
          <rPr>
            <b/>
            <sz val="9"/>
            <color indexed="81"/>
            <rFont val="Tahoma"/>
            <family val="2"/>
          </rPr>
          <t>Author:</t>
        </r>
        <r>
          <rPr>
            <sz val="9"/>
            <color indexed="81"/>
            <rFont val="Tahoma"/>
            <family val="2"/>
          </rPr>
          <t xml:space="preserve">
Please review comment, if applicable</t>
        </r>
      </text>
    </comment>
    <comment ref="Q22" authorId="0" shapeId="0">
      <text>
        <r>
          <rPr>
            <b/>
            <sz val="9"/>
            <color indexed="81"/>
            <rFont val="Tahoma"/>
            <family val="2"/>
          </rPr>
          <t>Author:</t>
        </r>
        <r>
          <rPr>
            <sz val="9"/>
            <color indexed="81"/>
            <rFont val="Tahoma"/>
            <family val="2"/>
          </rPr>
          <t xml:space="preserve">
Accounting rules require that financing fees be capitalized and subsequently amortized over the term of the loan.
This contrasts with the accounting treatment of transaction fees, which are expensed as incurred.</t>
        </r>
      </text>
    </comment>
    <comment ref="Q32" authorId="0" shapeId="0">
      <text>
        <r>
          <rPr>
            <b/>
            <sz val="9"/>
            <color indexed="81"/>
            <rFont val="Tahoma"/>
            <family val="2"/>
          </rPr>
          <t>Author:</t>
        </r>
        <r>
          <rPr>
            <sz val="9"/>
            <color indexed="81"/>
            <rFont val="Tahoma"/>
            <family val="2"/>
          </rPr>
          <t xml:space="preserve">
Accounting rules require that financing fees be capitalized and subsequently amortized over the term of the loan.
This contrasts with the accounting treatment of transaction fees, which are expensed as incurred.</t>
        </r>
      </text>
    </comment>
    <comment ref="G52" authorId="0" shapeId="0">
      <text>
        <r>
          <rPr>
            <b/>
            <sz val="9"/>
            <color indexed="81"/>
            <rFont val="Tahoma"/>
            <family val="2"/>
          </rPr>
          <t>Author:</t>
        </r>
        <r>
          <rPr>
            <sz val="9"/>
            <color indexed="81"/>
            <rFont val="Tahoma"/>
            <family val="2"/>
          </rPr>
          <t xml:space="preserve">
Current SOPR was 4.55%, added another 4% for the average of a spread
</t>
        </r>
      </text>
    </comment>
    <comment ref="G53" authorId="0" shapeId="0">
      <text>
        <r>
          <rPr>
            <b/>
            <sz val="9"/>
            <color indexed="81"/>
            <rFont val="Tahoma"/>
            <family val="2"/>
          </rPr>
          <t>Author:</t>
        </r>
        <r>
          <rPr>
            <sz val="9"/>
            <color indexed="81"/>
            <rFont val="Tahoma"/>
            <family val="2"/>
          </rPr>
          <t xml:space="preserve">
Current SOPR was 4.55%, added another 4% for the average of a spread
</t>
        </r>
      </text>
    </comment>
    <comment ref="G54" authorId="0" shapeId="0">
      <text>
        <r>
          <rPr>
            <b/>
            <sz val="9"/>
            <color indexed="81"/>
            <rFont val="Tahoma"/>
            <family val="2"/>
          </rPr>
          <t>Author:</t>
        </r>
        <r>
          <rPr>
            <sz val="9"/>
            <color indexed="81"/>
            <rFont val="Tahoma"/>
            <family val="2"/>
          </rPr>
          <t xml:space="preserve">
From a lower middle market provider. Went higher in PIK, due to leverage issue. </t>
        </r>
      </text>
    </comment>
    <comment ref="G55" authorId="0" shapeId="0">
      <text>
        <r>
          <rPr>
            <b/>
            <sz val="9"/>
            <color indexed="81"/>
            <rFont val="Tahoma"/>
            <family val="2"/>
          </rPr>
          <t>Author:</t>
        </r>
        <r>
          <rPr>
            <sz val="9"/>
            <color indexed="81"/>
            <rFont val="Tahoma"/>
            <family val="2"/>
          </rPr>
          <t xml:space="preserve">
Source </t>
        </r>
      </text>
    </comment>
    <comment ref="B85" authorId="0" shapeId="0">
      <text>
        <r>
          <rPr>
            <b/>
            <sz val="9"/>
            <color indexed="81"/>
            <rFont val="Tahoma"/>
            <family val="2"/>
          </rPr>
          <t>Author:</t>
        </r>
        <r>
          <rPr>
            <sz val="9"/>
            <color indexed="81"/>
            <rFont val="Tahoma"/>
            <family val="2"/>
          </rPr>
          <t xml:space="preserve">
The 2022 10K changed the naming of the line item from Capitalized Software to intangible assets. As such, we take the assumption that the intangibles assets are only still capitalized software
</t>
        </r>
      </text>
    </comment>
  </commentList>
</comments>
</file>

<file path=xl/comments2.xml><?xml version="1.0" encoding="utf-8"?>
<comments xmlns="http://schemas.openxmlformats.org/spreadsheetml/2006/main">
  <authors>
    <author>Author</author>
  </authors>
  <commentList>
    <comment ref="N7" authorId="0" shapeId="0">
      <text>
        <r>
          <rPr>
            <b/>
            <sz val="9"/>
            <color indexed="81"/>
            <rFont val="Tahoma"/>
            <family val="2"/>
          </rPr>
          <t>Author:</t>
        </r>
        <r>
          <rPr>
            <sz val="9"/>
            <color indexed="81"/>
            <rFont val="Tahoma"/>
            <family val="2"/>
          </rPr>
          <t xml:space="preserve">
Subtracted previous quarters from FYE </t>
        </r>
      </text>
    </comment>
    <comment ref="B22" authorId="0" shapeId="0">
      <text>
        <r>
          <rPr>
            <b/>
            <sz val="9"/>
            <color indexed="81"/>
            <rFont val="Tahoma"/>
            <family val="2"/>
          </rPr>
          <t>Author:</t>
        </r>
        <r>
          <rPr>
            <sz val="9"/>
            <color indexed="81"/>
            <rFont val="Tahoma"/>
            <family val="2"/>
          </rPr>
          <t xml:space="preserve">
A breakout of depreciation is provided in SEC filed 10Qs and 10Ks
</t>
        </r>
      </text>
    </comment>
    <comment ref="L31" authorId="0" shapeId="0">
      <text>
        <r>
          <rPr>
            <b/>
            <sz val="9"/>
            <color indexed="81"/>
            <rFont val="Tahoma"/>
            <family val="2"/>
          </rPr>
          <t>Author:</t>
        </r>
        <r>
          <rPr>
            <sz val="9"/>
            <color indexed="81"/>
            <rFont val="Tahoma"/>
            <family val="2"/>
          </rPr>
          <t xml:space="preserve">
No breakout was provided in the 10Q, so kept in other income. 
The line item does include Interest income and interest expense.
</t>
        </r>
      </text>
    </comment>
    <comment ref="K32" authorId="0" shapeId="0">
      <text>
        <r>
          <rPr>
            <b/>
            <sz val="9"/>
            <color indexed="81"/>
            <rFont val="Tahoma"/>
            <family val="2"/>
          </rPr>
          <t>Author:</t>
        </r>
        <r>
          <rPr>
            <sz val="9"/>
            <color indexed="81"/>
            <rFont val="Tahoma"/>
            <family val="2"/>
          </rPr>
          <t xml:space="preserve">
No breakout was provided in the 10Q, so kept in other expense. The line item does include Interest income and interest expense.
</t>
        </r>
      </text>
    </comment>
    <comment ref="M32" authorId="0" shapeId="0">
      <text>
        <r>
          <rPr>
            <b/>
            <sz val="9"/>
            <color indexed="81"/>
            <rFont val="Tahoma"/>
            <family val="2"/>
          </rPr>
          <t>Author:</t>
        </r>
        <r>
          <rPr>
            <sz val="9"/>
            <color indexed="81"/>
            <rFont val="Tahoma"/>
            <family val="2"/>
          </rPr>
          <t xml:space="preserve">
No breakout was provided in the 10Q, so kept in other expense. The line item does include Interest income and interest expense.
</t>
        </r>
      </text>
    </comment>
    <comment ref="S3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Circuit Break Linked to Transaction Structure</t>
        </r>
      </text>
    </comment>
    <comment ref="B34" authorId="0" shapeId="0">
      <text>
        <r>
          <rPr>
            <b/>
            <sz val="9"/>
            <color indexed="81"/>
            <rFont val="Tahoma"/>
            <family val="2"/>
          </rPr>
          <t>Author:</t>
        </r>
        <r>
          <rPr>
            <sz val="9"/>
            <color indexed="81"/>
            <rFont val="Tahoma"/>
            <family val="2"/>
          </rPr>
          <t xml:space="preserve">
The Company does not have interest bearing debt. Will use for the proposed buyout. No guidance on interset paid for operating leases.
</t>
        </r>
      </text>
    </comment>
    <comment ref="S3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Circuit Breaker linked to Transaction Structure</t>
        </r>
      </text>
    </comment>
    <comment ref="K50" authorId="0" shapeId="0">
      <text>
        <r>
          <rPr>
            <b/>
            <sz val="9"/>
            <color indexed="81"/>
            <rFont val="Tahoma"/>
            <family val="2"/>
          </rPr>
          <t>Author:</t>
        </r>
        <r>
          <rPr>
            <sz val="9"/>
            <color indexed="81"/>
            <rFont val="Tahoma"/>
            <family val="2"/>
          </rPr>
          <t xml:space="preserve">
Used the 6 months value provided in the 2Q22 breakout and subtracted the 2Q21 information to figure out.
</t>
        </r>
      </text>
    </comment>
    <comment ref="O50" authorId="0" shapeId="0">
      <text>
        <r>
          <rPr>
            <b/>
            <sz val="9"/>
            <color indexed="81"/>
            <rFont val="Tahoma"/>
            <family val="2"/>
          </rPr>
          <t>Author:</t>
        </r>
        <r>
          <rPr>
            <sz val="9"/>
            <color indexed="81"/>
            <rFont val="Tahoma"/>
            <family val="2"/>
          </rPr>
          <t xml:space="preserve">
Used the 6 months value provided in the 2Q22 breakout and subtracted the 2Q22 information to figure out.
</t>
        </r>
      </text>
    </comment>
    <comment ref="K51" authorId="0" shapeId="0">
      <text>
        <r>
          <rPr>
            <b/>
            <sz val="9"/>
            <color indexed="81"/>
            <rFont val="Tahoma"/>
            <family val="2"/>
          </rPr>
          <t>Author:</t>
        </r>
        <r>
          <rPr>
            <sz val="9"/>
            <color indexed="81"/>
            <rFont val="Tahoma"/>
            <family val="2"/>
          </rPr>
          <t xml:space="preserve">
Used the 6 months value provided in the 2Q22 breakout and subtracted the 2Q21 information to figure out.
</t>
        </r>
      </text>
    </comment>
    <comment ref="O51" authorId="0" shapeId="0">
      <text>
        <r>
          <rPr>
            <b/>
            <sz val="9"/>
            <color indexed="81"/>
            <rFont val="Tahoma"/>
            <family val="2"/>
          </rPr>
          <t>Author:</t>
        </r>
        <r>
          <rPr>
            <sz val="9"/>
            <color indexed="81"/>
            <rFont val="Tahoma"/>
            <family val="2"/>
          </rPr>
          <t xml:space="preserve">
Used the 6 months value provided in the 2Q22 breakout and subtracted the 2Q22 information to figure out.
</t>
        </r>
      </text>
    </comment>
    <comment ref="K52" authorId="0" shapeId="0">
      <text>
        <r>
          <rPr>
            <b/>
            <sz val="9"/>
            <color indexed="81"/>
            <rFont val="Tahoma"/>
            <family val="2"/>
          </rPr>
          <t>Author:</t>
        </r>
        <r>
          <rPr>
            <sz val="9"/>
            <color indexed="81"/>
            <rFont val="Tahoma"/>
            <family val="2"/>
          </rPr>
          <t xml:space="preserve">
Used the 6 months value provided in the 2Q22 breakout and subtracted the 2Q21 information to figure out.
</t>
        </r>
      </text>
    </comment>
    <comment ref="O52" authorId="0" shapeId="0">
      <text>
        <r>
          <rPr>
            <b/>
            <sz val="9"/>
            <color indexed="81"/>
            <rFont val="Tahoma"/>
            <family val="2"/>
          </rPr>
          <t>Author:</t>
        </r>
        <r>
          <rPr>
            <sz val="9"/>
            <color indexed="81"/>
            <rFont val="Tahoma"/>
            <family val="2"/>
          </rPr>
          <t xml:space="preserve">
Used the 6 months value provided in the 2Q22 breakout and subtracted the 2Q22 information to figure out.
</t>
        </r>
      </text>
    </comment>
    <comment ref="O58" authorId="0" shapeId="0">
      <text>
        <r>
          <rPr>
            <b/>
            <sz val="9"/>
            <color indexed="81"/>
            <rFont val="Tahoma"/>
            <family val="2"/>
          </rPr>
          <t>Author:</t>
        </r>
        <r>
          <rPr>
            <sz val="9"/>
            <color indexed="81"/>
            <rFont val="Tahoma"/>
            <family val="2"/>
          </rPr>
          <t xml:space="preserve">
Used the 6 months value provided in the 2Q22 breakout and subtracted the 2Q22 information to figure out.
</t>
        </r>
      </text>
    </comment>
    <comment ref="K59" authorId="0" shapeId="0">
      <text>
        <r>
          <rPr>
            <b/>
            <sz val="9"/>
            <color indexed="81"/>
            <rFont val="Tahoma"/>
            <family val="2"/>
          </rPr>
          <t>Author:</t>
        </r>
        <r>
          <rPr>
            <sz val="9"/>
            <color indexed="81"/>
            <rFont val="Tahoma"/>
            <family val="2"/>
          </rPr>
          <t xml:space="preserve">
Used the 6 months value and subtracted the 2Q21 information to figure out.
</t>
        </r>
      </text>
    </comment>
    <comment ref="O59" authorId="0" shapeId="0">
      <text>
        <r>
          <rPr>
            <b/>
            <sz val="9"/>
            <color indexed="81"/>
            <rFont val="Tahoma"/>
            <family val="2"/>
          </rPr>
          <t>Author:</t>
        </r>
        <r>
          <rPr>
            <sz val="9"/>
            <color indexed="81"/>
            <rFont val="Tahoma"/>
            <family val="2"/>
          </rPr>
          <t xml:space="preserve">
Used the 6 months value provided in the 2Q22 breakout and subtracted the 2Q22 information to figure out.
</t>
        </r>
      </text>
    </comment>
    <comment ref="B67" authorId="0" shapeId="0">
      <text>
        <r>
          <rPr>
            <b/>
            <sz val="9"/>
            <color indexed="81"/>
            <rFont val="Tahoma"/>
            <family val="2"/>
          </rPr>
          <t>Author:</t>
        </r>
        <r>
          <rPr>
            <sz val="9"/>
            <color indexed="81"/>
            <rFont val="Tahoma"/>
            <family val="2"/>
          </rPr>
          <t xml:space="preserve">
Ask if we should breakout and include seperately in the line items. Thought was still issue stock based compensation. 
</t>
        </r>
      </text>
    </comment>
    <comment ref="O72" authorId="0" shapeId="0">
      <text>
        <r>
          <rPr>
            <b/>
            <sz val="9"/>
            <color indexed="81"/>
            <rFont val="Tahoma"/>
            <family val="2"/>
          </rPr>
          <t>Author:</t>
        </r>
        <r>
          <rPr>
            <sz val="9"/>
            <color indexed="81"/>
            <rFont val="Tahoma"/>
            <family val="2"/>
          </rPr>
          <t xml:space="preserve">
$1,500 was reported as the total in the press release. Per the 10Q taxes was provided. Used the difference between the reported 1,500 and sum of the provided 10Q amount</t>
        </r>
      </text>
    </comment>
    <comment ref="P72" authorId="0" shapeId="0">
      <text>
        <r>
          <rPr>
            <b/>
            <sz val="9"/>
            <color indexed="81"/>
            <rFont val="Tahoma"/>
            <family val="2"/>
          </rPr>
          <t>Author:</t>
        </r>
        <r>
          <rPr>
            <sz val="9"/>
            <color indexed="81"/>
            <rFont val="Tahoma"/>
            <family val="2"/>
          </rPr>
          <t xml:space="preserve">
$18,494 was reported as the total in the press release. Per the 10Q taxes was provided. Used the difference between the reported 18,494 and sum of the provided 10Q amount</t>
        </r>
      </text>
    </comment>
    <comment ref="Q72" authorId="0" shapeId="0">
      <text>
        <r>
          <rPr>
            <b/>
            <sz val="9"/>
            <color indexed="81"/>
            <rFont val="Tahoma"/>
            <family val="2"/>
          </rPr>
          <t>Author:</t>
        </r>
        <r>
          <rPr>
            <sz val="9"/>
            <color indexed="81"/>
            <rFont val="Tahoma"/>
            <family val="2"/>
          </rPr>
          <t xml:space="preserve">
$21,123 was reported as the total in the press release. Per the 10Q taxes was provided. Used the difference between the reported 21,123 and sum of the provided 10Q amount</t>
        </r>
      </text>
    </comment>
    <comment ref="R72" authorId="0" shapeId="0">
      <text>
        <r>
          <rPr>
            <b/>
            <sz val="9"/>
            <color indexed="81"/>
            <rFont val="Tahoma"/>
            <family val="2"/>
          </rPr>
          <t>Author:</t>
        </r>
        <r>
          <rPr>
            <sz val="9"/>
            <color indexed="81"/>
            <rFont val="Tahoma"/>
            <family val="2"/>
          </rPr>
          <t xml:space="preserve">
$21,105 was reported as the total in the press release. Per the 10Q taxes was provided. Used the difference between the reported 21,105 and sum of the provided 10Q amount</t>
        </r>
      </text>
    </comment>
    <comment ref="S89" authorId="0" shapeId="0">
      <text>
        <r>
          <rPr>
            <b/>
            <sz val="9"/>
            <color indexed="81"/>
            <rFont val="Tahoma"/>
            <family val="2"/>
          </rPr>
          <t>Author:</t>
        </r>
        <r>
          <rPr>
            <b/>
            <sz val="9"/>
            <color indexed="81"/>
            <rFont val="Tahoma"/>
            <family val="2"/>
          </rPr>
          <t xml:space="preserve">
</t>
        </r>
      </text>
    </comment>
    <comment ref="B109" authorId="0" shapeId="0">
      <text>
        <r>
          <rPr>
            <b/>
            <sz val="9"/>
            <color indexed="81"/>
            <rFont val="Tahoma"/>
            <family val="2"/>
          </rPr>
          <t>Author:</t>
        </r>
        <r>
          <rPr>
            <sz val="9"/>
            <color indexed="81"/>
            <rFont val="Tahoma"/>
            <family val="2"/>
          </rPr>
          <t xml:space="preserve">
The 2022 10K changed the naming of the line item from Capitalized Software to intangible assets. As such, we take the assumption that the intangibles assets are only still capitalized software
</t>
        </r>
      </text>
    </comment>
    <comment ref="B158" authorId="0" shapeId="0">
      <text>
        <r>
          <rPr>
            <b/>
            <sz val="9"/>
            <color indexed="81"/>
            <rFont val="Tahoma"/>
            <family val="2"/>
          </rPr>
          <t>Author:</t>
        </r>
        <r>
          <rPr>
            <sz val="9"/>
            <color indexed="81"/>
            <rFont val="Tahoma"/>
            <family val="2"/>
          </rPr>
          <t xml:space="preserve">
Kept old method.</t>
        </r>
      </text>
    </comment>
    <comment ref="S201" authorId="0" shapeId="0">
      <text>
        <r>
          <rPr>
            <b/>
            <sz val="9"/>
            <color indexed="81"/>
            <rFont val="Tahoma"/>
            <family val="2"/>
          </rPr>
          <t>Author:</t>
        </r>
        <r>
          <rPr>
            <sz val="9"/>
            <color indexed="81"/>
            <rFont val="Tahoma"/>
            <family val="2"/>
          </rPr>
          <t xml:space="preserve">
Forecasted &amp; new formula
 </t>
        </r>
      </text>
    </comment>
    <comment ref="S202" authorId="0" shapeId="0">
      <text>
        <r>
          <rPr>
            <b/>
            <sz val="9"/>
            <color indexed="81"/>
            <rFont val="Tahoma"/>
            <family val="2"/>
          </rPr>
          <t>Author:</t>
        </r>
        <r>
          <rPr>
            <sz val="9"/>
            <color indexed="81"/>
            <rFont val="Tahoma"/>
            <family val="2"/>
          </rPr>
          <t xml:space="preserve">
Forecasted &amp; new formula
 </t>
        </r>
      </text>
    </comment>
    <comment ref="S203" authorId="0" shapeId="0">
      <text>
        <r>
          <rPr>
            <b/>
            <sz val="9"/>
            <color indexed="81"/>
            <rFont val="Tahoma"/>
            <family val="2"/>
          </rPr>
          <t>Author:</t>
        </r>
        <r>
          <rPr>
            <sz val="9"/>
            <color indexed="81"/>
            <rFont val="Tahoma"/>
            <family val="2"/>
          </rPr>
          <t xml:space="preserve">
Forecasted &amp; new formula
 </t>
        </r>
      </text>
    </comment>
    <comment ref="S204" authorId="0" shapeId="0">
      <text>
        <r>
          <rPr>
            <b/>
            <sz val="9"/>
            <color indexed="81"/>
            <rFont val="Tahoma"/>
            <family val="2"/>
          </rPr>
          <t>Author:</t>
        </r>
        <r>
          <rPr>
            <sz val="9"/>
            <color indexed="81"/>
            <rFont val="Tahoma"/>
            <family val="2"/>
          </rPr>
          <t xml:space="preserve">
Forecasted &amp; new formula
 </t>
        </r>
      </text>
    </comment>
    <comment ref="S205" authorId="0" shapeId="0">
      <text>
        <r>
          <rPr>
            <b/>
            <sz val="9"/>
            <color indexed="81"/>
            <rFont val="Tahoma"/>
            <family val="2"/>
          </rPr>
          <t>Author:</t>
        </r>
        <r>
          <rPr>
            <sz val="9"/>
            <color indexed="81"/>
            <rFont val="Tahoma"/>
            <family val="2"/>
          </rPr>
          <t xml:space="preserve">
Forecasted &amp; new formula
 </t>
        </r>
      </text>
    </comment>
    <comment ref="S239" authorId="0" shapeId="0">
      <text>
        <r>
          <rPr>
            <b/>
            <sz val="9"/>
            <color indexed="81"/>
            <rFont val="Tahoma"/>
            <family val="2"/>
          </rPr>
          <t>Author:</t>
        </r>
        <r>
          <rPr>
            <sz val="9"/>
            <color indexed="81"/>
            <rFont val="Tahoma"/>
            <family val="2"/>
          </rPr>
          <t xml:space="preserve">
Forecasted &amp; new formula
 </t>
        </r>
      </text>
    </comment>
    <comment ref="S242" authorId="0" shapeId="0">
      <text>
        <r>
          <rPr>
            <b/>
            <sz val="9"/>
            <color indexed="81"/>
            <rFont val="Tahoma"/>
            <family val="2"/>
          </rPr>
          <t>Author:</t>
        </r>
        <r>
          <rPr>
            <sz val="9"/>
            <color indexed="81"/>
            <rFont val="Tahoma"/>
            <family val="2"/>
          </rPr>
          <t xml:space="preserve">
Forecasted &amp; new formula
 </t>
        </r>
      </text>
    </comment>
    <comment ref="S278" authorId="0" shapeId="0">
      <text>
        <r>
          <rPr>
            <b/>
            <sz val="9"/>
            <color indexed="81"/>
            <rFont val="Tahoma"/>
            <family val="2"/>
          </rPr>
          <t>Author:</t>
        </r>
        <r>
          <rPr>
            <sz val="9"/>
            <color indexed="81"/>
            <rFont val="Tahoma"/>
            <family val="2"/>
          </rPr>
          <t xml:space="preserve">
Forecasted &amp; new formula
 </t>
        </r>
      </text>
    </comment>
    <comment ref="S279" authorId="0" shapeId="0">
      <text>
        <r>
          <rPr>
            <b/>
            <sz val="9"/>
            <color indexed="81"/>
            <rFont val="Tahoma"/>
            <family val="2"/>
          </rPr>
          <t>Author:</t>
        </r>
        <r>
          <rPr>
            <sz val="9"/>
            <color indexed="81"/>
            <rFont val="Tahoma"/>
            <family val="2"/>
          </rPr>
          <t xml:space="preserve">
Forecasted &amp; new formula
 </t>
        </r>
      </text>
    </comment>
    <comment ref="S291" authorId="0" shapeId="0">
      <text>
        <r>
          <rPr>
            <b/>
            <sz val="9"/>
            <color indexed="81"/>
            <rFont val="Tahoma"/>
            <family val="2"/>
          </rPr>
          <t>Author:</t>
        </r>
        <r>
          <rPr>
            <sz val="9"/>
            <color indexed="81"/>
            <rFont val="Tahoma"/>
            <family val="2"/>
          </rPr>
          <t xml:space="preserve">
Forecasted &amp; new formula
 </t>
        </r>
      </text>
    </comment>
    <comment ref="S294" authorId="0" shapeId="0">
      <text>
        <r>
          <rPr>
            <b/>
            <sz val="9"/>
            <color indexed="81"/>
            <rFont val="Tahoma"/>
            <family val="2"/>
          </rPr>
          <t>Author:</t>
        </r>
        <r>
          <rPr>
            <sz val="9"/>
            <color indexed="81"/>
            <rFont val="Tahoma"/>
            <family val="2"/>
          </rPr>
          <t xml:space="preserve">
Forecasted &amp; new formula
 </t>
        </r>
      </text>
    </comment>
    <comment ref="S300" authorId="0" shapeId="0">
      <text>
        <r>
          <rPr>
            <b/>
            <sz val="9"/>
            <color indexed="81"/>
            <rFont val="Tahoma"/>
            <family val="2"/>
          </rPr>
          <t>Author:</t>
        </r>
        <r>
          <rPr>
            <sz val="9"/>
            <color indexed="81"/>
            <rFont val="Tahoma"/>
            <family val="2"/>
          </rPr>
          <t xml:space="preserve">
Forecasted &amp; new formula
 </t>
        </r>
      </text>
    </comment>
    <comment ref="S330" authorId="0" shapeId="0">
      <text>
        <r>
          <rPr>
            <b/>
            <sz val="9"/>
            <color indexed="81"/>
            <rFont val="Tahoma"/>
            <family val="2"/>
          </rPr>
          <t>Author:</t>
        </r>
        <r>
          <rPr>
            <sz val="9"/>
            <color indexed="81"/>
            <rFont val="Tahoma"/>
            <family val="2"/>
          </rPr>
          <t xml:space="preserve">
Unique Formula</t>
        </r>
      </text>
    </comment>
    <comment ref="S350" authorId="0" shapeId="0">
      <text>
        <r>
          <rPr>
            <b/>
            <sz val="9"/>
            <color indexed="81"/>
            <rFont val="Tahoma"/>
            <family val="2"/>
          </rPr>
          <t>Author:</t>
        </r>
        <r>
          <rPr>
            <sz val="9"/>
            <color indexed="81"/>
            <rFont val="Tahoma"/>
            <family val="2"/>
          </rPr>
          <t xml:space="preserve">
Unique Formula</t>
        </r>
      </text>
    </comment>
    <comment ref="V350" authorId="0" shapeId="0">
      <text>
        <r>
          <rPr>
            <b/>
            <sz val="9"/>
            <color indexed="81"/>
            <rFont val="Tahoma"/>
            <family val="2"/>
          </rPr>
          <t>Author:</t>
        </r>
        <r>
          <rPr>
            <sz val="9"/>
            <color indexed="81"/>
            <rFont val="Tahoma"/>
            <family val="2"/>
          </rPr>
          <t xml:space="preserve">
Unique Formula</t>
        </r>
      </text>
    </comment>
    <comment ref="S359" authorId="0" shapeId="0">
      <text>
        <r>
          <rPr>
            <b/>
            <sz val="9"/>
            <color indexed="81"/>
            <rFont val="Tahoma"/>
            <family val="2"/>
          </rPr>
          <t>Author:</t>
        </r>
        <r>
          <rPr>
            <sz val="9"/>
            <color indexed="81"/>
            <rFont val="Tahoma"/>
            <family val="2"/>
          </rPr>
          <t xml:space="preserve">
Unique Formula</t>
        </r>
      </text>
    </comment>
    <comment ref="V359" authorId="0" shapeId="0">
      <text>
        <r>
          <rPr>
            <b/>
            <sz val="9"/>
            <color indexed="81"/>
            <rFont val="Tahoma"/>
            <family val="2"/>
          </rPr>
          <t>Author:</t>
        </r>
        <r>
          <rPr>
            <sz val="9"/>
            <color indexed="81"/>
            <rFont val="Tahoma"/>
            <family val="2"/>
          </rPr>
          <t xml:space="preserve">
Unique Formula</t>
        </r>
      </text>
    </comment>
    <comment ref="S367" authorId="0" shapeId="0">
      <text>
        <r>
          <rPr>
            <b/>
            <sz val="9"/>
            <color indexed="81"/>
            <rFont val="Tahoma"/>
            <family val="2"/>
          </rPr>
          <t>Author:</t>
        </r>
        <r>
          <rPr>
            <sz val="9"/>
            <color indexed="81"/>
            <rFont val="Tahoma"/>
            <family val="2"/>
          </rPr>
          <t xml:space="preserve">
Unique Formula</t>
        </r>
      </text>
    </comment>
    <comment ref="B402" authorId="0" shapeId="0">
      <text>
        <r>
          <rPr>
            <b/>
            <sz val="9"/>
            <color indexed="81"/>
            <rFont val="Tahoma"/>
            <family val="2"/>
          </rPr>
          <t>Author:</t>
        </r>
        <r>
          <rPr>
            <sz val="9"/>
            <color indexed="81"/>
            <rFont val="Tahoma"/>
            <family val="2"/>
          </rPr>
          <t xml:space="preserve">
We aknowledge that the accounting rules change for the handling of the deferred financing fees. However, given lack of time, we kept it the old method. </t>
        </r>
      </text>
    </comment>
  </commentList>
</comments>
</file>

<file path=xl/comments3.xml><?xml version="1.0" encoding="utf-8"?>
<comments xmlns="http://schemas.openxmlformats.org/spreadsheetml/2006/main">
  <authors>
    <author>Author</author>
  </authors>
  <commentList>
    <comment ref="A9" authorId="0" shapeId="0">
      <text>
        <r>
          <rPr>
            <b/>
            <sz val="9"/>
            <color indexed="81"/>
            <rFont val="Tahoma"/>
            <family val="2"/>
          </rPr>
          <t>Author:</t>
        </r>
        <r>
          <rPr>
            <sz val="9"/>
            <color indexed="81"/>
            <rFont val="Tahoma"/>
            <family val="2"/>
          </rPr>
          <t xml:space="preserve">
changed to '000s on 3/20/23</t>
        </r>
      </text>
    </comment>
    <comment ref="G9" authorId="0" shapeId="0">
      <text>
        <r>
          <rPr>
            <b/>
            <sz val="9"/>
            <color indexed="81"/>
            <rFont val="Tahoma"/>
            <family val="2"/>
          </rPr>
          <t>Author:</t>
        </r>
        <r>
          <rPr>
            <sz val="9"/>
            <color indexed="81"/>
            <rFont val="Tahoma"/>
            <family val="2"/>
          </rPr>
          <t xml:space="preserve">
Q1 2022 Total bookings were $102.1 million, an increase of 55% from the prior year quarter;</t>
        </r>
      </text>
    </comment>
    <comment ref="H9" authorId="0" shapeId="0">
      <text>
        <r>
          <rPr>
            <b/>
            <sz val="9"/>
            <color indexed="81"/>
            <rFont val="Tahoma"/>
            <family val="2"/>
          </rPr>
          <t>Author:</t>
        </r>
        <r>
          <rPr>
            <sz val="9"/>
            <color indexed="81"/>
            <rFont val="Tahoma"/>
            <family val="2"/>
          </rPr>
          <t xml:space="preserve">
FY21 Q2 Press Release; 30% from the prior year quarter;
</t>
        </r>
      </text>
    </comment>
    <comment ref="C11" authorId="0" shapeId="0">
      <text>
        <r>
          <rPr>
            <b/>
            <sz val="9"/>
            <color indexed="81"/>
            <rFont val="Tahoma"/>
            <family val="2"/>
          </rPr>
          <t>Author:</t>
        </r>
        <r>
          <rPr>
            <sz val="9"/>
            <color indexed="81"/>
            <rFont val="Tahoma"/>
            <family val="2"/>
          </rPr>
          <t xml:space="preserve">
Q2 2021 10Q include all numbers below for Product breakdown</t>
        </r>
      </text>
    </comment>
    <comment ref="F11" authorId="0" shapeId="0">
      <text>
        <r>
          <rPr>
            <b/>
            <sz val="9"/>
            <color indexed="81"/>
            <rFont val="Tahoma"/>
            <family val="2"/>
          </rPr>
          <t>Author:</t>
        </r>
        <r>
          <rPr>
            <sz val="9"/>
            <color indexed="81"/>
            <rFont val="Tahoma"/>
            <family val="2"/>
          </rPr>
          <t xml:space="preserve">
2021 10k including all Year End numbers below</t>
        </r>
      </text>
    </comment>
    <comment ref="H11" authorId="0" shapeId="0">
      <text>
        <r>
          <rPr>
            <b/>
            <sz val="9"/>
            <color indexed="81"/>
            <rFont val="Tahoma"/>
            <family val="2"/>
          </rPr>
          <t>Author:</t>
        </r>
        <r>
          <rPr>
            <sz val="9"/>
            <color indexed="81"/>
            <rFont val="Tahoma"/>
            <family val="2"/>
          </rPr>
          <t xml:space="preserve">
Q2 2021 10Q include all numbers below for Product breakdown</t>
        </r>
      </text>
    </comment>
    <comment ref="K11" authorId="0" shapeId="0">
      <text>
        <r>
          <rPr>
            <b/>
            <sz val="9"/>
            <color indexed="81"/>
            <rFont val="Tahoma"/>
            <family val="2"/>
          </rPr>
          <t>Author:</t>
        </r>
        <r>
          <rPr>
            <sz val="9"/>
            <color indexed="81"/>
            <rFont val="Tahoma"/>
            <family val="2"/>
          </rPr>
          <t xml:space="preserve">
2021 10k</t>
        </r>
      </text>
    </comment>
    <comment ref="K12" authorId="0" shapeId="0">
      <text>
        <r>
          <rPr>
            <b/>
            <sz val="9"/>
            <color indexed="81"/>
            <rFont val="Tahoma"/>
            <family val="2"/>
          </rPr>
          <t>Author:</t>
        </r>
        <r>
          <rPr>
            <sz val="9"/>
            <color indexed="81"/>
            <rFont val="Tahoma"/>
            <family val="2"/>
          </rPr>
          <t xml:space="preserve">
2021 10k</t>
        </r>
      </text>
    </comment>
    <comment ref="K13" authorId="0" shapeId="0">
      <text>
        <r>
          <rPr>
            <b/>
            <sz val="9"/>
            <color indexed="81"/>
            <rFont val="Tahoma"/>
            <family val="2"/>
          </rPr>
          <t>Author:</t>
        </r>
        <r>
          <rPr>
            <sz val="9"/>
            <color indexed="81"/>
            <rFont val="Tahoma"/>
            <family val="2"/>
          </rPr>
          <t xml:space="preserve">
2021 10k</t>
        </r>
      </text>
    </comment>
    <comment ref="K14" authorId="0" shapeId="0">
      <text>
        <r>
          <rPr>
            <b/>
            <sz val="9"/>
            <color indexed="81"/>
            <rFont val="Tahoma"/>
            <family val="2"/>
          </rPr>
          <t>Author:</t>
        </r>
        <r>
          <rPr>
            <sz val="9"/>
            <color indexed="81"/>
            <rFont val="Tahoma"/>
            <family val="2"/>
          </rPr>
          <t xml:space="preserve">
2021 10k</t>
        </r>
      </text>
    </comment>
    <comment ref="K15" authorId="0" shapeId="0">
      <text>
        <r>
          <rPr>
            <b/>
            <sz val="9"/>
            <color indexed="81"/>
            <rFont val="Tahoma"/>
            <family val="2"/>
          </rPr>
          <t>Author:</t>
        </r>
        <r>
          <rPr>
            <sz val="9"/>
            <color indexed="81"/>
            <rFont val="Tahoma"/>
            <family val="2"/>
          </rPr>
          <t xml:space="preserve">
2021 10k</t>
        </r>
      </text>
    </comment>
    <comment ref="AA54" authorId="0" shapeId="0">
      <text>
        <r>
          <rPr>
            <b/>
            <sz val="9"/>
            <color indexed="81"/>
            <rFont val="Tahoma"/>
            <family val="2"/>
          </rPr>
          <t>Author:</t>
        </r>
        <r>
          <rPr>
            <sz val="9"/>
            <color indexed="81"/>
            <rFont val="Tahoma"/>
            <family val="2"/>
          </rPr>
          <t xml:space="preserve">
Calc based off manual project line</t>
        </r>
      </text>
    </comment>
    <comment ref="AB54" authorId="0" shapeId="0">
      <text>
        <r>
          <rPr>
            <b/>
            <sz val="9"/>
            <color indexed="81"/>
            <rFont val="Tahoma"/>
            <family val="2"/>
          </rPr>
          <t>Author:</t>
        </r>
        <r>
          <rPr>
            <sz val="9"/>
            <color indexed="81"/>
            <rFont val="Tahoma"/>
            <family val="2"/>
          </rPr>
          <t xml:space="preserve">
Calc based off manual project line</t>
        </r>
      </text>
    </comment>
    <comment ref="AC54" authorId="0" shapeId="0">
      <text>
        <r>
          <rPr>
            <b/>
            <sz val="9"/>
            <color indexed="81"/>
            <rFont val="Tahoma"/>
            <family val="2"/>
          </rPr>
          <t>Author:</t>
        </r>
        <r>
          <rPr>
            <sz val="9"/>
            <color indexed="81"/>
            <rFont val="Tahoma"/>
            <family val="2"/>
          </rPr>
          <t xml:space="preserve">
Calc based off manual project line</t>
        </r>
      </text>
    </comment>
    <comment ref="AD54" authorId="0" shapeId="0">
      <text>
        <r>
          <rPr>
            <b/>
            <sz val="9"/>
            <color indexed="81"/>
            <rFont val="Tahoma"/>
            <family val="2"/>
          </rPr>
          <t>Author:</t>
        </r>
        <r>
          <rPr>
            <sz val="9"/>
            <color indexed="81"/>
            <rFont val="Tahoma"/>
            <family val="2"/>
          </rPr>
          <t xml:space="preserve">
Calc based off manual project line</t>
        </r>
      </text>
    </comment>
    <comment ref="AE54" authorId="0" shapeId="0">
      <text>
        <r>
          <rPr>
            <b/>
            <sz val="9"/>
            <color indexed="81"/>
            <rFont val="Tahoma"/>
            <family val="2"/>
          </rPr>
          <t>Author:</t>
        </r>
        <r>
          <rPr>
            <sz val="9"/>
            <color indexed="81"/>
            <rFont val="Tahoma"/>
            <family val="2"/>
          </rPr>
          <t xml:space="preserve">
Calc based off manual project line</t>
        </r>
      </text>
    </comment>
    <comment ref="AF54" authorId="0" shapeId="0">
      <text>
        <r>
          <rPr>
            <b/>
            <sz val="9"/>
            <color indexed="81"/>
            <rFont val="Tahoma"/>
            <family val="2"/>
          </rPr>
          <t>Author:</t>
        </r>
        <r>
          <rPr>
            <sz val="9"/>
            <color indexed="81"/>
            <rFont val="Tahoma"/>
            <family val="2"/>
          </rPr>
          <t xml:space="preserve">
Calc based off manual project line</t>
        </r>
      </text>
    </comment>
    <comment ref="AG54" authorId="0" shapeId="0">
      <text>
        <r>
          <rPr>
            <b/>
            <sz val="9"/>
            <color indexed="81"/>
            <rFont val="Tahoma"/>
            <family val="2"/>
          </rPr>
          <t>Author:</t>
        </r>
        <r>
          <rPr>
            <sz val="9"/>
            <color indexed="81"/>
            <rFont val="Tahoma"/>
            <family val="2"/>
          </rPr>
          <t xml:space="preserve">
Calc based off manual project line</t>
        </r>
      </text>
    </comment>
    <comment ref="AH54" authorId="0" shapeId="0">
      <text>
        <r>
          <rPr>
            <b/>
            <sz val="9"/>
            <color indexed="81"/>
            <rFont val="Tahoma"/>
            <family val="2"/>
          </rPr>
          <t>Author:</t>
        </r>
        <r>
          <rPr>
            <sz val="9"/>
            <color indexed="81"/>
            <rFont val="Tahoma"/>
            <family val="2"/>
          </rPr>
          <t xml:space="preserve">
Calc based off manual project line</t>
        </r>
      </text>
    </comment>
    <comment ref="P109" authorId="0" shapeId="0">
      <text>
        <r>
          <rPr>
            <b/>
            <sz val="9"/>
            <color indexed="81"/>
            <rFont val="Tahoma"/>
            <family val="2"/>
          </rPr>
          <t>Author:</t>
        </r>
        <r>
          <rPr>
            <sz val="9"/>
            <color indexed="81"/>
            <rFont val="Tahoma"/>
            <family val="2"/>
          </rPr>
          <t xml:space="preserve">
SLOW DOWN IN GROWTH IN 2022</t>
        </r>
      </text>
    </comment>
  </commentList>
</comments>
</file>

<file path=xl/comments4.xml><?xml version="1.0" encoding="utf-8"?>
<comments xmlns="http://schemas.openxmlformats.org/spreadsheetml/2006/main">
  <authors>
    <author>Author</author>
  </authors>
  <commentList>
    <comment ref="A8" authorId="0" shapeId="0">
      <text>
        <r>
          <rPr>
            <b/>
            <sz val="9"/>
            <color indexed="81"/>
            <rFont val="Tahoma"/>
            <family val="2"/>
          </rPr>
          <t>Author:</t>
        </r>
        <r>
          <rPr>
            <sz val="9"/>
            <color indexed="81"/>
            <rFont val="Tahoma"/>
            <family val="2"/>
          </rPr>
          <t xml:space="preserve">
changed to '000s on 3/20/23</t>
        </r>
      </text>
    </comment>
    <comment ref="G8" authorId="0" shapeId="0">
      <text>
        <r>
          <rPr>
            <b/>
            <sz val="9"/>
            <color indexed="81"/>
            <rFont val="Tahoma"/>
            <family val="2"/>
          </rPr>
          <t>Author:</t>
        </r>
        <r>
          <rPr>
            <sz val="9"/>
            <color indexed="81"/>
            <rFont val="Tahoma"/>
            <family val="2"/>
          </rPr>
          <t xml:space="preserve">
Q1 2022 Total bookings were $102.1 million, an increase of 55% from the prior year quarter;</t>
        </r>
      </text>
    </comment>
    <comment ref="H8" authorId="0" shapeId="0">
      <text>
        <r>
          <rPr>
            <b/>
            <sz val="9"/>
            <color indexed="81"/>
            <rFont val="Tahoma"/>
            <family val="2"/>
          </rPr>
          <t>Author:</t>
        </r>
        <r>
          <rPr>
            <sz val="9"/>
            <color indexed="81"/>
            <rFont val="Tahoma"/>
            <family val="2"/>
          </rPr>
          <t xml:space="preserve">
FY21 Q2 Press Release; 30% from the prior year quarter;
</t>
        </r>
      </text>
    </comment>
    <comment ref="C10" authorId="0" shapeId="0">
      <text>
        <r>
          <rPr>
            <b/>
            <sz val="9"/>
            <color indexed="81"/>
            <rFont val="Tahoma"/>
            <family val="2"/>
          </rPr>
          <t>Author:</t>
        </r>
        <r>
          <rPr>
            <sz val="9"/>
            <color indexed="81"/>
            <rFont val="Tahoma"/>
            <family val="2"/>
          </rPr>
          <t xml:space="preserve">
Q2 2021 10Q include all numbers below for Product breakdown</t>
        </r>
      </text>
    </comment>
    <comment ref="F10" authorId="0" shapeId="0">
      <text>
        <r>
          <rPr>
            <b/>
            <sz val="9"/>
            <color indexed="81"/>
            <rFont val="Tahoma"/>
            <family val="2"/>
          </rPr>
          <t>Author:</t>
        </r>
        <r>
          <rPr>
            <sz val="9"/>
            <color indexed="81"/>
            <rFont val="Tahoma"/>
            <family val="2"/>
          </rPr>
          <t xml:space="preserve">
2021 10k including all Year End numbers below</t>
        </r>
      </text>
    </comment>
    <comment ref="H10" authorId="0" shapeId="0">
      <text>
        <r>
          <rPr>
            <b/>
            <sz val="9"/>
            <color indexed="81"/>
            <rFont val="Tahoma"/>
            <family val="2"/>
          </rPr>
          <t>Author:</t>
        </r>
        <r>
          <rPr>
            <sz val="9"/>
            <color indexed="81"/>
            <rFont val="Tahoma"/>
            <family val="2"/>
          </rPr>
          <t xml:space="preserve">
Q2 2021 10Q include all numbers below for Product breakdown</t>
        </r>
      </text>
    </comment>
    <comment ref="K10" authorId="0" shapeId="0">
      <text>
        <r>
          <rPr>
            <b/>
            <sz val="9"/>
            <color indexed="81"/>
            <rFont val="Tahoma"/>
            <family val="2"/>
          </rPr>
          <t>Author:</t>
        </r>
        <r>
          <rPr>
            <sz val="9"/>
            <color indexed="81"/>
            <rFont val="Tahoma"/>
            <family val="2"/>
          </rPr>
          <t xml:space="preserve">
2021 10k</t>
        </r>
      </text>
    </comment>
    <comment ref="K11" authorId="0" shapeId="0">
      <text>
        <r>
          <rPr>
            <b/>
            <sz val="9"/>
            <color indexed="81"/>
            <rFont val="Tahoma"/>
            <family val="2"/>
          </rPr>
          <t>Author:</t>
        </r>
        <r>
          <rPr>
            <sz val="9"/>
            <color indexed="81"/>
            <rFont val="Tahoma"/>
            <family val="2"/>
          </rPr>
          <t xml:space="preserve">
2021 10k</t>
        </r>
      </text>
    </comment>
    <comment ref="K12" authorId="0" shapeId="0">
      <text>
        <r>
          <rPr>
            <b/>
            <sz val="9"/>
            <color indexed="81"/>
            <rFont val="Tahoma"/>
            <family val="2"/>
          </rPr>
          <t>Author:</t>
        </r>
        <r>
          <rPr>
            <sz val="9"/>
            <color indexed="81"/>
            <rFont val="Tahoma"/>
            <family val="2"/>
          </rPr>
          <t xml:space="preserve">
2021 10k</t>
        </r>
      </text>
    </comment>
    <comment ref="K13" authorId="0" shapeId="0">
      <text>
        <r>
          <rPr>
            <b/>
            <sz val="9"/>
            <color indexed="81"/>
            <rFont val="Tahoma"/>
            <family val="2"/>
          </rPr>
          <t>Author:</t>
        </r>
        <r>
          <rPr>
            <sz val="9"/>
            <color indexed="81"/>
            <rFont val="Tahoma"/>
            <family val="2"/>
          </rPr>
          <t xml:space="preserve">
2021 10k</t>
        </r>
      </text>
    </comment>
    <comment ref="K14" authorId="0" shapeId="0">
      <text>
        <r>
          <rPr>
            <b/>
            <sz val="9"/>
            <color indexed="81"/>
            <rFont val="Tahoma"/>
            <family val="2"/>
          </rPr>
          <t>Author:</t>
        </r>
        <r>
          <rPr>
            <sz val="9"/>
            <color indexed="81"/>
            <rFont val="Tahoma"/>
            <family val="2"/>
          </rPr>
          <t xml:space="preserve">
2021 10k</t>
        </r>
      </text>
    </comment>
    <comment ref="AB53" authorId="0" shapeId="0">
      <text>
        <r>
          <rPr>
            <b/>
            <sz val="9"/>
            <color indexed="81"/>
            <rFont val="Tahoma"/>
            <family val="2"/>
          </rPr>
          <t>Author:</t>
        </r>
        <r>
          <rPr>
            <sz val="9"/>
            <color indexed="81"/>
            <rFont val="Tahoma"/>
            <family val="2"/>
          </rPr>
          <t xml:space="preserve">
Calc based off manual project line</t>
        </r>
      </text>
    </comment>
    <comment ref="AC53" authorId="0" shapeId="0">
      <text>
        <r>
          <rPr>
            <b/>
            <sz val="9"/>
            <color indexed="81"/>
            <rFont val="Tahoma"/>
            <family val="2"/>
          </rPr>
          <t>Author:</t>
        </r>
        <r>
          <rPr>
            <sz val="9"/>
            <color indexed="81"/>
            <rFont val="Tahoma"/>
            <family val="2"/>
          </rPr>
          <t xml:space="preserve">
Calc based off manual project line</t>
        </r>
      </text>
    </comment>
    <comment ref="AD53" authorId="0" shapeId="0">
      <text>
        <r>
          <rPr>
            <b/>
            <sz val="9"/>
            <color indexed="81"/>
            <rFont val="Tahoma"/>
            <family val="2"/>
          </rPr>
          <t>Author:</t>
        </r>
        <r>
          <rPr>
            <sz val="9"/>
            <color indexed="81"/>
            <rFont val="Tahoma"/>
            <family val="2"/>
          </rPr>
          <t xml:space="preserve">
Calc based off manual project line</t>
        </r>
      </text>
    </comment>
    <comment ref="AE53" authorId="0" shapeId="0">
      <text>
        <r>
          <rPr>
            <b/>
            <sz val="9"/>
            <color indexed="81"/>
            <rFont val="Tahoma"/>
            <family val="2"/>
          </rPr>
          <t>Author:</t>
        </r>
        <r>
          <rPr>
            <sz val="9"/>
            <color indexed="81"/>
            <rFont val="Tahoma"/>
            <family val="2"/>
          </rPr>
          <t xml:space="preserve">
Calc based off manual project line</t>
        </r>
      </text>
    </comment>
    <comment ref="AF53" authorId="0" shapeId="0">
      <text>
        <r>
          <rPr>
            <b/>
            <sz val="9"/>
            <color indexed="81"/>
            <rFont val="Tahoma"/>
            <family val="2"/>
          </rPr>
          <t>Author:</t>
        </r>
        <r>
          <rPr>
            <sz val="9"/>
            <color indexed="81"/>
            <rFont val="Tahoma"/>
            <family val="2"/>
          </rPr>
          <t xml:space="preserve">
Calc based off manual project line</t>
        </r>
      </text>
    </comment>
    <comment ref="AG53" authorId="0" shapeId="0">
      <text>
        <r>
          <rPr>
            <b/>
            <sz val="9"/>
            <color indexed="81"/>
            <rFont val="Tahoma"/>
            <family val="2"/>
          </rPr>
          <t>Author:</t>
        </r>
        <r>
          <rPr>
            <sz val="9"/>
            <color indexed="81"/>
            <rFont val="Tahoma"/>
            <family val="2"/>
          </rPr>
          <t xml:space="preserve">
Calc based off manual project line</t>
        </r>
      </text>
    </comment>
    <comment ref="AH53" authorId="0" shapeId="0">
      <text>
        <r>
          <rPr>
            <b/>
            <sz val="9"/>
            <color indexed="81"/>
            <rFont val="Tahoma"/>
            <family val="2"/>
          </rPr>
          <t>Author:</t>
        </r>
        <r>
          <rPr>
            <sz val="9"/>
            <color indexed="81"/>
            <rFont val="Tahoma"/>
            <family val="2"/>
          </rPr>
          <t xml:space="preserve">
Calc based off manual project line</t>
        </r>
      </text>
    </comment>
    <comment ref="AI53" authorId="0" shapeId="0">
      <text>
        <r>
          <rPr>
            <b/>
            <sz val="9"/>
            <color indexed="81"/>
            <rFont val="Tahoma"/>
            <family val="2"/>
          </rPr>
          <t>Author:</t>
        </r>
        <r>
          <rPr>
            <sz val="9"/>
            <color indexed="81"/>
            <rFont val="Tahoma"/>
            <family val="2"/>
          </rPr>
          <t xml:space="preserve">
Calc based off manual project line</t>
        </r>
      </text>
    </comment>
    <comment ref="P108" authorId="0" shapeId="0">
      <text>
        <r>
          <rPr>
            <b/>
            <sz val="9"/>
            <color indexed="81"/>
            <rFont val="Tahoma"/>
            <family val="2"/>
          </rPr>
          <t>Author:</t>
        </r>
        <r>
          <rPr>
            <sz val="9"/>
            <color indexed="81"/>
            <rFont val="Tahoma"/>
            <family val="2"/>
          </rPr>
          <t xml:space="preserve">
SLOW DOWN IN GROWTH IN 2022</t>
        </r>
      </text>
    </comment>
  </commentList>
</comments>
</file>

<file path=xl/comments5.xml><?xml version="1.0" encoding="utf-8"?>
<comments xmlns="http://schemas.openxmlformats.org/spreadsheetml/2006/main">
  <authors>
    <author>Author</author>
  </authors>
  <commentList>
    <comment ref="L39" authorId="0" shapeId="0">
      <text>
        <r>
          <rPr>
            <b/>
            <sz val="9"/>
            <color indexed="81"/>
            <rFont val="Tahoma"/>
            <family val="2"/>
          </rPr>
          <t>Author:</t>
        </r>
        <r>
          <rPr>
            <sz val="9"/>
            <color indexed="81"/>
            <rFont val="Tahoma"/>
            <family val="2"/>
          </rPr>
          <t xml:space="preserve">
Formulas Begins
</t>
        </r>
      </text>
    </comment>
  </commentList>
</comments>
</file>

<file path=xl/comments6.xml><?xml version="1.0" encoding="utf-8"?>
<comments xmlns="http://schemas.openxmlformats.org/spreadsheetml/2006/main">
  <authors>
    <author>Author</author>
  </authors>
  <commentList>
    <comment ref="D6" authorId="0" shapeId="0">
      <text>
        <r>
          <rPr>
            <b/>
            <sz val="9"/>
            <color indexed="81"/>
            <rFont val="Tahoma"/>
            <family val="2"/>
          </rPr>
          <t>Author:</t>
        </r>
        <r>
          <rPr>
            <sz val="9"/>
            <color indexed="81"/>
            <rFont val="Tahoma"/>
            <family val="2"/>
          </rPr>
          <t xml:space="preserve">
Share Prices as of March 10, 2023
</t>
        </r>
      </text>
    </comment>
    <comment ref="C10" authorId="0" shapeId="0">
      <text>
        <r>
          <rPr>
            <b/>
            <sz val="9"/>
            <color indexed="81"/>
            <rFont val="Tahoma"/>
            <family val="2"/>
          </rPr>
          <t>Author:
Values provided in USD</t>
        </r>
      </text>
    </comment>
    <comment ref="M21" authorId="0" shapeId="0">
      <text>
        <r>
          <rPr>
            <b/>
            <sz val="9"/>
            <color indexed="81"/>
            <rFont val="Tahoma"/>
            <family val="2"/>
          </rPr>
          <t>Author:</t>
        </r>
        <r>
          <rPr>
            <sz val="9"/>
            <color indexed="81"/>
            <rFont val="Tahoma"/>
            <family val="2"/>
          </rPr>
          <t xml:space="preserve">
Consensus low estimate sourced from pitchbook</t>
        </r>
      </text>
    </comment>
  </commentList>
</comments>
</file>

<file path=xl/comments7.xml><?xml version="1.0" encoding="utf-8"?>
<comments xmlns="http://schemas.openxmlformats.org/spreadsheetml/2006/main">
  <authors>
    <author>Author</author>
  </authors>
  <commentList>
    <comment ref="E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of February 27, 2023, 32,201,681 shares of the registrant's Class A common stock were outstanding, and 8,434,238 shares of the registrant's Class B common stock were outstanding.</t>
        </r>
      </text>
    </comment>
    <comment ref="C2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ebit * (1-t)
</t>
        </r>
      </text>
    </comment>
    <comment ref="D44" authorId="0" shapeId="0">
      <text>
        <r>
          <rPr>
            <sz val="9"/>
            <color indexed="81"/>
            <rFont val="Tahoma"/>
            <family val="2"/>
          </rPr>
          <t>Conservative estimate. In any case, should never exceed GDP trend growth rate.</t>
        </r>
      </text>
    </comment>
    <comment ref="H44" authorId="0" shapeId="0">
      <text>
        <r>
          <rPr>
            <sz val="9"/>
            <color indexed="81"/>
            <rFont val="Tahoma"/>
            <family val="2"/>
          </rPr>
          <t>Conservative considering current TTM EBITDA multiple is 12.8x)</t>
        </r>
      </text>
    </comment>
  </commentList>
</comments>
</file>

<file path=xl/sharedStrings.xml><?xml version="1.0" encoding="utf-8"?>
<sst xmlns="http://schemas.openxmlformats.org/spreadsheetml/2006/main" count="12479" uniqueCount="1034">
  <si>
    <t xml:space="preserve">$ in '000 </t>
  </si>
  <si>
    <t>CAGR</t>
  </si>
  <si>
    <t>Yearly</t>
  </si>
  <si>
    <t>Fiscal End Date</t>
  </si>
  <si>
    <t xml:space="preserve">  22' - 27'</t>
  </si>
  <si>
    <t>INCOME STATEMENT</t>
  </si>
  <si>
    <t>Revenue</t>
  </si>
  <si>
    <t>Growth y/o/y</t>
  </si>
  <si>
    <t>Gross Profit</t>
  </si>
  <si>
    <t>Gross Margin</t>
  </si>
  <si>
    <t>EBIT</t>
  </si>
  <si>
    <t>EBIT Margin</t>
  </si>
  <si>
    <t>Adjusted EBITDA</t>
  </si>
  <si>
    <t>Adjusted EBITDA Margin</t>
  </si>
  <si>
    <t>BALANCE SHEET</t>
  </si>
  <si>
    <t>Cash</t>
  </si>
  <si>
    <t>Other Assets</t>
  </si>
  <si>
    <t>Total Assets</t>
  </si>
  <si>
    <t>Other Liabilities</t>
  </si>
  <si>
    <t>Revolver</t>
  </si>
  <si>
    <t>Term Loan A</t>
  </si>
  <si>
    <t>Mezzanine Debt</t>
  </si>
  <si>
    <t>Bond</t>
  </si>
  <si>
    <t>Total Liabilities</t>
  </si>
  <si>
    <t>Total Equity</t>
  </si>
  <si>
    <t>Total Liabilities &amp; Equity</t>
  </si>
  <si>
    <t>Check</t>
  </si>
  <si>
    <t>DEBT COVENANTS</t>
  </si>
  <si>
    <t>Current Ratio - Required Covenant</t>
  </si>
  <si>
    <t>Current Ratio - As Calculated, excluding deferred revenue</t>
  </si>
  <si>
    <t>PASS / FAIL</t>
  </si>
  <si>
    <t>FCCR - Required Covenant</t>
  </si>
  <si>
    <t>FCCR - As Calculated</t>
  </si>
  <si>
    <t>Senior Leverage Ratio - Required Covenant</t>
  </si>
  <si>
    <t>Senior Leverage Ratio - As Calculated</t>
  </si>
  <si>
    <t>Total Leverage Ratio - Required Covenant</t>
  </si>
  <si>
    <t>Total Leverage Ratio - As Calculated</t>
  </si>
  <si>
    <t>RETURNS</t>
  </si>
  <si>
    <t>Net Proceeds to LPs</t>
  </si>
  <si>
    <t>Original LP Investment</t>
  </si>
  <si>
    <t>ROI</t>
  </si>
  <si>
    <t>IRR</t>
  </si>
  <si>
    <t>Net Proceeds to Sponsor</t>
  </si>
  <si>
    <t>Original Sponsor Investment</t>
  </si>
  <si>
    <t xml:space="preserve">Quaterly </t>
  </si>
  <si>
    <t>Growth Q/o/Q</t>
  </si>
  <si>
    <t>`</t>
  </si>
  <si>
    <t>Offer / LTM Revenue</t>
  </si>
  <si>
    <t xml:space="preserve">Leverage Buyout Model for Duolingo (Project Owl) - Company Summary </t>
  </si>
  <si>
    <t xml:space="preserve">Initial Valuation </t>
  </si>
  <si>
    <t xml:space="preserve">Operating Model Support </t>
  </si>
  <si>
    <t>EV / LTM EBITDA</t>
  </si>
  <si>
    <t>$ in 000 except per share data</t>
  </si>
  <si>
    <t>Enterprise Value</t>
  </si>
  <si>
    <t>Circularity Breaker</t>
  </si>
  <si>
    <t>1 = Off and 0 = On</t>
  </si>
  <si>
    <t>Company Name</t>
  </si>
  <si>
    <t xml:space="preserve">Duolingo, Inc. </t>
  </si>
  <si>
    <t xml:space="preserve">Project Name </t>
  </si>
  <si>
    <t>Project Owl</t>
  </si>
  <si>
    <t>Ticker Symbol</t>
  </si>
  <si>
    <t>DUOL</t>
  </si>
  <si>
    <t>LTM EBITDA</t>
  </si>
  <si>
    <t>Scenario Analysis</t>
  </si>
  <si>
    <t>Base Case</t>
  </si>
  <si>
    <t>Best Case</t>
  </si>
  <si>
    <t>Exchange</t>
  </si>
  <si>
    <t>NasdaqGS</t>
  </si>
  <si>
    <t>Share Price</t>
  </si>
  <si>
    <t>Share Price (3/10/2023), yahoo finance</t>
  </si>
  <si>
    <t>Balance Sheet is out of balance</t>
  </si>
  <si>
    <t>Down Case</t>
  </si>
  <si>
    <t>Date of Share Price Close</t>
  </si>
  <si>
    <t xml:space="preserve">Offer Price </t>
  </si>
  <si>
    <t>Ending balance doesn't tie to BS</t>
  </si>
  <si>
    <t xml:space="preserve">Shares Outstanding, taken from 10K released on </t>
  </si>
  <si>
    <t>Premium</t>
  </si>
  <si>
    <t>Pro forma BS is out of balance</t>
  </si>
  <si>
    <t>Class A Shares, 10k</t>
  </si>
  <si>
    <t>Annual Summary is out of balance</t>
  </si>
  <si>
    <t>Class B Shares, 10k</t>
  </si>
  <si>
    <t>Share outstanding</t>
  </si>
  <si>
    <t>Total Share Outstanding</t>
  </si>
  <si>
    <t>Equity Value</t>
  </si>
  <si>
    <t>FORMATTING REFERENCE</t>
  </si>
  <si>
    <t>What it Means</t>
  </si>
  <si>
    <t>What it Looks Like</t>
  </si>
  <si>
    <t>Diluted Shares, see Share Conversion Sheet</t>
  </si>
  <si>
    <t>Black font, no shading</t>
  </si>
  <si>
    <t>Formula</t>
  </si>
  <si>
    <t>Like this</t>
  </si>
  <si>
    <t xml:space="preserve">Total Diliuted Shares Outstanding </t>
  </si>
  <si>
    <t xml:space="preserve">Diliuted Equity Value </t>
  </si>
  <si>
    <t>Blue font, no shading</t>
  </si>
  <si>
    <t>Known actual or hardcode</t>
  </si>
  <si>
    <t>Blue font, yellow shading</t>
  </si>
  <si>
    <t>Model input</t>
  </si>
  <si>
    <t>Dark green font</t>
  </si>
  <si>
    <t>Links to another tab</t>
  </si>
  <si>
    <t>Minimum cash Required</t>
  </si>
  <si>
    <t xml:space="preserve">Diliuted Offer Equity Value </t>
  </si>
  <si>
    <t>Orange shading</t>
  </si>
  <si>
    <t>Unique cell or formula</t>
  </si>
  <si>
    <t>Transaction Details</t>
  </si>
  <si>
    <t>Fees</t>
  </si>
  <si>
    <t>Estimated Closing Date</t>
  </si>
  <si>
    <t>Can change ------→</t>
  </si>
  <si>
    <t>% fees</t>
  </si>
  <si>
    <t>Fee</t>
  </si>
  <si>
    <t>Term</t>
  </si>
  <si>
    <t>Last Actual Through</t>
  </si>
  <si>
    <t>Financing fees</t>
  </si>
  <si>
    <t xml:space="preserve">Adjusted EBITDA, Valuation </t>
  </si>
  <si>
    <t xml:space="preserve">Implied EBITDA Purchae Price Multiple </t>
  </si>
  <si>
    <t>EBITDA Exit Multiple</t>
  </si>
  <si>
    <t>Median derived from Trading Comps 2022 Data</t>
  </si>
  <si>
    <t>% of offer value</t>
  </si>
  <si>
    <t xml:space="preserve">Revenue Valuation </t>
  </si>
  <si>
    <t xml:space="preserve">Implied LTM Revenue Purchae Price Multiple </t>
  </si>
  <si>
    <t>LTM Revenue Exit Multiple</t>
  </si>
  <si>
    <t>Average derived from M&amp;A Comps</t>
  </si>
  <si>
    <t>Transaction Fees</t>
  </si>
  <si>
    <t>Investment Bank</t>
  </si>
  <si>
    <t>Attorney</t>
  </si>
  <si>
    <t xml:space="preserve">Valuation Multiple </t>
  </si>
  <si>
    <t>Accountants</t>
  </si>
  <si>
    <t>Total Enterprise Value (Purchase Price)</t>
  </si>
  <si>
    <t>Uses</t>
  </si>
  <si>
    <t>Buyout of Equity</t>
  </si>
  <si>
    <t xml:space="preserve">Refinance of Debt </t>
  </si>
  <si>
    <t>Senior Debt</t>
  </si>
  <si>
    <t>Financing Fees</t>
  </si>
  <si>
    <t>Total Uses</t>
  </si>
  <si>
    <t>Sources</t>
  </si>
  <si>
    <t>Undrawn</t>
  </si>
  <si>
    <t>PIK</t>
  </si>
  <si>
    <t>Capacity</t>
  </si>
  <si>
    <t>Interest Rate 
Coupon Rate</t>
  </si>
  <si>
    <t>Multiple</t>
  </si>
  <si>
    <t>% TEV</t>
  </si>
  <si>
    <t>Amount</t>
  </si>
  <si>
    <t>Excess Cash on Balance Sheet</t>
  </si>
  <si>
    <t>https://www.attractcapital.com/mezzanine-debt.html</t>
  </si>
  <si>
    <t>https://ycharts.com/indicators/us_high_yield_bb_effective_yield</t>
  </si>
  <si>
    <t>GP Equity</t>
  </si>
  <si>
    <t>LP Equity</t>
  </si>
  <si>
    <t>Total Sources</t>
  </si>
  <si>
    <t>PRO FORMA EQUITY</t>
  </si>
  <si>
    <t>Catch-up</t>
  </si>
  <si>
    <t>Carry</t>
  </si>
  <si>
    <t>Pref. Dividend</t>
  </si>
  <si>
    <t>Pre-Dilution</t>
  </si>
  <si>
    <t>Fully-Diluted</t>
  </si>
  <si>
    <t>Management Team</t>
  </si>
  <si>
    <t>Advisory Board</t>
  </si>
  <si>
    <t>Total</t>
  </si>
  <si>
    <t xml:space="preserve">Pro Forma Balance Sheet </t>
  </si>
  <si>
    <t>Existing</t>
  </si>
  <si>
    <t>Source</t>
  </si>
  <si>
    <t>Use</t>
  </si>
  <si>
    <t>Pro Forma</t>
  </si>
  <si>
    <t>Balance Sheet</t>
  </si>
  <si>
    <t>New</t>
  </si>
  <si>
    <t>Old</t>
  </si>
  <si>
    <t>Transaction</t>
  </si>
  <si>
    <t xml:space="preserve">Financing </t>
  </si>
  <si>
    <t>Balance Scheet</t>
  </si>
  <si>
    <t xml:space="preserve">Insert Closing Date -&gt; </t>
  </si>
  <si>
    <t>Equity</t>
  </si>
  <si>
    <t>Debt</t>
  </si>
  <si>
    <t>ASSETS</t>
  </si>
  <si>
    <t>Current assets:</t>
  </si>
  <si>
    <t>Cash and cash equivalents</t>
  </si>
  <si>
    <t>Accounts receivable</t>
  </si>
  <si>
    <t>Deferred cost of revenues</t>
  </si>
  <si>
    <t>Prepaid expenses and other current assets</t>
  </si>
  <si>
    <t>Total current assets</t>
  </si>
  <si>
    <t>Property and equipment, net</t>
  </si>
  <si>
    <t>Goodwill</t>
  </si>
  <si>
    <t>NewCo Goodwill</t>
  </si>
  <si>
    <t>Intangible Assets, net</t>
  </si>
  <si>
    <t>Deferred Financing Fees</t>
  </si>
  <si>
    <t>Operating lease right-of-use assets</t>
  </si>
  <si>
    <t>Deferred Tax Assets</t>
  </si>
  <si>
    <t>Other assets</t>
  </si>
  <si>
    <t>Total assets</t>
  </si>
  <si>
    <t>LIABILITIES and STOCKHOLDERS EQUITY</t>
  </si>
  <si>
    <t>Current liabilities:</t>
  </si>
  <si>
    <t>Accounts payable</t>
  </si>
  <si>
    <t>Deferred revenues</t>
  </si>
  <si>
    <t>Income tax payable</t>
  </si>
  <si>
    <t>Accrued expenses and other current liabilities</t>
  </si>
  <si>
    <t>Total current liabilities</t>
  </si>
  <si>
    <t>Long-term liabilities:</t>
  </si>
  <si>
    <t>Long term obligation under operating leases</t>
  </si>
  <si>
    <t>Total liabilities</t>
  </si>
  <si>
    <t>Stockholders' Equity</t>
  </si>
  <si>
    <t>Convertible preferred stock</t>
  </si>
  <si>
    <t>Common stock</t>
  </si>
  <si>
    <t>Additional paid-in capital</t>
  </si>
  <si>
    <t>Treasury Stock</t>
  </si>
  <si>
    <t xml:space="preserve">Retained Earnings/Accumulated deficit </t>
  </si>
  <si>
    <t>Historical Goodwill</t>
  </si>
  <si>
    <t>Total Stockholders’ Equity</t>
  </si>
  <si>
    <t>Total liabilities &amp; Stockholders' Equity</t>
  </si>
  <si>
    <t xml:space="preserve">Balance Check </t>
  </si>
  <si>
    <t>Check to operating model</t>
  </si>
  <si>
    <t>x</t>
  </si>
  <si>
    <t>Profit and Loss Statement - Monthy Model</t>
  </si>
  <si>
    <t>CAGR %</t>
  </si>
  <si>
    <t>Scenario Case</t>
  </si>
  <si>
    <t>Comments</t>
  </si>
  <si>
    <t>Revenues</t>
  </si>
  <si>
    <t>See unit Economics page</t>
  </si>
  <si>
    <t>quarter over quarter growth %</t>
  </si>
  <si>
    <t xml:space="preserve">LTM Revenue </t>
  </si>
  <si>
    <t>Cost of revenues (enter as -)</t>
  </si>
  <si>
    <t>Amortization included in Cost of Revenues (enter as 0)</t>
  </si>
  <si>
    <t>removed the amortization into own line</t>
  </si>
  <si>
    <t xml:space="preserve">Stock Based Compensation </t>
  </si>
  <si>
    <t xml:space="preserve">removed stock based compensation </t>
  </si>
  <si>
    <t>Gross profit</t>
  </si>
  <si>
    <t>Gross Profit Margin %</t>
  </si>
  <si>
    <t>Operating expenses (enter as -):</t>
  </si>
  <si>
    <t>Research and development</t>
  </si>
  <si>
    <t>Removed SBC, Dept., Amort., and forecasted based on avg of last 6 qtrs</t>
  </si>
  <si>
    <t>Sales and marketing</t>
  </si>
  <si>
    <t>General and administrative</t>
  </si>
  <si>
    <t>Depreciation</t>
  </si>
  <si>
    <t>See PP&amp;E Schedule</t>
  </si>
  <si>
    <t>Amortization</t>
  </si>
  <si>
    <t>See Capitalized Cost Schedule</t>
  </si>
  <si>
    <t>Stock Based Compensation</t>
  </si>
  <si>
    <t>Removed from line items</t>
  </si>
  <si>
    <t>Other Expenses in G&amp;A</t>
  </si>
  <si>
    <t>Removed from G&amp;A, except actual 3/31/2021, see SBC Breakout</t>
  </si>
  <si>
    <t>Total operating expenses</t>
  </si>
  <si>
    <t>Operating Income (loss) - EBIT</t>
  </si>
  <si>
    <t xml:space="preserve">Total Other Income (loss) </t>
  </si>
  <si>
    <t xml:space="preserve">Other Income </t>
  </si>
  <si>
    <t>Did not forecast</t>
  </si>
  <si>
    <t>Other Expense (enter as -)</t>
  </si>
  <si>
    <t>Forecasted as 25 bps to revenue for currency exchange</t>
  </si>
  <si>
    <t xml:space="preserve">Interest Income </t>
  </si>
  <si>
    <t>See Debt Schedule</t>
  </si>
  <si>
    <t>Interest Expense (enter as -)</t>
  </si>
  <si>
    <t>Transaction Expenses (enter as -)</t>
  </si>
  <si>
    <t>Other income (expense), net</t>
  </si>
  <si>
    <t>(Loss) Income before provision for income taxes</t>
  </si>
  <si>
    <t>Provision for income taxes (enter as -)</t>
  </si>
  <si>
    <t>Used a 21% tax rate given, a potential pass through entity to help for capital gains</t>
  </si>
  <si>
    <t>Net (loss) income and comprehensive (loss) income</t>
  </si>
  <si>
    <t>Basic loss per common share</t>
  </si>
  <si>
    <t>Diluted loss per common share</t>
  </si>
  <si>
    <t xml:space="preserve">Depreciation: Addbacks </t>
  </si>
  <si>
    <t>(In thousands)</t>
  </si>
  <si>
    <t xml:space="preserve">Financial Filing </t>
  </si>
  <si>
    <t>Forecasted Depreciation</t>
  </si>
  <si>
    <t>See PPE Schedule</t>
  </si>
  <si>
    <t xml:space="preserve">Amortization: Addbacks </t>
  </si>
  <si>
    <t>Cost of Revenues</t>
  </si>
  <si>
    <t>Financial Filing</t>
  </si>
  <si>
    <t>Forecasted Amortization</t>
  </si>
  <si>
    <t>Forecasted Amortization of deferred financing</t>
  </si>
  <si>
    <t>EBITDA</t>
  </si>
  <si>
    <t>Stock Based Compensation Breakout</t>
  </si>
  <si>
    <t>Cost of revenues</t>
  </si>
  <si>
    <t xml:space="preserve">Taxes Paid for Stock Based Compensation </t>
  </si>
  <si>
    <t xml:space="preserve">Total Stock Based Compensation </t>
  </si>
  <si>
    <t>Other Addbacks: - Used from press releases:</t>
  </si>
  <si>
    <t>+ IPO And Public Company readiness Costs</t>
  </si>
  <si>
    <t>Financial Filing or Press Release for period</t>
  </si>
  <si>
    <t>- Other Expenses</t>
  </si>
  <si>
    <t>+Tender offer-related costs</t>
  </si>
  <si>
    <t>+Other Expenses</t>
  </si>
  <si>
    <t>+Transaction Costs</t>
  </si>
  <si>
    <t>Currency exchange</t>
  </si>
  <si>
    <t xml:space="preserve">Total Other Addbacks </t>
  </si>
  <si>
    <t>Adjusted EBITDA Margin %</t>
  </si>
  <si>
    <t xml:space="preserve">LTM </t>
  </si>
  <si>
    <t>Assumptions</t>
  </si>
  <si>
    <t>Revenue Growth</t>
  </si>
  <si>
    <t>Refer to Unit of Economics_Assumptions, Quarter over Quarter Growth</t>
  </si>
  <si>
    <t>as a % of revenue</t>
  </si>
  <si>
    <t>Taxes</t>
  </si>
  <si>
    <t>Used a 20% rate after closing date, prior to clsoing used last six quarter historical average</t>
  </si>
  <si>
    <t>Linked to statement of cash flow</t>
  </si>
  <si>
    <t>Cash - Proforma Adjustment</t>
  </si>
  <si>
    <t>See Transaction Tab</t>
  </si>
  <si>
    <t xml:space="preserve">See working capital schedule, forecast based on DSO </t>
  </si>
  <si>
    <t>See working capital schedule, forecast based on % of sales</t>
  </si>
  <si>
    <t xml:space="preserve">See transaction tab, </t>
  </si>
  <si>
    <t>See capitalized cost schedule, includes Deferred Financing Fees</t>
  </si>
  <si>
    <t>For simplicity kept the old method</t>
  </si>
  <si>
    <t>See operating leases schedule</t>
  </si>
  <si>
    <r>
      <t xml:space="preserve">See working capital schedule, </t>
    </r>
    <r>
      <rPr>
        <sz val="12"/>
        <color rgb="FFFF0000"/>
        <rFont val="Calibri"/>
        <family val="2"/>
        <scheme val="minor"/>
      </rPr>
      <t>forecast based on % of sales</t>
    </r>
  </si>
  <si>
    <t xml:space="preserve">Straight-line, no guidance on type of assets, </t>
  </si>
  <si>
    <t xml:space="preserve">See working capital schedule, forecast based on DPO </t>
  </si>
  <si>
    <t>Forecasted to capture tax payable until deal is closed</t>
  </si>
  <si>
    <t>NewCo Tax Payable</t>
  </si>
  <si>
    <t>See tax accrual, built in for tax expenses to members, One period Lag</t>
  </si>
  <si>
    <t>Short term operating lease removed, remaining items grown with revenues</t>
  </si>
  <si>
    <t>See operating leases schedule, includes short-term for forecast period</t>
  </si>
  <si>
    <t>see transaction tab</t>
  </si>
  <si>
    <t>Senior Note</t>
  </si>
  <si>
    <t>Contributed Capital  Proforma Adjustment</t>
  </si>
  <si>
    <t>Sponsor Equity</t>
  </si>
  <si>
    <t>Retained Earnings/Accumulated deficit - PF Adjustment</t>
  </si>
  <si>
    <t>Formala</t>
  </si>
  <si>
    <t>Statement of Cash Flow</t>
  </si>
  <si>
    <t>Legacy Tag</t>
  </si>
  <si>
    <t>Cash flows from operating activities:</t>
  </si>
  <si>
    <t>Net Income (loss)</t>
  </si>
  <si>
    <t>Legacy</t>
  </si>
  <si>
    <t>Adjustments to reconcile net loss to net cash used for operating activities:</t>
  </si>
  <si>
    <t>Operating Lease right of use assets</t>
  </si>
  <si>
    <t xml:space="preserve">Mezzanine PIK Interest </t>
  </si>
  <si>
    <t>Deferred financing fees</t>
  </si>
  <si>
    <t>Changes in assets and liabilities</t>
  </si>
  <si>
    <t>Deferred cost of revenue</t>
  </si>
  <si>
    <t>Deferred revenue</t>
  </si>
  <si>
    <t>Income Tax Payable</t>
  </si>
  <si>
    <t>Net cash provided (used) by operating activities</t>
  </si>
  <si>
    <t>Cash flows from investing activities:</t>
  </si>
  <si>
    <t>Capitalized software</t>
  </si>
  <si>
    <t>Purchase of property and equipment</t>
  </si>
  <si>
    <t>Change in Goodwill/Acqusition</t>
  </si>
  <si>
    <t>Net cash provided (used)  for investing activities</t>
  </si>
  <si>
    <t>Cash flows from financing activities:</t>
  </si>
  <si>
    <t xml:space="preserve">Legay Contributed Capital </t>
  </si>
  <si>
    <t>Retained Earnings/Accumulated Deficit</t>
  </si>
  <si>
    <t>Retained Earnings/Accumulated Deficit - PF Adjustment</t>
  </si>
  <si>
    <t>Net cash (used for) provided by financing activities</t>
  </si>
  <si>
    <t>Net (decrease) increase in cash and cash equivalents</t>
  </si>
  <si>
    <t>Cash and cash equivalents - Beginning of period</t>
  </si>
  <si>
    <t>Cash and cash equivalents - End of period</t>
  </si>
  <si>
    <t>Check to Balance Sheet</t>
  </si>
  <si>
    <t>Support Schedules</t>
  </si>
  <si>
    <t>NET WORKING CAPITAL SECTION</t>
  </si>
  <si>
    <t>Sales</t>
  </si>
  <si>
    <t>COGS</t>
  </si>
  <si>
    <t>Days Utilized</t>
  </si>
  <si>
    <t>DSO (90-day)</t>
  </si>
  <si>
    <t>Based on average of last four quarters</t>
  </si>
  <si>
    <t>DPO (90-day)</t>
  </si>
  <si>
    <t xml:space="preserve">Prepaid Expenses as % of Sales </t>
  </si>
  <si>
    <t>Based on average of last six quarters</t>
  </si>
  <si>
    <t>Deferred cost of revenues as a % of sales</t>
  </si>
  <si>
    <t>Deferred revenues as a % of sales</t>
  </si>
  <si>
    <t>Net Working Capital Ratio</t>
  </si>
  <si>
    <t>Cash Conversion Cycle</t>
  </si>
  <si>
    <t>Net Working Capital, excludes cash</t>
  </si>
  <si>
    <t>Net Working Capital, excludes defered Cost / Revenue</t>
  </si>
  <si>
    <t>12-Month Target</t>
  </si>
  <si>
    <t>6-Month Target</t>
  </si>
  <si>
    <t>3-Month Target</t>
  </si>
  <si>
    <t>Property, Plant, Equipment &amp; Intangibles</t>
  </si>
  <si>
    <t xml:space="preserve">Beginning Plant, Property, &amp; Equipment </t>
  </si>
  <si>
    <t>Leasehold improvements</t>
  </si>
  <si>
    <t>Furniture, fixtures and equipment</t>
  </si>
  <si>
    <t>Total Book Plant, Property, &amp; Equipment</t>
  </si>
  <si>
    <t>Leasehold improvements as a percent</t>
  </si>
  <si>
    <t>Furniture, fixtures, and equipment as a percent</t>
  </si>
  <si>
    <t>Total Book Plant, Property, &amp; Equipment as a percent</t>
  </si>
  <si>
    <t xml:space="preserve">Accumuldated Depreciation </t>
  </si>
  <si>
    <t>Net PPE</t>
  </si>
  <si>
    <t>Seperated LHI and FFE assets by percent of total</t>
  </si>
  <si>
    <t>Leasehold improvements ("LHI") as a percent</t>
  </si>
  <si>
    <t>Dividend Historical information by 10k usefull life</t>
  </si>
  <si>
    <t>Furniture, fixtures, and equipment ("FFE") as a percent</t>
  </si>
  <si>
    <t>Dividend Historical information by 10K usefull life</t>
  </si>
  <si>
    <t xml:space="preserve">Historical Depreciation </t>
  </si>
  <si>
    <t>Plus: Capital Expenditures</t>
  </si>
  <si>
    <t>Historical from statement of cash flow</t>
  </si>
  <si>
    <t>Leasehold improvements as a percent ("LHI")</t>
  </si>
  <si>
    <t>Furniture, fixtures and equipment ("FFE")</t>
  </si>
  <si>
    <t>Less: Depreciation Expense</t>
  </si>
  <si>
    <t>End, PP&amp;E, Net of Accumulated Depreciation</t>
  </si>
  <si>
    <t>Estimated PPE Capex  as a percent of revenue</t>
  </si>
  <si>
    <t>Depreciation as a percent of capex</t>
  </si>
  <si>
    <t>Usefull Life LHI</t>
  </si>
  <si>
    <t>Usefull Life FFE</t>
  </si>
  <si>
    <t>Years</t>
  </si>
  <si>
    <t>Quarters in year</t>
  </si>
  <si>
    <t>Number of periods</t>
  </si>
  <si>
    <t xml:space="preserve">Capex </t>
  </si>
  <si>
    <t>LHI</t>
  </si>
  <si>
    <t>Usefull Life</t>
  </si>
  <si>
    <t>FFE</t>
  </si>
  <si>
    <t xml:space="preserve">Total Depreciation </t>
  </si>
  <si>
    <t>Intangibles/Capitalized Cost</t>
  </si>
  <si>
    <t>Beginning Intangibles</t>
  </si>
  <si>
    <t xml:space="preserve">Plus: Capital Software - Cash </t>
  </si>
  <si>
    <t>Less: Amortization Expense</t>
  </si>
  <si>
    <t>End Intangible Assets</t>
  </si>
  <si>
    <t>Capitalized Software as a percent of revenue</t>
  </si>
  <si>
    <t>Amortization as a percent of revenue</t>
  </si>
  <si>
    <t>Operating Leases</t>
  </si>
  <si>
    <t>SGA</t>
  </si>
  <si>
    <t xml:space="preserve">SGA growth </t>
  </si>
  <si>
    <t xml:space="preserve">Operating Lease Liabilities </t>
  </si>
  <si>
    <t xml:space="preserve">Short-term </t>
  </si>
  <si>
    <t xml:space="preserve">Long Term </t>
  </si>
  <si>
    <t xml:space="preserve">Total Legacy Operating Lease Liabilities </t>
  </si>
  <si>
    <t xml:space="preserve"> Additions (grown by the G&amp;A growth rate)</t>
  </si>
  <si>
    <t>Accrued expenses, excluding Current Short Term Operating Leases</t>
  </si>
  <si>
    <t>Less: Obligations under current leases</t>
  </si>
  <si>
    <t>Adjusted Accrued Expenses and other current liabilities, excluding Shor Term Operating Leases</t>
  </si>
  <si>
    <t xml:space="preserve">as a percent of revenue </t>
  </si>
  <si>
    <t>Forecast Metric used based on average of last 6 quarters</t>
  </si>
  <si>
    <t>TAX ACCRUAL</t>
  </si>
  <si>
    <t>Beginning Balance</t>
  </si>
  <si>
    <t>Accrual</t>
  </si>
  <si>
    <t>for reference only, see Income Statement</t>
  </si>
  <si>
    <t>Payout</t>
  </si>
  <si>
    <t>of every year after closing date</t>
  </si>
  <si>
    <t>Ending Balance</t>
  </si>
  <si>
    <t>DEBT SCHEDULE</t>
  </si>
  <si>
    <t>CASH AVAILABLE FOR CASH FLOW SWEEP</t>
  </si>
  <si>
    <t>Did Transaction Occur?</t>
  </si>
  <si>
    <t>Beginning Cash Balance</t>
  </si>
  <si>
    <t>Less: Minimum Cash Required</t>
  </si>
  <si>
    <t>Refer to Transaction Tab for reference</t>
  </si>
  <si>
    <t>Plus: Cash from Operations</t>
  </si>
  <si>
    <t>Plus: Cash from Investing</t>
  </si>
  <si>
    <t>Cash Available for Mandatory Debt Repayment</t>
  </si>
  <si>
    <t>Less: Mandatory Paydown</t>
  </si>
  <si>
    <t>Cash Available for Discretionary Paydown</t>
  </si>
  <si>
    <t>Draw, Else Sweep</t>
  </si>
  <si>
    <t>of discretionary cash, if available</t>
  </si>
  <si>
    <t>Close Date</t>
  </si>
  <si>
    <t>Change in Cash</t>
  </si>
  <si>
    <t>Ending Cash Balance</t>
  </si>
  <si>
    <t>Manual Draw (Paydown)</t>
  </si>
  <si>
    <t>Positive#=Draw ; Negative#=Paydown</t>
  </si>
  <si>
    <t>REVOLVER</t>
  </si>
  <si>
    <t>Draw (Paydown)</t>
  </si>
  <si>
    <t>Interest Amount</t>
  </si>
  <si>
    <t>Base Rate</t>
  </si>
  <si>
    <t>starting base rate linked to transaction Tab; Quarterly growth rate</t>
  </si>
  <si>
    <t>Interest Rate (Spread)</t>
  </si>
  <si>
    <t>Transaction Tab</t>
  </si>
  <si>
    <t>All-in Rate</t>
  </si>
  <si>
    <t>Quarterly time</t>
  </si>
  <si>
    <t>Beginning Undrawn Balance</t>
  </si>
  <si>
    <t>Ending Undrawn Balance</t>
  </si>
  <si>
    <t>Undrawn Fee Amount</t>
  </si>
  <si>
    <t>Undrawn Fee Rate</t>
  </si>
  <si>
    <t>Borrowing Base</t>
  </si>
  <si>
    <t>Eligible AR (based on previuos quarter)</t>
  </si>
  <si>
    <t>AR Eligible %</t>
  </si>
  <si>
    <t>Overdraw / Capacity Check</t>
  </si>
  <si>
    <t xml:space="preserve">Term Loan A </t>
  </si>
  <si>
    <t>See transaction tab</t>
  </si>
  <si>
    <t>Mandatory Principal</t>
  </si>
  <si>
    <t>Discretionary Paydown (Sweep)</t>
  </si>
  <si>
    <t>Amortization Schedule</t>
  </si>
  <si>
    <t>Interest Rate</t>
  </si>
  <si>
    <t>MEZZANINE DEBT</t>
  </si>
  <si>
    <t>PIK Interest</t>
  </si>
  <si>
    <t>Cash Interest Amount</t>
  </si>
  <si>
    <t>Cash Interest Rate</t>
  </si>
  <si>
    <t>PIK Interest Rate</t>
  </si>
  <si>
    <t>Quarterly Payments</t>
  </si>
  <si>
    <t xml:space="preserve">Bond </t>
  </si>
  <si>
    <t>Interest Amount - Every 6 months, First 6 Months after close</t>
  </si>
  <si>
    <t>Bond Payment Schedule</t>
  </si>
  <si>
    <t>Bond Amount</t>
  </si>
  <si>
    <t>Annual Interest</t>
  </si>
  <si>
    <t>Semiannual</t>
  </si>
  <si>
    <t>Summary Interest Expense</t>
  </si>
  <si>
    <t xml:space="preserve">Beginning Balances for reference </t>
  </si>
  <si>
    <t>Mezzanine</t>
  </si>
  <si>
    <t>Sub Note - Cash interest</t>
  </si>
  <si>
    <t>Sub Note - PIK interest</t>
  </si>
  <si>
    <t>Total Interest Expense</t>
  </si>
  <si>
    <t>Interest Income</t>
  </si>
  <si>
    <t xml:space="preserve">Beginning Balance </t>
  </si>
  <si>
    <t xml:space="preserve">Ending Balance </t>
  </si>
  <si>
    <t>Rate</t>
  </si>
  <si>
    <t>Total Interest Income</t>
  </si>
  <si>
    <t xml:space="preserve">Amortization </t>
  </si>
  <si>
    <t>Quarterly Amortization</t>
  </si>
  <si>
    <t>CURRENT RATIO</t>
  </si>
  <si>
    <t>Non-cash Current Assets</t>
  </si>
  <si>
    <t>Current Liabilities, excluding deferred revenue</t>
  </si>
  <si>
    <t>Deferred Revenue</t>
  </si>
  <si>
    <t>Current Ratio - As Calculated</t>
  </si>
  <si>
    <t>FIXED CHARGE COVERAGE RATIO</t>
  </si>
  <si>
    <t>Numerator</t>
  </si>
  <si>
    <t>Annualized until LTM period available</t>
  </si>
  <si>
    <t>Less: LTM Capex</t>
  </si>
  <si>
    <t>Less: LTM Cash Taxes</t>
  </si>
  <si>
    <t>Less: Any Corporate Distributions (enter as a negative #)</t>
  </si>
  <si>
    <t>Denominator</t>
  </si>
  <si>
    <t>LTM Interest on Revolver</t>
  </si>
  <si>
    <t>LTM Interest on Term Loan A</t>
  </si>
  <si>
    <t>LTM Interest on Bond Payment</t>
  </si>
  <si>
    <t>LTM Interest on Mezzanine Debt</t>
  </si>
  <si>
    <t>LTM Mandatory Principal Payments on Senior Debt</t>
  </si>
  <si>
    <t>Reflects first year of payments</t>
  </si>
  <si>
    <t>LEVERAGE RATIO</t>
  </si>
  <si>
    <t>Total Debt</t>
  </si>
  <si>
    <t>LTM Adjusted EBITDA</t>
  </si>
  <si>
    <t>GLOBAL WATERFALL</t>
  </si>
  <si>
    <t>LTM Revenue</t>
  </si>
  <si>
    <t>Revenue Exit Multiple</t>
  </si>
  <si>
    <t>Entry Multiple Before Fees, Else Manual Override</t>
  </si>
  <si>
    <t xml:space="preserve"> </t>
  </si>
  <si>
    <t>See Income Statement</t>
  </si>
  <si>
    <t>Exit Multiple</t>
  </si>
  <si>
    <t>Valuation Multiple Selected</t>
  </si>
  <si>
    <t>For reference, see transaction tab</t>
  </si>
  <si>
    <t>Total Enterprise Value</t>
  </si>
  <si>
    <t>Plus: Cash</t>
  </si>
  <si>
    <t>See Balance Sheet</t>
  </si>
  <si>
    <t>Less: Revolver</t>
  </si>
  <si>
    <t xml:space="preserve">Less: Term Loan </t>
  </si>
  <si>
    <t>Less: Mezzanine Debt</t>
  </si>
  <si>
    <t>Less: Senior Debt</t>
  </si>
  <si>
    <t>Total Equity Value</t>
  </si>
  <si>
    <t>Less: Return of Capital to LPs</t>
  </si>
  <si>
    <t>Less: Preferred Dividend to LPs</t>
  </si>
  <si>
    <t>Total Equity Value Available to Common</t>
  </si>
  <si>
    <t>Equity Check</t>
  </si>
  <si>
    <t>Proceeds Remaining</t>
  </si>
  <si>
    <t>LP / SPONSOR WATERFALL</t>
  </si>
  <si>
    <t>Gross Proceeds to LPs</t>
  </si>
  <si>
    <t>See Global Waterfall</t>
  </si>
  <si>
    <t>Less: Sponsor Catch-up Provision</t>
  </si>
  <si>
    <t>Proceeds Remaining for Profit Split</t>
  </si>
  <si>
    <t>Profit Split to LPs</t>
  </si>
  <si>
    <t>One Minus Sponsor Carry %</t>
  </si>
  <si>
    <t>Profit Split to GPs (Carry)</t>
  </si>
  <si>
    <t>RETURNS TO EQUITY</t>
  </si>
  <si>
    <t>See LP / GP Waterfall</t>
  </si>
  <si>
    <t xml:space="preserve">ROI or Cash on Cash </t>
  </si>
  <si>
    <t>LP Breakeven Multiple</t>
  </si>
  <si>
    <t>Net Proceeds to GP</t>
  </si>
  <si>
    <t>See Both Waterfalls</t>
  </si>
  <si>
    <t>GP Sponsor Investment</t>
  </si>
  <si>
    <t>Gross Gain to LPs</t>
  </si>
  <si>
    <t>Catch-up &amp; Carry to Sponsor</t>
  </si>
  <si>
    <t>Sponsor % of Gain</t>
  </si>
  <si>
    <t>2027E Revenue</t>
  </si>
  <si>
    <t>TV/Rev Multiple</t>
  </si>
  <si>
    <t xml:space="preserve">Sales Price </t>
  </si>
  <si>
    <t>Less: Net Debt</t>
  </si>
  <si>
    <t xml:space="preserve">Total Equity Value </t>
  </si>
  <si>
    <t xml:space="preserve">LP Contributed Capital </t>
  </si>
  <si>
    <t>Net Capital Return</t>
  </si>
  <si>
    <t xml:space="preserve">MOIC </t>
  </si>
  <si>
    <t>FY21Q2</t>
  </si>
  <si>
    <t>validated</t>
  </si>
  <si>
    <t>(in milliions)</t>
  </si>
  <si>
    <t>Q2 2021</t>
  </si>
  <si>
    <t>MAU</t>
  </si>
  <si>
    <t>decrease 3% from the prior year Quarter</t>
  </si>
  <si>
    <t>DAU</t>
  </si>
  <si>
    <t>increase of 2% from the prior year quarter</t>
  </si>
  <si>
    <t>Paid Subscribers</t>
  </si>
  <si>
    <t>an increase of 46% from the prior year</t>
  </si>
  <si>
    <t>Duolingo is providing the following guidance for the third quarter and year ending December 31, 2021.</t>
  </si>
  <si>
    <t xml:space="preserve">Third Quarter 2021 </t>
  </si>
  <si>
    <t>Full Year 2021</t>
  </si>
  <si>
    <t xml:space="preserve">(in millions) </t>
  </si>
  <si>
    <t xml:space="preserve">Low </t>
  </si>
  <si>
    <t xml:space="preserve">High </t>
  </si>
  <si>
    <t>High</t>
  </si>
  <si>
    <t xml:space="preserve">Total Bookings </t>
  </si>
  <si>
    <t xml:space="preserve">Revenues </t>
  </si>
  <si>
    <t xml:space="preserve">Adjusted EBITDA </t>
  </si>
  <si>
    <t>FY21Q3</t>
  </si>
  <si>
    <t>Three Months Ended September</t>
  </si>
  <si>
    <t>30,</t>
  </si>
  <si>
    <t xml:space="preserve">(In millions, except dollar amounts in thousands) </t>
  </si>
  <si>
    <t>% Change</t>
  </si>
  <si>
    <t>Operating Metrics</t>
  </si>
  <si>
    <t xml:space="preserve">Monthly active users (MAUs) </t>
  </si>
  <si>
    <t xml:space="preserve">Daily active users (DAUs) </t>
  </si>
  <si>
    <t xml:space="preserve">Paid subscribers (at period end) </t>
  </si>
  <si>
    <t xml:space="preserve">Subscription bookings </t>
  </si>
  <si>
    <t xml:space="preserve">Total bookings </t>
  </si>
  <si>
    <t>Financial Measures</t>
  </si>
  <si>
    <t xml:space="preserve">Net loss (GAAP) </t>
  </si>
  <si>
    <t xml:space="preserve">Adjusted EBITDA (Non-GAAP) </t>
  </si>
  <si>
    <t xml:space="preserve">(in thousands) </t>
  </si>
  <si>
    <t xml:space="preserve">Change </t>
  </si>
  <si>
    <t xml:space="preserve">Subscription </t>
  </si>
  <si>
    <t xml:space="preserve">Advertising </t>
  </si>
  <si>
    <t xml:space="preserve">Duolingo English Test </t>
  </si>
  <si>
    <t xml:space="preserve">Other </t>
  </si>
  <si>
    <t xml:space="preserve">Total revenues </t>
  </si>
  <si>
    <t>Financial Outlook</t>
  </si>
  <si>
    <t>Duolingo is providing the following guidance for the fourth quarter and the full year ending December 31,
2021.</t>
  </si>
  <si>
    <t xml:space="preserve">Fourth Quarter 2021 </t>
  </si>
  <si>
    <t>Total Bookings</t>
  </si>
  <si>
    <t>FY21Q4</t>
  </si>
  <si>
    <t>(In millions, except dollar</t>
  </si>
  <si>
    <t>Three Months Ended December 31,</t>
  </si>
  <si>
    <t xml:space="preserve"> Year Ended December 31</t>
  </si>
  <si>
    <t>amounts in thousands)</t>
  </si>
  <si>
    <t xml:space="preserve">%
Change </t>
  </si>
  <si>
    <t xml:space="preserve">Monthly active users
(MAUs) </t>
  </si>
  <si>
    <t>Subscription bookings</t>
  </si>
  <si>
    <t>Total revenues (GAAP)</t>
  </si>
  <si>
    <t>Duolingo is providing the following guidance for the first quarter and the full year ending December 31,
2022.</t>
  </si>
  <si>
    <t>First Quarter 2022</t>
  </si>
  <si>
    <t>Full Year 2022</t>
  </si>
  <si>
    <t>(in millions)</t>
  </si>
  <si>
    <t>Low</t>
  </si>
  <si>
    <t>FY22Q1</t>
  </si>
  <si>
    <t>validated xx</t>
  </si>
  <si>
    <t>Financial and Operating Metrics</t>
  </si>
  <si>
    <t>The following table summarizes our financial and operating highlights for the quarter ended March 31,
2022.</t>
  </si>
  <si>
    <t>Three Months Ended March 31,</t>
  </si>
  <si>
    <t>(In millions)</t>
  </si>
  <si>
    <t>Total bookings</t>
  </si>
  <si>
    <t xml:space="preserve">Total revenues (GAAP) </t>
  </si>
  <si>
    <t>Net loss (GAAP)</t>
  </si>
  <si>
    <t>Adjusted EBITDA (Non-GAAP)</t>
  </si>
  <si>
    <t>The following table provides the changes in revenues by product type:</t>
  </si>
  <si>
    <t>Change</t>
  </si>
  <si>
    <t>(in thousands)</t>
  </si>
  <si>
    <t>Duolingo English Test</t>
  </si>
  <si>
    <t>Other</t>
  </si>
  <si>
    <t>Total revenues</t>
  </si>
  <si>
    <t>Duolingo is providing the following guidance for the second quarter ending June 30, 2022 and the full year
ending December 31, 2022:</t>
  </si>
  <si>
    <t>Second Quarter 2022</t>
  </si>
  <si>
    <t>FY22 Q2</t>
  </si>
  <si>
    <t>The following table summarizes our financial and operating highlights for the quarter ended June 30,
2022.</t>
  </si>
  <si>
    <t>Three Months Ended June 30,</t>
  </si>
  <si>
    <t>The following table provides revenues by product type:</t>
  </si>
  <si>
    <t>Duolingo is providing the following guidance for the third quarter ending September 30, 2022 and the full
year ending December 31, 2022:</t>
  </si>
  <si>
    <t>Third Quarter 2022</t>
  </si>
  <si>
    <t>FY22 Q3</t>
  </si>
  <si>
    <t>Three Months Ended September 30,</t>
  </si>
  <si>
    <t>nm</t>
  </si>
  <si>
    <t>Duolingo is providing the following guidance for the fourth quarter and the full year ending December 31, 2022</t>
  </si>
  <si>
    <t>Fourth Quarter 2022</t>
  </si>
  <si>
    <t>FY22 Q4</t>
  </si>
  <si>
    <t>Financial and Key Operating Metrics</t>
  </si>
  <si>
    <t>The following table summarizes our financial and operating highlights for the quarters and full years
ended December 31, 2022 and 2021.</t>
  </si>
  <si>
    <t>Monthly active users (MAUs)</t>
  </si>
  <si>
    <t>Daily active users (DAUs)</t>
  </si>
  <si>
    <t>Year Ended December 31,</t>
  </si>
  <si>
    <t>Subscription</t>
  </si>
  <si>
    <t>— %</t>
  </si>
  <si>
    <t xml:space="preserve">Other * </t>
  </si>
  <si>
    <t>* Other primarily includes in-app sales of virtual goods</t>
  </si>
  <si>
    <t>Duolingo is providing the following guidance for the fourth quarter and the full year ending December 31, 2023</t>
  </si>
  <si>
    <t>First Quarter 2023</t>
  </si>
  <si>
    <t>Full Year 2023</t>
  </si>
  <si>
    <t xml:space="preserve">Adjusted EBITDA Margin </t>
  </si>
  <si>
    <t>FY21 Q3</t>
  </si>
  <si>
    <t>Q2 2020</t>
  </si>
  <si>
    <t>(In millions, except dollar amounts in thousands)</t>
  </si>
  <si>
    <t>Products</t>
  </si>
  <si>
    <t>Three Months Ended September 30</t>
  </si>
  <si>
    <t>-</t>
  </si>
  <si>
    <t>Other * 
* Other primarily includes in-app sales of virtual goods</t>
  </si>
  <si>
    <t xml:space="preserve">Subscription Breakdown </t>
  </si>
  <si>
    <t xml:space="preserve">Unit Economics </t>
  </si>
  <si>
    <t>Source from other sheet</t>
  </si>
  <si>
    <t>Source within sheet</t>
  </si>
  <si>
    <t>Hard coded</t>
  </si>
  <si>
    <t>Calculation</t>
  </si>
  <si>
    <t>FY 2020</t>
  </si>
  <si>
    <t>FY 2021</t>
  </si>
  <si>
    <t>FY 2022</t>
  </si>
  <si>
    <t>Q1</t>
  </si>
  <si>
    <t>Q2</t>
  </si>
  <si>
    <t>Q3</t>
  </si>
  <si>
    <t>Q4</t>
  </si>
  <si>
    <t>Year End</t>
  </si>
  <si>
    <t>s`</t>
  </si>
  <si>
    <t>Products (In thousands)</t>
  </si>
  <si>
    <t>Subscription Breakdown  (in thousands)</t>
  </si>
  <si>
    <t>Financial Measures (in thousands)</t>
  </si>
  <si>
    <t>Quarterly Growth</t>
  </si>
  <si>
    <t>Paid subscribers</t>
  </si>
  <si>
    <t>Growth %</t>
  </si>
  <si>
    <t xml:space="preserve">Revenue sourced from Pitchbook Median </t>
  </si>
  <si>
    <t>Actual</t>
  </si>
  <si>
    <t>Forecast</t>
  </si>
  <si>
    <t>Closing</t>
  </si>
  <si>
    <t>Revenues (Source: 3 Stmt Model)</t>
  </si>
  <si>
    <t>Revenue (Source: Pitchbook Median Estimates)</t>
  </si>
  <si>
    <t>Revenue (Source: Pitchbook LOW Estimates)</t>
  </si>
  <si>
    <t>Revenue (Source: Manual Calc Estimates)</t>
  </si>
  <si>
    <t>MAU to R&amp;D</t>
  </si>
  <si>
    <t>DAU to R&amp;D</t>
  </si>
  <si>
    <t>Paid Subscribers to R&amp;D</t>
  </si>
  <si>
    <t>MAU to G&amp;A</t>
  </si>
  <si>
    <t>DAU to G&amp;A</t>
  </si>
  <si>
    <t>Paid Subscribers to G&amp;A</t>
  </si>
  <si>
    <t>MAU to Revenue</t>
  </si>
  <si>
    <t>DAU to Revenue</t>
  </si>
  <si>
    <t>Paid subscribers to Revenue</t>
  </si>
  <si>
    <t>MAU Growth QoQ %</t>
  </si>
  <si>
    <t>DAU Growth QoQ %</t>
  </si>
  <si>
    <t>Paid Subscribers Growth QoQ %</t>
  </si>
  <si>
    <t>Average Yearly Growth</t>
  </si>
  <si>
    <t xml:space="preserve">YoY Growth </t>
  </si>
  <si>
    <t/>
  </si>
  <si>
    <t>Revenue (Source: Pitchbook)</t>
  </si>
  <si>
    <t>1Q20</t>
  </si>
  <si>
    <t>2Q20</t>
  </si>
  <si>
    <t>3Q20</t>
  </si>
  <si>
    <t>4Q20</t>
  </si>
  <si>
    <t>1Q21</t>
  </si>
  <si>
    <t>2Q21</t>
  </si>
  <si>
    <t>3Q21</t>
  </si>
  <si>
    <t>4Q21</t>
  </si>
  <si>
    <t>1Q22</t>
  </si>
  <si>
    <t>2Q22</t>
  </si>
  <si>
    <t>3Q22</t>
  </si>
  <si>
    <t>4Q22</t>
  </si>
  <si>
    <t>1Q23</t>
  </si>
  <si>
    <t>2Q23</t>
  </si>
  <si>
    <t>3Q23</t>
  </si>
  <si>
    <t>4Q23</t>
  </si>
  <si>
    <t>1Q24</t>
  </si>
  <si>
    <t>2Q24</t>
  </si>
  <si>
    <t>3Q24</t>
  </si>
  <si>
    <t>4Q24</t>
  </si>
  <si>
    <t>FY2021 AVERAGE</t>
  </si>
  <si>
    <t>FY2022 AVERAGE</t>
  </si>
  <si>
    <t>LAST TWO YR AVRG</t>
  </si>
  <si>
    <t>QoQ Growth %</t>
  </si>
  <si>
    <t>Revenue Actual (Median)</t>
  </si>
  <si>
    <t>Revenue Estimates (Median)</t>
  </si>
  <si>
    <t>Revenue Estimates (High)</t>
  </si>
  <si>
    <t>Revenue Estimates (Low)</t>
  </si>
  <si>
    <t>QoQ Revenue Growth over - 2022 to 2027 - Downside Case</t>
  </si>
  <si>
    <t>QoQ Revenue Growth over - 2022 to 2027 - Base Case</t>
  </si>
  <si>
    <t>QoQ Revenue Growth over - 2022 to 2027 - Upside Case</t>
  </si>
  <si>
    <t xml:space="preserve">QoQ Growth % </t>
  </si>
  <si>
    <t>Revenue - Low '23-'24 - Guidance</t>
  </si>
  <si>
    <t>Revenue  - Low '24-'25 - Guidance</t>
  </si>
  <si>
    <t>Factor</t>
  </si>
  <si>
    <t>25-'26</t>
  </si>
  <si>
    <t xml:space="preserve">26-'27 </t>
  </si>
  <si>
    <t>27-'28</t>
  </si>
  <si>
    <t>Quartely Gross Margin - 2022 to 2027 - Downside Case</t>
  </si>
  <si>
    <t>Quartely Gross Margin - 2022 to 2027 - Base Case</t>
  </si>
  <si>
    <t>Quartely Gross Margin- 2022 to 2027 - Upside Case</t>
  </si>
  <si>
    <t>Margin %</t>
  </si>
  <si>
    <t>Low '23-'24 - Guidance</t>
  </si>
  <si>
    <t>Low '24-'25 - Guidance</t>
  </si>
  <si>
    <t xml:space="preserve">Research and Development as a % of Revenue - 2023 to 2027 </t>
  </si>
  <si>
    <t>Research and Development as a % of Revenue - 2022 to 2027 - Downside Case</t>
  </si>
  <si>
    <t>Research and Development as a % of revenue - 2022 to 2027 - Base Case</t>
  </si>
  <si>
    <t>Research and Development as a % of revenue - 2022 to 2027 - Upside Case</t>
  </si>
  <si>
    <t>% of Revenue</t>
  </si>
  <si>
    <t>22-'23 - Actual - Excluding Stock Based Comp</t>
  </si>
  <si>
    <t>23-'24</t>
  </si>
  <si>
    <t xml:space="preserve">23-'24 </t>
  </si>
  <si>
    <t>24-'25</t>
  </si>
  <si>
    <t xml:space="preserve">24-'25 </t>
  </si>
  <si>
    <t xml:space="preserve">Sells and Marketing as a % of Revenue - 2023 to 2027 </t>
  </si>
  <si>
    <t>Sells and Marketing as a % of Revenue - 2022 to 2027 - Downside Case</t>
  </si>
  <si>
    <t>Sells and Marketing as a % of Revenue - 2022 to 2027 - Base Case</t>
  </si>
  <si>
    <t>Sells and Marketing as a % of Revenue - 2022 to 2027 - Upside Case</t>
  </si>
  <si>
    <t xml:space="preserve">G&amp;A as a % of Revenue - 2023 to 2027 </t>
  </si>
  <si>
    <t>G&amp;A as a % of Revenue - 2022 to 2027 - Downside Case</t>
  </si>
  <si>
    <t>G&amp;A as a % of Revenue - 2022 to 2027 - Base Case</t>
  </si>
  <si>
    <t>G&amp;A as a % of Revenue - 2022 to 2027 - Upside Case</t>
  </si>
  <si>
    <t xml:space="preserve">Scenario Analysis </t>
  </si>
  <si>
    <t>Active Case, Linked to transaction tab</t>
  </si>
  <si>
    <t>Linked to Transaction Tab</t>
  </si>
  <si>
    <t>Growth</t>
  </si>
  <si>
    <t>Monthly Active Users (millions)</t>
  </si>
  <si>
    <t>Daily Active Users (millions)</t>
  </si>
  <si>
    <t>Averages</t>
  </si>
  <si>
    <t>Industry Metrics (Source: Factset)</t>
  </si>
  <si>
    <t>Bookings</t>
  </si>
  <si>
    <t>Guidance (Low)</t>
  </si>
  <si>
    <t>Guidance (High)</t>
  </si>
  <si>
    <t>ARPU</t>
  </si>
  <si>
    <t>SCENARIO ANALYSIS</t>
  </si>
  <si>
    <t>Active case:</t>
  </si>
  <si>
    <t>Revenue growth</t>
  </si>
  <si>
    <t>Gross profit margin</t>
  </si>
  <si>
    <t>R&amp;D % of sales</t>
  </si>
  <si>
    <t>Sales &amp; Marketing % of sales</t>
  </si>
  <si>
    <t>SG&amp;A % of sales</t>
  </si>
  <si>
    <t>QoQ Growth over - 2021 to 2024</t>
  </si>
  <si>
    <t>Revenue (Low) - Actual</t>
  </si>
  <si>
    <t>Revenue - Median '23</t>
  </si>
  <si>
    <t>Revenue - High '23</t>
  </si>
  <si>
    <t>Revenue - Low '23</t>
  </si>
  <si>
    <t>Revenue - Median '23-'24</t>
  </si>
  <si>
    <t>Revenue - High '23-'24</t>
  </si>
  <si>
    <t>Revenue  - Low '23-'24</t>
  </si>
  <si>
    <t>Revenue  - Low '23-'24 - ADJUSTED</t>
  </si>
  <si>
    <t>Revenue  - Low '23-'24 - ADJUSTED %</t>
  </si>
  <si>
    <t>stronger regions, the US is particularly strong, Asia is particularly strong, and Western Europe is particularly strong in terms of growing DAUs.</t>
  </si>
  <si>
    <t xml:space="preserve">continuous product – continued product improvements that just compound over time. The product is just better and stickier. And then we just get better </t>
  </si>
  <si>
    <t>and better at figuring out what strikes a chord with marketing. So, things like our social media campaigns, like our TikTok campaigns and our Twitter campaigns, and also some of the influencer work that we do. 
-And some of the stuff is stuff we don't even do. For example,  entirely organic videos that other people make. It's almost every single day...but almost every single day there is an organic video that goes viral that mentions</t>
  </si>
  <si>
    <t>CURR - Current User Retention Rate</t>
  </si>
  <si>
    <t>the rate of people that if they were here today and they were here over the last one other time, at least over the last seven days, what is the probability they're going to come back tomorrow,</t>
  </si>
  <si>
    <t>CURR 80% right now in March '23</t>
  </si>
  <si>
    <t>Last 2-3 years it was at 65%</t>
  </si>
  <si>
    <t>Every 1% of CURR increased DAU "by a lot"</t>
  </si>
  <si>
    <t>IGNORE TO BE DELETED</t>
  </si>
  <si>
    <t>Change %</t>
  </si>
  <si>
    <t>Q3 YoY</t>
  </si>
  <si>
    <t>Q3 Variance</t>
  </si>
  <si>
    <t>Q4 YoY</t>
  </si>
  <si>
    <t>Q4 Variance</t>
  </si>
  <si>
    <t>Year End Prior</t>
  </si>
  <si>
    <t>Legend</t>
  </si>
  <si>
    <t>Blue - Assumptions - Hardcoded</t>
  </si>
  <si>
    <t>Market Share price (March 10,2023)</t>
  </si>
  <si>
    <t xml:space="preserve">Risk Free rate </t>
  </si>
  <si>
    <t>https://ycharts.com/indicators/10_year_treasury_rate#:~:text=Basic%20Info,day%20and%202.14%25%20last%20year.</t>
  </si>
  <si>
    <t>Green - Sourced from another tab in the workbook</t>
  </si>
  <si>
    <t>No. of diluted shares outstanding (thousands)</t>
  </si>
  <si>
    <t>Beta</t>
  </si>
  <si>
    <t>https://www.barrons.com/market-data/stocks/duol</t>
  </si>
  <si>
    <t>Black - Formula</t>
  </si>
  <si>
    <t>Total Market Share Capital (thousands)</t>
  </si>
  <si>
    <t>Market return premium</t>
  </si>
  <si>
    <t>http://www.market-risk-premia.com/us.html</t>
  </si>
  <si>
    <t>Total Debt (thousands) - Dec 2022</t>
  </si>
  <si>
    <t>Cost of Equity Shares (CAPM)</t>
  </si>
  <si>
    <t xml:space="preserve">source: pitchbook 8.44% </t>
  </si>
  <si>
    <t>Cash and cash equivalent - Dec 2022 (thousands)</t>
  </si>
  <si>
    <t>Enterprise Value as of Dec 2022</t>
  </si>
  <si>
    <t>Weight %</t>
  </si>
  <si>
    <t>Interest</t>
  </si>
  <si>
    <t>AVRG ST &amp; LT Debt</t>
  </si>
  <si>
    <t>Cost of Debt</t>
  </si>
  <si>
    <t>WACC</t>
  </si>
  <si>
    <t>No. of Years</t>
  </si>
  <si>
    <t>Total Revenue</t>
  </si>
  <si>
    <t>Less: D&amp;A</t>
  </si>
  <si>
    <t>Current PPE * 5yr avrg (current D&amp;A/ avrg current &amp; last ppe)</t>
  </si>
  <si>
    <t>Less: Taxes</t>
  </si>
  <si>
    <t>NOPAT</t>
  </si>
  <si>
    <t>Add: D&amp;A</t>
  </si>
  <si>
    <t>Less: Capex</t>
  </si>
  <si>
    <t>Less: Change in WC</t>
  </si>
  <si>
    <t>UFCFFF</t>
  </si>
  <si>
    <t>PV of FCFF</t>
  </si>
  <si>
    <t>Operating Assumptions</t>
  </si>
  <si>
    <t>Sales Growth</t>
  </si>
  <si>
    <t>EBITDA Margin</t>
  </si>
  <si>
    <t>D&amp;A % Avrg PPE</t>
  </si>
  <si>
    <t>Tax Rate</t>
  </si>
  <si>
    <t>Capex % Revenue</t>
  </si>
  <si>
    <t>Change in NWC % Revenue</t>
  </si>
  <si>
    <t>Perpetual Growth Method</t>
  </si>
  <si>
    <t>Exit Multiple Method</t>
  </si>
  <si>
    <t>Perpetual Growth</t>
  </si>
  <si>
    <t>- Exit multiple used to appy to the Final Year EBITDA to obtain TV 
- Exit Multiple can be found on factset using the latest year from STAGE 1 EV/EBITDA multiple</t>
  </si>
  <si>
    <t>Discount Rate</t>
  </si>
  <si>
    <t>PV of FCFs</t>
  </si>
  <si>
    <t>PV of Terminal Value</t>
  </si>
  <si>
    <t>Shares Outstanding</t>
  </si>
  <si>
    <t>Shares Outstanding FD</t>
  </si>
  <si>
    <t>Per Share Value</t>
  </si>
  <si>
    <t>EV / FY2027 EBITDA</t>
  </si>
  <si>
    <t>Exit Multiple in 2027</t>
  </si>
  <si>
    <t>EV / FY2023 EBITDA</t>
  </si>
  <si>
    <t xml:space="preserve">Comparable Companies </t>
  </si>
  <si>
    <t>($ USD in Millions Except Per Share Amounts in USD as Stated)</t>
  </si>
  <si>
    <t>Operating Statistics:</t>
  </si>
  <si>
    <t>Capitalization</t>
  </si>
  <si>
    <t>Projected</t>
  </si>
  <si>
    <t>Share</t>
  </si>
  <si>
    <t>Diluted</t>
  </si>
  <si>
    <t>Preferred</t>
  </si>
  <si>
    <t>Other &amp;</t>
  </si>
  <si>
    <t>Enterprise</t>
  </si>
  <si>
    <t>Net Income</t>
  </si>
  <si>
    <t>Ticker</t>
  </si>
  <si>
    <t>Price</t>
  </si>
  <si>
    <t>Shares</t>
  </si>
  <si>
    <t>Value</t>
  </si>
  <si>
    <t>Stock</t>
  </si>
  <si>
    <t>NCI</t>
  </si>
  <si>
    <t>LTM</t>
  </si>
  <si>
    <t xml:space="preserve">Chegg, Inc. </t>
  </si>
  <si>
    <t>CHGG</t>
  </si>
  <si>
    <t xml:space="preserve">Stride, Inc. </t>
  </si>
  <si>
    <t>LRN</t>
  </si>
  <si>
    <t>Peason, PLC</t>
  </si>
  <si>
    <t>LON:PSON</t>
  </si>
  <si>
    <t>Coursera, Inc.</t>
  </si>
  <si>
    <t>COUR</t>
  </si>
  <si>
    <t xml:space="preserve">2U, Inc. </t>
  </si>
  <si>
    <t>TWOU</t>
  </si>
  <si>
    <t>Udemy</t>
  </si>
  <si>
    <t>UDMY</t>
  </si>
  <si>
    <t>Maximum</t>
  </si>
  <si>
    <t>75th Percentile</t>
  </si>
  <si>
    <t>Median</t>
  </si>
  <si>
    <t>25th Percentile</t>
  </si>
  <si>
    <t>Minimum</t>
  </si>
  <si>
    <t>Duolingo</t>
  </si>
  <si>
    <t>Valuation Statistics:</t>
  </si>
  <si>
    <t>Enterprise Value /</t>
  </si>
  <si>
    <t>P / E Multiple</t>
  </si>
  <si>
    <t>Company</t>
  </si>
  <si>
    <t>Current Share price</t>
  </si>
  <si>
    <t>Stock Option</t>
  </si>
  <si>
    <t>SHARES DATA</t>
  </si>
  <si>
    <t xml:space="preserve">Basic shares outstanding </t>
  </si>
  <si>
    <t>Options exercisable</t>
  </si>
  <si>
    <t>Exercise price</t>
  </si>
  <si>
    <t>Gross proceeds from exercise of options</t>
  </si>
  <si>
    <t>Gross Shares dilution</t>
  </si>
  <si>
    <t>Diluted from exercisable options</t>
  </si>
  <si>
    <t>Diluted Shares Outstanding</t>
  </si>
  <si>
    <t>Valuation Summary - Duolingo</t>
  </si>
  <si>
    <t>Duolingo - Range of Valuation Multiples / Premiums</t>
  </si>
  <si>
    <t>Duolingo - Implied Per Share Value Range</t>
  </si>
  <si>
    <t>75th</t>
  </si>
  <si>
    <t>25th</t>
  </si>
  <si>
    <t>Applicable</t>
  </si>
  <si>
    <t>Percentile</t>
  </si>
  <si>
    <t>Methodology Name</t>
  </si>
  <si>
    <t>Figure</t>
  </si>
  <si>
    <t>Public Company Comparables:</t>
  </si>
  <si>
    <t>LTM EV / Revenue:</t>
  </si>
  <si>
    <t>LTM EV / EBITDA:</t>
  </si>
  <si>
    <t>LTM P / E:</t>
  </si>
  <si>
    <t>Implied Enterprise Value:</t>
  </si>
  <si>
    <t>Implied Enterprise Value or Equity Value at a Range of Multiples:</t>
  </si>
  <si>
    <t>(+) Cash &amp; Cash-Equivalents:</t>
  </si>
  <si>
    <t>(+) Equity Investments:</t>
  </si>
  <si>
    <t>Enterprise Value --&gt;</t>
  </si>
  <si>
    <t>(+) Other Non-Core Assets, Net:</t>
  </si>
  <si>
    <t>(+) Net Operating Losses:</t>
  </si>
  <si>
    <t>(-) Total Debt:</t>
  </si>
  <si>
    <t>(-) Preferred Stock:</t>
  </si>
  <si>
    <t>(-) Noncontrolling Interests:</t>
  </si>
  <si>
    <t>(-) Unfunded Pension Obligations:</t>
  </si>
  <si>
    <t>Equity Value --&gt;</t>
  </si>
  <si>
    <t>(-) Capital Leases:</t>
  </si>
  <si>
    <t>(-) Restructuring &amp; Other Liabilities:</t>
  </si>
  <si>
    <t>Implied Equity Value:</t>
  </si>
  <si>
    <t>Diluted Shares Outstanding:</t>
  </si>
  <si>
    <t>Implied Share Price from DCF:</t>
  </si>
  <si>
    <t>Premium / (Discount) to Current:</t>
  </si>
  <si>
    <t>Comparable Transactions - U.S</t>
  </si>
  <si>
    <t>Target</t>
  </si>
  <si>
    <t>Acquirer</t>
  </si>
  <si>
    <t>Announcement</t>
  </si>
  <si>
    <t>Deal Size</t>
  </si>
  <si>
    <t>EV/</t>
  </si>
  <si>
    <t>EV/LTM</t>
  </si>
  <si>
    <t>Date</t>
  </si>
  <si>
    <t>($mm)</t>
  </si>
  <si>
    <t>Net income</t>
  </si>
  <si>
    <t xml:space="preserve">Net Income </t>
  </si>
  <si>
    <t>Target's Main Business</t>
  </si>
  <si>
    <t>Mondly</t>
  </si>
  <si>
    <t>Pearson (LON:PSON)</t>
  </si>
  <si>
    <t>04/29/2022</t>
  </si>
  <si>
    <t>NA</t>
  </si>
  <si>
    <t xml:space="preserve">Developer of a virtual reality language education application designed to teach languages in everyday scenarios. </t>
  </si>
  <si>
    <t>Busuu Limited</t>
  </si>
  <si>
    <t>Chegg (NYS: CHGG)</t>
  </si>
  <si>
    <t>11/29/2021</t>
  </si>
  <si>
    <t>Developer of a language learning platform designed to offer varied vocabulary training courses.</t>
  </si>
  <si>
    <t>Average</t>
  </si>
  <si>
    <t>Information regarding geography of revenues is based upon the location where the users are located or, in the case of the Duolingo English Test, where the tests are taken:</t>
  </si>
  <si>
    <t>United States</t>
  </si>
  <si>
    <t>United Kingdom</t>
  </si>
  <si>
    <t>Rest of World</t>
  </si>
  <si>
    <t>*No other country accounted for more than 10% of revenue in the periods presented</t>
  </si>
  <si>
    <t xml:space="preserve"> 000 except per share data</t>
  </si>
  <si>
    <t xml:space="preserve">Share Price </t>
  </si>
  <si>
    <t>Total Basic Shares Outstanding</t>
  </si>
  <si>
    <t>In-the-money exercisable options</t>
  </si>
  <si>
    <t xml:space="preserve">Total proceeds </t>
  </si>
  <si>
    <t xml:space="preserve">Total shares repurchased </t>
  </si>
  <si>
    <t>Net dilutive options</t>
  </si>
  <si>
    <t>Dilutive impact of shares from other RSUs</t>
  </si>
  <si>
    <t>Total Diluted Shares</t>
  </si>
  <si>
    <t xml:space="preserve">Stock Options </t>
  </si>
  <si>
    <t>Number of Shares</t>
  </si>
  <si>
    <t>Exercise Price</t>
  </si>
  <si>
    <t>in the money Shres</t>
  </si>
  <si>
    <t>Options outstanding at December 31, 2022</t>
  </si>
  <si>
    <t>RSUs</t>
  </si>
  <si>
    <t>Estimates (Fiscal Year)</t>
  </si>
  <si>
    <t>Downloaded On: 20-Mar-2023</t>
  </si>
  <si>
    <t>Company: Duolingo (NAS: DUOL)</t>
  </si>
  <si>
    <t>FY 2023</t>
  </si>
  <si>
    <t>FY 2024</t>
  </si>
  <si>
    <t>FY 2025</t>
  </si>
  <si>
    <t>Amounts in Thousands, USD (except Ratios, Multiples &amp; per share items)</t>
  </si>
  <si>
    <t>© PitchBook Data, Inc. 2023</t>
  </si>
  <si>
    <t>Public Fundamental Data provided by Morningstar, Inc.</t>
  </si>
  <si>
    <t>Estimates (Fiscal Quarter)</t>
  </si>
  <si>
    <t>FQ 2Q21</t>
  </si>
  <si>
    <t>FQ 3Q21</t>
  </si>
  <si>
    <t>FQ 4Q21</t>
  </si>
  <si>
    <t>FQ 1Q22</t>
  </si>
  <si>
    <t>FQ 2Q22</t>
  </si>
  <si>
    <t>FQ 3Q22</t>
  </si>
  <si>
    <t>FQ 4Q22</t>
  </si>
  <si>
    <t>FQ 1Q23</t>
  </si>
  <si>
    <t>FQ 2Q23</t>
  </si>
  <si>
    <t>FQ 3Q23</t>
  </si>
  <si>
    <t>FQ 4Q23</t>
  </si>
  <si>
    <t>FQ 1Q24</t>
  </si>
  <si>
    <t>FQ 2Q24</t>
  </si>
  <si>
    <t>FQ 3Q24</t>
  </si>
  <si>
    <t>FQ 4Q24</t>
  </si>
  <si>
    <t>quarter over quarter growth</t>
  </si>
  <si>
    <t xml:space="preserve">Gross Margin </t>
  </si>
  <si>
    <t>Margin</t>
  </si>
  <si>
    <t>case scenario</t>
  </si>
  <si>
    <t>000</t>
  </si>
  <si>
    <t>Growth rate</t>
  </si>
  <si>
    <t>monthly active users (MAU)</t>
  </si>
  <si>
    <t>Growth rate QoQ</t>
  </si>
  <si>
    <t>Average growth rate QoQ</t>
  </si>
  <si>
    <t xml:space="preserve">Growth rate Same period QoQ </t>
  </si>
  <si>
    <t>Average same period QoQ</t>
  </si>
  <si>
    <t>daily active users (DAU)</t>
  </si>
  <si>
    <t>paid subscribers</t>
  </si>
  <si>
    <t>Segment Revenue</t>
  </si>
  <si>
    <t>Advertising</t>
  </si>
  <si>
    <t>Total Revenues</t>
  </si>
  <si>
    <t>Estimed Price per subscription</t>
  </si>
  <si>
    <t>Segment %</t>
  </si>
  <si>
    <t>Segment Growth</t>
  </si>
  <si>
    <t xml:space="preserve">  21' - 22'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</si>
</sst>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A"/>
    <numFmt numFmtId="165" formatCode="_(&quot;$&quot;* #,##0.00_);_(&quot;$&quot;* \(#,##0.00\);_(&quot;$&quot;* &quot;-&quot;_);_(@_)"/>
    <numFmt numFmtId="166" formatCode="0.0%"/>
    <numFmt numFmtId="167" formatCode="0.00\x"/>
    <numFmt numFmtId="168" formatCode="0\ &quot;Years&quot;"/>
    <numFmt numFmtId="169" formatCode="0.0\x"/>
    <numFmt numFmtId="170" formatCode="_(* #,##0_);_(* \(#,##0\);_(* &quot;-&quot;??_);_(@_)"/>
    <numFmt numFmtId="171" formatCode="_(&quot;$&quot;* #,##0_);_(&quot;$&quot;* \(#,##0\);_(&quot;$&quot;* &quot;-&quot;??_);_(@_)"/>
    <numFmt numFmtId="172" formatCode="0000\P"/>
    <numFmt numFmtId="173" formatCode="00.0\ &quot;Days&quot;"/>
    <numFmt numFmtId="174" formatCode="mmmm"/>
    <numFmt numFmtId="175" formatCode="&quot;$&quot;#,##0"/>
    <numFmt numFmtId="176" formatCode="#,##0_);\(#,##0\);@_)"/>
    <numFmt numFmtId="177" formatCode="#,##0.0_);\(#,##0.0\)"/>
    <numFmt numFmtId="178" formatCode="0.0%_);\(0.0%\);@_)"/>
    <numFmt numFmtId="179" formatCode="0\ &quot;yrs&quot;"/>
    <numFmt numFmtId="180" formatCode="0.000%_);\(0.000%\);@_)"/>
    <numFmt numFmtId="181" formatCode="0%_);\(0%\);@_)"/>
    <numFmt numFmtId="182" formatCode="0\ &quot;Year&quot;"/>
    <numFmt numFmtId="183" formatCode="_(* #,##0.0_);_(* \(#,##0.0\);_(* &quot;-&quot;_);_(@_)"/>
    <numFmt numFmtId="184" formatCode="_(* #,##0.00_);_(* \(#,##0.00\);_(* &quot;-&quot;_);_(@_)"/>
    <numFmt numFmtId="185" formatCode="d\-mmm\-yyyy"/>
    <numFmt numFmtId="186" formatCode="#,##0.00;[Red]\(#,##0.00\)"/>
    <numFmt numFmtId="187" formatCode="#,##0;[Red]\(#,##0\)"/>
    <numFmt numFmtId="188" formatCode="#,##0.0"/>
    <numFmt numFmtId="189" formatCode="&quot;$&quot;#,##0.00"/>
    <numFmt numFmtId="190" formatCode="&quot;$&quot;#,##0.0_);\(&quot;$&quot;#,##0.0\)"/>
    <numFmt numFmtId="191" formatCode="#,##0.0\x"/>
    <numFmt numFmtId="192" formatCode="_(* #,##0_);_(* \(#,##0\);_(* &quot;-&quot;?_);_(@_)"/>
    <numFmt numFmtId="193" formatCode="_(&quot;$&quot;* #,##0_);_(&quot;$&quot;* \(#,##0\);_(&quot;$&quot;* &quot;-&quot;?_);_(@_)"/>
    <numFmt numFmtId="194" formatCode="0.0\x_)"/>
    <numFmt numFmtId="195" formatCode="0.0_);\(0.0\)"/>
    <numFmt numFmtId="196" formatCode="0.000%"/>
    <numFmt numFmtId="197" formatCode="_(#,##0_)_%;\(#,##0\)_%;_(&quot;–&quot;_)_%;_(@_)_%"/>
    <numFmt numFmtId="198" formatCode="_(&quot;$&quot;* #,##0.0_);_(&quot;$&quot;* \(#,##0.0\);_(&quot;$&quot;* &quot;-&quot;?_);_(@_)"/>
    <numFmt numFmtId="199" formatCode="_(* #,##0.0_);_(* \(#,##0.0\);_(* &quot;-&quot;?_);_(@_)"/>
    <numFmt numFmtId="200" formatCode="&quot;FY&quot;yy"/>
    <numFmt numFmtId="201" formatCode="_(#,##0.0%_);\(#,##0.0%\);_(&quot;–&quot;_)_%;_(@_)_%"/>
    <numFmt numFmtId="202" formatCode="_(&quot;$&quot;* #,##0.0_);_(&quot;$&quot;* \(#,##0.0\);_(&quot;$&quot;* &quot;-&quot;??_);_(@_)"/>
    <numFmt numFmtId="203" formatCode="_(* #,##0.0_);_(* \(#,##0.0\);_(* &quot;-&quot;??_);_(@_)"/>
    <numFmt numFmtId="204" formatCode="0.0\ \x"/>
    <numFmt numFmtId="205" formatCode="_(&quot;$&quot;* #,##0.0_);_(&quot;$&quot;* \(#,##0.0\);_(&quot;$&quot;* &quot;-&quot;_);_(@_)"/>
    <numFmt numFmtId="206" formatCode="_(&quot;$&quot;#,##0.00_)_%;\(&quot;$&quot;#,##0.00\)_%;_(&quot;–&quot;_)_%;_(@_)_%"/>
    <numFmt numFmtId="207" formatCode="_(* #,##0.000_);_(* \(#,##0.000\);_(* &quot;-&quot;???_);_(@_)"/>
    <numFmt numFmtId="208" formatCode="0.0%;\(0.0%\)"/>
    <numFmt numFmtId="209" formatCode="#,##0.000_);\(#,##0.000\);@_)"/>
    <numFmt numFmtId="210" formatCode="&quot;Tranche &quot;0"/>
  </numFmts>
  <fonts count="140" x14ac:knownFonts="1">
    <font>
      <sz val="11"/>
      <color theme="1"/>
      <name val="Calibri"/>
      <family val="2"/>
      <scheme val="minor"/>
    </font>
    <font>
      <sz val="11"/>
      <color rgb="FF0070C0"/>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i/>
      <sz val="11"/>
      <color theme="1"/>
      <name val="Calibri"/>
      <family val="2"/>
      <scheme val="minor"/>
    </font>
    <font>
      <sz val="11"/>
      <name val="Calibri"/>
      <family val="2"/>
      <scheme val="minor"/>
    </font>
    <font>
      <sz val="11"/>
      <color rgb="FF000000"/>
      <name val="Calibri"/>
      <family val="2"/>
      <scheme val="minor"/>
    </font>
    <font>
      <b/>
      <u/>
      <sz val="11"/>
      <color theme="1"/>
      <name val="Calibri"/>
      <family val="2"/>
      <scheme val="minor"/>
    </font>
    <font>
      <u/>
      <sz val="11"/>
      <color theme="1"/>
      <name val="Calibri"/>
      <family val="2"/>
      <scheme val="minor"/>
    </font>
    <font>
      <sz val="11"/>
      <color indexed="8"/>
      <name val="Calibri"/>
      <family val="2"/>
      <scheme val="minor"/>
    </font>
    <font>
      <b/>
      <i/>
      <sz val="11"/>
      <color theme="0"/>
      <name val="Calibri"/>
      <family val="2"/>
      <scheme val="minor"/>
    </font>
    <font>
      <sz val="11"/>
      <color indexed="12"/>
      <name val="Calibri"/>
      <family val="2"/>
      <scheme val="minor"/>
    </font>
    <font>
      <i/>
      <sz val="11"/>
      <name val="Calibri"/>
      <family val="2"/>
      <scheme val="minor"/>
    </font>
    <font>
      <i/>
      <sz val="11"/>
      <color rgb="FF00B050"/>
      <name val="Calibri"/>
      <family val="2"/>
      <scheme val="minor"/>
    </font>
    <font>
      <b/>
      <sz val="11"/>
      <name val="Calibri"/>
      <family val="2"/>
      <scheme val="minor"/>
    </font>
    <font>
      <sz val="11"/>
      <color theme="1"/>
      <name val="Calibri"/>
      <family val="2"/>
      <scheme val="minor"/>
    </font>
    <font>
      <sz val="11"/>
      <color theme="0" tint="-0.249977111117893"/>
      <name val="Calibri"/>
      <family val="2"/>
      <scheme val="minor"/>
    </font>
    <font>
      <sz val="12"/>
      <color indexed="8"/>
      <name val="Calibri"/>
      <family val="2"/>
      <scheme val="minor"/>
    </font>
    <font>
      <sz val="12"/>
      <color theme="2"/>
      <name val="Calibri"/>
      <family val="2"/>
      <scheme val="minor"/>
    </font>
    <font>
      <b/>
      <sz val="12"/>
      <color theme="0"/>
      <name val="Calibri"/>
      <family val="2"/>
      <scheme val="minor"/>
    </font>
    <font>
      <b/>
      <i/>
      <sz val="12"/>
      <color theme="0"/>
      <name val="Calibri"/>
      <family val="2"/>
      <scheme val="minor"/>
    </font>
    <font>
      <sz val="12"/>
      <color theme="0"/>
      <name val="Calibri"/>
      <family val="2"/>
      <scheme val="minor"/>
    </font>
    <font>
      <sz val="12"/>
      <color indexed="12"/>
      <name val="Calibri"/>
      <family val="2"/>
      <scheme val="minor"/>
    </font>
    <font>
      <sz val="12"/>
      <name val="Calibri"/>
      <family val="2"/>
      <scheme val="minor"/>
    </font>
    <font>
      <sz val="12"/>
      <color rgb="FF0000FF"/>
      <name val="Calibri"/>
      <family val="2"/>
      <scheme val="minor"/>
    </font>
    <font>
      <sz val="12"/>
      <color indexed="17"/>
      <name val="Calibri"/>
      <family val="2"/>
      <scheme val="minor"/>
    </font>
    <font>
      <b/>
      <sz val="12"/>
      <color indexed="8"/>
      <name val="Calibri"/>
      <family val="2"/>
      <scheme val="minor"/>
    </font>
    <font>
      <i/>
      <sz val="12"/>
      <name val="Calibri"/>
      <family val="2"/>
      <scheme val="minor"/>
    </font>
    <font>
      <strike/>
      <sz val="12"/>
      <color indexed="8"/>
      <name val="Calibri"/>
      <family val="2"/>
      <scheme val="minor"/>
    </font>
    <font>
      <sz val="12"/>
      <color rgb="FF0070C0"/>
      <name val="Calibri"/>
      <family val="2"/>
      <scheme val="minor"/>
    </font>
    <font>
      <sz val="12"/>
      <color rgb="FF00B050"/>
      <name val="Calibri"/>
      <family val="2"/>
      <scheme val="minor"/>
    </font>
    <font>
      <b/>
      <sz val="12"/>
      <name val="Calibri"/>
      <family val="2"/>
      <scheme val="minor"/>
    </font>
    <font>
      <b/>
      <i/>
      <sz val="12"/>
      <name val="Calibri"/>
      <family val="2"/>
      <scheme val="minor"/>
    </font>
    <font>
      <sz val="12"/>
      <color theme="1"/>
      <name val="Calibri"/>
      <family val="2"/>
      <scheme val="minor"/>
    </font>
    <font>
      <u val="singleAccounting"/>
      <sz val="12"/>
      <color theme="1"/>
      <name val="Calibri"/>
      <family val="2"/>
      <scheme val="minor"/>
    </font>
    <font>
      <b/>
      <sz val="12"/>
      <color theme="4"/>
      <name val="Calibri"/>
      <family val="2"/>
      <scheme val="minor"/>
    </font>
    <font>
      <i/>
      <sz val="12"/>
      <color theme="1"/>
      <name val="Calibri"/>
      <family val="2"/>
      <scheme val="minor"/>
    </font>
    <font>
      <sz val="12"/>
      <color rgb="FF000000"/>
      <name val="Calibri"/>
      <family val="2"/>
      <scheme val="minor"/>
    </font>
    <font>
      <b/>
      <u/>
      <sz val="12"/>
      <color indexed="8"/>
      <name val="Calibri"/>
      <family val="2"/>
      <scheme val="minor"/>
    </font>
    <font>
      <b/>
      <sz val="12"/>
      <color rgb="FF0000FF"/>
      <name val="Calibri"/>
      <family val="2"/>
      <scheme val="minor"/>
    </font>
    <font>
      <b/>
      <sz val="12"/>
      <color theme="1"/>
      <name val="Calibri"/>
      <family val="2"/>
      <scheme val="minor"/>
    </font>
    <font>
      <i/>
      <sz val="12"/>
      <color indexed="8"/>
      <name val="Calibri"/>
      <family val="2"/>
      <scheme val="minor"/>
    </font>
    <font>
      <sz val="12"/>
      <color rgb="FFFF0000"/>
      <name val="Calibri"/>
      <family val="2"/>
      <scheme val="minor"/>
    </font>
    <font>
      <b/>
      <sz val="12"/>
      <color rgb="FF0070C0"/>
      <name val="Calibri"/>
      <family val="2"/>
      <scheme val="minor"/>
    </font>
    <font>
      <b/>
      <sz val="12"/>
      <color rgb="FF00B050"/>
      <name val="Calibri"/>
      <family val="2"/>
      <scheme val="minor"/>
    </font>
    <font>
      <sz val="8"/>
      <color theme="1"/>
      <name val="Segoe UI"/>
      <family val="2"/>
    </font>
    <font>
      <b/>
      <i/>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color theme="9"/>
      <name val="Calibri"/>
      <family val="2"/>
      <scheme val="minor"/>
    </font>
    <font>
      <sz val="9"/>
      <color theme="0"/>
      <name val="Calibri"/>
      <family val="2"/>
      <scheme val="minor"/>
    </font>
    <font>
      <i/>
      <sz val="9"/>
      <color theme="1"/>
      <name val="Calibri"/>
      <family val="2"/>
      <scheme val="minor"/>
    </font>
    <font>
      <i/>
      <sz val="9"/>
      <color rgb="FFFF0000"/>
      <name val="Calibri"/>
      <family val="2"/>
      <scheme val="minor"/>
    </font>
    <font>
      <sz val="8"/>
      <name val="Calibri"/>
      <family val="2"/>
      <scheme val="minor"/>
    </font>
    <font>
      <sz val="11"/>
      <color rgb="FF010000"/>
      <name val="Calibri"/>
      <family val="2"/>
      <charset val="1"/>
    </font>
    <font>
      <b/>
      <i/>
      <sz val="14"/>
      <color rgb="FF010000"/>
      <name val="Calibri"/>
      <family val="2"/>
      <charset val="204"/>
    </font>
    <font>
      <sz val="8"/>
      <color rgb="FF010000"/>
      <name val="Arial"/>
      <family val="2"/>
      <charset val="204"/>
    </font>
    <font>
      <b/>
      <u/>
      <sz val="10"/>
      <color rgb="FF558ED5"/>
      <name val="Calibri"/>
      <family val="2"/>
      <charset val="1"/>
    </font>
    <font>
      <i/>
      <sz val="9"/>
      <color rgb="FF010000"/>
      <name val="Calibri"/>
      <family val="2"/>
      <charset val="204"/>
    </font>
    <font>
      <sz val="8"/>
      <color rgb="FF010000"/>
      <name val="Calibri"/>
      <family val="2"/>
      <charset val="1"/>
    </font>
    <font>
      <b/>
      <sz val="10"/>
      <color rgb="FF010000"/>
      <name val="Calibri"/>
      <family val="2"/>
      <charset val="204"/>
    </font>
    <font>
      <sz val="10"/>
      <color rgb="FF010000"/>
      <name val="Calibri"/>
      <family val="2"/>
      <charset val="1"/>
    </font>
    <font>
      <sz val="8"/>
      <name val="Arial"/>
      <family val="2"/>
    </font>
    <font>
      <b/>
      <sz val="10"/>
      <color theme="0"/>
      <name val="Calibri"/>
      <family val="2"/>
      <charset val="204"/>
    </font>
    <font>
      <sz val="9"/>
      <color rgb="FFFFFFE1"/>
      <name val="Calibri"/>
      <family val="2"/>
      <scheme val="minor"/>
    </font>
    <font>
      <strike/>
      <sz val="9"/>
      <color theme="1"/>
      <name val="Calibri"/>
      <family val="2"/>
      <scheme val="minor"/>
    </font>
    <font>
      <sz val="9"/>
      <color theme="0" tint="-0.34998626667073579"/>
      <name val="Calibri"/>
      <family val="2"/>
      <scheme val="minor"/>
    </font>
    <font>
      <i/>
      <sz val="9"/>
      <color theme="0" tint="-0.34998626667073579"/>
      <name val="Calibri"/>
      <family val="2"/>
      <scheme val="minor"/>
    </font>
    <font>
      <sz val="9"/>
      <color theme="4"/>
      <name val="Calibri"/>
      <family val="2"/>
      <scheme val="minor"/>
    </font>
    <font>
      <sz val="9"/>
      <color rgb="FF00B050"/>
      <name val="Calibri"/>
      <family val="2"/>
      <scheme val="minor"/>
    </font>
    <font>
      <sz val="9"/>
      <color theme="8"/>
      <name val="Calibri"/>
      <family val="2"/>
      <scheme val="minor"/>
    </font>
    <font>
      <i/>
      <sz val="9"/>
      <color theme="9"/>
      <name val="Calibri"/>
      <family val="2"/>
      <scheme val="minor"/>
    </font>
    <font>
      <sz val="9"/>
      <color rgb="FF0070C0"/>
      <name val="Calibri"/>
      <family val="2"/>
      <scheme val="minor"/>
    </font>
    <font>
      <sz val="9"/>
      <color rgb="FF010000"/>
      <name val="Calibri"/>
      <family val="2"/>
      <scheme val="minor"/>
    </font>
    <font>
      <b/>
      <i/>
      <sz val="9"/>
      <color rgb="FF010000"/>
      <name val="Calibri"/>
      <family val="2"/>
      <scheme val="minor"/>
    </font>
    <font>
      <sz val="9"/>
      <color rgb="FF323232"/>
      <name val="Calibri"/>
      <family val="2"/>
      <scheme val="minor"/>
    </font>
    <font>
      <u/>
      <sz val="9"/>
      <color theme="1"/>
      <name val="Calibri"/>
      <family val="2"/>
      <scheme val="minor"/>
    </font>
    <font>
      <sz val="9"/>
      <color rgb="FF00B0F0"/>
      <name val="Calibri"/>
      <family val="2"/>
      <scheme val="minor"/>
    </font>
    <font>
      <sz val="9"/>
      <color rgb="FF7030A0"/>
      <name val="Calibri"/>
      <family val="2"/>
      <scheme val="minor"/>
    </font>
    <font>
      <b/>
      <i/>
      <sz val="9"/>
      <color rgb="FF7030A0"/>
      <name val="Calibri"/>
      <family val="2"/>
      <scheme val="minor"/>
    </font>
    <font>
      <sz val="9"/>
      <color rgb="FFFF0000"/>
      <name val="Calibri"/>
      <family val="2"/>
      <scheme val="minor"/>
    </font>
    <font>
      <sz val="10"/>
      <name val="Book Antiqua"/>
      <family val="1"/>
    </font>
    <font>
      <sz val="10"/>
      <name val="Arial"/>
      <family val="2"/>
    </font>
    <font>
      <b/>
      <u/>
      <sz val="12"/>
      <color theme="1"/>
      <name val="Calibri"/>
      <family val="2"/>
      <scheme val="minor"/>
    </font>
    <font>
      <i/>
      <sz val="12"/>
      <color rgb="FF00B050"/>
      <name val="Calibri"/>
      <family val="2"/>
      <scheme val="minor"/>
    </font>
    <font>
      <i/>
      <sz val="12"/>
      <color indexed="12"/>
      <name val="Calibri"/>
      <family val="2"/>
      <scheme val="minor"/>
    </font>
    <font>
      <b/>
      <u/>
      <sz val="12"/>
      <name val="Calibri"/>
      <family val="2"/>
      <scheme val="minor"/>
    </font>
    <font>
      <sz val="11"/>
      <color theme="0"/>
      <name val="Calibri"/>
      <family val="2"/>
      <scheme val="minor"/>
    </font>
    <font>
      <sz val="11"/>
      <color rgb="FF00B050"/>
      <name val="Calibri"/>
      <family val="2"/>
      <scheme val="minor"/>
    </font>
    <font>
      <sz val="11"/>
      <color theme="4"/>
      <name val="Calibri"/>
      <family val="2"/>
      <scheme val="minor"/>
    </font>
    <font>
      <sz val="11"/>
      <color theme="9"/>
      <name val="Calibri"/>
      <family val="2"/>
      <scheme val="minor"/>
    </font>
    <font>
      <i/>
      <sz val="11"/>
      <color theme="9"/>
      <name val="Calibri"/>
      <family val="2"/>
      <scheme val="minor"/>
    </font>
    <font>
      <i/>
      <sz val="11"/>
      <color rgb="FFFF0000"/>
      <name val="Calibri"/>
      <family val="2"/>
      <scheme val="minor"/>
    </font>
    <font>
      <sz val="11"/>
      <color rgb="FF7030A0"/>
      <name val="Calibri"/>
      <family val="2"/>
      <scheme val="minor"/>
    </font>
    <font>
      <b/>
      <i/>
      <sz val="11"/>
      <color rgb="FF7030A0"/>
      <name val="Calibri"/>
      <family val="2"/>
      <scheme val="minor"/>
    </font>
    <font>
      <sz val="11"/>
      <color theme="8"/>
      <name val="Calibri"/>
      <family val="2"/>
      <scheme val="minor"/>
    </font>
    <font>
      <strike/>
      <sz val="11"/>
      <color theme="1"/>
      <name val="Calibri"/>
      <family val="2"/>
      <scheme val="minor"/>
    </font>
    <font>
      <sz val="11"/>
      <color rgb="FF00B0F0"/>
      <name val="Calibri"/>
      <family val="2"/>
      <scheme val="minor"/>
    </font>
    <font>
      <sz val="11"/>
      <color rgb="FF010000"/>
      <name val="Calibri"/>
      <family val="2"/>
      <scheme val="minor"/>
    </font>
    <font>
      <b/>
      <i/>
      <sz val="11"/>
      <color rgb="FF010000"/>
      <name val="Calibri"/>
      <family val="2"/>
      <scheme val="minor"/>
    </font>
    <font>
      <sz val="11"/>
      <color rgb="FFFFFFE1"/>
      <name val="Calibri"/>
      <family val="2"/>
      <scheme val="minor"/>
    </font>
    <font>
      <sz val="11"/>
      <color rgb="FF0000FF"/>
      <name val="Calibri"/>
      <family val="2"/>
      <scheme val="minor"/>
    </font>
    <font>
      <sz val="11"/>
      <color theme="0" tint="-0.34998626667073579"/>
      <name val="Calibri"/>
      <family val="2"/>
      <scheme val="minor"/>
    </font>
    <font>
      <i/>
      <sz val="11"/>
      <color theme="0" tint="-0.34998626667073579"/>
      <name val="Calibri"/>
      <family val="2"/>
      <scheme val="minor"/>
    </font>
    <font>
      <b/>
      <u/>
      <sz val="11"/>
      <name val="Calibri"/>
      <family val="2"/>
      <scheme val="minor"/>
    </font>
    <font>
      <b/>
      <sz val="10"/>
      <color rgb="FF010000"/>
      <name val="Calibri"/>
      <family val="2"/>
    </font>
    <font>
      <i/>
      <sz val="10"/>
      <color rgb="FF010000"/>
      <name val="Calibri"/>
      <family val="2"/>
    </font>
    <font>
      <i/>
      <sz val="12"/>
      <color rgb="FF0000FF"/>
      <name val="Calibri"/>
      <family val="2"/>
      <scheme val="minor"/>
    </font>
    <font>
      <i/>
      <sz val="12"/>
      <color rgb="FF009900"/>
      <name val="Calibri"/>
      <family val="2"/>
      <scheme val="minor"/>
    </font>
    <font>
      <b/>
      <sz val="12"/>
      <color rgb="FF009900"/>
      <name val="Calibri"/>
      <family val="2"/>
      <scheme val="minor"/>
    </font>
    <font>
      <b/>
      <i/>
      <sz val="12"/>
      <color theme="1"/>
      <name val="Calibri"/>
      <family val="2"/>
      <scheme val="minor"/>
    </font>
    <font>
      <b/>
      <i/>
      <sz val="12"/>
      <color rgb="FFFF0000"/>
      <name val="Calibri"/>
      <family val="2"/>
      <scheme val="minor"/>
    </font>
    <font>
      <sz val="12"/>
      <color rgb="FF009900"/>
      <name val="Calibri"/>
      <family val="2"/>
      <scheme val="minor"/>
    </font>
    <font>
      <b/>
      <sz val="12"/>
      <color indexed="9"/>
      <name val="Calibri"/>
      <family val="2"/>
      <scheme val="minor"/>
    </font>
    <font>
      <b/>
      <sz val="11"/>
      <color rgb="FF00B050"/>
      <name val="Calibri"/>
      <family val="2"/>
      <scheme val="minor"/>
    </font>
    <font>
      <sz val="12"/>
      <color rgb="FFC00000"/>
      <name val="Calibri"/>
      <family val="2"/>
      <scheme val="minor"/>
    </font>
    <font>
      <b/>
      <sz val="14"/>
      <color theme="1"/>
      <name val="Calibri"/>
      <family val="2"/>
    </font>
    <font>
      <b/>
      <u/>
      <sz val="12"/>
      <color indexed="9"/>
      <name val="Calibri"/>
      <family val="2"/>
      <scheme val="minor"/>
    </font>
    <font>
      <u/>
      <sz val="12"/>
      <color indexed="9"/>
      <name val="Calibri"/>
      <family val="2"/>
      <scheme val="minor"/>
    </font>
    <font>
      <sz val="12"/>
      <color indexed="9"/>
      <name val="Calibri"/>
      <family val="2"/>
      <scheme val="minor"/>
    </font>
    <font>
      <b/>
      <u/>
      <sz val="12"/>
      <color theme="0"/>
      <name val="Calibri"/>
      <family val="2"/>
      <scheme val="minor"/>
    </font>
    <font>
      <u/>
      <sz val="12"/>
      <color theme="0"/>
      <name val="Calibri"/>
      <family val="2"/>
      <scheme val="minor"/>
    </font>
    <font>
      <sz val="12"/>
      <color rgb="FF11304D"/>
      <name val="Calibri"/>
      <family val="2"/>
      <scheme val="minor"/>
    </font>
    <font>
      <b/>
      <sz val="11"/>
      <color rgb="FFFFFFFF"/>
      <name val="Calibri"/>
      <family val="2"/>
      <scheme val="minor"/>
    </font>
    <font>
      <b/>
      <sz val="14"/>
      <color theme="0"/>
      <name val="Calibri"/>
      <family val="2"/>
      <scheme val="minor"/>
    </font>
    <font>
      <sz val="14"/>
      <color theme="1"/>
      <name val="Calibri"/>
      <family val="2"/>
      <scheme val="minor"/>
    </font>
    <font>
      <b/>
      <sz val="14"/>
      <color rgb="FFFFFFFF"/>
      <name val="Calibri"/>
      <family val="2"/>
      <scheme val="minor"/>
    </font>
    <font>
      <sz val="14"/>
      <name val="Calibri"/>
      <family val="2"/>
      <scheme val="minor"/>
    </font>
    <font>
      <i/>
      <sz val="14"/>
      <color theme="1"/>
      <name val="Calibri"/>
      <family val="2"/>
      <scheme val="minor"/>
    </font>
    <font>
      <i/>
      <sz val="14"/>
      <name val="Calibri"/>
      <family val="2"/>
      <scheme val="minor"/>
    </font>
    <font>
      <b/>
      <i/>
      <sz val="14"/>
      <color theme="1"/>
      <name val="Calibri"/>
      <family val="2"/>
      <scheme val="minor"/>
    </font>
    <font>
      <b/>
      <sz val="14"/>
      <color theme="1"/>
      <name val="Calibri"/>
      <family val="2"/>
      <scheme val="minor"/>
    </font>
    <font>
      <sz val="14"/>
      <color indexed="8"/>
      <name val="Calibri"/>
      <family val="2"/>
      <scheme val="minor"/>
    </font>
    <font>
      <sz val="14"/>
      <color theme="0" tint="-0.249977111117893"/>
      <name val="Calibri"/>
      <family val="2"/>
      <scheme val="minor"/>
    </font>
    <font>
      <sz val="14"/>
      <color indexed="12"/>
      <name val="Calibri"/>
      <family val="2"/>
      <scheme val="minor"/>
    </font>
    <font>
      <b/>
      <sz val="14"/>
      <name val="Calibri"/>
      <family val="2"/>
      <scheme val="minor"/>
    </font>
    <font>
      <b/>
      <sz val="11"/>
      <color rgb="FF0000FF"/>
      <name val="Calibri"/>
      <family val="2"/>
      <scheme val="minor"/>
    </font>
  </fonts>
  <fills count="44">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39997558519241921"/>
        <bgColor indexed="64"/>
      </patternFill>
    </fill>
    <fill>
      <patternFill patternType="solid">
        <fgColor rgb="FFFFFF00"/>
        <bgColor rgb="FF000000"/>
      </patternFill>
    </fill>
    <fill>
      <patternFill patternType="solid">
        <fgColor theme="0" tint="-0.14999847407452621"/>
        <bgColor rgb="FF000000"/>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8" tint="-0.249977111117893"/>
        <bgColor indexed="64"/>
      </patternFill>
    </fill>
    <fill>
      <patternFill patternType="solid">
        <fgColor rgb="FF00FF00"/>
        <bgColor indexed="64"/>
      </patternFill>
    </fill>
    <fill>
      <patternFill patternType="solid">
        <fgColor rgb="FFD8D8D8"/>
        <bgColor rgb="FFBFBFBF"/>
      </patternFill>
    </fill>
    <fill>
      <patternFill patternType="solid">
        <fgColor rgb="FFFFFFFF"/>
        <bgColor rgb="FFF2F2F2"/>
      </patternFill>
    </fill>
    <fill>
      <patternFill patternType="solid">
        <fgColor rgb="FFF2F2F2"/>
        <bgColor rgb="FFFFFFFF"/>
      </patternFill>
    </fill>
    <fill>
      <patternFill patternType="solid">
        <fgColor theme="9"/>
        <bgColor rgb="FFFFFFFF"/>
      </patternFill>
    </fill>
    <fill>
      <patternFill patternType="solid">
        <fgColor theme="0" tint="-0.249977111117893"/>
        <bgColor rgb="FFF2F2F2"/>
      </patternFill>
    </fill>
    <fill>
      <patternFill patternType="solid">
        <fgColor theme="7"/>
        <bgColor indexed="64"/>
      </patternFill>
    </fill>
    <fill>
      <patternFill patternType="solid">
        <fgColor rgb="FFC8C8C8"/>
        <bgColor indexed="64"/>
      </patternFill>
    </fill>
    <fill>
      <patternFill patternType="solid">
        <fgColor rgb="FFF0F0F0"/>
        <bgColor indexed="64"/>
      </patternFill>
    </fill>
    <fill>
      <patternFill patternType="solid">
        <fgColor theme="0" tint="-4.9989318521683403E-2"/>
        <bgColor rgb="FFF2F2F2"/>
      </patternFill>
    </fill>
    <fill>
      <patternFill patternType="solid">
        <fgColor rgb="FF7030A0"/>
        <bgColor indexed="64"/>
      </patternFill>
    </fill>
    <fill>
      <patternFill patternType="solid">
        <fgColor theme="3"/>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FF"/>
        <bgColor indexed="64"/>
      </patternFill>
    </fill>
    <fill>
      <patternFill patternType="solid">
        <fgColor theme="0" tint="-0.14999847407452621"/>
        <bgColor rgb="FFF2F2F2"/>
      </patternFill>
    </fill>
    <fill>
      <patternFill patternType="solid">
        <fgColor theme="2" tint="-9.9978637043366805E-2"/>
        <bgColor rgb="FFF2F2F2"/>
      </patternFill>
    </fill>
    <fill>
      <patternFill patternType="solid">
        <fgColor rgb="FF0070C0"/>
        <bgColor indexed="64"/>
      </patternFill>
    </fill>
    <fill>
      <patternFill patternType="solid">
        <fgColor rgb="FF1F497D"/>
        <bgColor indexed="64"/>
      </patternFill>
    </fill>
    <fill>
      <patternFill patternType="solid">
        <fgColor theme="3" tint="0.59996337778862885"/>
        <bgColor indexed="64"/>
      </patternFill>
    </fill>
    <fill>
      <patternFill patternType="solid">
        <fgColor rgb="FFACB9CA"/>
        <bgColor indexed="64"/>
      </patternFill>
    </fill>
    <fill>
      <patternFill patternType="solid">
        <fgColor theme="1" tint="0.499984740745262"/>
        <bgColor indexed="64"/>
      </patternFill>
    </fill>
  </fills>
  <borders count="81">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rgb="FF808080"/>
      </bottom>
      <diagonal/>
    </border>
    <border>
      <left/>
      <right style="thin">
        <color rgb="FF808080"/>
      </right>
      <top/>
      <bottom/>
      <diagonal/>
    </border>
    <border>
      <left style="medium">
        <color rgb="FF808080"/>
      </left>
      <right/>
      <top/>
      <bottom/>
      <diagonal/>
    </border>
    <border>
      <left style="thin">
        <color rgb="FFFFFFFF"/>
      </left>
      <right style="thin">
        <color rgb="FFFFFFFF"/>
      </right>
      <top style="thin">
        <color rgb="FFFFFFFF"/>
      </top>
      <bottom style="thin">
        <color rgb="FFFFFFFF"/>
      </bottom>
      <diagonal/>
    </border>
    <border>
      <left style="thin">
        <color rgb="FFF2F2F2"/>
      </left>
      <right style="thin">
        <color rgb="FFF2F2F2"/>
      </right>
      <top style="thin">
        <color rgb="FFF2F2F2"/>
      </top>
      <bottom style="thin">
        <color rgb="FFF2F2F2"/>
      </bottom>
      <diagonal/>
    </border>
    <border>
      <left/>
      <right/>
      <top style="medium">
        <color rgb="FF808080"/>
      </top>
      <bottom/>
      <diagonal/>
    </border>
    <border>
      <left style="medium">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style="thin">
        <color indexed="64"/>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rgb="FF000000"/>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000000"/>
      </top>
      <bottom style="thin">
        <color rgb="FF000000"/>
      </bottom>
      <diagonal/>
    </border>
  </borders>
  <cellStyleXfs count="12">
    <xf numFmtId="0" fontId="0" fillId="0" borderId="0"/>
    <xf numFmtId="0" fontId="47" fillId="0" borderId="0"/>
    <xf numFmtId="43" fontId="17" fillId="0" borderId="0" applyFont="0" applyFill="0" applyBorder="0" applyAlignment="0" applyProtection="0"/>
    <xf numFmtId="9" fontId="17" fillId="0" borderId="0" applyFont="0" applyFill="0" applyBorder="0" applyAlignment="0" applyProtection="0"/>
    <xf numFmtId="0" fontId="57" fillId="0" borderId="0"/>
    <xf numFmtId="44" fontId="17" fillId="0" borderId="0" applyFont="0" applyFill="0" applyBorder="0" applyAlignment="0" applyProtection="0"/>
    <xf numFmtId="0" fontId="84" fillId="0" borderId="0"/>
    <xf numFmtId="0" fontId="85" fillId="0" borderId="0"/>
    <xf numFmtId="0" fontId="85" fillId="0" borderId="0"/>
    <xf numFmtId="0" fontId="17" fillId="0" borderId="0"/>
    <xf numFmtId="0" fontId="17" fillId="0" borderId="0"/>
    <xf numFmtId="0" fontId="17" fillId="0" borderId="0"/>
  </cellStyleXfs>
  <cellXfs count="1503">
    <xf numFmtId="0" fontId="0" fillId="0" borderId="0" xfId="0"/>
    <xf numFmtId="0" fontId="3" fillId="0" borderId="0" xfId="0" applyFont="1"/>
    <xf numFmtId="0" fontId="3" fillId="0" borderId="0" xfId="0" applyFont="1" applyAlignment="1">
      <alignment horizontal="left" indent="1"/>
    </xf>
    <xf numFmtId="0" fontId="0" fillId="0" borderId="0" xfId="0" applyAlignment="1">
      <alignment horizontal="left" indent="1"/>
    </xf>
    <xf numFmtId="14" fontId="7" fillId="0" borderId="0" xfId="0" applyNumberFormat="1" applyFont="1"/>
    <xf numFmtId="0" fontId="0" fillId="0" borderId="0" xfId="0" applyAlignment="1">
      <alignment wrapText="1"/>
    </xf>
    <xf numFmtId="9" fontId="0" fillId="0" borderId="0" xfId="0" applyNumberFormat="1"/>
    <xf numFmtId="3" fontId="0" fillId="0" borderId="0" xfId="0" applyNumberFormat="1"/>
    <xf numFmtId="10" fontId="0" fillId="0" borderId="0" xfId="0" applyNumberFormat="1"/>
    <xf numFmtId="0" fontId="7" fillId="0" borderId="0" xfId="0" applyFont="1" applyAlignment="1">
      <alignment horizontal="left" indent="1"/>
    </xf>
    <xf numFmtId="3" fontId="1" fillId="0" borderId="0" xfId="0" applyNumberFormat="1" applyFont="1"/>
    <xf numFmtId="0" fontId="9" fillId="0" borderId="0" xfId="0" applyFont="1" applyAlignment="1">
      <alignment horizontal="left"/>
    </xf>
    <xf numFmtId="0" fontId="9" fillId="0" borderId="7" xfId="0" applyFont="1" applyBorder="1" applyAlignment="1">
      <alignment horizontal="left"/>
    </xf>
    <xf numFmtId="0" fontId="10" fillId="0" borderId="0" xfId="0" applyFont="1"/>
    <xf numFmtId="0" fontId="12" fillId="2" borderId="0" xfId="0" applyFont="1" applyFill="1" applyAlignment="1">
      <alignment horizontal="left"/>
    </xf>
    <xf numFmtId="0" fontId="7" fillId="0" borderId="0" xfId="0" applyFont="1" applyAlignment="1">
      <alignment horizontal="left"/>
    </xf>
    <xf numFmtId="0" fontId="7" fillId="0" borderId="0" xfId="0" applyFont="1" applyAlignment="1">
      <alignment horizontal="centerContinuous"/>
    </xf>
    <xf numFmtId="0" fontId="14" fillId="0" borderId="0" xfId="0" applyFont="1" applyAlignment="1">
      <alignment horizontal="left" indent="1"/>
    </xf>
    <xf numFmtId="0" fontId="14" fillId="0" borderId="0" xfId="0" applyFont="1" applyAlignment="1">
      <alignment horizontal="left"/>
    </xf>
    <xf numFmtId="0" fontId="11" fillId="0" borderId="0" xfId="0" applyFont="1" applyAlignment="1">
      <alignment horizontal="left" indent="1"/>
    </xf>
    <xf numFmtId="0" fontId="0" fillId="0" borderId="7" xfId="0" applyBorder="1"/>
    <xf numFmtId="0" fontId="12" fillId="0" borderId="0" xfId="0" applyFont="1" applyAlignment="1">
      <alignment horizontal="left"/>
    </xf>
    <xf numFmtId="8" fontId="15" fillId="0" borderId="0" xfId="0" applyNumberFormat="1" applyFont="1" applyAlignment="1">
      <alignment horizontal="right"/>
    </xf>
    <xf numFmtId="176" fontId="8" fillId="0" borderId="0" xfId="0" applyNumberFormat="1" applyFont="1"/>
    <xf numFmtId="176" fontId="0" fillId="0" borderId="0" xfId="0" applyNumberFormat="1"/>
    <xf numFmtId="44" fontId="0" fillId="0" borderId="0" xfId="0" applyNumberFormat="1"/>
    <xf numFmtId="176" fontId="3" fillId="0" borderId="2" xfId="0" applyNumberFormat="1" applyFont="1" applyBorder="1"/>
    <xf numFmtId="37" fontId="0" fillId="0" borderId="3" xfId="0" applyNumberFormat="1" applyBorder="1"/>
    <xf numFmtId="176" fontId="1" fillId="0" borderId="0" xfId="0" applyNumberFormat="1" applyFont="1"/>
    <xf numFmtId="8" fontId="0" fillId="0" borderId="0" xfId="0" applyNumberFormat="1"/>
    <xf numFmtId="0" fontId="19" fillId="0" borderId="0" xfId="0" applyFont="1"/>
    <xf numFmtId="0" fontId="20" fillId="0" borderId="0" xfId="0" applyFont="1"/>
    <xf numFmtId="0" fontId="21" fillId="2" borderId="0" xfId="0" applyFont="1" applyFill="1" applyAlignment="1">
      <alignment horizontal="centerContinuous"/>
    </xf>
    <xf numFmtId="0" fontId="22" fillId="2" borderId="0" xfId="0" applyFont="1" applyFill="1" applyAlignment="1">
      <alignment horizontal="left"/>
    </xf>
    <xf numFmtId="0" fontId="23" fillId="2" borderId="0" xfId="0" applyFont="1" applyFill="1" applyAlignment="1">
      <alignment horizontal="centerContinuous"/>
    </xf>
    <xf numFmtId="0" fontId="24" fillId="8" borderId="6" xfId="0" applyFont="1" applyFill="1" applyBorder="1" applyAlignment="1">
      <alignment horizontal="center"/>
    </xf>
    <xf numFmtId="0" fontId="25" fillId="0" borderId="0" xfId="0" applyFont="1" applyAlignment="1">
      <alignment horizontal="left"/>
    </xf>
    <xf numFmtId="0" fontId="25" fillId="0" borderId="0" xfId="0" applyFont="1" applyAlignment="1">
      <alignment horizontal="centerContinuous"/>
    </xf>
    <xf numFmtId="0" fontId="26" fillId="0" borderId="0" xfId="0" applyFont="1" applyAlignment="1">
      <alignment horizontal="centerContinuous"/>
    </xf>
    <xf numFmtId="42" fontId="19" fillId="0" borderId="6" xfId="0" applyNumberFormat="1" applyFont="1" applyBorder="1"/>
    <xf numFmtId="165" fontId="26" fillId="0" borderId="0" xfId="0" applyNumberFormat="1" applyFont="1" applyAlignment="1">
      <alignment horizontal="right"/>
    </xf>
    <xf numFmtId="39" fontId="19" fillId="0" borderId="0" xfId="0" applyNumberFormat="1" applyFont="1"/>
    <xf numFmtId="41" fontId="27" fillId="0" borderId="0" xfId="0" applyNumberFormat="1" applyFont="1"/>
    <xf numFmtId="170" fontId="26" fillId="0" borderId="0" xfId="0" applyNumberFormat="1" applyFont="1" applyAlignment="1">
      <alignment horizontal="right"/>
    </xf>
    <xf numFmtId="39" fontId="26" fillId="0" borderId="0" xfId="0" applyNumberFormat="1" applyFont="1"/>
    <xf numFmtId="166" fontId="28" fillId="0" borderId="6" xfId="0" applyNumberFormat="1" applyFont="1" applyBorder="1"/>
    <xf numFmtId="41" fontId="25" fillId="0" borderId="0" xfId="0" applyNumberFormat="1" applyFont="1" applyAlignment="1">
      <alignment horizontal="center"/>
    </xf>
    <xf numFmtId="0" fontId="29" fillId="0" borderId="0" xfId="0" applyFont="1" applyAlignment="1">
      <alignment horizontal="left" indent="1"/>
    </xf>
    <xf numFmtId="0" fontId="30" fillId="0" borderId="0" xfId="0" applyFont="1"/>
    <xf numFmtId="0" fontId="31" fillId="0" borderId="0" xfId="0" applyFont="1"/>
    <xf numFmtId="37" fontId="19" fillId="0" borderId="0" xfId="0" applyNumberFormat="1" applyFont="1"/>
    <xf numFmtId="170" fontId="25" fillId="0" borderId="2" xfId="0" applyNumberFormat="1" applyFont="1" applyBorder="1" applyAlignment="1">
      <alignment horizontal="right"/>
    </xf>
    <xf numFmtId="0" fontId="29" fillId="0" borderId="0" xfId="0" applyFont="1" applyAlignment="1">
      <alignment horizontal="left"/>
    </xf>
    <xf numFmtId="170" fontId="32" fillId="0" borderId="2" xfId="0" applyNumberFormat="1" applyFont="1" applyBorder="1" applyAlignment="1">
      <alignment horizontal="right"/>
    </xf>
    <xf numFmtId="37" fontId="28" fillId="0" borderId="2" xfId="0" applyNumberFormat="1" applyFont="1" applyBorder="1"/>
    <xf numFmtId="0" fontId="19" fillId="0" borderId="0" xfId="0" applyFont="1" applyAlignment="1">
      <alignment horizontal="center"/>
    </xf>
    <xf numFmtId="170" fontId="33" fillId="0" borderId="3" xfId="0" applyNumberFormat="1" applyFont="1" applyBorder="1" applyAlignment="1">
      <alignment horizontal="right"/>
    </xf>
    <xf numFmtId="0" fontId="24" fillId="0" borderId="0" xfId="0" applyFont="1" applyAlignment="1">
      <alignment horizontal="center"/>
    </xf>
    <xf numFmtId="170" fontId="32" fillId="0" borderId="0" xfId="0" applyNumberFormat="1" applyFont="1"/>
    <xf numFmtId="42" fontId="31" fillId="0" borderId="0" xfId="0" applyNumberFormat="1" applyFont="1" applyAlignment="1">
      <alignment horizontal="centerContinuous"/>
    </xf>
    <xf numFmtId="0" fontId="33" fillId="0" borderId="0" xfId="0" applyFont="1"/>
    <xf numFmtId="0" fontId="23" fillId="0" borderId="0" xfId="0" applyFont="1"/>
    <xf numFmtId="0" fontId="25" fillId="0" borderId="0" xfId="0" applyFont="1" applyAlignment="1">
      <alignment horizontal="center"/>
    </xf>
    <xf numFmtId="171" fontId="19" fillId="0" borderId="2" xfId="0" applyNumberFormat="1" applyFont="1" applyBorder="1"/>
    <xf numFmtId="0" fontId="34" fillId="0" borderId="0" xfId="0" applyFont="1" applyAlignment="1">
      <alignment horizontal="left"/>
    </xf>
    <xf numFmtId="0" fontId="21" fillId="2" borderId="0" xfId="0" applyFont="1" applyFill="1"/>
    <xf numFmtId="0" fontId="23" fillId="2" borderId="0" xfId="0" applyFont="1" applyFill="1"/>
    <xf numFmtId="0" fontId="23" fillId="2" borderId="7" xfId="0" applyFont="1" applyFill="1" applyBorder="1" applyAlignment="1">
      <alignment horizontal="center"/>
    </xf>
    <xf numFmtId="0" fontId="23" fillId="2" borderId="0" xfId="0" applyFont="1" applyFill="1" applyAlignment="1">
      <alignment horizontal="center"/>
    </xf>
    <xf numFmtId="0" fontId="35" fillId="0" borderId="0" xfId="0" applyFont="1"/>
    <xf numFmtId="0" fontId="19" fillId="0" borderId="0" xfId="0" quotePrefix="1" applyFont="1" applyAlignment="1">
      <alignment horizontal="right"/>
    </xf>
    <xf numFmtId="14" fontId="33" fillId="4" borderId="6" xfId="0" applyNumberFormat="1" applyFont="1" applyFill="1" applyBorder="1" applyAlignment="1">
      <alignment horizontal="center"/>
    </xf>
    <xf numFmtId="0" fontId="36" fillId="0" borderId="0" xfId="0" applyFont="1" applyAlignment="1">
      <alignment horizontal="right"/>
    </xf>
    <xf numFmtId="0" fontId="38" fillId="0" borderId="0" xfId="0" applyFont="1"/>
    <xf numFmtId="0" fontId="27" fillId="0" borderId="0" xfId="0" applyFont="1" applyAlignment="1">
      <alignment horizontal="center"/>
    </xf>
    <xf numFmtId="14" fontId="37" fillId="0" borderId="0" xfId="0" applyNumberFormat="1" applyFont="1" applyAlignment="1">
      <alignment horizontal="center"/>
    </xf>
    <xf numFmtId="0" fontId="35" fillId="0" borderId="0" xfId="0" applyFont="1" applyAlignment="1">
      <alignment horizontal="left" indent="1"/>
    </xf>
    <xf numFmtId="178" fontId="26" fillId="0" borderId="0" xfId="0" applyNumberFormat="1" applyFont="1"/>
    <xf numFmtId="177" fontId="35" fillId="0" borderId="0" xfId="0" applyNumberFormat="1" applyFont="1"/>
    <xf numFmtId="177" fontId="39" fillId="0" borderId="0" xfId="0" applyNumberFormat="1" applyFont="1" applyAlignment="1">
      <alignment horizontal="right"/>
    </xf>
    <xf numFmtId="0" fontId="19" fillId="6" borderId="0" xfId="0" applyFont="1" applyFill="1" applyAlignment="1">
      <alignment horizontal="center"/>
    </xf>
    <xf numFmtId="0" fontId="40" fillId="0" borderId="0" xfId="0" applyFont="1"/>
    <xf numFmtId="167" fontId="33" fillId="0" borderId="6" xfId="0" applyNumberFormat="1" applyFont="1" applyBorder="1" applyAlignment="1">
      <alignment horizontal="center"/>
    </xf>
    <xf numFmtId="0" fontId="42" fillId="0" borderId="0" xfId="0" applyFont="1" applyAlignment="1">
      <alignment horizontal="left" indent="2"/>
    </xf>
    <xf numFmtId="0" fontId="38" fillId="0" borderId="0" xfId="0" applyFont="1" applyAlignment="1">
      <alignment horizontal="left" indent="1"/>
    </xf>
    <xf numFmtId="0" fontId="25" fillId="8" borderId="6" xfId="0" applyFont="1" applyFill="1" applyBorder="1" applyAlignment="1">
      <alignment horizontal="center"/>
    </xf>
    <xf numFmtId="42" fontId="19" fillId="0" borderId="0" xfId="0" applyNumberFormat="1" applyFont="1"/>
    <xf numFmtId="14" fontId="19" fillId="0" borderId="0" xfId="0" applyNumberFormat="1" applyFont="1"/>
    <xf numFmtId="41" fontId="19" fillId="0" borderId="0" xfId="0" applyNumberFormat="1" applyFont="1"/>
    <xf numFmtId="0" fontId="28" fillId="0" borderId="3" xfId="0" applyFont="1" applyBorder="1"/>
    <xf numFmtId="42" fontId="28" fillId="0" borderId="3" xfId="0" applyNumberFormat="1" applyFont="1" applyBorder="1"/>
    <xf numFmtId="0" fontId="19" fillId="0" borderId="0" xfId="0" applyFont="1" applyAlignment="1">
      <alignment horizontal="left" indent="1"/>
    </xf>
    <xf numFmtId="0" fontId="43" fillId="0" borderId="0" xfId="0" applyFont="1" applyAlignment="1">
      <alignment horizontal="center" vertical="center"/>
    </xf>
    <xf numFmtId="41" fontId="44" fillId="0" borderId="0" xfId="0" applyNumberFormat="1" applyFont="1"/>
    <xf numFmtId="0" fontId="44" fillId="0" borderId="0" xfId="0" applyFont="1"/>
    <xf numFmtId="0" fontId="28" fillId="0" borderId="2" xfId="0" applyFont="1" applyBorder="1" applyAlignment="1">
      <alignment horizontal="left"/>
    </xf>
    <xf numFmtId="41" fontId="28" fillId="0" borderId="2" xfId="0" applyNumberFormat="1" applyFont="1" applyBorder="1" applyAlignment="1">
      <alignment horizontal="right"/>
    </xf>
    <xf numFmtId="171" fontId="19" fillId="0" borderId="0" xfId="0" applyNumberFormat="1" applyFont="1"/>
    <xf numFmtId="0" fontId="25" fillId="0" borderId="0" xfId="0" applyFont="1" applyAlignment="1">
      <alignment horizontal="left" indent="1"/>
    </xf>
    <xf numFmtId="169" fontId="25" fillId="0" borderId="0" xfId="0" applyNumberFormat="1" applyFont="1" applyAlignment="1">
      <alignment horizontal="center"/>
    </xf>
    <xf numFmtId="166" fontId="29" fillId="0" borderId="0" xfId="0" applyNumberFormat="1" applyFont="1" applyAlignment="1">
      <alignment horizontal="center"/>
    </xf>
    <xf numFmtId="171" fontId="25" fillId="0" borderId="0" xfId="0" applyNumberFormat="1" applyFont="1"/>
    <xf numFmtId="42" fontId="45" fillId="4" borderId="0" xfId="0" applyNumberFormat="1" applyFont="1" applyFill="1" applyAlignment="1">
      <alignment horizontal="center"/>
    </xf>
    <xf numFmtId="168" fontId="45" fillId="4" borderId="0" xfId="0" applyNumberFormat="1" applyFont="1" applyFill="1" applyAlignment="1">
      <alignment horizontal="center"/>
    </xf>
    <xf numFmtId="170" fontId="19" fillId="0" borderId="0" xfId="0" applyNumberFormat="1" applyFont="1"/>
    <xf numFmtId="0" fontId="19" fillId="0" borderId="2" xfId="0" applyFont="1" applyBorder="1"/>
    <xf numFmtId="169" fontId="25" fillId="0" borderId="2" xfId="0" applyNumberFormat="1" applyFont="1" applyBorder="1" applyAlignment="1">
      <alignment horizontal="center"/>
    </xf>
    <xf numFmtId="166" fontId="29" fillId="0" borderId="2" xfId="0" applyNumberFormat="1" applyFont="1" applyBorder="1" applyAlignment="1">
      <alignment horizontal="center"/>
    </xf>
    <xf numFmtId="42" fontId="19" fillId="0" borderId="2" xfId="0" applyNumberFormat="1" applyFont="1" applyBorder="1"/>
    <xf numFmtId="0" fontId="28" fillId="0" borderId="0" xfId="0" applyFont="1" applyAlignment="1">
      <alignment horizontal="left"/>
    </xf>
    <xf numFmtId="42" fontId="28" fillId="0" borderId="0" xfId="0" applyNumberFormat="1" applyFont="1" applyAlignment="1">
      <alignment horizontal="left"/>
    </xf>
    <xf numFmtId="0" fontId="21" fillId="2" borderId="13" xfId="0" applyFont="1" applyFill="1" applyBorder="1"/>
    <xf numFmtId="0" fontId="23" fillId="2" borderId="2" xfId="0" applyFont="1" applyFill="1" applyBorder="1"/>
    <xf numFmtId="0" fontId="23" fillId="2" borderId="2" xfId="0" applyFont="1" applyFill="1" applyBorder="1" applyAlignment="1">
      <alignment horizontal="center"/>
    </xf>
    <xf numFmtId="0" fontId="23" fillId="2" borderId="14" xfId="0" applyFont="1" applyFill="1" applyBorder="1" applyAlignment="1">
      <alignment horizontal="center"/>
    </xf>
    <xf numFmtId="166" fontId="24" fillId="8" borderId="6" xfId="0" applyNumberFormat="1" applyFont="1" applyFill="1" applyBorder="1" applyAlignment="1">
      <alignment horizontal="right"/>
    </xf>
    <xf numFmtId="0" fontId="35" fillId="3" borderId="0" xfId="0" applyFont="1" applyFill="1"/>
    <xf numFmtId="175" fontId="35" fillId="0" borderId="0" xfId="0" applyNumberFormat="1" applyFont="1"/>
    <xf numFmtId="10" fontId="35" fillId="4" borderId="0" xfId="0" applyNumberFormat="1" applyFont="1" applyFill="1"/>
    <xf numFmtId="166" fontId="24" fillId="8" borderId="0" xfId="0" applyNumberFormat="1" applyFont="1" applyFill="1" applyAlignment="1">
      <alignment horizontal="right"/>
    </xf>
    <xf numFmtId="175" fontId="24" fillId="0" borderId="0" xfId="0" applyNumberFormat="1" applyFont="1"/>
    <xf numFmtId="0" fontId="35" fillId="0" borderId="1" xfId="0" applyFont="1" applyBorder="1" applyAlignment="1">
      <alignment horizontal="left"/>
    </xf>
    <xf numFmtId="0" fontId="35" fillId="0" borderId="1" xfId="0" applyFont="1" applyBorder="1"/>
    <xf numFmtId="175" fontId="35" fillId="0" borderId="1" xfId="0" applyNumberFormat="1" applyFont="1" applyBorder="1"/>
    <xf numFmtId="10" fontId="35" fillId="0" borderId="1" xfId="0" applyNumberFormat="1" applyFont="1" applyBorder="1"/>
    <xf numFmtId="170" fontId="35" fillId="0" borderId="1" xfId="0" applyNumberFormat="1" applyFont="1" applyBorder="1"/>
    <xf numFmtId="0" fontId="19" fillId="0" borderId="8" xfId="0" applyFont="1" applyBorder="1" applyAlignment="1">
      <alignment horizontal="center" vertical="center"/>
    </xf>
    <xf numFmtId="0" fontId="19" fillId="9" borderId="1" xfId="0" applyFont="1" applyFill="1" applyBorder="1" applyAlignment="1">
      <alignment horizontal="center"/>
    </xf>
    <xf numFmtId="0" fontId="19" fillId="10" borderId="1" xfId="0" applyFont="1" applyFill="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19" fillId="0" borderId="11" xfId="0" applyFont="1" applyBorder="1"/>
    <xf numFmtId="14" fontId="19" fillId="0" borderId="11" xfId="0" applyNumberFormat="1" applyFont="1" applyBorder="1" applyAlignment="1">
      <alignment horizontal="center"/>
    </xf>
    <xf numFmtId="0" fontId="19" fillId="0" borderId="7" xfId="0" applyFont="1" applyBorder="1" applyAlignment="1">
      <alignment horizontal="center"/>
    </xf>
    <xf numFmtId="0" fontId="42" fillId="0" borderId="0" xfId="0" applyFont="1"/>
    <xf numFmtId="170" fontId="19" fillId="0" borderId="2" xfId="0" applyNumberFormat="1" applyFont="1" applyBorder="1"/>
    <xf numFmtId="170" fontId="19" fillId="0" borderId="6" xfId="0" applyNumberFormat="1" applyFont="1" applyBorder="1"/>
    <xf numFmtId="0" fontId="35" fillId="5" borderId="0" xfId="0" applyFont="1" applyFill="1" applyAlignment="1">
      <alignment horizontal="left" indent="1"/>
    </xf>
    <xf numFmtId="0" fontId="35" fillId="0" borderId="0" xfId="0" applyFont="1" applyAlignment="1">
      <alignment horizontal="left" indent="2"/>
    </xf>
    <xf numFmtId="0" fontId="28" fillId="0" borderId="0" xfId="0" applyFont="1"/>
    <xf numFmtId="0" fontId="42" fillId="0" borderId="0" xfId="0" applyFont="1" applyAlignment="1">
      <alignment horizontal="left" indent="1"/>
    </xf>
    <xf numFmtId="170" fontId="42" fillId="0" borderId="2" xfId="0" applyNumberFormat="1" applyFont="1" applyBorder="1"/>
    <xf numFmtId="171" fontId="42" fillId="0" borderId="0" xfId="0" applyNumberFormat="1" applyFont="1"/>
    <xf numFmtId="171" fontId="42" fillId="0" borderId="7" xfId="0" applyNumberFormat="1" applyFont="1" applyBorder="1"/>
    <xf numFmtId="171" fontId="42" fillId="0" borderId="2" xfId="0" applyNumberFormat="1" applyFont="1" applyBorder="1"/>
    <xf numFmtId="0" fontId="19" fillId="0" borderId="1" xfId="0" applyFont="1" applyBorder="1"/>
    <xf numFmtId="0" fontId="42" fillId="0" borderId="12" xfId="0" applyFont="1" applyBorder="1"/>
    <xf numFmtId="41" fontId="46" fillId="0" borderId="1" xfId="0" applyNumberFormat="1" applyFont="1" applyBorder="1"/>
    <xf numFmtId="0" fontId="17" fillId="0" borderId="0" xfId="0" applyFont="1" applyAlignment="1">
      <alignment horizontal="center" wrapText="1"/>
    </xf>
    <xf numFmtId="0" fontId="17" fillId="0" borderId="0" xfId="1" applyFont="1"/>
    <xf numFmtId="0" fontId="6" fillId="0" borderId="0" xfId="1" applyFont="1" applyAlignment="1">
      <alignment horizontal="left" indent="1"/>
    </xf>
    <xf numFmtId="166" fontId="14" fillId="7" borderId="0" xfId="1" applyNumberFormat="1" applyFont="1" applyFill="1"/>
    <xf numFmtId="166" fontId="14" fillId="0" borderId="0" xfId="1" applyNumberFormat="1" applyFont="1"/>
    <xf numFmtId="0" fontId="17" fillId="0" borderId="1" xfId="1" applyFont="1" applyBorder="1"/>
    <xf numFmtId="0" fontId="3" fillId="0" borderId="2" xfId="1" applyFont="1" applyBorder="1" applyAlignment="1">
      <alignment horizontal="left"/>
    </xf>
    <xf numFmtId="0" fontId="48" fillId="0" borderId="0" xfId="1" applyFont="1" applyAlignment="1">
      <alignment horizontal="left" indent="1"/>
    </xf>
    <xf numFmtId="166" fontId="14" fillId="0" borderId="1" xfId="1" applyNumberFormat="1" applyFont="1" applyBorder="1"/>
    <xf numFmtId="0" fontId="17" fillId="0" borderId="0" xfId="1" applyFont="1" applyAlignment="1">
      <alignment horizontal="left" indent="1"/>
    </xf>
    <xf numFmtId="0" fontId="18" fillId="0" borderId="0" xfId="1" applyFont="1" applyAlignment="1">
      <alignment horizontal="left" indent="1"/>
    </xf>
    <xf numFmtId="0" fontId="3" fillId="0" borderId="1" xfId="1" applyFont="1" applyBorder="1"/>
    <xf numFmtId="0" fontId="3" fillId="0" borderId="0" xfId="1" applyFont="1"/>
    <xf numFmtId="0" fontId="3" fillId="0" borderId="7" xfId="1" applyFont="1" applyBorder="1"/>
    <xf numFmtId="167" fontId="16" fillId="0" borderId="0" xfId="1" applyNumberFormat="1" applyFont="1" applyAlignment="1">
      <alignment horizontal="right"/>
    </xf>
    <xf numFmtId="10" fontId="3" fillId="0" borderId="7" xfId="1" applyNumberFormat="1" applyFont="1" applyBorder="1" applyAlignment="1">
      <alignment horizontal="right"/>
    </xf>
    <xf numFmtId="0" fontId="42" fillId="0" borderId="8" xfId="0" applyFont="1" applyBorder="1"/>
    <xf numFmtId="0" fontId="42" fillId="0" borderId="9" xfId="0" applyFont="1" applyBorder="1"/>
    <xf numFmtId="170" fontId="32" fillId="0" borderId="9" xfId="0" applyNumberFormat="1" applyFont="1" applyBorder="1"/>
    <xf numFmtId="170" fontId="42" fillId="0" borderId="6" xfId="0" applyNumberFormat="1" applyFont="1" applyBorder="1" applyAlignment="1">
      <alignment horizontal="left" indent="2"/>
    </xf>
    <xf numFmtId="170" fontId="42" fillId="0" borderId="6" xfId="0" applyNumberFormat="1" applyFont="1" applyBorder="1"/>
    <xf numFmtId="170" fontId="42" fillId="0" borderId="9" xfId="0" applyNumberFormat="1" applyFont="1" applyBorder="1"/>
    <xf numFmtId="170" fontId="35" fillId="0" borderId="9" xfId="0" applyNumberFormat="1" applyFont="1" applyBorder="1"/>
    <xf numFmtId="170" fontId="35" fillId="0" borderId="9" xfId="0" applyNumberFormat="1" applyFont="1" applyBorder="1" applyAlignment="1">
      <alignment horizontal="left" indent="2"/>
    </xf>
    <xf numFmtId="170" fontId="26" fillId="0" borderId="9" xfId="0" applyNumberFormat="1" applyFont="1" applyBorder="1"/>
    <xf numFmtId="0" fontId="19" fillId="0" borderId="8" xfId="0" applyFont="1" applyBorder="1"/>
    <xf numFmtId="0" fontId="19" fillId="0" borderId="9" xfId="0" applyFont="1" applyBorder="1"/>
    <xf numFmtId="170" fontId="19" fillId="0" borderId="9" xfId="0" applyNumberFormat="1" applyFont="1" applyBorder="1"/>
    <xf numFmtId="171" fontId="42" fillId="0" borderId="6" xfId="0" applyNumberFormat="1" applyFont="1" applyBorder="1"/>
    <xf numFmtId="10" fontId="35" fillId="0" borderId="0" xfId="0" applyNumberFormat="1" applyFont="1"/>
    <xf numFmtId="0" fontId="23" fillId="2" borderId="0" xfId="0" applyFont="1" applyFill="1" applyAlignment="1">
      <alignment horizontal="center" vertical="center"/>
    </xf>
    <xf numFmtId="0" fontId="23" fillId="2" borderId="7" xfId="0" applyFont="1" applyFill="1" applyBorder="1" applyAlignment="1">
      <alignment horizontal="center" vertical="center" wrapText="1"/>
    </xf>
    <xf numFmtId="0" fontId="23" fillId="2" borderId="7" xfId="0" applyFont="1" applyFill="1" applyBorder="1" applyAlignment="1">
      <alignment horizontal="center" vertical="center"/>
    </xf>
    <xf numFmtId="170" fontId="17" fillId="0" borderId="0" xfId="1" applyNumberFormat="1" applyFont="1"/>
    <xf numFmtId="170" fontId="17" fillId="0" borderId="1" xfId="1" applyNumberFormat="1" applyFont="1" applyBorder="1"/>
    <xf numFmtId="170" fontId="3" fillId="0" borderId="2" xfId="1" applyNumberFormat="1" applyFont="1" applyBorder="1"/>
    <xf numFmtId="170" fontId="18" fillId="0" borderId="0" xfId="1" applyNumberFormat="1" applyFont="1"/>
    <xf numFmtId="46" fontId="3" fillId="0" borderId="0" xfId="0" applyNumberFormat="1" applyFont="1"/>
    <xf numFmtId="0" fontId="3" fillId="0" borderId="0" xfId="0" applyFont="1" applyAlignment="1">
      <alignment horizontal="center"/>
    </xf>
    <xf numFmtId="46" fontId="0" fillId="0" borderId="0" xfId="0" applyNumberFormat="1"/>
    <xf numFmtId="6" fontId="0" fillId="0" borderId="0" xfId="0" applyNumberFormat="1"/>
    <xf numFmtId="0" fontId="0" fillId="15" borderId="0" xfId="0" applyFill="1"/>
    <xf numFmtId="0" fontId="2" fillId="15" borderId="0" xfId="0" applyFont="1" applyFill="1"/>
    <xf numFmtId="0" fontId="3" fillId="0" borderId="0" xfId="0" applyFont="1" applyAlignment="1">
      <alignment wrapText="1"/>
    </xf>
    <xf numFmtId="9" fontId="3" fillId="0" borderId="0" xfId="0" applyNumberFormat="1" applyFont="1"/>
    <xf numFmtId="6" fontId="3" fillId="0" borderId="0" xfId="0" applyNumberFormat="1" applyFont="1"/>
    <xf numFmtId="6" fontId="0" fillId="0" borderId="6" xfId="0" applyNumberFormat="1" applyBorder="1"/>
    <xf numFmtId="8" fontId="0" fillId="0" borderId="6" xfId="0" applyNumberFormat="1" applyBorder="1"/>
    <xf numFmtId="0" fontId="3" fillId="0" borderId="6" xfId="0" applyFont="1" applyBorder="1"/>
    <xf numFmtId="0" fontId="0" fillId="0" borderId="6" xfId="0" applyBorder="1"/>
    <xf numFmtId="0" fontId="3" fillId="0" borderId="14" xfId="0" applyFont="1" applyBorder="1" applyAlignment="1">
      <alignment horizontal="center"/>
    </xf>
    <xf numFmtId="0" fontId="3" fillId="0" borderId="13" xfId="0" applyFont="1" applyBorder="1" applyAlignment="1">
      <alignment horizontal="center"/>
    </xf>
    <xf numFmtId="0" fontId="3" fillId="16" borderId="0" xfId="0" applyFont="1" applyFill="1"/>
    <xf numFmtId="0" fontId="0" fillId="16" borderId="0" xfId="0" applyFill="1"/>
    <xf numFmtId="0" fontId="3" fillId="16" borderId="0" xfId="0" applyFont="1" applyFill="1" applyAlignment="1">
      <alignment horizontal="center"/>
    </xf>
    <xf numFmtId="46" fontId="3" fillId="16" borderId="0" xfId="0" applyNumberFormat="1" applyFont="1" applyFill="1"/>
    <xf numFmtId="9" fontId="3" fillId="16" borderId="0" xfId="0" applyNumberFormat="1" applyFont="1" applyFill="1"/>
    <xf numFmtId="3" fontId="3" fillId="16" borderId="0" xfId="0" applyNumberFormat="1" applyFont="1" applyFill="1"/>
    <xf numFmtId="6" fontId="3" fillId="16" borderId="0" xfId="0" applyNumberFormat="1" applyFont="1" applyFill="1"/>
    <xf numFmtId="3" fontId="3" fillId="0" borderId="0" xfId="0" applyNumberFormat="1" applyFont="1"/>
    <xf numFmtId="0" fontId="3" fillId="16" borderId="0" xfId="0" applyFont="1" applyFill="1" applyAlignment="1">
      <alignment wrapText="1"/>
    </xf>
    <xf numFmtId="9" fontId="0" fillId="16" borderId="0" xfId="0" applyNumberFormat="1" applyFill="1"/>
    <xf numFmtId="3" fontId="0" fillId="16" borderId="0" xfId="0" applyNumberFormat="1" applyFill="1"/>
    <xf numFmtId="6" fontId="0" fillId="16" borderId="0" xfId="0" applyNumberFormat="1" applyFill="1"/>
    <xf numFmtId="0" fontId="0" fillId="17" borderId="0" xfId="0" applyFill="1"/>
    <xf numFmtId="170" fontId="3" fillId="16" borderId="17" xfId="2" applyNumberFormat="1" applyFont="1" applyFill="1" applyBorder="1" applyAlignment="1">
      <alignment horizontal="center" vertical="center"/>
    </xf>
    <xf numFmtId="170" fontId="17" fillId="0" borderId="0" xfId="2" applyNumberFormat="1" applyFont="1" applyBorder="1" applyAlignment="1">
      <alignment horizontal="center" vertical="center"/>
    </xf>
    <xf numFmtId="0" fontId="0" fillId="18" borderId="0" xfId="0" applyFill="1"/>
    <xf numFmtId="9" fontId="0" fillId="0" borderId="0" xfId="3" applyFont="1"/>
    <xf numFmtId="0" fontId="0" fillId="16" borderId="0" xfId="0" applyFill="1" applyAlignment="1">
      <alignment horizontal="center"/>
    </xf>
    <xf numFmtId="0" fontId="49" fillId="0" borderId="0" xfId="0" applyFont="1" applyAlignment="1">
      <alignment wrapText="1"/>
    </xf>
    <xf numFmtId="0" fontId="49" fillId="0" borderId="0" xfId="0" applyFont="1"/>
    <xf numFmtId="0" fontId="49" fillId="0" borderId="6" xfId="0" applyFont="1" applyBorder="1" applyAlignment="1">
      <alignment wrapText="1"/>
    </xf>
    <xf numFmtId="0" fontId="50" fillId="0" borderId="6" xfId="0" applyFont="1" applyBorder="1" applyAlignment="1">
      <alignment wrapText="1"/>
    </xf>
    <xf numFmtId="0" fontId="49" fillId="0" borderId="0" xfId="0" applyFont="1" applyAlignment="1">
      <alignment horizontal="right"/>
    </xf>
    <xf numFmtId="43" fontId="49" fillId="0" borderId="0" xfId="0" applyNumberFormat="1" applyFont="1" applyAlignment="1">
      <alignment horizontal="right"/>
    </xf>
    <xf numFmtId="0" fontId="49" fillId="0" borderId="25" xfId="0" applyFont="1" applyBorder="1" applyAlignment="1">
      <alignment wrapText="1"/>
    </xf>
    <xf numFmtId="0" fontId="49" fillId="7" borderId="37" xfId="0" applyFont="1" applyFill="1" applyBorder="1" applyAlignment="1">
      <alignment horizontal="center" wrapText="1"/>
    </xf>
    <xf numFmtId="0" fontId="49" fillId="18" borderId="0" xfId="0" applyFont="1" applyFill="1"/>
    <xf numFmtId="0" fontId="49" fillId="0" borderId="0" xfId="0" applyFont="1" applyAlignment="1">
      <alignment horizontal="center"/>
    </xf>
    <xf numFmtId="170" fontId="49" fillId="0" borderId="22" xfId="2" applyNumberFormat="1" applyFont="1" applyBorder="1" applyAlignment="1">
      <alignment horizontal="center" vertical="center"/>
    </xf>
    <xf numFmtId="170" fontId="52" fillId="0" borderId="0" xfId="2" applyNumberFormat="1" applyFont="1" applyBorder="1" applyAlignment="1">
      <alignment horizontal="center" vertical="center"/>
    </xf>
    <xf numFmtId="170" fontId="49" fillId="0" borderId="0" xfId="2" applyNumberFormat="1" applyFont="1" applyBorder="1" applyAlignment="1">
      <alignment horizontal="center" vertical="center"/>
    </xf>
    <xf numFmtId="9" fontId="49" fillId="0" borderId="22" xfId="3" applyFont="1" applyBorder="1" applyAlignment="1">
      <alignment horizontal="center" vertical="center"/>
    </xf>
    <xf numFmtId="9" fontId="49" fillId="0" borderId="17" xfId="3" applyFont="1" applyBorder="1" applyAlignment="1">
      <alignment horizontal="center" vertical="center"/>
    </xf>
    <xf numFmtId="9" fontId="49" fillId="0" borderId="0" xfId="3" applyFont="1" applyBorder="1" applyAlignment="1">
      <alignment horizontal="center" vertical="center"/>
    </xf>
    <xf numFmtId="9" fontId="49" fillId="16" borderId="17" xfId="3" applyFont="1" applyFill="1" applyBorder="1" applyAlignment="1">
      <alignment horizontal="center" vertical="center"/>
    </xf>
    <xf numFmtId="9" fontId="49" fillId="16" borderId="0" xfId="3" applyFont="1" applyFill="1" applyBorder="1" applyAlignment="1">
      <alignment horizontal="center" vertical="center"/>
    </xf>
    <xf numFmtId="0" fontId="49" fillId="0" borderId="17" xfId="0" applyFont="1" applyBorder="1" applyAlignment="1">
      <alignment horizontal="center"/>
    </xf>
    <xf numFmtId="170" fontId="49" fillId="0" borderId="20" xfId="2" applyNumberFormat="1" applyFont="1" applyBorder="1" applyAlignment="1">
      <alignment horizontal="center" vertical="center"/>
    </xf>
    <xf numFmtId="170" fontId="49" fillId="0" borderId="19" xfId="2" applyNumberFormat="1" applyFont="1" applyBorder="1" applyAlignment="1">
      <alignment horizontal="center" vertical="center"/>
    </xf>
    <xf numFmtId="9" fontId="49" fillId="19" borderId="0" xfId="3" applyFont="1" applyFill="1" applyBorder="1" applyAlignment="1">
      <alignment horizontal="center" vertical="center"/>
    </xf>
    <xf numFmtId="9" fontId="49" fillId="19" borderId="17" xfId="3" applyFont="1" applyFill="1" applyBorder="1" applyAlignment="1">
      <alignment horizontal="center" vertical="center"/>
    </xf>
    <xf numFmtId="170" fontId="53" fillId="15" borderId="22" xfId="2" applyNumberFormat="1" applyFont="1" applyFill="1" applyBorder="1" applyAlignment="1">
      <alignment horizontal="center" vertical="center"/>
    </xf>
    <xf numFmtId="170" fontId="53" fillId="15" borderId="0" xfId="2" applyNumberFormat="1" applyFont="1" applyFill="1" applyBorder="1" applyAlignment="1">
      <alignment horizontal="center" vertical="center"/>
    </xf>
    <xf numFmtId="170" fontId="53" fillId="15" borderId="17" xfId="2" applyNumberFormat="1" applyFont="1" applyFill="1" applyBorder="1" applyAlignment="1">
      <alignment horizontal="center" vertical="center"/>
    </xf>
    <xf numFmtId="0" fontId="49" fillId="0" borderId="22" xfId="0" applyFont="1" applyBorder="1" applyAlignment="1">
      <alignment horizontal="center"/>
    </xf>
    <xf numFmtId="9" fontId="49" fillId="0" borderId="17" xfId="3" applyFont="1" applyBorder="1" applyAlignment="1">
      <alignment horizontal="right"/>
    </xf>
    <xf numFmtId="0" fontId="49" fillId="16" borderId="22" xfId="0" applyFont="1" applyFill="1" applyBorder="1"/>
    <xf numFmtId="0" fontId="49" fillId="16" borderId="17" xfId="0" applyFont="1" applyFill="1" applyBorder="1"/>
    <xf numFmtId="0" fontId="49" fillId="0" borderId="22" xfId="0" applyFont="1" applyBorder="1"/>
    <xf numFmtId="0" fontId="49" fillId="0" borderId="17" xfId="0" applyFont="1" applyBorder="1"/>
    <xf numFmtId="170" fontId="49" fillId="0" borderId="0" xfId="2" applyNumberFormat="1" applyFont="1" applyFill="1" applyBorder="1" applyAlignment="1">
      <alignment horizontal="center" vertical="center"/>
    </xf>
    <xf numFmtId="9" fontId="49" fillId="0" borderId="0" xfId="3" applyFont="1" applyFill="1" applyBorder="1" applyAlignment="1">
      <alignment horizontal="center" vertical="center"/>
    </xf>
    <xf numFmtId="170" fontId="54" fillId="0" borderId="22" xfId="2" applyNumberFormat="1" applyFont="1" applyBorder="1" applyAlignment="1">
      <alignment horizontal="center" vertical="center"/>
    </xf>
    <xf numFmtId="9" fontId="54" fillId="0" borderId="0" xfId="3" applyFont="1" applyBorder="1" applyAlignment="1">
      <alignment horizontal="center" vertical="center"/>
    </xf>
    <xf numFmtId="9" fontId="55" fillId="0" borderId="0" xfId="3" applyFont="1" applyFill="1" applyBorder="1" applyAlignment="1">
      <alignment horizontal="center" vertical="center"/>
    </xf>
    <xf numFmtId="0" fontId="49" fillId="0" borderId="19" xfId="0" applyFont="1" applyBorder="1" applyAlignment="1">
      <alignment horizontal="right"/>
    </xf>
    <xf numFmtId="0" fontId="49" fillId="0" borderId="25" xfId="0" applyFont="1" applyBorder="1" applyAlignment="1">
      <alignment horizontal="right"/>
    </xf>
    <xf numFmtId="0" fontId="49" fillId="0" borderId="15" xfId="0" applyFont="1" applyBorder="1" applyAlignment="1">
      <alignment horizontal="right"/>
    </xf>
    <xf numFmtId="9" fontId="54" fillId="0" borderId="24" xfId="3" applyFont="1" applyBorder="1" applyAlignment="1">
      <alignment horizontal="center" vertical="center"/>
    </xf>
    <xf numFmtId="9" fontId="54" fillId="0" borderId="17" xfId="3" applyFont="1" applyBorder="1" applyAlignment="1">
      <alignment horizontal="center" vertical="center"/>
    </xf>
    <xf numFmtId="9" fontId="54" fillId="0" borderId="18" xfId="3" applyFont="1" applyBorder="1" applyAlignment="1">
      <alignment horizontal="center" vertical="center"/>
    </xf>
    <xf numFmtId="0" fontId="55" fillId="0" borderId="0" xfId="0" applyFont="1"/>
    <xf numFmtId="0" fontId="49" fillId="0" borderId="0" xfId="0" applyFont="1" applyAlignment="1">
      <alignment horizontal="left" indent="2"/>
    </xf>
    <xf numFmtId="41" fontId="49" fillId="0" borderId="0" xfId="0" applyNumberFormat="1" applyFont="1"/>
    <xf numFmtId="41" fontId="49" fillId="5" borderId="0" xfId="0" applyNumberFormat="1" applyFont="1" applyFill="1"/>
    <xf numFmtId="0" fontId="50" fillId="0" borderId="6" xfId="0" applyFont="1" applyBorder="1" applyAlignment="1">
      <alignment horizontal="right"/>
    </xf>
    <xf numFmtId="3" fontId="49" fillId="0" borderId="6" xfId="0" applyNumberFormat="1" applyFont="1" applyBorder="1" applyAlignment="1">
      <alignment horizontal="right"/>
    </xf>
    <xf numFmtId="3" fontId="50" fillId="0" borderId="6" xfId="0" applyNumberFormat="1" applyFont="1" applyBorder="1" applyAlignment="1">
      <alignment horizontal="right"/>
    </xf>
    <xf numFmtId="0" fontId="49" fillId="0" borderId="6" xfId="0" applyFont="1" applyBorder="1" applyAlignment="1">
      <alignment horizontal="right"/>
    </xf>
    <xf numFmtId="9" fontId="49" fillId="0" borderId="6" xfId="3" applyFont="1" applyBorder="1" applyAlignment="1">
      <alignment horizontal="right"/>
    </xf>
    <xf numFmtId="170" fontId="52" fillId="0" borderId="0" xfId="0" applyNumberFormat="1" applyFont="1" applyAlignment="1">
      <alignment horizontal="right"/>
    </xf>
    <xf numFmtId="0" fontId="49" fillId="0" borderId="15" xfId="0" applyFont="1" applyBorder="1"/>
    <xf numFmtId="0" fontId="49" fillId="0" borderId="19" xfId="0" applyFont="1" applyBorder="1" applyAlignment="1">
      <alignment horizontal="left" indent="2"/>
    </xf>
    <xf numFmtId="0" fontId="49" fillId="0" borderId="19" xfId="0" applyFont="1" applyBorder="1"/>
    <xf numFmtId="170" fontId="49" fillId="0" borderId="15" xfId="2" applyNumberFormat="1" applyFont="1" applyBorder="1"/>
    <xf numFmtId="0" fontId="49" fillId="0" borderId="22" xfId="0" applyFont="1" applyBorder="1" applyAlignment="1">
      <alignment horizontal="left" indent="2"/>
    </xf>
    <xf numFmtId="0" fontId="49" fillId="0" borderId="20" xfId="0" applyFont="1" applyBorder="1" applyAlignment="1">
      <alignment horizontal="left" indent="2"/>
    </xf>
    <xf numFmtId="170" fontId="49" fillId="0" borderId="0" xfId="2" applyNumberFormat="1" applyFont="1" applyFill="1" applyBorder="1"/>
    <xf numFmtId="9" fontId="49" fillId="0" borderId="0" xfId="3" applyFont="1" applyBorder="1" applyAlignment="1">
      <alignment horizontal="center"/>
    </xf>
    <xf numFmtId="170" fontId="49" fillId="0" borderId="0" xfId="2" applyNumberFormat="1" applyFont="1" applyBorder="1"/>
    <xf numFmtId="170" fontId="49" fillId="0" borderId="0" xfId="2" applyNumberFormat="1" applyFont="1" applyBorder="1" applyAlignment="1">
      <alignment horizontal="center"/>
    </xf>
    <xf numFmtId="0" fontId="49" fillId="18" borderId="0" xfId="0" applyFont="1" applyFill="1" applyAlignment="1">
      <alignment horizontal="center"/>
    </xf>
    <xf numFmtId="170" fontId="49" fillId="18" borderId="0" xfId="2" applyNumberFormat="1" applyFont="1" applyFill="1" applyBorder="1" applyAlignment="1">
      <alignment horizontal="center" wrapText="1"/>
    </xf>
    <xf numFmtId="9" fontId="49" fillId="18" borderId="0" xfId="3" applyFont="1" applyFill="1" applyBorder="1" applyAlignment="1">
      <alignment horizontal="center" wrapText="1"/>
    </xf>
    <xf numFmtId="170" fontId="49" fillId="0" borderId="17" xfId="2" applyNumberFormat="1" applyFont="1" applyBorder="1" applyAlignment="1">
      <alignment horizontal="center"/>
    </xf>
    <xf numFmtId="170" fontId="49" fillId="0" borderId="22" xfId="2" applyNumberFormat="1" applyFont="1" applyBorder="1" applyAlignment="1">
      <alignment horizontal="center"/>
    </xf>
    <xf numFmtId="0" fontId="49" fillId="0" borderId="19" xfId="0" applyFont="1" applyBorder="1" applyAlignment="1">
      <alignment horizontal="center"/>
    </xf>
    <xf numFmtId="170" fontId="49" fillId="0" borderId="19" xfId="2" applyNumberFormat="1" applyFont="1" applyBorder="1" applyAlignment="1">
      <alignment horizontal="center"/>
    </xf>
    <xf numFmtId="0" fontId="49" fillId="16" borderId="15" xfId="0" applyFont="1" applyFill="1" applyBorder="1"/>
    <xf numFmtId="0" fontId="49" fillId="16" borderId="0" xfId="0" applyFont="1" applyFill="1"/>
    <xf numFmtId="0" fontId="49" fillId="0" borderId="25" xfId="0" applyFont="1" applyBorder="1" applyAlignment="1">
      <alignment horizontal="left" indent="2"/>
    </xf>
    <xf numFmtId="0" fontId="49" fillId="0" borderId="15" xfId="0" applyFont="1" applyBorder="1" applyAlignment="1">
      <alignment horizontal="left" indent="2"/>
    </xf>
    <xf numFmtId="0" fontId="49" fillId="0" borderId="22" xfId="0" applyFont="1" applyBorder="1" applyAlignment="1">
      <alignment horizontal="left"/>
    </xf>
    <xf numFmtId="0" fontId="49" fillId="22" borderId="20" xfId="0" applyFont="1" applyFill="1" applyBorder="1" applyAlignment="1">
      <alignment horizontal="left"/>
    </xf>
    <xf numFmtId="0" fontId="49" fillId="22" borderId="26" xfId="0" applyFont="1" applyFill="1" applyBorder="1" applyAlignment="1">
      <alignment horizontal="left"/>
    </xf>
    <xf numFmtId="166" fontId="49" fillId="0" borderId="15" xfId="3" applyNumberFormat="1" applyFont="1" applyBorder="1" applyAlignment="1">
      <alignment horizontal="left" indent="2"/>
    </xf>
    <xf numFmtId="0" fontId="57" fillId="23" borderId="0" xfId="4" applyFill="1"/>
    <xf numFmtId="0" fontId="57" fillId="23" borderId="38" xfId="4" applyFill="1" applyBorder="1"/>
    <xf numFmtId="0" fontId="57" fillId="0" borderId="0" xfId="4"/>
    <xf numFmtId="0" fontId="57" fillId="23" borderId="39" xfId="4" applyFill="1" applyBorder="1"/>
    <xf numFmtId="0" fontId="57" fillId="23" borderId="40" xfId="4" applyFill="1" applyBorder="1"/>
    <xf numFmtId="0" fontId="58" fillId="0" borderId="0" xfId="4" applyFont="1" applyAlignment="1">
      <alignment horizontal="left" vertical="top"/>
    </xf>
    <xf numFmtId="0" fontId="59" fillId="0" borderId="0" xfId="4" applyFont="1"/>
    <xf numFmtId="0" fontId="60" fillId="24" borderId="41" xfId="4" applyFont="1" applyFill="1" applyBorder="1" applyAlignment="1">
      <alignment horizontal="left" vertical="top" wrapText="1"/>
    </xf>
    <xf numFmtId="0" fontId="61" fillId="0" borderId="0" xfId="4" applyFont="1" applyAlignment="1">
      <alignment horizontal="left" vertical="top" wrapText="1"/>
    </xf>
    <xf numFmtId="185" fontId="62" fillId="24" borderId="41" xfId="4" applyNumberFormat="1" applyFont="1" applyFill="1" applyBorder="1" applyAlignment="1">
      <alignment horizontal="left"/>
    </xf>
    <xf numFmtId="0" fontId="63" fillId="25" borderId="42" xfId="4" applyFont="1" applyFill="1" applyBorder="1" applyAlignment="1">
      <alignment horizontal="left" vertical="top" wrapText="1"/>
    </xf>
    <xf numFmtId="186" fontId="63" fillId="25" borderId="0" xfId="4" applyNumberFormat="1" applyFont="1" applyFill="1" applyAlignment="1">
      <alignment horizontal="right" vertical="top"/>
    </xf>
    <xf numFmtId="0" fontId="64" fillId="24" borderId="0" xfId="4" applyFont="1" applyFill="1" applyAlignment="1">
      <alignment horizontal="left" vertical="top"/>
    </xf>
    <xf numFmtId="187" fontId="64" fillId="24" borderId="0" xfId="4" applyNumberFormat="1" applyFont="1" applyFill="1" applyAlignment="1">
      <alignment horizontal="right" vertical="top"/>
    </xf>
    <xf numFmtId="186" fontId="64" fillId="24" borderId="0" xfId="4" applyNumberFormat="1" applyFont="1" applyFill="1" applyAlignment="1">
      <alignment horizontal="right" vertical="top"/>
    </xf>
    <xf numFmtId="0" fontId="65" fillId="0" borderId="0" xfId="4" applyFont="1" applyAlignment="1">
      <alignment wrapText="1"/>
    </xf>
    <xf numFmtId="0" fontId="57" fillId="23" borderId="43" xfId="4" applyFill="1" applyBorder="1"/>
    <xf numFmtId="0" fontId="66" fillId="26" borderId="42" xfId="4" applyFont="1" applyFill="1" applyBorder="1" applyAlignment="1">
      <alignment horizontal="left" vertical="top" wrapText="1"/>
    </xf>
    <xf numFmtId="0" fontId="49" fillId="15" borderId="0" xfId="0" applyFont="1" applyFill="1" applyAlignment="1">
      <alignment horizontal="right"/>
    </xf>
    <xf numFmtId="166" fontId="49" fillId="0" borderId="0" xfId="3" applyNumberFormat="1" applyFont="1" applyBorder="1" applyAlignment="1">
      <alignment horizontal="left" indent="2"/>
    </xf>
    <xf numFmtId="166" fontId="49" fillId="0" borderId="24" xfId="3" applyNumberFormat="1" applyFont="1" applyBorder="1" applyAlignment="1">
      <alignment horizontal="left" indent="2"/>
    </xf>
    <xf numFmtId="166" fontId="49" fillId="0" borderId="25" xfId="3" applyNumberFormat="1" applyFont="1" applyBorder="1" applyAlignment="1">
      <alignment horizontal="left" indent="2"/>
    </xf>
    <xf numFmtId="43" fontId="54" fillId="0" borderId="0" xfId="0" applyNumberFormat="1" applyFont="1" applyAlignment="1">
      <alignment horizontal="right"/>
    </xf>
    <xf numFmtId="0" fontId="49" fillId="15" borderId="0" xfId="0" applyFont="1" applyFill="1" applyAlignment="1">
      <alignment wrapText="1"/>
    </xf>
    <xf numFmtId="0" fontId="50" fillId="0" borderId="5" xfId="0" applyFont="1" applyBorder="1" applyAlignment="1">
      <alignment horizontal="center"/>
    </xf>
    <xf numFmtId="0" fontId="67" fillId="16" borderId="0" xfId="0" applyFont="1" applyFill="1" applyAlignment="1">
      <alignment horizontal="right"/>
    </xf>
    <xf numFmtId="9" fontId="68" fillId="0" borderId="22" xfId="3" applyFont="1" applyBorder="1" applyAlignment="1">
      <alignment horizontal="center"/>
    </xf>
    <xf numFmtId="9" fontId="68" fillId="0" borderId="0" xfId="3" applyFont="1" applyBorder="1" applyAlignment="1">
      <alignment horizontal="center"/>
    </xf>
    <xf numFmtId="9" fontId="68" fillId="0" borderId="20" xfId="3" applyFont="1" applyBorder="1" applyAlignment="1">
      <alignment horizontal="center"/>
    </xf>
    <xf numFmtId="9" fontId="68" fillId="0" borderId="19" xfId="3" applyFont="1" applyBorder="1" applyAlignment="1">
      <alignment horizontal="center"/>
    </xf>
    <xf numFmtId="9" fontId="68" fillId="0" borderId="25" xfId="3" applyFont="1" applyBorder="1" applyAlignment="1">
      <alignment horizontal="center"/>
    </xf>
    <xf numFmtId="9" fontId="68" fillId="0" borderId="15" xfId="3" applyFont="1" applyBorder="1" applyAlignment="1">
      <alignment horizontal="center"/>
    </xf>
    <xf numFmtId="166" fontId="68" fillId="0" borderId="15" xfId="3" applyNumberFormat="1" applyFont="1" applyBorder="1" applyAlignment="1">
      <alignment horizontal="left" indent="2"/>
    </xf>
    <xf numFmtId="166" fontId="68" fillId="0" borderId="0" xfId="3" applyNumberFormat="1" applyFont="1" applyBorder="1" applyAlignment="1">
      <alignment horizontal="left" indent="2"/>
    </xf>
    <xf numFmtId="166" fontId="68" fillId="0" borderId="19" xfId="3" applyNumberFormat="1" applyFont="1" applyBorder="1" applyAlignment="1">
      <alignment horizontal="left" indent="2"/>
    </xf>
    <xf numFmtId="0" fontId="60" fillId="24" borderId="41" xfId="4" applyFont="1" applyFill="1" applyBorder="1" applyAlignment="1">
      <alignment horizontal="center" vertical="top" wrapText="1"/>
    </xf>
    <xf numFmtId="0" fontId="67" fillId="16" borderId="0" xfId="0" applyFont="1" applyFill="1"/>
    <xf numFmtId="9" fontId="49" fillId="28" borderId="0" xfId="3" applyFont="1" applyFill="1" applyBorder="1" applyAlignment="1">
      <alignment horizontal="center" wrapText="1"/>
    </xf>
    <xf numFmtId="0" fontId="49" fillId="0" borderId="0" xfId="0" applyFont="1" applyAlignment="1">
      <alignment horizontal="left"/>
    </xf>
    <xf numFmtId="0" fontId="69" fillId="0" borderId="0" xfId="0" applyFont="1"/>
    <xf numFmtId="0" fontId="70" fillId="0" borderId="0" xfId="0" applyFont="1"/>
    <xf numFmtId="0" fontId="49" fillId="30" borderId="25" xfId="0" applyFont="1" applyFill="1" applyBorder="1" applyAlignment="1">
      <alignment horizontal="left"/>
    </xf>
    <xf numFmtId="170" fontId="49" fillId="0" borderId="24" xfId="2" applyNumberFormat="1" applyFont="1" applyBorder="1"/>
    <xf numFmtId="170" fontId="49" fillId="0" borderId="17" xfId="2" applyNumberFormat="1" applyFont="1" applyBorder="1"/>
    <xf numFmtId="3" fontId="49" fillId="0" borderId="0" xfId="0" applyNumberFormat="1" applyFont="1" applyAlignment="1">
      <alignment horizontal="right"/>
    </xf>
    <xf numFmtId="0" fontId="49" fillId="0" borderId="17" xfId="0" applyFont="1" applyBorder="1" applyAlignment="1">
      <alignment horizontal="left"/>
    </xf>
    <xf numFmtId="0" fontId="69" fillId="0" borderId="22" xfId="0" applyFont="1" applyBorder="1" applyAlignment="1">
      <alignment horizontal="left"/>
    </xf>
    <xf numFmtId="0" fontId="69" fillId="0" borderId="0" xfId="0" applyFont="1" applyAlignment="1">
      <alignment horizontal="right"/>
    </xf>
    <xf numFmtId="188" fontId="69" fillId="0" borderId="0" xfId="0" applyNumberFormat="1" applyFont="1" applyAlignment="1">
      <alignment horizontal="right"/>
    </xf>
    <xf numFmtId="0" fontId="69" fillId="0" borderId="17" xfId="0" applyFont="1" applyBorder="1" applyAlignment="1">
      <alignment horizontal="left"/>
    </xf>
    <xf numFmtId="0" fontId="70" fillId="0" borderId="22" xfId="0" applyFont="1" applyBorder="1" applyAlignment="1">
      <alignment horizontal="left"/>
    </xf>
    <xf numFmtId="0" fontId="70" fillId="0" borderId="0" xfId="0" applyFont="1" applyAlignment="1">
      <alignment horizontal="right"/>
    </xf>
    <xf numFmtId="188" fontId="70" fillId="0" borderId="0" xfId="0" applyNumberFormat="1" applyFont="1" applyAlignment="1">
      <alignment horizontal="right"/>
    </xf>
    <xf numFmtId="0" fontId="70" fillId="0" borderId="0" xfId="0" applyFont="1" applyAlignment="1">
      <alignment horizontal="left"/>
    </xf>
    <xf numFmtId="0" fontId="70" fillId="0" borderId="17" xfId="0" applyFont="1" applyBorder="1" applyAlignment="1">
      <alignment horizontal="left"/>
    </xf>
    <xf numFmtId="0" fontId="69" fillId="0" borderId="20" xfId="0" applyFont="1" applyBorder="1" applyAlignment="1">
      <alignment horizontal="left"/>
    </xf>
    <xf numFmtId="0" fontId="69" fillId="0" borderId="19" xfId="0" applyFont="1" applyBorder="1" applyAlignment="1">
      <alignment horizontal="right"/>
    </xf>
    <xf numFmtId="0" fontId="69" fillId="0" borderId="19" xfId="0" applyFont="1" applyBorder="1" applyAlignment="1">
      <alignment horizontal="left"/>
    </xf>
    <xf numFmtId="4" fontId="69" fillId="0" borderId="19" xfId="0" applyNumberFormat="1" applyFont="1" applyBorder="1" applyAlignment="1">
      <alignment horizontal="right"/>
    </xf>
    <xf numFmtId="0" fontId="69" fillId="0" borderId="19" xfId="0" applyFont="1" applyBorder="1"/>
    <xf numFmtId="0" fontId="69" fillId="0" borderId="18" xfId="0" applyFont="1" applyBorder="1" applyAlignment="1">
      <alignment horizontal="left"/>
    </xf>
    <xf numFmtId="0" fontId="50" fillId="0" borderId="5" xfId="0" applyFont="1" applyBorder="1" applyAlignment="1">
      <alignment horizontal="right"/>
    </xf>
    <xf numFmtId="0" fontId="50" fillId="0" borderId="0" xfId="0" applyFont="1"/>
    <xf numFmtId="0" fontId="50" fillId="0" borderId="0" xfId="0" applyFont="1" applyAlignment="1">
      <alignment horizontal="center"/>
    </xf>
    <xf numFmtId="0" fontId="72" fillId="0" borderId="0" xfId="0" applyFont="1" applyAlignment="1">
      <alignment horizontal="left"/>
    </xf>
    <xf numFmtId="170" fontId="72" fillId="17" borderId="0" xfId="2" applyNumberFormat="1" applyFont="1" applyFill="1" applyAlignment="1"/>
    <xf numFmtId="0" fontId="72" fillId="0" borderId="0" xfId="0" applyFont="1" applyAlignment="1">
      <alignment horizontal="center"/>
    </xf>
    <xf numFmtId="0" fontId="49" fillId="3" borderId="15" xfId="0" applyFont="1" applyFill="1" applyBorder="1" applyAlignment="1">
      <alignment horizontal="left" indent="2"/>
    </xf>
    <xf numFmtId="0" fontId="49" fillId="3" borderId="0" xfId="0" applyFont="1" applyFill="1" applyAlignment="1">
      <alignment horizontal="left" indent="2"/>
    </xf>
    <xf numFmtId="0" fontId="49" fillId="3" borderId="0" xfId="0" applyFont="1" applyFill="1"/>
    <xf numFmtId="166" fontId="49" fillId="3" borderId="0" xfId="3" applyNumberFormat="1" applyFont="1" applyFill="1" applyBorder="1" applyAlignment="1">
      <alignment horizontal="center"/>
    </xf>
    <xf numFmtId="166" fontId="49" fillId="3" borderId="0" xfId="0" applyNumberFormat="1" applyFont="1" applyFill="1" applyAlignment="1">
      <alignment horizontal="center"/>
    </xf>
    <xf numFmtId="0" fontId="49" fillId="3" borderId="19" xfId="0" applyFont="1" applyFill="1" applyBorder="1" applyAlignment="1">
      <alignment horizontal="left" indent="2"/>
    </xf>
    <xf numFmtId="166" fontId="72" fillId="3" borderId="0" xfId="3" applyNumberFormat="1" applyFont="1" applyFill="1" applyBorder="1" applyAlignment="1">
      <alignment horizontal="center"/>
    </xf>
    <xf numFmtId="166" fontId="73" fillId="3" borderId="0" xfId="3" applyNumberFormat="1" applyFont="1" applyFill="1" applyBorder="1" applyAlignment="1">
      <alignment horizontal="center"/>
    </xf>
    <xf numFmtId="0" fontId="73" fillId="3" borderId="0" xfId="0" applyFont="1" applyFill="1"/>
    <xf numFmtId="9" fontId="52" fillId="0" borderId="15" xfId="3" applyFont="1" applyBorder="1" applyAlignment="1">
      <alignment horizontal="left" indent="2"/>
    </xf>
    <xf numFmtId="0" fontId="52" fillId="0" borderId="15" xfId="0" applyFont="1" applyBorder="1"/>
    <xf numFmtId="9" fontId="52" fillId="0" borderId="24" xfId="3" applyFont="1" applyBorder="1" applyAlignment="1">
      <alignment horizontal="left" indent="2"/>
    </xf>
    <xf numFmtId="9" fontId="52" fillId="0" borderId="0" xfId="3" applyFont="1" applyBorder="1" applyAlignment="1">
      <alignment horizontal="left" indent="2"/>
    </xf>
    <xf numFmtId="0" fontId="52" fillId="0" borderId="0" xfId="0" applyFont="1"/>
    <xf numFmtId="9" fontId="52" fillId="0" borderId="17" xfId="3" applyFont="1" applyBorder="1" applyAlignment="1">
      <alignment horizontal="left" indent="2"/>
    </xf>
    <xf numFmtId="9" fontId="52" fillId="0" borderId="19" xfId="3" applyFont="1" applyBorder="1" applyAlignment="1">
      <alignment horizontal="left" indent="2"/>
    </xf>
    <xf numFmtId="0" fontId="52" fillId="0" borderId="19" xfId="0" applyFont="1" applyBorder="1"/>
    <xf numFmtId="9" fontId="52" fillId="0" borderId="18" xfId="3" applyFont="1" applyBorder="1" applyAlignment="1">
      <alignment horizontal="left" indent="2"/>
    </xf>
    <xf numFmtId="9" fontId="74" fillId="0" borderId="22" xfId="3" applyFont="1" applyFill="1" applyBorder="1" applyAlignment="1">
      <alignment horizontal="center" wrapText="1"/>
    </xf>
    <xf numFmtId="9" fontId="74" fillId="0" borderId="23" xfId="3" applyFont="1" applyFill="1" applyBorder="1" applyAlignment="1">
      <alignment horizontal="center" wrapText="1"/>
    </xf>
    <xf numFmtId="9" fontId="74" fillId="0" borderId="20" xfId="3" applyFont="1" applyFill="1" applyBorder="1" applyAlignment="1">
      <alignment horizontal="center" wrapText="1"/>
    </xf>
    <xf numFmtId="9" fontId="74" fillId="0" borderId="21" xfId="3" applyFont="1" applyFill="1" applyBorder="1" applyAlignment="1">
      <alignment horizontal="center" wrapText="1"/>
    </xf>
    <xf numFmtId="9" fontId="52" fillId="0" borderId="25" xfId="3" applyFont="1" applyBorder="1" applyAlignment="1">
      <alignment horizontal="left" indent="2"/>
    </xf>
    <xf numFmtId="9" fontId="52" fillId="0" borderId="22" xfId="3" applyFont="1" applyBorder="1" applyAlignment="1">
      <alignment horizontal="left" indent="2"/>
    </xf>
    <xf numFmtId="9" fontId="52" fillId="0" borderId="20" xfId="3" applyFont="1" applyBorder="1" applyAlignment="1">
      <alignment horizontal="left" indent="2"/>
    </xf>
    <xf numFmtId="166" fontId="52" fillId="0" borderId="0" xfId="3" applyNumberFormat="1" applyFont="1" applyBorder="1" applyAlignment="1">
      <alignment horizontal="left" indent="2"/>
    </xf>
    <xf numFmtId="166" fontId="52" fillId="0" borderId="17" xfId="3" applyNumberFormat="1" applyFont="1" applyBorder="1" applyAlignment="1">
      <alignment horizontal="left" indent="2"/>
    </xf>
    <xf numFmtId="166" fontId="52" fillId="0" borderId="22" xfId="3" applyNumberFormat="1" applyFont="1" applyBorder="1" applyAlignment="1">
      <alignment horizontal="left" indent="2"/>
    </xf>
    <xf numFmtId="166" fontId="52" fillId="0" borderId="19" xfId="3" applyNumberFormat="1" applyFont="1" applyBorder="1" applyAlignment="1">
      <alignment horizontal="left" indent="2"/>
    </xf>
    <xf numFmtId="166" fontId="52" fillId="0" borderId="18" xfId="3" applyNumberFormat="1" applyFont="1" applyBorder="1" applyAlignment="1">
      <alignment horizontal="left" indent="2"/>
    </xf>
    <xf numFmtId="166" fontId="52" fillId="0" borderId="20" xfId="3" applyNumberFormat="1" applyFont="1" applyBorder="1" applyAlignment="1">
      <alignment horizontal="left" indent="2"/>
    </xf>
    <xf numFmtId="9" fontId="52" fillId="0" borderId="0" xfId="3" applyFont="1" applyBorder="1" applyAlignment="1">
      <alignment horizontal="center"/>
    </xf>
    <xf numFmtId="9" fontId="52" fillId="0" borderId="17" xfId="3" applyFont="1" applyBorder="1" applyAlignment="1">
      <alignment horizontal="center"/>
    </xf>
    <xf numFmtId="0" fontId="52" fillId="0" borderId="0" xfId="0" applyFont="1" applyAlignment="1">
      <alignment horizontal="right"/>
    </xf>
    <xf numFmtId="9" fontId="52" fillId="0" borderId="22" xfId="3" applyFont="1" applyBorder="1" applyAlignment="1">
      <alignment horizontal="center"/>
    </xf>
    <xf numFmtId="9" fontId="52" fillId="0" borderId="19" xfId="3" applyFont="1" applyBorder="1" applyAlignment="1">
      <alignment horizontal="center"/>
    </xf>
    <xf numFmtId="9" fontId="52" fillId="0" borderId="18" xfId="3" applyFont="1" applyBorder="1" applyAlignment="1">
      <alignment horizontal="center"/>
    </xf>
    <xf numFmtId="9" fontId="52" fillId="0" borderId="20" xfId="3" applyFont="1" applyBorder="1" applyAlignment="1">
      <alignment horizontal="center"/>
    </xf>
    <xf numFmtId="9" fontId="52" fillId="0" borderId="15" xfId="3" applyFont="1" applyBorder="1" applyAlignment="1">
      <alignment horizontal="center"/>
    </xf>
    <xf numFmtId="9" fontId="52" fillId="0" borderId="24" xfId="3" applyFont="1" applyBorder="1" applyAlignment="1">
      <alignment horizontal="center"/>
    </xf>
    <xf numFmtId="166" fontId="52" fillId="0" borderId="0" xfId="3" applyNumberFormat="1" applyFont="1" applyAlignment="1">
      <alignment horizontal="left" indent="2"/>
    </xf>
    <xf numFmtId="9" fontId="52" fillId="0" borderId="25" xfId="3" applyFont="1" applyBorder="1" applyAlignment="1">
      <alignment horizontal="center"/>
    </xf>
    <xf numFmtId="9" fontId="74" fillId="0" borderId="0" xfId="3" applyFont="1" applyBorder="1" applyAlignment="1">
      <alignment horizontal="center" vertical="center"/>
    </xf>
    <xf numFmtId="9" fontId="74" fillId="0" borderId="17" xfId="3" applyFont="1" applyBorder="1" applyAlignment="1">
      <alignment horizontal="center" vertical="center"/>
    </xf>
    <xf numFmtId="9" fontId="74" fillId="0" borderId="19" xfId="3" applyFont="1" applyBorder="1" applyAlignment="1">
      <alignment horizontal="center" vertical="center"/>
    </xf>
    <xf numFmtId="9" fontId="74" fillId="0" borderId="18" xfId="3" applyFont="1" applyBorder="1" applyAlignment="1">
      <alignment horizontal="center" vertical="center"/>
    </xf>
    <xf numFmtId="170" fontId="75" fillId="0" borderId="22" xfId="0" applyNumberFormat="1" applyFont="1" applyBorder="1" applyAlignment="1">
      <alignment horizontal="right"/>
    </xf>
    <xf numFmtId="170" fontId="75" fillId="0" borderId="0" xfId="0" applyNumberFormat="1" applyFont="1" applyAlignment="1">
      <alignment horizontal="right"/>
    </xf>
    <xf numFmtId="170" fontId="75" fillId="0" borderId="10" xfId="3" applyNumberFormat="1" applyFont="1" applyBorder="1" applyAlignment="1">
      <alignment horizontal="center" vertical="center"/>
    </xf>
    <xf numFmtId="170" fontId="75" fillId="0" borderId="20" xfId="0" applyNumberFormat="1" applyFont="1" applyBorder="1" applyAlignment="1">
      <alignment horizontal="right"/>
    </xf>
    <xf numFmtId="170" fontId="75" fillId="0" borderId="19" xfId="0" applyNumberFormat="1" applyFont="1" applyBorder="1" applyAlignment="1">
      <alignment horizontal="right"/>
    </xf>
    <xf numFmtId="170" fontId="75" fillId="0" borderId="30" xfId="3" applyNumberFormat="1" applyFont="1" applyBorder="1" applyAlignment="1">
      <alignment horizontal="center" vertical="center"/>
    </xf>
    <xf numFmtId="0" fontId="74" fillId="0" borderId="22" xfId="0" applyFont="1" applyBorder="1" applyAlignment="1">
      <alignment wrapText="1"/>
    </xf>
    <xf numFmtId="0" fontId="74" fillId="0" borderId="20" xfId="0" applyFont="1" applyBorder="1" applyAlignment="1">
      <alignment wrapText="1"/>
    </xf>
    <xf numFmtId="9" fontId="52" fillId="7" borderId="25" xfId="3" applyFont="1" applyFill="1" applyBorder="1" applyAlignment="1">
      <alignment horizontal="center" wrapText="1"/>
    </xf>
    <xf numFmtId="9" fontId="52" fillId="7" borderId="26" xfId="3" applyFont="1" applyFill="1" applyBorder="1" applyAlignment="1">
      <alignment horizontal="center" wrapText="1"/>
    </xf>
    <xf numFmtId="170" fontId="71" fillId="0" borderId="0" xfId="2" applyNumberFormat="1" applyFont="1" applyFill="1" applyAlignment="1">
      <alignment horizontal="left"/>
    </xf>
    <xf numFmtId="0" fontId="76" fillId="0" borderId="0" xfId="4" applyFont="1"/>
    <xf numFmtId="185" fontId="76" fillId="24" borderId="41" xfId="4" applyNumberFormat="1" applyFont="1" applyFill="1" applyBorder="1" applyAlignment="1">
      <alignment horizontal="left"/>
    </xf>
    <xf numFmtId="0" fontId="77" fillId="0" borderId="5" xfId="4" applyFont="1" applyBorder="1" applyAlignment="1">
      <alignment horizontal="left" wrapText="1"/>
    </xf>
    <xf numFmtId="0" fontId="76" fillId="24" borderId="0" xfId="4" applyFont="1" applyFill="1" applyAlignment="1">
      <alignment horizontal="left" vertical="top"/>
    </xf>
    <xf numFmtId="187" fontId="76" fillId="24" borderId="0" xfId="4" applyNumberFormat="1" applyFont="1" applyFill="1" applyAlignment="1">
      <alignment horizontal="center" vertical="top"/>
    </xf>
    <xf numFmtId="187" fontId="76" fillId="27" borderId="0" xfId="4" applyNumberFormat="1" applyFont="1" applyFill="1" applyAlignment="1">
      <alignment horizontal="center" vertical="top"/>
    </xf>
    <xf numFmtId="185" fontId="73" fillId="31" borderId="0" xfId="4" applyNumberFormat="1" applyFont="1" applyFill="1" applyAlignment="1">
      <alignment horizontal="left"/>
    </xf>
    <xf numFmtId="170" fontId="73" fillId="31" borderId="0" xfId="2" applyNumberFormat="1" applyFont="1" applyFill="1" applyAlignment="1">
      <alignment horizontal="left"/>
    </xf>
    <xf numFmtId="185" fontId="76" fillId="24" borderId="0" xfId="4" applyNumberFormat="1" applyFont="1" applyFill="1" applyAlignment="1">
      <alignment horizontal="left"/>
    </xf>
    <xf numFmtId="0" fontId="78" fillId="0" borderId="0" xfId="0" applyFont="1"/>
    <xf numFmtId="0" fontId="49" fillId="16" borderId="15" xfId="0" applyFont="1" applyFill="1" applyBorder="1" applyAlignment="1">
      <alignment horizontal="center"/>
    </xf>
    <xf numFmtId="0" fontId="49" fillId="16" borderId="24" xfId="0" applyFont="1" applyFill="1" applyBorder="1" applyAlignment="1">
      <alignment horizontal="center"/>
    </xf>
    <xf numFmtId="0" fontId="49" fillId="7" borderId="31" xfId="0" applyFont="1" applyFill="1" applyBorder="1" applyAlignment="1">
      <alignment wrapText="1"/>
    </xf>
    <xf numFmtId="0" fontId="53" fillId="15" borderId="25" xfId="0" applyFont="1" applyFill="1" applyBorder="1" applyAlignment="1">
      <alignment horizontal="center" vertical="center"/>
    </xf>
    <xf numFmtId="0" fontId="53" fillId="15" borderId="15" xfId="0" applyFont="1" applyFill="1" applyBorder="1" applyAlignment="1">
      <alignment horizontal="center" vertical="center"/>
    </xf>
    <xf numFmtId="0" fontId="53" fillId="15" borderId="24" xfId="0" applyFont="1" applyFill="1" applyBorder="1" applyAlignment="1">
      <alignment horizontal="center" vertical="center"/>
    </xf>
    <xf numFmtId="170" fontId="49" fillId="16" borderId="17" xfId="2" applyNumberFormat="1" applyFont="1" applyFill="1" applyBorder="1" applyAlignment="1">
      <alignment horizontal="center" vertical="center"/>
    </xf>
    <xf numFmtId="170" fontId="49" fillId="16" borderId="0" xfId="2" applyNumberFormat="1" applyFont="1" applyFill="1" applyBorder="1" applyAlignment="1">
      <alignment horizontal="center" vertical="center"/>
    </xf>
    <xf numFmtId="0" fontId="53" fillId="15" borderId="31" xfId="0" applyFont="1" applyFill="1" applyBorder="1" applyAlignment="1">
      <alignment wrapText="1"/>
    </xf>
    <xf numFmtId="0" fontId="49" fillId="7" borderId="33" xfId="0" applyFont="1" applyFill="1" applyBorder="1" applyAlignment="1">
      <alignment wrapText="1"/>
    </xf>
    <xf numFmtId="170" fontId="49" fillId="16" borderId="18" xfId="2" applyNumberFormat="1" applyFont="1" applyFill="1" applyBorder="1" applyAlignment="1">
      <alignment horizontal="center" vertical="center"/>
    </xf>
    <xf numFmtId="170" fontId="49" fillId="16" borderId="19" xfId="2" applyNumberFormat="1" applyFont="1" applyFill="1" applyBorder="1" applyAlignment="1">
      <alignment horizontal="center" vertical="center"/>
    </xf>
    <xf numFmtId="0" fontId="53" fillId="15" borderId="22" xfId="0" applyFont="1" applyFill="1" applyBorder="1" applyAlignment="1">
      <alignment wrapText="1"/>
    </xf>
    <xf numFmtId="0" fontId="53" fillId="15" borderId="32" xfId="0" applyFont="1" applyFill="1" applyBorder="1" applyAlignment="1">
      <alignment wrapText="1"/>
    </xf>
    <xf numFmtId="0" fontId="49" fillId="0" borderId="29" xfId="0" applyFont="1" applyBorder="1" applyAlignment="1">
      <alignment horizontal="right"/>
    </xf>
    <xf numFmtId="0" fontId="49" fillId="0" borderId="28" xfId="0" applyFont="1" applyBorder="1" applyAlignment="1">
      <alignment horizontal="right"/>
    </xf>
    <xf numFmtId="0" fontId="49" fillId="0" borderId="27" xfId="0" applyFont="1" applyBorder="1" applyAlignment="1">
      <alignment horizontal="right"/>
    </xf>
    <xf numFmtId="0" fontId="49" fillId="0" borderId="18" xfId="0" applyFont="1" applyBorder="1" applyAlignment="1">
      <alignment horizontal="right"/>
    </xf>
    <xf numFmtId="0" fontId="49" fillId="16" borderId="25" xfId="0" applyFont="1" applyFill="1" applyBorder="1" applyAlignment="1">
      <alignment wrapText="1"/>
    </xf>
    <xf numFmtId="0" fontId="49" fillId="16" borderId="15" xfId="0" applyFont="1" applyFill="1" applyBorder="1" applyAlignment="1">
      <alignment wrapText="1"/>
    </xf>
    <xf numFmtId="0" fontId="49" fillId="16" borderId="24" xfId="0" applyFont="1" applyFill="1" applyBorder="1" applyAlignment="1">
      <alignment wrapText="1"/>
    </xf>
    <xf numFmtId="0" fontId="49" fillId="16" borderId="22" xfId="0" applyFont="1" applyFill="1" applyBorder="1" applyAlignment="1">
      <alignment wrapText="1"/>
    </xf>
    <xf numFmtId="0" fontId="49" fillId="16" borderId="0" xfId="0" applyFont="1" applyFill="1" applyAlignment="1">
      <alignment wrapText="1"/>
    </xf>
    <xf numFmtId="0" fontId="49" fillId="16" borderId="17" xfId="0" applyFont="1" applyFill="1" applyBorder="1" applyAlignment="1">
      <alignment wrapText="1"/>
    </xf>
    <xf numFmtId="14" fontId="49" fillId="16" borderId="0" xfId="0" applyNumberFormat="1" applyFont="1" applyFill="1" applyAlignment="1">
      <alignment wrapText="1"/>
    </xf>
    <xf numFmtId="14" fontId="49" fillId="16" borderId="17" xfId="0" applyNumberFormat="1" applyFont="1" applyFill="1" applyBorder="1" applyAlignment="1">
      <alignment wrapText="1"/>
    </xf>
    <xf numFmtId="14" fontId="49" fillId="16" borderId="22" xfId="0" applyNumberFormat="1" applyFont="1" applyFill="1" applyBorder="1" applyAlignment="1">
      <alignment wrapText="1"/>
    </xf>
    <xf numFmtId="0" fontId="49" fillId="16" borderId="22" xfId="0" applyFont="1" applyFill="1" applyBorder="1" applyAlignment="1">
      <alignment horizontal="center" wrapText="1"/>
    </xf>
    <xf numFmtId="0" fontId="49" fillId="16" borderId="0" xfId="0" applyFont="1" applyFill="1" applyAlignment="1">
      <alignment horizontal="center" wrapText="1"/>
    </xf>
    <xf numFmtId="14" fontId="49" fillId="16" borderId="0" xfId="0" applyNumberFormat="1" applyFont="1" applyFill="1" applyAlignment="1">
      <alignment horizontal="center" wrapText="1"/>
    </xf>
    <xf numFmtId="14" fontId="49" fillId="16" borderId="17" xfId="0" applyNumberFormat="1" applyFont="1" applyFill="1" applyBorder="1" applyAlignment="1">
      <alignment horizontal="center" wrapText="1"/>
    </xf>
    <xf numFmtId="14" fontId="49" fillId="16" borderId="22" xfId="0" applyNumberFormat="1" applyFont="1" applyFill="1" applyBorder="1" applyAlignment="1">
      <alignment horizontal="center" wrapText="1"/>
    </xf>
    <xf numFmtId="0" fontId="49" fillId="16" borderId="26" xfId="0" applyFont="1" applyFill="1" applyBorder="1" applyAlignment="1">
      <alignment wrapText="1"/>
    </xf>
    <xf numFmtId="14" fontId="49" fillId="16" borderId="15" xfId="2" applyNumberFormat="1" applyFont="1" applyFill="1" applyBorder="1" applyAlignment="1">
      <alignment horizontal="center"/>
    </xf>
    <xf numFmtId="14" fontId="49" fillId="16" borderId="24" xfId="2" applyNumberFormat="1" applyFont="1" applyFill="1" applyBorder="1" applyAlignment="1">
      <alignment horizontal="center"/>
    </xf>
    <xf numFmtId="14" fontId="49" fillId="16" borderId="25" xfId="2" applyNumberFormat="1" applyFont="1" applyFill="1" applyBorder="1" applyAlignment="1">
      <alignment horizontal="center"/>
    </xf>
    <xf numFmtId="0" fontId="49" fillId="16" borderId="23" xfId="0" applyFont="1" applyFill="1" applyBorder="1" applyAlignment="1">
      <alignment wrapText="1"/>
    </xf>
    <xf numFmtId="0" fontId="49" fillId="16" borderId="21" xfId="0" applyFont="1" applyFill="1" applyBorder="1" applyAlignment="1">
      <alignment wrapText="1"/>
    </xf>
    <xf numFmtId="0" fontId="49" fillId="16" borderId="20" xfId="0" applyFont="1" applyFill="1" applyBorder="1" applyAlignment="1">
      <alignment wrapText="1"/>
    </xf>
    <xf numFmtId="9" fontId="79" fillId="0" borderId="0" xfId="0" applyNumberFormat="1" applyFont="1" applyAlignment="1">
      <alignment horizontal="left" indent="2"/>
    </xf>
    <xf numFmtId="9" fontId="49" fillId="0" borderId="0" xfId="0" applyNumberFormat="1" applyFont="1" applyAlignment="1">
      <alignment horizontal="center"/>
    </xf>
    <xf numFmtId="0" fontId="53" fillId="15" borderId="25" xfId="0" applyFont="1" applyFill="1" applyBorder="1" applyAlignment="1">
      <alignment horizontal="left"/>
    </xf>
    <xf numFmtId="0" fontId="53" fillId="15" borderId="15" xfId="0" applyFont="1" applyFill="1" applyBorder="1" applyAlignment="1">
      <alignment horizontal="center"/>
    </xf>
    <xf numFmtId="0" fontId="53" fillId="15" borderId="24" xfId="0" applyFont="1" applyFill="1" applyBorder="1" applyAlignment="1">
      <alignment horizontal="center"/>
    </xf>
    <xf numFmtId="0" fontId="80" fillId="0" borderId="0" xfId="3" applyNumberFormat="1" applyFont="1" applyBorder="1" applyAlignment="1">
      <alignment horizontal="left" indent="2"/>
    </xf>
    <xf numFmtId="0" fontId="52" fillId="7" borderId="25" xfId="0" applyFont="1" applyFill="1" applyBorder="1" applyAlignment="1">
      <alignment wrapText="1"/>
    </xf>
    <xf numFmtId="0" fontId="53" fillId="26" borderId="42" xfId="4" applyFont="1" applyFill="1" applyBorder="1" applyAlignment="1">
      <alignment horizontal="left" vertical="top"/>
    </xf>
    <xf numFmtId="0" fontId="49" fillId="0" borderId="0" xfId="0" applyFont="1" applyAlignment="1">
      <alignment horizontal="center" wrapText="1"/>
    </xf>
    <xf numFmtId="0" fontId="49" fillId="29" borderId="0" xfId="0" applyFont="1" applyFill="1" applyAlignment="1">
      <alignment horizontal="left"/>
    </xf>
    <xf numFmtId="0" fontId="67" fillId="15" borderId="0" xfId="0" applyFont="1" applyFill="1" applyAlignment="1">
      <alignment horizontal="right"/>
    </xf>
    <xf numFmtId="0" fontId="49" fillId="0" borderId="36" xfId="0" applyFont="1" applyBorder="1" applyAlignment="1">
      <alignment horizontal="center"/>
    </xf>
    <xf numFmtId="0" fontId="49" fillId="0" borderId="35" xfId="0" applyFont="1" applyBorder="1" applyAlignment="1">
      <alignment horizontal="center"/>
    </xf>
    <xf numFmtId="0" fontId="49" fillId="0" borderId="34" xfId="0" applyFont="1" applyBorder="1" applyAlignment="1">
      <alignment horizontal="center"/>
    </xf>
    <xf numFmtId="0" fontId="53" fillId="15" borderId="22" xfId="0" applyFont="1" applyFill="1" applyBorder="1" applyAlignment="1">
      <alignment horizontal="center" vertical="center"/>
    </xf>
    <xf numFmtId="0" fontId="53" fillId="15" borderId="17" xfId="0" applyFont="1" applyFill="1" applyBorder="1" applyAlignment="1">
      <alignment horizontal="center" vertical="center"/>
    </xf>
    <xf numFmtId="0" fontId="53" fillId="15" borderId="0" xfId="0" applyFont="1" applyFill="1" applyAlignment="1">
      <alignment horizontal="center" vertical="center"/>
    </xf>
    <xf numFmtId="0" fontId="53" fillId="20" borderId="22" xfId="0" applyFont="1" applyFill="1" applyBorder="1" applyAlignment="1">
      <alignment horizontal="center" vertical="center"/>
    </xf>
    <xf numFmtId="0" fontId="53" fillId="20" borderId="17" xfId="0" applyFont="1" applyFill="1" applyBorder="1" applyAlignment="1">
      <alignment horizontal="center" vertical="center"/>
    </xf>
    <xf numFmtId="9" fontId="49" fillId="16" borderId="22" xfId="3" applyFont="1" applyFill="1" applyBorder="1" applyAlignment="1">
      <alignment horizontal="center" vertical="center"/>
    </xf>
    <xf numFmtId="170" fontId="73" fillId="18" borderId="0" xfId="2" applyNumberFormat="1" applyFont="1" applyFill="1" applyBorder="1" applyAlignment="1">
      <alignment horizontal="center" wrapText="1"/>
    </xf>
    <xf numFmtId="0" fontId="69" fillId="0" borderId="0" xfId="0" applyFont="1" applyAlignment="1">
      <alignment horizontal="left"/>
    </xf>
    <xf numFmtId="4" fontId="69" fillId="0" borderId="0" xfId="0" applyNumberFormat="1" applyFont="1" applyAlignment="1">
      <alignment horizontal="right"/>
    </xf>
    <xf numFmtId="0" fontId="49" fillId="0" borderId="22" xfId="0" applyFont="1" applyBorder="1" applyAlignment="1">
      <alignment wrapText="1"/>
    </xf>
    <xf numFmtId="0" fontId="49" fillId="29" borderId="17" xfId="0" applyFont="1" applyFill="1" applyBorder="1" applyAlignment="1">
      <alignment horizontal="left"/>
    </xf>
    <xf numFmtId="0" fontId="49" fillId="0" borderId="17" xfId="0" applyFont="1" applyBorder="1" applyAlignment="1">
      <alignment horizontal="right"/>
    </xf>
    <xf numFmtId="0" fontId="49" fillId="0" borderId="20" xfId="0" applyFont="1" applyBorder="1" applyAlignment="1">
      <alignment horizontal="left"/>
    </xf>
    <xf numFmtId="0" fontId="49" fillId="0" borderId="29" xfId="0" applyFont="1" applyBorder="1" applyAlignment="1">
      <alignment wrapText="1"/>
    </xf>
    <xf numFmtId="166" fontId="49" fillId="0" borderId="0" xfId="3" applyNumberFormat="1" applyFont="1" applyFill="1" applyBorder="1" applyAlignment="1">
      <alignment horizontal="center"/>
    </xf>
    <xf numFmtId="166" fontId="49" fillId="0" borderId="0" xfId="0" applyNumberFormat="1" applyFont="1" applyAlignment="1">
      <alignment horizontal="center"/>
    </xf>
    <xf numFmtId="166" fontId="72" fillId="0" borderId="0" xfId="3" applyNumberFormat="1" applyFont="1" applyFill="1" applyBorder="1" applyAlignment="1">
      <alignment horizontal="center"/>
    </xf>
    <xf numFmtId="166" fontId="73" fillId="0" borderId="0" xfId="3" applyNumberFormat="1" applyFont="1" applyFill="1" applyBorder="1" applyAlignment="1">
      <alignment horizontal="center"/>
    </xf>
    <xf numFmtId="0" fontId="73" fillId="0" borderId="0" xfId="0" applyFont="1"/>
    <xf numFmtId="0" fontId="50" fillId="0" borderId="25" xfId="0" applyFont="1" applyBorder="1" applyAlignment="1">
      <alignment wrapText="1"/>
    </xf>
    <xf numFmtId="0" fontId="76" fillId="0" borderId="22" xfId="4" applyFont="1" applyBorder="1"/>
    <xf numFmtId="0" fontId="50" fillId="0" borderId="22" xfId="0" applyFont="1" applyBorder="1" applyAlignment="1">
      <alignment wrapText="1"/>
    </xf>
    <xf numFmtId="0" fontId="81" fillId="0" borderId="0" xfId="0" applyFont="1" applyAlignment="1">
      <alignment horizontal="right"/>
    </xf>
    <xf numFmtId="0" fontId="82" fillId="0" borderId="0" xfId="0" applyFont="1" applyAlignment="1">
      <alignment horizontal="right"/>
    </xf>
    <xf numFmtId="170" fontId="52" fillId="0" borderId="0" xfId="2" applyNumberFormat="1" applyFont="1" applyBorder="1" applyAlignment="1">
      <alignment horizontal="center"/>
    </xf>
    <xf numFmtId="170" fontId="52" fillId="18" borderId="0" xfId="2" applyNumberFormat="1" applyFont="1" applyFill="1" applyBorder="1" applyAlignment="1">
      <alignment horizontal="center" wrapText="1"/>
    </xf>
    <xf numFmtId="0" fontId="49" fillId="18" borderId="0" xfId="0" applyFont="1" applyFill="1" applyAlignment="1">
      <alignment horizontal="left" wrapText="1"/>
    </xf>
    <xf numFmtId="0" fontId="49" fillId="18" borderId="0" xfId="0" applyFont="1" applyFill="1" applyAlignment="1">
      <alignment horizontal="center" wrapText="1"/>
    </xf>
    <xf numFmtId="0" fontId="49" fillId="18" borderId="0" xfId="0" applyFont="1" applyFill="1" applyAlignment="1">
      <alignment horizontal="left"/>
    </xf>
    <xf numFmtId="170" fontId="52" fillId="0" borderId="0" xfId="2" applyNumberFormat="1" applyFont="1" applyFill="1" applyBorder="1"/>
    <xf numFmtId="170" fontId="52" fillId="0" borderId="0" xfId="2" applyNumberFormat="1" applyFont="1" applyFill="1" applyBorder="1" applyAlignment="1">
      <alignment horizontal="center" wrapText="1"/>
    </xf>
    <xf numFmtId="0" fontId="52" fillId="0" borderId="0" xfId="0" applyFont="1" applyAlignment="1">
      <alignment horizontal="center"/>
    </xf>
    <xf numFmtId="170" fontId="52" fillId="0" borderId="0" xfId="2" applyNumberFormat="1" applyFont="1" applyFill="1" applyBorder="1" applyAlignment="1">
      <alignment horizontal="center"/>
    </xf>
    <xf numFmtId="170" fontId="52" fillId="19" borderId="0" xfId="2" applyNumberFormat="1" applyFont="1" applyFill="1" applyBorder="1"/>
    <xf numFmtId="0" fontId="53" fillId="32" borderId="29" xfId="4" applyFont="1" applyFill="1" applyBorder="1"/>
    <xf numFmtId="9" fontId="83" fillId="0" borderId="0" xfId="0" applyNumberFormat="1" applyFont="1" applyAlignment="1">
      <alignment horizontal="center"/>
    </xf>
    <xf numFmtId="0" fontId="76" fillId="18" borderId="22" xfId="4" applyFont="1" applyFill="1" applyBorder="1"/>
    <xf numFmtId="9" fontId="49" fillId="18" borderId="0" xfId="0" applyNumberFormat="1" applyFont="1" applyFill="1" applyAlignment="1">
      <alignment horizontal="center"/>
    </xf>
    <xf numFmtId="9" fontId="49" fillId="0" borderId="0" xfId="3" applyFont="1" applyFill="1" applyBorder="1" applyAlignment="1">
      <alignment horizontal="center"/>
    </xf>
    <xf numFmtId="170" fontId="19" fillId="5" borderId="0" xfId="0" applyNumberFormat="1" applyFont="1" applyFill="1"/>
    <xf numFmtId="0" fontId="25" fillId="0" borderId="0" xfId="0" applyFont="1" applyAlignment="1">
      <alignment wrapText="1"/>
    </xf>
    <xf numFmtId="0" fontId="44" fillId="0" borderId="0" xfId="0" applyFont="1" applyAlignment="1">
      <alignment wrapText="1"/>
    </xf>
    <xf numFmtId="0" fontId="35" fillId="0" borderId="0" xfId="0" applyFont="1" applyAlignment="1">
      <alignment horizontal="center" wrapText="1"/>
    </xf>
    <xf numFmtId="0" fontId="35" fillId="0" borderId="0" xfId="0" applyFont="1" applyAlignment="1">
      <alignment wrapText="1"/>
    </xf>
    <xf numFmtId="164" fontId="35" fillId="0" borderId="0" xfId="0" applyNumberFormat="1" applyFont="1" applyAlignment="1">
      <alignment horizontal="center" wrapText="1"/>
    </xf>
    <xf numFmtId="164" fontId="35" fillId="0" borderId="0" xfId="0" applyNumberFormat="1" applyFont="1" applyAlignment="1">
      <alignment horizontal="center"/>
    </xf>
    <xf numFmtId="172" fontId="35" fillId="0" borderId="0" xfId="0" applyNumberFormat="1" applyFont="1" applyAlignment="1">
      <alignment horizontal="center"/>
    </xf>
    <xf numFmtId="172" fontId="35" fillId="0" borderId="0" xfId="0" applyNumberFormat="1" applyFont="1" applyAlignment="1">
      <alignment horizontal="center" wrapText="1"/>
    </xf>
    <xf numFmtId="0" fontId="42" fillId="0" borderId="7" xfId="0" applyFont="1" applyBorder="1" applyAlignment="1">
      <alignment horizontal="centerContinuous" wrapText="1"/>
    </xf>
    <xf numFmtId="0" fontId="35" fillId="0" borderId="7" xfId="0" applyFont="1" applyBorder="1" applyAlignment="1">
      <alignment horizontal="centerContinuous" wrapText="1"/>
    </xf>
    <xf numFmtId="14" fontId="35" fillId="0" borderId="0" xfId="0" applyNumberFormat="1" applyFont="1" applyAlignment="1">
      <alignment wrapText="1"/>
    </xf>
    <xf numFmtId="14" fontId="31" fillId="0" borderId="0" xfId="0" applyNumberFormat="1" applyFont="1"/>
    <xf numFmtId="14" fontId="25" fillId="0" borderId="0" xfId="0" applyNumberFormat="1" applyFont="1"/>
    <xf numFmtId="42" fontId="31" fillId="0" borderId="0" xfId="0" applyNumberFormat="1" applyFont="1"/>
    <xf numFmtId="42" fontId="35" fillId="0" borderId="0" xfId="0" applyNumberFormat="1" applyFont="1"/>
    <xf numFmtId="42" fontId="35" fillId="7" borderId="0" xfId="0" applyNumberFormat="1" applyFont="1" applyFill="1"/>
    <xf numFmtId="166" fontId="35" fillId="0" borderId="0" xfId="0" applyNumberFormat="1" applyFont="1"/>
    <xf numFmtId="4" fontId="35" fillId="0" borderId="0" xfId="0" applyNumberFormat="1" applyFont="1"/>
    <xf numFmtId="41" fontId="35" fillId="0" borderId="0" xfId="0" applyNumberFormat="1" applyFont="1"/>
    <xf numFmtId="41" fontId="35" fillId="0" borderId="1" xfId="0" applyNumberFormat="1" applyFont="1" applyBorder="1"/>
    <xf numFmtId="9" fontId="35" fillId="0" borderId="0" xfId="0" applyNumberFormat="1" applyFont="1"/>
    <xf numFmtId="41" fontId="35" fillId="5" borderId="0" xfId="0" applyNumberFormat="1" applyFont="1" applyFill="1"/>
    <xf numFmtId="0" fontId="35" fillId="5" borderId="0" xfId="0" applyFont="1" applyFill="1" applyAlignment="1">
      <alignment horizontal="left" indent="2"/>
    </xf>
    <xf numFmtId="0" fontId="35" fillId="0" borderId="2" xfId="0" applyFont="1" applyBorder="1"/>
    <xf numFmtId="41" fontId="35" fillId="0" borderId="2" xfId="0" applyNumberFormat="1" applyFont="1" applyBorder="1"/>
    <xf numFmtId="41" fontId="35" fillId="5" borderId="1" xfId="0" applyNumberFormat="1" applyFont="1" applyFill="1" applyBorder="1"/>
    <xf numFmtId="41" fontId="31" fillId="0" borderId="0" xfId="0" applyNumberFormat="1" applyFont="1"/>
    <xf numFmtId="41" fontId="35" fillId="5" borderId="2" xfId="0" applyNumberFormat="1" applyFont="1" applyFill="1" applyBorder="1"/>
    <xf numFmtId="0" fontId="25" fillId="0" borderId="0" xfId="0" applyFont="1"/>
    <xf numFmtId="41" fontId="31" fillId="5" borderId="0" xfId="0" applyNumberFormat="1" applyFont="1" applyFill="1"/>
    <xf numFmtId="41" fontId="35" fillId="0" borderId="3" xfId="0" applyNumberFormat="1" applyFont="1" applyBorder="1"/>
    <xf numFmtId="165" fontId="31" fillId="0" borderId="0" xfId="0" applyNumberFormat="1" applyFont="1"/>
    <xf numFmtId="165" fontId="31" fillId="5" borderId="0" xfId="0" applyNumberFormat="1" applyFont="1" applyFill="1"/>
    <xf numFmtId="165" fontId="35" fillId="0" borderId="0" xfId="0" applyNumberFormat="1" applyFont="1"/>
    <xf numFmtId="165" fontId="31" fillId="0" borderId="2" xfId="0" applyNumberFormat="1" applyFont="1" applyBorder="1"/>
    <xf numFmtId="165" fontId="31" fillId="5" borderId="2" xfId="0" applyNumberFormat="1" applyFont="1" applyFill="1" applyBorder="1"/>
    <xf numFmtId="165" fontId="35" fillId="0" borderId="2" xfId="0" applyNumberFormat="1" applyFont="1" applyBorder="1"/>
    <xf numFmtId="41" fontId="42" fillId="0" borderId="0" xfId="0" applyNumberFormat="1" applyFont="1"/>
    <xf numFmtId="41" fontId="42" fillId="0" borderId="2" xfId="0" applyNumberFormat="1" applyFont="1" applyBorder="1"/>
    <xf numFmtId="166" fontId="38" fillId="0" borderId="0" xfId="0" applyNumberFormat="1" applyFont="1"/>
    <xf numFmtId="0" fontId="35" fillId="7" borderId="0" xfId="0" applyFont="1" applyFill="1"/>
    <xf numFmtId="9" fontId="35" fillId="4" borderId="0" xfId="0" applyNumberFormat="1" applyFont="1" applyFill="1"/>
    <xf numFmtId="0" fontId="35" fillId="0" borderId="0" xfId="0" applyFont="1" applyAlignment="1">
      <alignment horizontal="left"/>
    </xf>
    <xf numFmtId="166" fontId="35" fillId="4" borderId="6" xfId="0" applyNumberFormat="1" applyFont="1" applyFill="1" applyBorder="1"/>
    <xf numFmtId="166" fontId="26" fillId="0" borderId="0" xfId="0" applyNumberFormat="1" applyFont="1"/>
    <xf numFmtId="170" fontId="31" fillId="0" borderId="0" xfId="0" applyNumberFormat="1" applyFont="1"/>
    <xf numFmtId="170" fontId="31" fillId="5" borderId="0" xfId="0" applyNumberFormat="1" applyFont="1" applyFill="1"/>
    <xf numFmtId="170" fontId="35" fillId="0" borderId="0" xfId="0" applyNumberFormat="1" applyFont="1"/>
    <xf numFmtId="41" fontId="35" fillId="7" borderId="0" xfId="0" applyNumberFormat="1" applyFont="1" applyFill="1"/>
    <xf numFmtId="170" fontId="25" fillId="0" borderId="0" xfId="0" applyNumberFormat="1" applyFont="1"/>
    <xf numFmtId="170" fontId="44" fillId="0" borderId="0" xfId="0" applyNumberFormat="1" applyFont="1"/>
    <xf numFmtId="41" fontId="35" fillId="7" borderId="1" xfId="0" applyNumberFormat="1" applyFont="1" applyFill="1" applyBorder="1"/>
    <xf numFmtId="170" fontId="35" fillId="5" borderId="1" xfId="0" applyNumberFormat="1" applyFont="1" applyFill="1" applyBorder="1"/>
    <xf numFmtId="170" fontId="35" fillId="5" borderId="0" xfId="0" applyNumberFormat="1" applyFont="1" applyFill="1"/>
    <xf numFmtId="42" fontId="35" fillId="7" borderId="3" xfId="0" applyNumberFormat="1" applyFont="1" applyFill="1" applyBorder="1"/>
    <xf numFmtId="170" fontId="35" fillId="0" borderId="3" xfId="0" applyNumberFormat="1" applyFont="1" applyBorder="1"/>
    <xf numFmtId="170" fontId="35" fillId="5" borderId="3" xfId="0" applyNumberFormat="1" applyFont="1" applyFill="1" applyBorder="1"/>
    <xf numFmtId="43" fontId="35" fillId="0" borderId="3" xfId="0" applyNumberFormat="1" applyFont="1" applyBorder="1"/>
    <xf numFmtId="0" fontId="35" fillId="5" borderId="0" xfId="0" applyFont="1" applyFill="1"/>
    <xf numFmtId="183" fontId="35" fillId="0" borderId="0" xfId="0" applyNumberFormat="1" applyFont="1"/>
    <xf numFmtId="183" fontId="35" fillId="5" borderId="0" xfId="0" applyNumberFormat="1" applyFont="1" applyFill="1"/>
    <xf numFmtId="165" fontId="44" fillId="0" borderId="0" xfId="0" applyNumberFormat="1" applyFont="1"/>
    <xf numFmtId="0" fontId="25" fillId="5" borderId="0" xfId="0" applyFont="1" applyFill="1"/>
    <xf numFmtId="0" fontId="44" fillId="5" borderId="0" xfId="0" applyFont="1" applyFill="1"/>
    <xf numFmtId="3" fontId="35" fillId="5" borderId="0" xfId="0" applyNumberFormat="1" applyFont="1" applyFill="1"/>
    <xf numFmtId="3" fontId="35" fillId="0" borderId="0" xfId="0" applyNumberFormat="1" applyFont="1"/>
    <xf numFmtId="41" fontId="35" fillId="7" borderId="2" xfId="0" applyNumberFormat="1" applyFont="1" applyFill="1" applyBorder="1"/>
    <xf numFmtId="170" fontId="35" fillId="0" borderId="2" xfId="0" applyNumberFormat="1" applyFont="1" applyBorder="1"/>
    <xf numFmtId="170" fontId="35" fillId="5" borderId="2" xfId="0" applyNumberFormat="1" applyFont="1" applyFill="1" applyBorder="1"/>
    <xf numFmtId="0" fontId="35" fillId="0" borderId="0" xfId="0" applyFont="1" applyAlignment="1">
      <alignment horizontal="left" wrapText="1" indent="1"/>
    </xf>
    <xf numFmtId="0" fontId="42" fillId="0" borderId="0" xfId="0" applyFont="1" applyAlignment="1">
      <alignment horizontal="left" wrapText="1" indent="1"/>
    </xf>
    <xf numFmtId="170" fontId="32" fillId="5" borderId="0" xfId="0" applyNumberFormat="1" applyFont="1" applyFill="1"/>
    <xf numFmtId="0" fontId="41" fillId="0" borderId="0" xfId="0" applyFont="1" applyAlignment="1">
      <alignment horizontal="center"/>
    </xf>
    <xf numFmtId="44" fontId="35" fillId="3" borderId="0" xfId="0" applyNumberFormat="1" applyFont="1" applyFill="1"/>
    <xf numFmtId="41" fontId="35" fillId="3" borderId="0" xfId="0" applyNumberFormat="1" applyFont="1" applyFill="1"/>
    <xf numFmtId="0" fontId="35" fillId="0" borderId="0" xfId="0" applyFont="1" applyAlignment="1">
      <alignment horizontal="left" indent="3"/>
    </xf>
    <xf numFmtId="0" fontId="35" fillId="0" borderId="0" xfId="0" applyFont="1" applyAlignment="1">
      <alignment horizontal="left" indent="5"/>
    </xf>
    <xf numFmtId="0" fontId="35" fillId="5" borderId="0" xfId="0" applyFont="1" applyFill="1" applyAlignment="1">
      <alignment horizontal="left" indent="5"/>
    </xf>
    <xf numFmtId="41" fontId="25" fillId="0" borderId="0" xfId="0" applyNumberFormat="1" applyFont="1"/>
    <xf numFmtId="41" fontId="35" fillId="3" borderId="4" xfId="0" applyNumberFormat="1" applyFont="1" applyFill="1" applyBorder="1"/>
    <xf numFmtId="184" fontId="35" fillId="0" borderId="4" xfId="0" applyNumberFormat="1" applyFont="1" applyBorder="1"/>
    <xf numFmtId="41" fontId="35" fillId="7" borderId="4" xfId="0" applyNumberFormat="1" applyFont="1" applyFill="1" applyBorder="1"/>
    <xf numFmtId="41" fontId="35" fillId="0" borderId="4" xfId="0" applyNumberFormat="1" applyFont="1" applyBorder="1"/>
    <xf numFmtId="0" fontId="42" fillId="0" borderId="0" xfId="0" applyFont="1" applyAlignment="1">
      <alignment horizontal="left" indent="3"/>
    </xf>
    <xf numFmtId="0" fontId="42" fillId="0" borderId="0" xfId="0" applyFont="1" applyAlignment="1">
      <alignment horizontal="left"/>
    </xf>
    <xf numFmtId="41" fontId="35" fillId="3" borderId="5" xfId="0" applyNumberFormat="1" applyFont="1" applyFill="1" applyBorder="1"/>
    <xf numFmtId="41" fontId="35" fillId="0" borderId="5" xfId="0" applyNumberFormat="1" applyFont="1" applyBorder="1"/>
    <xf numFmtId="0" fontId="35" fillId="0" borderId="0" xfId="0" applyFont="1" applyAlignment="1">
      <alignment horizontal="center"/>
    </xf>
    <xf numFmtId="0" fontId="21" fillId="11" borderId="0" xfId="0" applyFont="1" applyFill="1"/>
    <xf numFmtId="41" fontId="35" fillId="6" borderId="6" xfId="0" applyNumberFormat="1" applyFont="1" applyFill="1" applyBorder="1"/>
    <xf numFmtId="41" fontId="35" fillId="0" borderId="6" xfId="0" applyNumberFormat="1" applyFont="1" applyBorder="1"/>
    <xf numFmtId="41" fontId="25" fillId="6" borderId="6" xfId="0" applyNumberFormat="1" applyFont="1" applyFill="1" applyBorder="1"/>
    <xf numFmtId="41" fontId="25" fillId="0" borderId="6" xfId="0" applyNumberFormat="1" applyFont="1" applyBorder="1"/>
    <xf numFmtId="0" fontId="31" fillId="0" borderId="6" xfId="0" applyFont="1" applyBorder="1" applyAlignment="1">
      <alignment horizontal="center"/>
    </xf>
    <xf numFmtId="0" fontId="31" fillId="0" borderId="0" xfId="0" applyFont="1" applyAlignment="1">
      <alignment horizontal="center"/>
    </xf>
    <xf numFmtId="4" fontId="35" fillId="7" borderId="0" xfId="0" applyNumberFormat="1" applyFont="1" applyFill="1"/>
    <xf numFmtId="173" fontId="35" fillId="0" borderId="0" xfId="0" applyNumberFormat="1" applyFont="1"/>
    <xf numFmtId="173" fontId="35" fillId="4" borderId="6" xfId="0" applyNumberFormat="1" applyFont="1" applyFill="1" applyBorder="1"/>
    <xf numFmtId="173" fontId="35" fillId="0" borderId="6" xfId="0" applyNumberFormat="1" applyFont="1" applyBorder="1"/>
    <xf numFmtId="166" fontId="35" fillId="0" borderId="6" xfId="0" applyNumberFormat="1" applyFont="1" applyBorder="1"/>
    <xf numFmtId="43" fontId="35" fillId="0" borderId="0" xfId="0" applyNumberFormat="1" applyFont="1"/>
    <xf numFmtId="0" fontId="25" fillId="0" borderId="2" xfId="0" applyFont="1" applyBorder="1"/>
    <xf numFmtId="0" fontId="44" fillId="0" borderId="2" xfId="0" applyFont="1" applyBorder="1"/>
    <xf numFmtId="41" fontId="25" fillId="7" borderId="2" xfId="0" applyNumberFormat="1" applyFont="1" applyFill="1" applyBorder="1"/>
    <xf numFmtId="41" fontId="25" fillId="0" borderId="2" xfId="0" applyNumberFormat="1" applyFont="1" applyBorder="1"/>
    <xf numFmtId="0" fontId="44" fillId="0" borderId="0" xfId="0" applyFont="1" applyAlignment="1">
      <alignment horizontal="left" indent="1"/>
    </xf>
    <xf numFmtId="0" fontId="44" fillId="7" borderId="0" xfId="0" applyFont="1" applyFill="1"/>
    <xf numFmtId="0" fontId="25" fillId="7" borderId="0" xfId="0" applyFont="1" applyFill="1"/>
    <xf numFmtId="3" fontId="31" fillId="0" borderId="0" xfId="0" applyNumberFormat="1" applyFont="1"/>
    <xf numFmtId="43" fontId="35" fillId="3" borderId="0" xfId="0" applyNumberFormat="1" applyFont="1" applyFill="1"/>
    <xf numFmtId="3" fontId="35" fillId="0" borderId="1" xfId="0" applyNumberFormat="1" applyFont="1" applyBorder="1"/>
    <xf numFmtId="9" fontId="35" fillId="3" borderId="0" xfId="0" applyNumberFormat="1" applyFont="1" applyFill="1"/>
    <xf numFmtId="9" fontId="35" fillId="0" borderId="1" xfId="0" applyNumberFormat="1" applyFont="1" applyBorder="1"/>
    <xf numFmtId="0" fontId="33" fillId="0" borderId="0" xfId="0" applyFont="1" applyAlignment="1">
      <alignment horizontal="left" indent="1"/>
    </xf>
    <xf numFmtId="0" fontId="29" fillId="0" borderId="0" xfId="0" applyFont="1" applyAlignment="1">
      <alignment horizontal="left" indent="2"/>
    </xf>
    <xf numFmtId="0" fontId="25" fillId="0" borderId="0" xfId="0" applyFont="1" applyAlignment="1">
      <alignment horizontal="left" indent="2"/>
    </xf>
    <xf numFmtId="0" fontId="25" fillId="0" borderId="3" xfId="0" applyFont="1" applyBorder="1"/>
    <xf numFmtId="0" fontId="35" fillId="0" borderId="3" xfId="0" applyFont="1" applyBorder="1"/>
    <xf numFmtId="41" fontId="42" fillId="0" borderId="3" xfId="0" applyNumberFormat="1" applyFont="1" applyBorder="1"/>
    <xf numFmtId="41" fontId="42" fillId="7" borderId="1" xfId="0" applyNumberFormat="1" applyFont="1" applyFill="1" applyBorder="1"/>
    <xf numFmtId="10" fontId="35" fillId="4" borderId="6" xfId="0" applyNumberFormat="1" applyFont="1" applyFill="1" applyBorder="1"/>
    <xf numFmtId="10" fontId="35" fillId="7" borderId="0" xfId="0" applyNumberFormat="1" applyFont="1" applyFill="1"/>
    <xf numFmtId="10" fontId="35" fillId="4" borderId="16" xfId="0" applyNumberFormat="1" applyFont="1" applyFill="1" applyBorder="1"/>
    <xf numFmtId="0" fontId="35" fillId="0" borderId="0" xfId="0" applyFont="1" applyAlignment="1">
      <alignment horizontal="centerContinuous"/>
    </xf>
    <xf numFmtId="0" fontId="86" fillId="0" borderId="0" xfId="0" applyFont="1" applyAlignment="1">
      <alignment horizontal="center"/>
    </xf>
    <xf numFmtId="41" fontId="35" fillId="0" borderId="0" xfId="0" applyNumberFormat="1" applyFont="1" applyAlignment="1">
      <alignment horizontal="center"/>
    </xf>
    <xf numFmtId="3" fontId="35" fillId="0" borderId="0" xfId="0" applyNumberFormat="1" applyFont="1" applyAlignment="1">
      <alignment horizontal="center"/>
    </xf>
    <xf numFmtId="3" fontId="35" fillId="7" borderId="1" xfId="0" applyNumberFormat="1" applyFont="1" applyFill="1" applyBorder="1"/>
    <xf numFmtId="3" fontId="35" fillId="7" borderId="0" xfId="0" applyNumberFormat="1" applyFont="1" applyFill="1"/>
    <xf numFmtId="0" fontId="39" fillId="0" borderId="0" xfId="0" applyFont="1"/>
    <xf numFmtId="3" fontId="39" fillId="0" borderId="0" xfId="0" applyNumberFormat="1" applyFont="1"/>
    <xf numFmtId="0" fontId="39" fillId="0" borderId="3" xfId="0" applyFont="1" applyBorder="1"/>
    <xf numFmtId="3" fontId="39" fillId="0" borderId="3" xfId="0" applyNumberFormat="1" applyFont="1" applyBorder="1"/>
    <xf numFmtId="3" fontId="39" fillId="0" borderId="1" xfId="0" applyNumberFormat="1" applyFont="1" applyBorder="1"/>
    <xf numFmtId="10" fontId="39" fillId="0" borderId="0" xfId="0" applyNumberFormat="1" applyFont="1"/>
    <xf numFmtId="10" fontId="39" fillId="13" borderId="6" xfId="0" applyNumberFormat="1" applyFont="1" applyFill="1" applyBorder="1"/>
    <xf numFmtId="10" fontId="39" fillId="0" borderId="6" xfId="0" applyNumberFormat="1" applyFont="1" applyBorder="1"/>
    <xf numFmtId="41" fontId="25" fillId="0" borderId="0" xfId="0" applyNumberFormat="1" applyFont="1" applyAlignment="1">
      <alignment horizontal="left" indent="1"/>
    </xf>
    <xf numFmtId="9" fontId="25" fillId="0" borderId="0" xfId="0" applyNumberFormat="1" applyFont="1" applyAlignment="1">
      <alignment horizontal="right" indent="1"/>
    </xf>
    <xf numFmtId="0" fontId="25" fillId="7" borderId="0" xfId="0" applyFont="1" applyFill="1" applyAlignment="1">
      <alignment horizontal="left" indent="1"/>
    </xf>
    <xf numFmtId="41" fontId="26" fillId="0" borderId="0" xfId="0" applyNumberFormat="1" applyFont="1" applyAlignment="1">
      <alignment horizontal="left" indent="1"/>
    </xf>
    <xf numFmtId="0" fontId="25" fillId="0" borderId="1" xfId="0" applyFont="1" applyBorder="1" applyAlignment="1">
      <alignment horizontal="left"/>
    </xf>
    <xf numFmtId="0" fontId="25" fillId="0" borderId="1" xfId="0" applyFont="1" applyBorder="1" applyAlignment="1">
      <alignment horizontal="left" indent="1"/>
    </xf>
    <xf numFmtId="41" fontId="39" fillId="0" borderId="1" xfId="0" applyNumberFormat="1" applyFont="1" applyBorder="1"/>
    <xf numFmtId="41" fontId="39" fillId="6" borderId="1" xfId="0" applyNumberFormat="1" applyFont="1" applyFill="1" applyBorder="1"/>
    <xf numFmtId="41" fontId="39" fillId="0" borderId="0" xfId="0" applyNumberFormat="1" applyFont="1"/>
    <xf numFmtId="41" fontId="26" fillId="0" borderId="0" xfId="0" applyNumberFormat="1" applyFont="1"/>
    <xf numFmtId="0" fontId="25" fillId="0" borderId="1" xfId="0" applyFont="1" applyBorder="1"/>
    <xf numFmtId="41" fontId="25" fillId="0" borderId="1" xfId="0" applyNumberFormat="1" applyFont="1" applyBorder="1"/>
    <xf numFmtId="41" fontId="35" fillId="6" borderId="13" xfId="0" applyNumberFormat="1" applyFont="1" applyFill="1" applyBorder="1"/>
    <xf numFmtId="41" fontId="35" fillId="5" borderId="13" xfId="0" applyNumberFormat="1" applyFont="1" applyFill="1" applyBorder="1"/>
    <xf numFmtId="9" fontId="39" fillId="0" borderId="0" xfId="0" applyNumberFormat="1" applyFont="1"/>
    <xf numFmtId="14" fontId="21" fillId="11" borderId="0" xfId="0" applyNumberFormat="1" applyFont="1" applyFill="1"/>
    <xf numFmtId="0" fontId="35" fillId="12" borderId="0" xfId="0" applyFont="1" applyFill="1"/>
    <xf numFmtId="0" fontId="35" fillId="7" borderId="0" xfId="0" applyFont="1" applyFill="1" applyAlignment="1">
      <alignment horizontal="center"/>
    </xf>
    <xf numFmtId="42" fontId="25" fillId="0" borderId="0" xfId="0" applyNumberFormat="1" applyFont="1"/>
    <xf numFmtId="42" fontId="87" fillId="8" borderId="6" xfId="0" applyNumberFormat="1" applyFont="1" applyFill="1" applyBorder="1" applyAlignment="1">
      <alignment horizontal="center"/>
    </xf>
    <xf numFmtId="170" fontId="26" fillId="13" borderId="6" xfId="0" applyNumberFormat="1" applyFont="1" applyFill="1" applyBorder="1"/>
    <xf numFmtId="170" fontId="26" fillId="14" borderId="0" xfId="0" applyNumberFormat="1" applyFont="1" applyFill="1"/>
    <xf numFmtId="170" fontId="35" fillId="7" borderId="0" xfId="0" applyNumberFormat="1" applyFont="1" applyFill="1"/>
    <xf numFmtId="0" fontId="35" fillId="3" borderId="1" xfId="0" applyFont="1" applyFill="1" applyBorder="1"/>
    <xf numFmtId="170" fontId="35" fillId="7" borderId="1" xfId="0" applyNumberFormat="1" applyFont="1" applyFill="1" applyBorder="1"/>
    <xf numFmtId="170" fontId="25" fillId="7" borderId="0" xfId="0" applyNumberFormat="1" applyFont="1" applyFill="1"/>
    <xf numFmtId="166" fontId="88" fillId="8" borderId="6" xfId="0" applyNumberFormat="1" applyFont="1" applyFill="1" applyBorder="1" applyAlignment="1">
      <alignment horizontal="center"/>
    </xf>
    <xf numFmtId="14" fontId="32" fillId="0" borderId="0" xfId="0" applyNumberFormat="1" applyFont="1"/>
    <xf numFmtId="170" fontId="35" fillId="7" borderId="2" xfId="0" applyNumberFormat="1" applyFont="1" applyFill="1" applyBorder="1"/>
    <xf numFmtId="42" fontId="25" fillId="0" borderId="1" xfId="0" applyNumberFormat="1" applyFont="1" applyBorder="1"/>
    <xf numFmtId="170" fontId="25" fillId="0" borderId="1" xfId="0" applyNumberFormat="1" applyFont="1" applyBorder="1"/>
    <xf numFmtId="166" fontId="87" fillId="8" borderId="6" xfId="0" applyNumberFormat="1" applyFont="1" applyFill="1" applyBorder="1" applyAlignment="1">
      <alignment horizontal="center"/>
    </xf>
    <xf numFmtId="10" fontId="88" fillId="8" borderId="6" xfId="0" applyNumberFormat="1" applyFont="1" applyFill="1" applyBorder="1" applyAlignment="1">
      <alignment horizontal="center"/>
    </xf>
    <xf numFmtId="166" fontId="35" fillId="6" borderId="0" xfId="0" applyNumberFormat="1" applyFont="1" applyFill="1"/>
    <xf numFmtId="166" fontId="35" fillId="7" borderId="0" xfId="0" applyNumberFormat="1" applyFont="1" applyFill="1"/>
    <xf numFmtId="166" fontId="25" fillId="0" borderId="0" xfId="0" applyNumberFormat="1" applyFont="1"/>
    <xf numFmtId="166" fontId="32" fillId="0" borderId="0" xfId="0" applyNumberFormat="1" applyFont="1"/>
    <xf numFmtId="166" fontId="32" fillId="7" borderId="0" xfId="0" applyNumberFormat="1" applyFont="1" applyFill="1"/>
    <xf numFmtId="166" fontId="35" fillId="0" borderId="2" xfId="0" applyNumberFormat="1" applyFont="1" applyBorder="1"/>
    <xf numFmtId="166" fontId="35" fillId="7" borderId="2" xfId="0" applyNumberFormat="1" applyFont="1" applyFill="1" applyBorder="1"/>
    <xf numFmtId="166" fontId="25" fillId="0" borderId="2" xfId="0" applyNumberFormat="1" applyFont="1" applyBorder="1"/>
    <xf numFmtId="4" fontId="88" fillId="8" borderId="6" xfId="0" applyNumberFormat="1" applyFont="1" applyFill="1" applyBorder="1" applyAlignment="1">
      <alignment horizontal="center"/>
    </xf>
    <xf numFmtId="4" fontId="25" fillId="0" borderId="0" xfId="0" applyNumberFormat="1" applyFont="1"/>
    <xf numFmtId="10" fontId="32" fillId="0" borderId="0" xfId="0" applyNumberFormat="1" applyFont="1"/>
    <xf numFmtId="10" fontId="25" fillId="0" borderId="0" xfId="0" applyNumberFormat="1" applyFont="1"/>
    <xf numFmtId="170" fontId="35" fillId="0" borderId="0" xfId="0" applyNumberFormat="1" applyFont="1" applyAlignment="1">
      <alignment horizontal="center"/>
    </xf>
    <xf numFmtId="170" fontId="35" fillId="6" borderId="0" xfId="0" applyNumberFormat="1" applyFont="1" applyFill="1"/>
    <xf numFmtId="182" fontId="88" fillId="8" borderId="6" xfId="0" applyNumberFormat="1" applyFont="1" applyFill="1" applyBorder="1" applyAlignment="1">
      <alignment horizontal="center"/>
    </xf>
    <xf numFmtId="0" fontId="26" fillId="0" borderId="0" xfId="0" applyFont="1" applyAlignment="1">
      <alignment horizontal="center"/>
    </xf>
    <xf numFmtId="166" fontId="32" fillId="7" borderId="10" xfId="0" applyNumberFormat="1" applyFont="1" applyFill="1" applyBorder="1"/>
    <xf numFmtId="9" fontId="32" fillId="0" borderId="0" xfId="0" applyNumberFormat="1" applyFont="1"/>
    <xf numFmtId="9" fontId="25" fillId="0" borderId="0" xfId="0" applyNumberFormat="1" applyFont="1"/>
    <xf numFmtId="0" fontId="26" fillId="4" borderId="6" xfId="0" applyFont="1" applyFill="1" applyBorder="1" applyAlignment="1">
      <alignment horizontal="center"/>
    </xf>
    <xf numFmtId="4" fontId="32" fillId="0" borderId="0" xfId="0" applyNumberFormat="1" applyFont="1"/>
    <xf numFmtId="14" fontId="35" fillId="0" borderId="0" xfId="0" applyNumberFormat="1" applyFont="1"/>
    <xf numFmtId="180" fontId="26" fillId="0" borderId="0" xfId="0" applyNumberFormat="1" applyFont="1"/>
    <xf numFmtId="180" fontId="39" fillId="0" borderId="0" xfId="0" applyNumberFormat="1" applyFont="1"/>
    <xf numFmtId="181" fontId="26" fillId="0" borderId="0" xfId="0" applyNumberFormat="1" applyFont="1"/>
    <xf numFmtId="170" fontId="42" fillId="0" borderId="1" xfId="0" applyNumberFormat="1" applyFont="1" applyBorder="1"/>
    <xf numFmtId="0" fontId="42" fillId="0" borderId="1" xfId="0" applyFont="1" applyBorder="1"/>
    <xf numFmtId="170" fontId="42" fillId="0" borderId="0" xfId="0" applyNumberFormat="1" applyFont="1"/>
    <xf numFmtId="0" fontId="26" fillId="4" borderId="0" xfId="0" applyFont="1" applyFill="1" applyAlignment="1">
      <alignment horizontal="center"/>
    </xf>
    <xf numFmtId="6" fontId="42" fillId="0" borderId="1" xfId="0" applyNumberFormat="1" applyFont="1" applyBorder="1"/>
    <xf numFmtId="6" fontId="42" fillId="0" borderId="0" xfId="0" applyNumberFormat="1" applyFont="1"/>
    <xf numFmtId="0" fontId="42" fillId="0" borderId="7" xfId="0" applyFont="1" applyBorder="1"/>
    <xf numFmtId="0" fontId="35" fillId="0" borderId="7" xfId="0" applyFont="1" applyBorder="1"/>
    <xf numFmtId="0" fontId="35" fillId="3" borderId="7" xfId="0" applyFont="1" applyFill="1" applyBorder="1"/>
    <xf numFmtId="169" fontId="24" fillId="0" borderId="0" xfId="0" applyNumberFormat="1" applyFont="1" applyAlignment="1">
      <alignment horizontal="center"/>
    </xf>
    <xf numFmtId="167" fontId="24" fillId="8" borderId="6" xfId="0" applyNumberFormat="1" applyFont="1" applyFill="1" applyBorder="1" applyAlignment="1">
      <alignment horizontal="center"/>
    </xf>
    <xf numFmtId="169" fontId="32" fillId="0" borderId="0" xfId="0" applyNumberFormat="1" applyFont="1"/>
    <xf numFmtId="169" fontId="24" fillId="8" borderId="6" xfId="0" applyNumberFormat="1" applyFont="1" applyFill="1" applyBorder="1" applyAlignment="1">
      <alignment horizontal="center"/>
    </xf>
    <xf numFmtId="169" fontId="32" fillId="0" borderId="6" xfId="0" applyNumberFormat="1" applyFont="1" applyBorder="1" applyAlignment="1">
      <alignment horizontal="center"/>
    </xf>
    <xf numFmtId="10" fontId="27" fillId="0" borderId="6" xfId="0" applyNumberFormat="1" applyFont="1" applyBorder="1" applyAlignment="1">
      <alignment horizontal="center"/>
    </xf>
    <xf numFmtId="0" fontId="35" fillId="0" borderId="1" xfId="0" applyFont="1" applyBorder="1" applyAlignment="1">
      <alignment horizontal="center"/>
    </xf>
    <xf numFmtId="10" fontId="35" fillId="0" borderId="6" xfId="0" applyNumberFormat="1" applyFont="1" applyBorder="1" applyAlignment="1">
      <alignment horizontal="center"/>
    </xf>
    <xf numFmtId="175" fontId="27" fillId="0" borderId="6" xfId="0" applyNumberFormat="1" applyFont="1" applyBorder="1" applyAlignment="1">
      <alignment horizontal="center"/>
    </xf>
    <xf numFmtId="0" fontId="42" fillId="3" borderId="1" xfId="0" applyFont="1" applyFill="1" applyBorder="1"/>
    <xf numFmtId="167" fontId="35" fillId="0" borderId="1" xfId="0" applyNumberFormat="1" applyFont="1" applyBorder="1" applyAlignment="1">
      <alignment horizontal="right"/>
    </xf>
    <xf numFmtId="167" fontId="35" fillId="0" borderId="1" xfId="0" applyNumberFormat="1" applyFont="1" applyBorder="1"/>
    <xf numFmtId="0" fontId="42" fillId="3" borderId="7" xfId="0" applyFont="1" applyFill="1" applyBorder="1"/>
    <xf numFmtId="9" fontId="35" fillId="0" borderId="0" xfId="0" applyNumberFormat="1" applyFont="1" applyAlignment="1">
      <alignment horizontal="right"/>
    </xf>
    <xf numFmtId="170" fontId="35" fillId="0" borderId="0" xfId="0" applyNumberFormat="1" applyFont="1" applyAlignment="1">
      <alignment horizontal="right"/>
    </xf>
    <xf numFmtId="0" fontId="25" fillId="5" borderId="0" xfId="0" applyFont="1" applyFill="1" applyAlignment="1">
      <alignment horizontal="left" indent="1"/>
    </xf>
    <xf numFmtId="0" fontId="25" fillId="5" borderId="0" xfId="0" applyFont="1" applyFill="1" applyAlignment="1">
      <alignment horizontal="left" indent="2"/>
    </xf>
    <xf numFmtId="0" fontId="33" fillId="2" borderId="0" xfId="0" applyFont="1" applyFill="1" applyAlignment="1">
      <alignment horizontal="left"/>
    </xf>
    <xf numFmtId="0" fontId="89" fillId="0" borderId="0" xfId="0" applyFont="1"/>
    <xf numFmtId="0" fontId="33" fillId="0" borderId="0" xfId="0" applyFont="1" applyAlignment="1">
      <alignment horizontal="left" indent="2"/>
    </xf>
    <xf numFmtId="0" fontId="33" fillId="2" borderId="0" xfId="0" applyFont="1" applyFill="1" applyAlignment="1">
      <alignment horizontal="centerContinuous"/>
    </xf>
    <xf numFmtId="0" fontId="25" fillId="0" borderId="0" xfId="0" applyFont="1" applyAlignment="1">
      <alignment horizontal="left" indent="3"/>
    </xf>
    <xf numFmtId="0" fontId="25" fillId="0" borderId="0" xfId="0" applyFont="1" applyAlignment="1">
      <alignment horizontal="left" indent="5"/>
    </xf>
    <xf numFmtId="0" fontId="25" fillId="5" borderId="0" xfId="0" applyFont="1" applyFill="1" applyAlignment="1">
      <alignment horizontal="left" indent="5"/>
    </xf>
    <xf numFmtId="0" fontId="33" fillId="0" borderId="0" xfId="0" applyFont="1" applyAlignment="1">
      <alignment horizontal="left" indent="3"/>
    </xf>
    <xf numFmtId="0" fontId="33" fillId="0" borderId="0" xfId="0" applyFont="1" applyAlignment="1">
      <alignment horizontal="left"/>
    </xf>
    <xf numFmtId="0" fontId="33" fillId="11" borderId="0" xfId="0" applyFont="1" applyFill="1"/>
    <xf numFmtId="0" fontId="25" fillId="12" borderId="0" xfId="0" applyFont="1" applyFill="1"/>
    <xf numFmtId="0" fontId="25" fillId="0" borderId="1" xfId="0" applyFont="1" applyBorder="1" applyAlignment="1">
      <alignment horizontal="left" indent="2"/>
    </xf>
    <xf numFmtId="0" fontId="33" fillId="12" borderId="0" xfId="0" applyFont="1" applyFill="1"/>
    <xf numFmtId="0" fontId="33" fillId="0" borderId="1" xfId="0" applyFont="1" applyBorder="1" applyAlignment="1">
      <alignment horizontal="left" indent="1"/>
    </xf>
    <xf numFmtId="0" fontId="33" fillId="0" borderId="1" xfId="0" applyFont="1" applyBorder="1"/>
    <xf numFmtId="0" fontId="33" fillId="0" borderId="7" xfId="0" applyFont="1" applyBorder="1"/>
    <xf numFmtId="41" fontId="26" fillId="0" borderId="2" xfId="0" applyNumberFormat="1" applyFont="1" applyBorder="1" applyAlignment="1">
      <alignment horizontal="left" indent="1"/>
    </xf>
    <xf numFmtId="41" fontId="39" fillId="6" borderId="2" xfId="0" applyNumberFormat="1" applyFont="1" applyFill="1" applyBorder="1"/>
    <xf numFmtId="41" fontId="39" fillId="0" borderId="2" xfId="0" applyNumberFormat="1" applyFont="1" applyBorder="1"/>
    <xf numFmtId="182" fontId="88" fillId="0" borderId="6" xfId="0" applyNumberFormat="1" applyFont="1" applyBorder="1" applyAlignment="1">
      <alignment horizontal="center"/>
    </xf>
    <xf numFmtId="41" fontId="35" fillId="0" borderId="15" xfId="0" applyNumberFormat="1" applyFont="1" applyBorder="1"/>
    <xf numFmtId="166" fontId="26" fillId="4" borderId="6" xfId="0" applyNumberFormat="1" applyFont="1" applyFill="1" applyBorder="1"/>
    <xf numFmtId="174" fontId="24" fillId="0" borderId="8" xfId="0" applyNumberFormat="1" applyFont="1" applyBorder="1" applyAlignment="1">
      <alignment horizontal="center"/>
    </xf>
    <xf numFmtId="166" fontId="38" fillId="0" borderId="0" xfId="0" applyNumberFormat="1" applyFont="1" applyAlignment="1">
      <alignment horizontal="center"/>
    </xf>
    <xf numFmtId="183" fontId="35" fillId="0" borderId="1" xfId="0" applyNumberFormat="1" applyFont="1" applyBorder="1"/>
    <xf numFmtId="0" fontId="33" fillId="0" borderId="0" xfId="0" applyFont="1" applyAlignment="1">
      <alignment horizontal="left" indent="5"/>
    </xf>
    <xf numFmtId="0" fontId="35" fillId="0" borderId="7" xfId="0" applyFont="1" applyBorder="1" applyAlignment="1">
      <alignment horizontal="right"/>
    </xf>
    <xf numFmtId="167" fontId="24" fillId="0" borderId="1" xfId="0" applyNumberFormat="1" applyFont="1" applyBorder="1"/>
    <xf numFmtId="167" fontId="25" fillId="0" borderId="0" xfId="0" applyNumberFormat="1" applyFont="1"/>
    <xf numFmtId="0" fontId="17" fillId="0" borderId="7" xfId="0" applyFont="1" applyBorder="1" applyAlignment="1">
      <alignment horizontal="right"/>
    </xf>
    <xf numFmtId="167" fontId="13" fillId="0" borderId="1" xfId="0" applyNumberFormat="1" applyFont="1" applyBorder="1"/>
    <xf numFmtId="167" fontId="7" fillId="0" borderId="0" xfId="0" applyNumberFormat="1" applyFont="1"/>
    <xf numFmtId="196" fontId="26" fillId="4" borderId="6" xfId="0" applyNumberFormat="1" applyFont="1" applyFill="1" applyBorder="1"/>
    <xf numFmtId="170" fontId="25" fillId="0" borderId="3" xfId="0" applyNumberFormat="1" applyFont="1" applyBorder="1"/>
    <xf numFmtId="165" fontId="25" fillId="0" borderId="0" xfId="0" applyNumberFormat="1" applyFont="1"/>
    <xf numFmtId="170" fontId="25" fillId="5" borderId="0" xfId="0" applyNumberFormat="1" applyFont="1" applyFill="1"/>
    <xf numFmtId="14" fontId="41" fillId="4" borderId="6" xfId="0" applyNumberFormat="1" applyFont="1" applyFill="1" applyBorder="1" applyAlignment="1">
      <alignment horizontal="center"/>
    </xf>
    <xf numFmtId="41" fontId="25" fillId="7" borderId="0" xfId="0" applyNumberFormat="1" applyFont="1" applyFill="1"/>
    <xf numFmtId="0" fontId="0" fillId="0" borderId="0" xfId="0" applyAlignment="1">
      <alignment horizontal="right"/>
    </xf>
    <xf numFmtId="0" fontId="0" fillId="0" borderId="0" xfId="0" applyAlignment="1">
      <alignment horizontal="left"/>
    </xf>
    <xf numFmtId="170" fontId="92" fillId="0" borderId="0" xfId="2" applyNumberFormat="1" applyFont="1" applyFill="1" applyAlignment="1">
      <alignment horizontal="left"/>
    </xf>
    <xf numFmtId="0" fontId="91" fillId="0" borderId="0" xfId="0" applyFont="1" applyAlignment="1">
      <alignment horizontal="left"/>
    </xf>
    <xf numFmtId="0" fontId="0" fillId="7" borderId="37" xfId="0" applyFill="1" applyBorder="1" applyAlignment="1">
      <alignment horizontal="center" wrapText="1"/>
    </xf>
    <xf numFmtId="0" fontId="0" fillId="16" borderId="24" xfId="0" applyFill="1" applyBorder="1" applyAlignment="1">
      <alignment horizontal="center"/>
    </xf>
    <xf numFmtId="0" fontId="0" fillId="16" borderId="15" xfId="0" applyFill="1" applyBorder="1" applyAlignment="1">
      <alignment horizontal="center"/>
    </xf>
    <xf numFmtId="0" fontId="0" fillId="0" borderId="0" xfId="0" applyAlignment="1">
      <alignment horizontal="center"/>
    </xf>
    <xf numFmtId="0" fontId="0" fillId="7" borderId="31" xfId="0" applyFill="1" applyBorder="1" applyAlignment="1">
      <alignment wrapText="1"/>
    </xf>
    <xf numFmtId="0" fontId="90" fillId="15" borderId="25" xfId="0" applyFont="1" applyFill="1" applyBorder="1" applyAlignment="1">
      <alignment horizontal="center" vertical="center"/>
    </xf>
    <xf numFmtId="0" fontId="90" fillId="15" borderId="15" xfId="0" applyFont="1" applyFill="1" applyBorder="1" applyAlignment="1">
      <alignment horizontal="center" vertical="center"/>
    </xf>
    <xf numFmtId="0" fontId="90" fillId="15" borderId="24" xfId="0" applyFont="1" applyFill="1" applyBorder="1" applyAlignment="1">
      <alignment horizontal="center" vertical="center"/>
    </xf>
    <xf numFmtId="170" fontId="0" fillId="0" borderId="22" xfId="2" applyNumberFormat="1" applyFont="1" applyBorder="1" applyAlignment="1">
      <alignment horizontal="center" vertical="center"/>
    </xf>
    <xf numFmtId="170" fontId="93" fillId="0" borderId="0" xfId="2" applyNumberFormat="1" applyFont="1" applyBorder="1" applyAlignment="1">
      <alignment horizontal="center" vertical="center"/>
    </xf>
    <xf numFmtId="170" fontId="0" fillId="0" borderId="0" xfId="2" applyNumberFormat="1" applyFont="1" applyBorder="1" applyAlignment="1">
      <alignment horizontal="center" vertical="center"/>
    </xf>
    <xf numFmtId="170" fontId="0" fillId="16" borderId="17" xfId="2" applyNumberFormat="1" applyFont="1" applyFill="1" applyBorder="1" applyAlignment="1">
      <alignment horizontal="center" vertical="center"/>
    </xf>
    <xf numFmtId="170" fontId="0" fillId="16" borderId="0" xfId="2" applyNumberFormat="1" applyFont="1" applyFill="1" applyBorder="1" applyAlignment="1">
      <alignment horizontal="center" vertical="center"/>
    </xf>
    <xf numFmtId="170" fontId="93" fillId="0" borderId="0" xfId="0" applyNumberFormat="1" applyFont="1" applyAlignment="1">
      <alignment horizontal="right"/>
    </xf>
    <xf numFmtId="170" fontId="0" fillId="0" borderId="20" xfId="2" applyNumberFormat="1" applyFont="1" applyBorder="1" applyAlignment="1">
      <alignment horizontal="center" vertical="center"/>
    </xf>
    <xf numFmtId="170" fontId="0" fillId="0" borderId="19" xfId="2" applyNumberFormat="1" applyFont="1" applyBorder="1" applyAlignment="1">
      <alignment horizontal="center" vertical="center"/>
    </xf>
    <xf numFmtId="0" fontId="90" fillId="15" borderId="31" xfId="0" applyFont="1" applyFill="1" applyBorder="1" applyAlignment="1">
      <alignment wrapText="1"/>
    </xf>
    <xf numFmtId="170" fontId="90" fillId="15" borderId="22" xfId="2" applyNumberFormat="1" applyFont="1" applyFill="1" applyBorder="1" applyAlignment="1">
      <alignment horizontal="center" vertical="center"/>
    </xf>
    <xf numFmtId="170" fontId="90" fillId="15" borderId="0" xfId="2" applyNumberFormat="1" applyFont="1" applyFill="1" applyBorder="1" applyAlignment="1">
      <alignment horizontal="center" vertical="center"/>
    </xf>
    <xf numFmtId="170" fontId="90" fillId="15" borderId="17" xfId="2" applyNumberFormat="1" applyFont="1" applyFill="1" applyBorder="1" applyAlignment="1">
      <alignment horizontal="center" vertical="center"/>
    </xf>
    <xf numFmtId="0" fontId="0" fillId="7" borderId="33" xfId="0" applyFill="1" applyBorder="1" applyAlignment="1">
      <alignment wrapText="1"/>
    </xf>
    <xf numFmtId="170" fontId="0" fillId="16" borderId="18" xfId="2" applyNumberFormat="1" applyFont="1" applyFill="1" applyBorder="1" applyAlignment="1">
      <alignment horizontal="center" vertical="center"/>
    </xf>
    <xf numFmtId="170" fontId="0" fillId="16" borderId="19" xfId="2" applyNumberFormat="1" applyFont="1" applyFill="1" applyBorder="1" applyAlignment="1">
      <alignment horizontal="center" vertical="center"/>
    </xf>
    <xf numFmtId="170" fontId="0" fillId="0" borderId="0" xfId="2" applyNumberFormat="1" applyFont="1" applyFill="1" applyBorder="1" applyAlignment="1">
      <alignment horizontal="center" vertical="center"/>
    </xf>
    <xf numFmtId="9" fontId="0" fillId="0" borderId="0" xfId="3" applyFont="1" applyFill="1" applyBorder="1" applyAlignment="1">
      <alignment horizontal="center" vertical="center"/>
    </xf>
    <xf numFmtId="0" fontId="0" fillId="0" borderId="25" xfId="0" applyBorder="1" applyAlignment="1">
      <alignment wrapText="1"/>
    </xf>
    <xf numFmtId="0" fontId="90" fillId="15" borderId="22" xfId="0" applyFont="1" applyFill="1" applyBorder="1" applyAlignment="1">
      <alignment wrapText="1"/>
    </xf>
    <xf numFmtId="170" fontId="6" fillId="0" borderId="22" xfId="2" applyNumberFormat="1" applyFont="1" applyBorder="1" applyAlignment="1">
      <alignment horizontal="center" vertical="center"/>
    </xf>
    <xf numFmtId="9" fontId="6" fillId="0" borderId="0" xfId="3" applyFont="1" applyBorder="1" applyAlignment="1">
      <alignment horizontal="center" vertical="center"/>
    </xf>
    <xf numFmtId="9" fontId="94" fillId="0" borderId="0" xfId="3" applyFont="1" applyBorder="1" applyAlignment="1">
      <alignment horizontal="center" vertical="center"/>
    </xf>
    <xf numFmtId="9" fontId="6" fillId="0" borderId="17" xfId="3" applyFont="1" applyBorder="1" applyAlignment="1">
      <alignment horizontal="center" vertical="center"/>
    </xf>
    <xf numFmtId="9" fontId="95" fillId="0" borderId="0" xfId="3" applyFont="1" applyFill="1" applyBorder="1" applyAlignment="1">
      <alignment horizontal="center" vertical="center"/>
    </xf>
    <xf numFmtId="0" fontId="0" fillId="0" borderId="19" xfId="0" applyBorder="1" applyAlignment="1">
      <alignment horizontal="right"/>
    </xf>
    <xf numFmtId="9" fontId="94" fillId="0" borderId="19" xfId="3" applyFont="1" applyBorder="1" applyAlignment="1">
      <alignment horizontal="center" vertical="center"/>
    </xf>
    <xf numFmtId="9" fontId="6" fillId="0" borderId="18" xfId="3" applyFont="1" applyBorder="1" applyAlignment="1">
      <alignment horizontal="center" vertical="center"/>
    </xf>
    <xf numFmtId="0" fontId="0" fillId="0" borderId="25" xfId="0" applyBorder="1" applyAlignment="1">
      <alignment horizontal="right"/>
    </xf>
    <xf numFmtId="0" fontId="0" fillId="0" borderId="15" xfId="0" applyBorder="1" applyAlignment="1">
      <alignment horizontal="right"/>
    </xf>
    <xf numFmtId="9" fontId="6" fillId="0" borderId="24" xfId="3" applyFont="1" applyBorder="1" applyAlignment="1">
      <alignment horizontal="center" vertical="center"/>
    </xf>
    <xf numFmtId="0" fontId="90" fillId="15" borderId="32" xfId="0" applyFont="1" applyFill="1" applyBorder="1" applyAlignment="1">
      <alignment wrapText="1"/>
    </xf>
    <xf numFmtId="0" fontId="0" fillId="0" borderId="29" xfId="0" applyBorder="1" applyAlignment="1">
      <alignment horizontal="right"/>
    </xf>
    <xf numFmtId="0" fontId="0" fillId="0" borderId="28" xfId="0" applyBorder="1" applyAlignment="1">
      <alignment horizontal="right"/>
    </xf>
    <xf numFmtId="0" fontId="0" fillId="0" borderId="27" xfId="0" applyBorder="1" applyAlignment="1">
      <alignment horizontal="right"/>
    </xf>
    <xf numFmtId="0" fontId="0" fillId="0" borderId="18" xfId="0" applyBorder="1" applyAlignment="1">
      <alignment horizontal="right"/>
    </xf>
    <xf numFmtId="170" fontId="1" fillId="0" borderId="22" xfId="0" applyNumberFormat="1" applyFont="1" applyBorder="1" applyAlignment="1">
      <alignment horizontal="right"/>
    </xf>
    <xf numFmtId="170" fontId="1" fillId="0" borderId="0" xfId="0" applyNumberFormat="1" applyFont="1" applyAlignment="1">
      <alignment horizontal="right"/>
    </xf>
    <xf numFmtId="170" fontId="1" fillId="0" borderId="10" xfId="3" applyNumberFormat="1" applyFont="1" applyBorder="1" applyAlignment="1">
      <alignment horizontal="center" vertical="center"/>
    </xf>
    <xf numFmtId="9" fontId="94" fillId="0" borderId="17" xfId="3" applyFont="1" applyBorder="1" applyAlignment="1">
      <alignment horizontal="center" vertical="center"/>
    </xf>
    <xf numFmtId="170" fontId="1" fillId="0" borderId="20" xfId="0" applyNumberFormat="1" applyFont="1" applyBorder="1" applyAlignment="1">
      <alignment horizontal="right"/>
    </xf>
    <xf numFmtId="170" fontId="1" fillId="0" borderId="19" xfId="0" applyNumberFormat="1" applyFont="1" applyBorder="1" applyAlignment="1">
      <alignment horizontal="right"/>
    </xf>
    <xf numFmtId="170" fontId="1" fillId="0" borderId="30" xfId="3" applyNumberFormat="1" applyFont="1" applyBorder="1" applyAlignment="1">
      <alignment horizontal="center" vertical="center"/>
    </xf>
    <xf numFmtId="9" fontId="94" fillId="0" borderId="18" xfId="3" applyFont="1" applyBorder="1" applyAlignment="1">
      <alignment horizontal="center" vertical="center"/>
    </xf>
    <xf numFmtId="0" fontId="96" fillId="0" borderId="0" xfId="0" applyFont="1" applyAlignment="1">
      <alignment horizontal="right"/>
    </xf>
    <xf numFmtId="0" fontId="97" fillId="0" borderId="0" xfId="0" applyFont="1" applyAlignment="1">
      <alignment horizontal="right"/>
    </xf>
    <xf numFmtId="170" fontId="0" fillId="0" borderId="0" xfId="2" applyNumberFormat="1" applyFont="1" applyBorder="1"/>
    <xf numFmtId="0" fontId="0" fillId="16" borderId="25" xfId="0" applyFill="1" applyBorder="1" applyAlignment="1">
      <alignment wrapText="1"/>
    </xf>
    <xf numFmtId="0" fontId="0" fillId="16" borderId="15" xfId="0" applyFill="1" applyBorder="1" applyAlignment="1">
      <alignment wrapText="1"/>
    </xf>
    <xf numFmtId="0" fontId="0" fillId="16" borderId="24" xfId="0" applyFill="1" applyBorder="1" applyAlignment="1">
      <alignment wrapText="1"/>
    </xf>
    <xf numFmtId="0" fontId="0" fillId="16" borderId="22" xfId="0" applyFill="1" applyBorder="1" applyAlignment="1">
      <alignment wrapText="1"/>
    </xf>
    <xf numFmtId="0" fontId="0" fillId="16" borderId="0" xfId="0" applyFill="1" applyAlignment="1">
      <alignment wrapText="1"/>
    </xf>
    <xf numFmtId="0" fontId="0" fillId="16" borderId="17" xfId="0" applyFill="1" applyBorder="1" applyAlignment="1">
      <alignment wrapText="1"/>
    </xf>
    <xf numFmtId="14" fontId="0" fillId="16" borderId="0" xfId="0" applyNumberFormat="1" applyFill="1" applyAlignment="1">
      <alignment wrapText="1"/>
    </xf>
    <xf numFmtId="14" fontId="0" fillId="16" borderId="17" xfId="0" applyNumberFormat="1" applyFill="1" applyBorder="1" applyAlignment="1">
      <alignment wrapText="1"/>
    </xf>
    <xf numFmtId="14" fontId="0" fillId="16" borderId="22" xfId="0" applyNumberFormat="1" applyFill="1" applyBorder="1" applyAlignment="1">
      <alignment wrapText="1"/>
    </xf>
    <xf numFmtId="0" fontId="0" fillId="16" borderId="22" xfId="0" applyFill="1" applyBorder="1" applyAlignment="1">
      <alignment horizontal="center" wrapText="1"/>
    </xf>
    <xf numFmtId="0" fontId="0" fillId="16" borderId="0" xfId="0" applyFill="1" applyAlignment="1">
      <alignment horizontal="center" wrapText="1"/>
    </xf>
    <xf numFmtId="14" fontId="0" fillId="16" borderId="0" xfId="0" applyNumberFormat="1" applyFill="1" applyAlignment="1">
      <alignment horizontal="center" wrapText="1"/>
    </xf>
    <xf numFmtId="14" fontId="0" fillId="16" borderId="17" xfId="0" applyNumberFormat="1" applyFill="1" applyBorder="1" applyAlignment="1">
      <alignment horizontal="center" wrapText="1"/>
    </xf>
    <xf numFmtId="14" fontId="0" fillId="16" borderId="22" xfId="0" applyNumberFormat="1" applyFill="1" applyBorder="1" applyAlignment="1">
      <alignment horizontal="center" wrapText="1"/>
    </xf>
    <xf numFmtId="170" fontId="0" fillId="0" borderId="0" xfId="2" applyNumberFormat="1" applyFont="1" applyBorder="1" applyAlignment="1">
      <alignment horizontal="center"/>
    </xf>
    <xf numFmtId="0" fontId="0" fillId="18" borderId="0" xfId="0" applyFill="1" applyAlignment="1">
      <alignment horizontal="center"/>
    </xf>
    <xf numFmtId="0" fontId="0" fillId="18" borderId="0" xfId="0" applyFill="1" applyAlignment="1">
      <alignment horizontal="left" wrapText="1"/>
    </xf>
    <xf numFmtId="0" fontId="0" fillId="18" borderId="0" xfId="0" applyFill="1" applyAlignment="1">
      <alignment horizontal="center" wrapText="1"/>
    </xf>
    <xf numFmtId="170" fontId="0" fillId="18" borderId="0" xfId="2" applyNumberFormat="1" applyFont="1" applyFill="1" applyBorder="1" applyAlignment="1">
      <alignment horizontal="center" wrapText="1"/>
    </xf>
    <xf numFmtId="0" fontId="0" fillId="18" borderId="0" xfId="0" applyFill="1" applyAlignment="1">
      <alignment horizontal="left"/>
    </xf>
    <xf numFmtId="170" fontId="98" fillId="18" borderId="0" xfId="2" applyNumberFormat="1" applyFont="1" applyFill="1" applyBorder="1" applyAlignment="1">
      <alignment horizontal="center" wrapText="1"/>
    </xf>
    <xf numFmtId="170" fontId="93" fillId="18" borderId="0" xfId="2" applyNumberFormat="1" applyFont="1" applyFill="1" applyBorder="1" applyAlignment="1">
      <alignment horizontal="center" wrapText="1"/>
    </xf>
    <xf numFmtId="170" fontId="93" fillId="0" borderId="0" xfId="2" applyNumberFormat="1" applyFont="1" applyBorder="1" applyAlignment="1">
      <alignment horizontal="center"/>
    </xf>
    <xf numFmtId="170" fontId="93" fillId="0" borderId="0" xfId="2" applyNumberFormat="1" applyFont="1" applyFill="1" applyBorder="1" applyAlignment="1">
      <alignment horizontal="center"/>
    </xf>
    <xf numFmtId="0" fontId="0" fillId="0" borderId="0" xfId="0" applyAlignment="1">
      <alignment horizontal="center" wrapText="1"/>
    </xf>
    <xf numFmtId="170" fontId="93" fillId="0" borderId="0" xfId="2" applyNumberFormat="1" applyFont="1" applyFill="1" applyBorder="1" applyAlignment="1">
      <alignment horizontal="center" wrapText="1"/>
    </xf>
    <xf numFmtId="170" fontId="93" fillId="19" borderId="0" xfId="2" applyNumberFormat="1" applyFont="1" applyFill="1" applyBorder="1"/>
    <xf numFmtId="0" fontId="93" fillId="0" borderId="0" xfId="0" applyFont="1" applyAlignment="1">
      <alignment horizontal="center"/>
    </xf>
    <xf numFmtId="170" fontId="93" fillId="0" borderId="0" xfId="2" applyNumberFormat="1" applyFont="1" applyFill="1" applyBorder="1"/>
    <xf numFmtId="9" fontId="0" fillId="18" borderId="0" xfId="3" applyFont="1" applyFill="1" applyBorder="1" applyAlignment="1">
      <alignment horizontal="center" wrapText="1"/>
    </xf>
    <xf numFmtId="9" fontId="0" fillId="28" borderId="0" xfId="3" applyFont="1" applyFill="1" applyBorder="1" applyAlignment="1">
      <alignment horizontal="center" wrapText="1"/>
    </xf>
    <xf numFmtId="0" fontId="0" fillId="0" borderId="22" xfId="0" applyBorder="1" applyAlignment="1">
      <alignment horizontal="left"/>
    </xf>
    <xf numFmtId="170" fontId="0" fillId="0" borderId="17" xfId="2" applyNumberFormat="1" applyFont="1" applyBorder="1" applyAlignment="1">
      <alignment horizontal="center"/>
    </xf>
    <xf numFmtId="170" fontId="0" fillId="0" borderId="22" xfId="2" applyNumberFormat="1" applyFont="1" applyBorder="1" applyAlignment="1">
      <alignment horizontal="center"/>
    </xf>
    <xf numFmtId="0" fontId="0" fillId="22" borderId="20" xfId="0" applyFill="1" applyBorder="1" applyAlignment="1">
      <alignment horizontal="left"/>
    </xf>
    <xf numFmtId="0" fontId="0" fillId="0" borderId="19" xfId="0" applyBorder="1" applyAlignment="1">
      <alignment horizontal="center"/>
    </xf>
    <xf numFmtId="170" fontId="0" fillId="0" borderId="19" xfId="2" applyNumberFormat="1" applyFont="1" applyBorder="1" applyAlignment="1">
      <alignment horizontal="center"/>
    </xf>
    <xf numFmtId="0" fontId="0" fillId="22" borderId="26" xfId="0" applyFill="1" applyBorder="1" applyAlignment="1">
      <alignment horizontal="left"/>
    </xf>
    <xf numFmtId="0" fontId="0" fillId="0" borderId="15" xfId="0" applyBorder="1"/>
    <xf numFmtId="170" fontId="0" fillId="0" borderId="15" xfId="2" applyNumberFormat="1" applyFont="1" applyBorder="1"/>
    <xf numFmtId="170" fontId="0" fillId="0" borderId="0" xfId="2" applyNumberFormat="1" applyFont="1" applyFill="1" applyBorder="1"/>
    <xf numFmtId="0" fontId="0" fillId="16" borderId="26" xfId="0" applyFill="1" applyBorder="1" applyAlignment="1">
      <alignment wrapText="1"/>
    </xf>
    <xf numFmtId="0" fontId="0" fillId="16" borderId="15" xfId="0" applyFill="1" applyBorder="1"/>
    <xf numFmtId="14" fontId="0" fillId="16" borderId="15" xfId="2" applyNumberFormat="1" applyFont="1" applyFill="1" applyBorder="1" applyAlignment="1">
      <alignment horizontal="center"/>
    </xf>
    <xf numFmtId="14" fontId="0" fillId="16" borderId="24" xfId="2" applyNumberFormat="1" applyFont="1" applyFill="1" applyBorder="1" applyAlignment="1">
      <alignment horizontal="center"/>
    </xf>
    <xf numFmtId="14" fontId="0" fillId="16" borderId="25" xfId="2" applyNumberFormat="1" applyFont="1" applyFill="1" applyBorder="1" applyAlignment="1">
      <alignment horizontal="center"/>
    </xf>
    <xf numFmtId="0" fontId="0" fillId="16" borderId="23" xfId="0" applyFill="1" applyBorder="1" applyAlignment="1">
      <alignment wrapText="1"/>
    </xf>
    <xf numFmtId="0" fontId="0" fillId="0" borderId="22" xfId="0" applyBorder="1" applyAlignment="1">
      <alignment horizontal="left" indent="2"/>
    </xf>
    <xf numFmtId="0" fontId="0" fillId="0" borderId="0" xfId="0" applyAlignment="1">
      <alignment horizontal="left" indent="2"/>
    </xf>
    <xf numFmtId="9" fontId="93" fillId="0" borderId="0" xfId="3" applyFont="1" applyBorder="1" applyAlignment="1">
      <alignment horizontal="center"/>
    </xf>
    <xf numFmtId="9" fontId="93" fillId="0" borderId="17" xfId="3" applyFont="1" applyBorder="1" applyAlignment="1">
      <alignment horizontal="center"/>
    </xf>
    <xf numFmtId="9" fontId="93" fillId="0" borderId="22" xfId="3" applyFont="1" applyBorder="1" applyAlignment="1">
      <alignment horizontal="center"/>
    </xf>
    <xf numFmtId="9" fontId="99" fillId="0" borderId="22" xfId="3" applyFont="1" applyBorder="1" applyAlignment="1">
      <alignment horizontal="center"/>
    </xf>
    <xf numFmtId="9" fontId="99" fillId="0" borderId="0" xfId="3" applyFont="1" applyBorder="1" applyAlignment="1">
      <alignment horizontal="center"/>
    </xf>
    <xf numFmtId="0" fontId="0" fillId="16" borderId="21" xfId="0" applyFill="1" applyBorder="1" applyAlignment="1">
      <alignment wrapText="1"/>
    </xf>
    <xf numFmtId="0" fontId="0" fillId="0" borderId="20" xfId="0" applyBorder="1" applyAlignment="1">
      <alignment horizontal="left" indent="2"/>
    </xf>
    <xf numFmtId="0" fontId="0" fillId="0" borderId="19" xfId="0" applyBorder="1" applyAlignment="1">
      <alignment horizontal="left" indent="2"/>
    </xf>
    <xf numFmtId="0" fontId="0" fillId="0" borderId="19" xfId="0" applyBorder="1"/>
    <xf numFmtId="9" fontId="93" fillId="0" borderId="19" xfId="3" applyFont="1" applyBorder="1" applyAlignment="1">
      <alignment horizontal="center"/>
    </xf>
    <xf numFmtId="9" fontId="93" fillId="0" borderId="18" xfId="3" applyFont="1" applyBorder="1" applyAlignment="1">
      <alignment horizontal="center"/>
    </xf>
    <xf numFmtId="9" fontId="93" fillId="0" borderId="20" xfId="3" applyFont="1" applyBorder="1" applyAlignment="1">
      <alignment horizontal="center"/>
    </xf>
    <xf numFmtId="9" fontId="99" fillId="0" borderId="20" xfId="3" applyFont="1" applyBorder="1" applyAlignment="1">
      <alignment horizontal="center"/>
    </xf>
    <xf numFmtId="9" fontId="99" fillId="0" borderId="19" xfId="3" applyFont="1" applyBorder="1" applyAlignment="1">
      <alignment horizontal="center"/>
    </xf>
    <xf numFmtId="0" fontId="0" fillId="0" borderId="25" xfId="0" applyBorder="1" applyAlignment="1">
      <alignment horizontal="left" indent="2"/>
    </xf>
    <xf numFmtId="0" fontId="0" fillId="0" borderId="15" xfId="0" applyBorder="1" applyAlignment="1">
      <alignment horizontal="left" indent="2"/>
    </xf>
    <xf numFmtId="9" fontId="93" fillId="0" borderId="15" xfId="3" applyFont="1" applyBorder="1" applyAlignment="1">
      <alignment horizontal="center"/>
    </xf>
    <xf numFmtId="9" fontId="93" fillId="0" borderId="24" xfId="3" applyFont="1" applyBorder="1" applyAlignment="1">
      <alignment horizontal="center"/>
    </xf>
    <xf numFmtId="9" fontId="93" fillId="0" borderId="25" xfId="3" applyFont="1" applyBorder="1" applyAlignment="1">
      <alignment horizontal="center"/>
    </xf>
    <xf numFmtId="9" fontId="99" fillId="0" borderId="25" xfId="3" applyFont="1" applyBorder="1" applyAlignment="1">
      <alignment horizontal="center"/>
    </xf>
    <xf numFmtId="9" fontId="99" fillId="0" borderId="15" xfId="3" applyFont="1" applyBorder="1" applyAlignment="1">
      <alignment horizontal="center"/>
    </xf>
    <xf numFmtId="166" fontId="0" fillId="0" borderId="15" xfId="3" applyNumberFormat="1" applyFont="1" applyBorder="1" applyAlignment="1">
      <alignment horizontal="left" indent="2"/>
    </xf>
    <xf numFmtId="166" fontId="0" fillId="0" borderId="24" xfId="3" applyNumberFormat="1" applyFont="1" applyBorder="1" applyAlignment="1">
      <alignment horizontal="left" indent="2"/>
    </xf>
    <xf numFmtId="166" fontId="0" fillId="0" borderId="25" xfId="3" applyNumberFormat="1" applyFont="1" applyBorder="1" applyAlignment="1">
      <alignment horizontal="left" indent="2"/>
    </xf>
    <xf numFmtId="166" fontId="99" fillId="0" borderId="15" xfId="3" applyNumberFormat="1" applyFont="1" applyBorder="1" applyAlignment="1">
      <alignment horizontal="left" indent="2"/>
    </xf>
    <xf numFmtId="166" fontId="93" fillId="0" borderId="0" xfId="3" applyNumberFormat="1" applyFont="1" applyBorder="1" applyAlignment="1">
      <alignment horizontal="left" indent="2"/>
    </xf>
    <xf numFmtId="166" fontId="93" fillId="0" borderId="17" xfId="3" applyNumberFormat="1" applyFont="1" applyBorder="1" applyAlignment="1">
      <alignment horizontal="left" indent="2"/>
    </xf>
    <xf numFmtId="166" fontId="93" fillId="0" borderId="22" xfId="3" applyNumberFormat="1" applyFont="1" applyBorder="1" applyAlignment="1">
      <alignment horizontal="left" indent="2"/>
    </xf>
    <xf numFmtId="166" fontId="99" fillId="0" borderId="0" xfId="3" applyNumberFormat="1" applyFont="1" applyBorder="1" applyAlignment="1">
      <alignment horizontal="left" indent="2"/>
    </xf>
    <xf numFmtId="0" fontId="0" fillId="16" borderId="20" xfId="0" applyFill="1" applyBorder="1" applyAlignment="1">
      <alignment wrapText="1"/>
    </xf>
    <xf numFmtId="166" fontId="93" fillId="0" borderId="19" xfId="3" applyNumberFormat="1" applyFont="1" applyBorder="1" applyAlignment="1">
      <alignment horizontal="left" indent="2"/>
    </xf>
    <xf numFmtId="166" fontId="93" fillId="0" borderId="18" xfId="3" applyNumberFormat="1" applyFont="1" applyBorder="1" applyAlignment="1">
      <alignment horizontal="left" indent="2"/>
    </xf>
    <xf numFmtId="166" fontId="93" fillId="0" borderId="20" xfId="3" applyNumberFormat="1" applyFont="1" applyBorder="1" applyAlignment="1">
      <alignment horizontal="left" indent="2"/>
    </xf>
    <xf numFmtId="166" fontId="99" fillId="0" borderId="19" xfId="3" applyNumberFormat="1" applyFont="1" applyBorder="1" applyAlignment="1">
      <alignment horizontal="left" indent="2"/>
    </xf>
    <xf numFmtId="9" fontId="0" fillId="0" borderId="0" xfId="3" applyFont="1" applyBorder="1" applyAlignment="1">
      <alignment horizontal="center"/>
    </xf>
    <xf numFmtId="9" fontId="93" fillId="0" borderId="15" xfId="3" applyFont="1" applyBorder="1" applyAlignment="1">
      <alignment horizontal="left" indent="2"/>
    </xf>
    <xf numFmtId="0" fontId="93" fillId="0" borderId="15" xfId="0" applyFont="1" applyBorder="1"/>
    <xf numFmtId="9" fontId="93" fillId="0" borderId="24" xfId="3" applyFont="1" applyBorder="1" applyAlignment="1">
      <alignment horizontal="left" indent="2"/>
    </xf>
    <xf numFmtId="9" fontId="93" fillId="0" borderId="25" xfId="3" applyFont="1" applyBorder="1" applyAlignment="1">
      <alignment horizontal="left" indent="2"/>
    </xf>
    <xf numFmtId="9" fontId="93" fillId="0" borderId="0" xfId="3" applyFont="1" applyBorder="1" applyAlignment="1">
      <alignment horizontal="left" indent="2"/>
    </xf>
    <xf numFmtId="0" fontId="93" fillId="0" borderId="0" xfId="0" applyFont="1"/>
    <xf numFmtId="9" fontId="93" fillId="0" borderId="17" xfId="3" applyFont="1" applyBorder="1" applyAlignment="1">
      <alignment horizontal="left" indent="2"/>
    </xf>
    <xf numFmtId="9" fontId="93" fillId="0" borderId="22" xfId="3" applyFont="1" applyBorder="1" applyAlignment="1">
      <alignment horizontal="left" indent="2"/>
    </xf>
    <xf numFmtId="9" fontId="93" fillId="0" borderId="19" xfId="3" applyFont="1" applyBorder="1" applyAlignment="1">
      <alignment horizontal="left" indent="2"/>
    </xf>
    <xf numFmtId="0" fontId="93" fillId="0" borderId="19" xfId="0" applyFont="1" applyBorder="1"/>
    <xf numFmtId="9" fontId="93" fillId="0" borderId="18" xfId="3" applyFont="1" applyBorder="1" applyAlignment="1">
      <alignment horizontal="left" indent="2"/>
    </xf>
    <xf numFmtId="9" fontId="93" fillId="0" borderId="20" xfId="3" applyFont="1" applyBorder="1" applyAlignment="1">
      <alignment horizontal="left" indent="2"/>
    </xf>
    <xf numFmtId="41" fontId="0" fillId="0" borderId="0" xfId="0" applyNumberFormat="1"/>
    <xf numFmtId="41" fontId="0" fillId="5" borderId="0" xfId="0" applyNumberFormat="1" applyFill="1"/>
    <xf numFmtId="9" fontId="10" fillId="0" borderId="0" xfId="0" applyNumberFormat="1" applyFont="1" applyAlignment="1">
      <alignment horizontal="left" indent="2"/>
    </xf>
    <xf numFmtId="9" fontId="0" fillId="0" borderId="0" xfId="0" applyNumberFormat="1" applyAlignment="1">
      <alignment horizontal="center"/>
    </xf>
    <xf numFmtId="166" fontId="0" fillId="0" borderId="0" xfId="3" applyNumberFormat="1" applyFont="1" applyBorder="1" applyAlignment="1">
      <alignment horizontal="left" indent="2"/>
    </xf>
    <xf numFmtId="0" fontId="90" fillId="15" borderId="25" xfId="0" applyFont="1" applyFill="1" applyBorder="1" applyAlignment="1">
      <alignment horizontal="left"/>
    </xf>
    <xf numFmtId="0" fontId="90" fillId="15" borderId="15" xfId="0" applyFont="1" applyFill="1" applyBorder="1" applyAlignment="1">
      <alignment horizontal="center"/>
    </xf>
    <xf numFmtId="0" fontId="90" fillId="15" borderId="24" xfId="0" applyFont="1" applyFill="1" applyBorder="1" applyAlignment="1">
      <alignment horizontal="center"/>
    </xf>
    <xf numFmtId="0" fontId="100" fillId="0" borderId="0" xfId="3" applyNumberFormat="1" applyFont="1" applyBorder="1" applyAlignment="1">
      <alignment horizontal="left" indent="2"/>
    </xf>
    <xf numFmtId="0" fontId="93" fillId="7" borderId="25" xfId="0" applyFont="1" applyFill="1" applyBorder="1" applyAlignment="1">
      <alignment wrapText="1"/>
    </xf>
    <xf numFmtId="9" fontId="93" fillId="7" borderId="25" xfId="3" applyFont="1" applyFill="1" applyBorder="1" applyAlignment="1">
      <alignment horizontal="center" wrapText="1"/>
    </xf>
    <xf numFmtId="9" fontId="93" fillId="7" borderId="26" xfId="3" applyFont="1" applyFill="1" applyBorder="1" applyAlignment="1">
      <alignment horizontal="center" wrapText="1"/>
    </xf>
    <xf numFmtId="0" fontId="94" fillId="0" borderId="22" xfId="0" applyFont="1" applyBorder="1" applyAlignment="1">
      <alignment wrapText="1"/>
    </xf>
    <xf numFmtId="9" fontId="94" fillId="0" borderId="22" xfId="3" applyFont="1" applyFill="1" applyBorder="1" applyAlignment="1">
      <alignment horizontal="center" wrapText="1"/>
    </xf>
    <xf numFmtId="9" fontId="94" fillId="0" borderId="23" xfId="3" applyFont="1" applyFill="1" applyBorder="1" applyAlignment="1">
      <alignment horizontal="center" wrapText="1"/>
    </xf>
    <xf numFmtId="0" fontId="94" fillId="0" borderId="20" xfId="0" applyFont="1" applyBorder="1" applyAlignment="1">
      <alignment wrapText="1"/>
    </xf>
    <xf numFmtId="9" fontId="94" fillId="0" borderId="20" xfId="3" applyFont="1" applyFill="1" applyBorder="1" applyAlignment="1">
      <alignment horizontal="center" wrapText="1"/>
    </xf>
    <xf numFmtId="9" fontId="94" fillId="0" borderId="21" xfId="3" applyFont="1" applyFill="1" applyBorder="1" applyAlignment="1">
      <alignment horizontal="center" wrapText="1"/>
    </xf>
    <xf numFmtId="43" fontId="6" fillId="0" borderId="0" xfId="0" applyNumberFormat="1" applyFont="1" applyAlignment="1">
      <alignment horizontal="right"/>
    </xf>
    <xf numFmtId="0" fontId="101" fillId="0" borderId="0" xfId="4" applyFont="1"/>
    <xf numFmtId="185" fontId="101" fillId="24" borderId="41" xfId="4" applyNumberFormat="1" applyFont="1" applyFill="1" applyBorder="1" applyAlignment="1">
      <alignment horizontal="left"/>
    </xf>
    <xf numFmtId="0" fontId="90" fillId="26" borderId="42" xfId="4" applyFont="1" applyFill="1" applyBorder="1" applyAlignment="1">
      <alignment horizontal="left" vertical="top"/>
    </xf>
    <xf numFmtId="0" fontId="102" fillId="0" borderId="5" xfId="4" applyFont="1" applyBorder="1" applyAlignment="1">
      <alignment horizontal="left" wrapText="1"/>
    </xf>
    <xf numFmtId="0" fontId="3" fillId="0" borderId="5" xfId="0" applyFont="1" applyBorder="1" applyAlignment="1">
      <alignment horizontal="right"/>
    </xf>
    <xf numFmtId="0" fontId="3" fillId="0" borderId="5" xfId="0" applyFont="1" applyBorder="1" applyAlignment="1">
      <alignment horizontal="center"/>
    </xf>
    <xf numFmtId="0" fontId="101" fillId="24" borderId="0" xfId="4" applyFont="1" applyFill="1" applyAlignment="1">
      <alignment horizontal="left" vertical="top"/>
    </xf>
    <xf numFmtId="0" fontId="103" fillId="16" borderId="0" xfId="0" applyFont="1" applyFill="1"/>
    <xf numFmtId="0" fontId="103" fillId="16" borderId="0" xfId="0" applyFont="1" applyFill="1" applyAlignment="1">
      <alignment horizontal="right"/>
    </xf>
    <xf numFmtId="187" fontId="101" fillId="24" borderId="0" xfId="4" applyNumberFormat="1" applyFont="1" applyFill="1" applyAlignment="1">
      <alignment horizontal="center" vertical="top"/>
    </xf>
    <xf numFmtId="187" fontId="101" fillId="27" borderId="0" xfId="4" applyNumberFormat="1" applyFont="1" applyFill="1" applyAlignment="1">
      <alignment horizontal="center" vertical="top"/>
    </xf>
    <xf numFmtId="185" fontId="98" fillId="31" borderId="0" xfId="4" applyNumberFormat="1" applyFont="1" applyFill="1" applyAlignment="1">
      <alignment horizontal="left"/>
    </xf>
    <xf numFmtId="170" fontId="98" fillId="31" borderId="0" xfId="2" applyNumberFormat="1" applyFont="1" applyFill="1" applyAlignment="1">
      <alignment horizontal="left"/>
    </xf>
    <xf numFmtId="170" fontId="91" fillId="17" borderId="0" xfId="2" applyNumberFormat="1" applyFont="1" applyFill="1" applyAlignment="1"/>
    <xf numFmtId="0" fontId="91" fillId="0" borderId="0" xfId="0" applyFont="1" applyAlignment="1">
      <alignment horizontal="center"/>
    </xf>
    <xf numFmtId="185" fontId="101" fillId="24" borderId="0" xfId="4" applyNumberFormat="1" applyFont="1" applyFill="1" applyAlignment="1">
      <alignment horizontal="left"/>
    </xf>
    <xf numFmtId="0" fontId="0" fillId="3" borderId="15" xfId="0" applyFill="1" applyBorder="1" applyAlignment="1">
      <alignment horizontal="left" indent="2"/>
    </xf>
    <xf numFmtId="0" fontId="0" fillId="3" borderId="0" xfId="0" applyFill="1" applyAlignment="1">
      <alignment horizontal="left" indent="2"/>
    </xf>
    <xf numFmtId="0" fontId="0" fillId="3" borderId="0" xfId="0" applyFill="1"/>
    <xf numFmtId="166" fontId="0" fillId="3" borderId="0" xfId="3" applyNumberFormat="1" applyFont="1" applyFill="1" applyBorder="1" applyAlignment="1">
      <alignment horizontal="center"/>
    </xf>
    <xf numFmtId="166" fontId="0" fillId="3" borderId="0" xfId="0" applyNumberFormat="1" applyFill="1" applyAlignment="1">
      <alignment horizontal="center"/>
    </xf>
    <xf numFmtId="166" fontId="91" fillId="3" borderId="0" xfId="3" applyNumberFormat="1" applyFont="1" applyFill="1" applyBorder="1" applyAlignment="1">
      <alignment horizontal="center"/>
    </xf>
    <xf numFmtId="166" fontId="98" fillId="3" borderId="0" xfId="3" applyNumberFormat="1" applyFont="1" applyFill="1" applyBorder="1" applyAlignment="1">
      <alignment horizontal="center"/>
    </xf>
    <xf numFmtId="0" fontId="98" fillId="3" borderId="0" xfId="0" applyFont="1" applyFill="1"/>
    <xf numFmtId="0" fontId="0" fillId="3" borderId="19" xfId="0" applyFill="1" applyBorder="1" applyAlignment="1">
      <alignment horizontal="left" indent="2"/>
    </xf>
    <xf numFmtId="166" fontId="0" fillId="0" borderId="0" xfId="3" applyNumberFormat="1" applyFont="1" applyFill="1" applyBorder="1" applyAlignment="1">
      <alignment horizontal="center"/>
    </xf>
    <xf numFmtId="166" fontId="0" fillId="0" borderId="0" xfId="0" applyNumberFormat="1" applyAlignment="1">
      <alignment horizontal="center"/>
    </xf>
    <xf numFmtId="166" fontId="91" fillId="0" borderId="0" xfId="3" applyNumberFormat="1" applyFont="1" applyFill="1" applyBorder="1" applyAlignment="1">
      <alignment horizontal="center"/>
    </xf>
    <xf numFmtId="166" fontId="98" fillId="0" borderId="0" xfId="3" applyNumberFormat="1" applyFont="1" applyFill="1" applyBorder="1" applyAlignment="1">
      <alignment horizontal="center"/>
    </xf>
    <xf numFmtId="0" fontId="98" fillId="0" borderId="0" xfId="0" applyFont="1"/>
    <xf numFmtId="0" fontId="3" fillId="0" borderId="25" xfId="0" applyFont="1" applyBorder="1" applyAlignment="1">
      <alignment wrapText="1"/>
    </xf>
    <xf numFmtId="0" fontId="101" fillId="0" borderId="22" xfId="4" applyFont="1" applyBorder="1"/>
    <xf numFmtId="9" fontId="0" fillId="0" borderId="0" xfId="3" applyFont="1" applyFill="1" applyBorder="1" applyAlignment="1">
      <alignment horizontal="center"/>
    </xf>
    <xf numFmtId="0" fontId="2" fillId="2" borderId="69" xfId="0" applyFont="1" applyFill="1" applyBorder="1" applyAlignment="1">
      <alignment horizontal="centerContinuous"/>
    </xf>
    <xf numFmtId="0" fontId="2" fillId="2" borderId="4" xfId="0" applyFont="1" applyFill="1" applyBorder="1" applyAlignment="1">
      <alignment horizontal="centerContinuous"/>
    </xf>
    <xf numFmtId="0" fontId="2" fillId="2" borderId="70" xfId="0" applyFont="1" applyFill="1" applyBorder="1" applyAlignment="1">
      <alignment horizontal="centerContinuous"/>
    </xf>
    <xf numFmtId="0" fontId="3" fillId="5" borderId="71" xfId="0" applyFont="1" applyFill="1" applyBorder="1" applyAlignment="1">
      <alignment wrapText="1"/>
    </xf>
    <xf numFmtId="0" fontId="0" fillId="5" borderId="0" xfId="0" applyFill="1" applyAlignment="1">
      <alignment horizontal="center"/>
    </xf>
    <xf numFmtId="0" fontId="0" fillId="5" borderId="10" xfId="0" applyFill="1" applyBorder="1" applyAlignment="1">
      <alignment horizontal="center"/>
    </xf>
    <xf numFmtId="0" fontId="0" fillId="5" borderId="72" xfId="0" applyFill="1" applyBorder="1" applyAlignment="1">
      <alignment horizontal="center"/>
    </xf>
    <xf numFmtId="0" fontId="101" fillId="5" borderId="71" xfId="4" applyFont="1" applyFill="1" applyBorder="1"/>
    <xf numFmtId="0" fontId="101" fillId="5" borderId="71" xfId="4" quotePrefix="1" applyFont="1" applyFill="1" applyBorder="1"/>
    <xf numFmtId="0" fontId="101" fillId="5" borderId="12" xfId="4" quotePrefix="1" applyFont="1" applyFill="1" applyBorder="1"/>
    <xf numFmtId="0" fontId="90" fillId="2" borderId="0" xfId="0" applyFont="1" applyFill="1" applyAlignment="1">
      <alignment horizontal="centerContinuous"/>
    </xf>
    <xf numFmtId="0" fontId="0" fillId="0" borderId="29" xfId="0" applyBorder="1" applyAlignment="1">
      <alignment wrapText="1"/>
    </xf>
    <xf numFmtId="0" fontId="0" fillId="0" borderId="22" xfId="0" applyBorder="1" applyAlignment="1">
      <alignment wrapText="1"/>
    </xf>
    <xf numFmtId="0" fontId="0" fillId="29" borderId="0" xfId="0" applyFill="1" applyAlignment="1">
      <alignment horizontal="left"/>
    </xf>
    <xf numFmtId="0" fontId="0" fillId="29" borderId="17" xfId="0" applyFill="1" applyBorder="1" applyAlignment="1">
      <alignment horizontal="left"/>
    </xf>
    <xf numFmtId="0" fontId="0" fillId="30" borderId="25" xfId="0" applyFill="1" applyBorder="1" applyAlignment="1">
      <alignment horizontal="left"/>
    </xf>
    <xf numFmtId="0" fontId="0" fillId="0" borderId="17" xfId="0" applyBorder="1" applyAlignment="1">
      <alignment horizontal="right"/>
    </xf>
    <xf numFmtId="0" fontId="0" fillId="0" borderId="20" xfId="0" applyBorder="1" applyAlignment="1">
      <alignment horizontal="left"/>
    </xf>
    <xf numFmtId="43" fontId="0" fillId="0" borderId="0" xfId="0" applyNumberFormat="1" applyAlignment="1">
      <alignment horizontal="right"/>
    </xf>
    <xf numFmtId="170" fontId="0" fillId="0" borderId="24" xfId="2" applyNumberFormat="1" applyFont="1" applyBorder="1"/>
    <xf numFmtId="170" fontId="0" fillId="0" borderId="17" xfId="2" applyNumberFormat="1" applyFont="1" applyBorder="1"/>
    <xf numFmtId="3" fontId="0" fillId="0" borderId="0" xfId="0" applyNumberFormat="1" applyAlignment="1">
      <alignment horizontal="right"/>
    </xf>
    <xf numFmtId="0" fontId="0" fillId="0" borderId="17" xfId="0" applyBorder="1" applyAlignment="1">
      <alignment horizontal="left"/>
    </xf>
    <xf numFmtId="0" fontId="105" fillId="0" borderId="22" xfId="0" applyFont="1" applyBorder="1" applyAlignment="1">
      <alignment horizontal="left"/>
    </xf>
    <xf numFmtId="0" fontId="105" fillId="0" borderId="0" xfId="0" applyFont="1" applyAlignment="1">
      <alignment horizontal="right"/>
    </xf>
    <xf numFmtId="188" fontId="105" fillId="0" borderId="0" xfId="0" applyNumberFormat="1" applyFont="1" applyAlignment="1">
      <alignment horizontal="right"/>
    </xf>
    <xf numFmtId="0" fontId="105" fillId="0" borderId="0" xfId="0" applyFont="1"/>
    <xf numFmtId="0" fontId="105" fillId="0" borderId="17" xfId="0" applyFont="1" applyBorder="1" applyAlignment="1">
      <alignment horizontal="left"/>
    </xf>
    <xf numFmtId="0" fontId="106" fillId="0" borderId="22" xfId="0" applyFont="1" applyBorder="1" applyAlignment="1">
      <alignment horizontal="left"/>
    </xf>
    <xf numFmtId="0" fontId="106" fillId="0" borderId="0" xfId="0" applyFont="1" applyAlignment="1">
      <alignment horizontal="right"/>
    </xf>
    <xf numFmtId="188" fontId="106" fillId="0" borderId="0" xfId="0" applyNumberFormat="1" applyFont="1" applyAlignment="1">
      <alignment horizontal="right"/>
    </xf>
    <xf numFmtId="0" fontId="106" fillId="0" borderId="0" xfId="0" applyFont="1" applyAlignment="1">
      <alignment horizontal="left"/>
    </xf>
    <xf numFmtId="0" fontId="106" fillId="0" borderId="0" xfId="0" applyFont="1"/>
    <xf numFmtId="0" fontId="106" fillId="0" borderId="17" xfId="0" applyFont="1" applyBorder="1" applyAlignment="1">
      <alignment horizontal="left"/>
    </xf>
    <xf numFmtId="0" fontId="105" fillId="0" borderId="20" xfId="0" applyFont="1" applyBorder="1" applyAlignment="1">
      <alignment horizontal="left"/>
    </xf>
    <xf numFmtId="0" fontId="105" fillId="0" borderId="19" xfId="0" applyFont="1" applyBorder="1" applyAlignment="1">
      <alignment horizontal="right"/>
    </xf>
    <xf numFmtId="0" fontId="105" fillId="0" borderId="19" xfId="0" applyFont="1" applyBorder="1" applyAlignment="1">
      <alignment horizontal="left"/>
    </xf>
    <xf numFmtId="4" fontId="105" fillId="0" borderId="19" xfId="0" applyNumberFormat="1" applyFont="1" applyBorder="1" applyAlignment="1">
      <alignment horizontal="right"/>
    </xf>
    <xf numFmtId="0" fontId="105" fillId="0" borderId="19" xfId="0" applyFont="1" applyBorder="1"/>
    <xf numFmtId="0" fontId="105" fillId="0" borderId="18" xfId="0" applyFont="1" applyBorder="1" applyAlignment="1">
      <alignment horizontal="left"/>
    </xf>
    <xf numFmtId="0" fontId="105" fillId="0" borderId="0" xfId="0" applyFont="1" applyAlignment="1">
      <alignment horizontal="left"/>
    </xf>
    <xf numFmtId="4" fontId="105" fillId="0" borderId="0" xfId="0" applyNumberFormat="1" applyFont="1" applyAlignment="1">
      <alignment horizontal="right"/>
    </xf>
    <xf numFmtId="0" fontId="107" fillId="0" borderId="0" xfId="0" applyFont="1"/>
    <xf numFmtId="0" fontId="3" fillId="0" borderId="74" xfId="0" applyFont="1" applyBorder="1"/>
    <xf numFmtId="166" fontId="7" fillId="0" borderId="0" xfId="0" applyNumberFormat="1" applyFont="1"/>
    <xf numFmtId="166" fontId="7" fillId="0" borderId="0" xfId="0" applyNumberFormat="1" applyFont="1" applyAlignment="1">
      <alignment horizontal="right"/>
    </xf>
    <xf numFmtId="0" fontId="108" fillId="24" borderId="0" xfId="4" applyFont="1" applyFill="1" applyAlignment="1">
      <alignment horizontal="left" vertical="top"/>
    </xf>
    <xf numFmtId="187" fontId="108" fillId="24" borderId="0" xfId="4" applyNumberFormat="1" applyFont="1" applyFill="1" applyAlignment="1">
      <alignment horizontal="right" vertical="top"/>
    </xf>
    <xf numFmtId="0" fontId="109" fillId="24" borderId="0" xfId="4" applyFont="1" applyFill="1" applyAlignment="1">
      <alignment horizontal="left" vertical="top"/>
    </xf>
    <xf numFmtId="9" fontId="109" fillId="31" borderId="0" xfId="4" applyNumberFormat="1" applyFont="1" applyFill="1" applyAlignment="1">
      <alignment horizontal="right" vertical="top"/>
    </xf>
    <xf numFmtId="0" fontId="108" fillId="37" borderId="0" xfId="4" applyFont="1" applyFill="1" applyAlignment="1">
      <alignment horizontal="left" vertical="top"/>
    </xf>
    <xf numFmtId="187" fontId="108" fillId="37" borderId="0" xfId="4" applyNumberFormat="1" applyFont="1" applyFill="1" applyAlignment="1">
      <alignment horizontal="right" vertical="top"/>
    </xf>
    <xf numFmtId="0" fontId="108" fillId="38" borderId="0" xfId="4" applyFont="1" applyFill="1" applyAlignment="1">
      <alignment horizontal="left" vertical="top"/>
    </xf>
    <xf numFmtId="187" fontId="108" fillId="38" borderId="0" xfId="4" applyNumberFormat="1" applyFont="1" applyFill="1" applyAlignment="1">
      <alignment horizontal="right" vertical="top"/>
    </xf>
    <xf numFmtId="0" fontId="64" fillId="24" borderId="0" xfId="4" applyFont="1" applyFill="1" applyAlignment="1">
      <alignment horizontal="left" vertical="top" indent="2"/>
    </xf>
    <xf numFmtId="9" fontId="109" fillId="31" borderId="44" xfId="4" applyNumberFormat="1" applyFont="1" applyFill="1" applyBorder="1" applyAlignment="1">
      <alignment horizontal="right" vertical="top"/>
    </xf>
    <xf numFmtId="178" fontId="0" fillId="0" borderId="0" xfId="0" applyNumberFormat="1" applyAlignment="1">
      <alignment horizontal="center"/>
    </xf>
    <xf numFmtId="166" fontId="104" fillId="0" borderId="0" xfId="0" applyNumberFormat="1" applyFont="1" applyAlignment="1">
      <alignment horizontal="center"/>
    </xf>
    <xf numFmtId="0" fontId="90" fillId="2" borderId="0" xfId="0" applyFont="1" applyFill="1" applyAlignment="1">
      <alignment horizontal="left"/>
    </xf>
    <xf numFmtId="172" fontId="0" fillId="0" borderId="0" xfId="0" applyNumberFormat="1"/>
    <xf numFmtId="0" fontId="38" fillId="0" borderId="45" xfId="0" applyFont="1" applyBorder="1"/>
    <xf numFmtId="0" fontId="35" fillId="0" borderId="46" xfId="0" applyFont="1" applyBorder="1"/>
    <xf numFmtId="0" fontId="35" fillId="0" borderId="47" xfId="0" applyFont="1" applyBorder="1"/>
    <xf numFmtId="189" fontId="110" fillId="0" borderId="48" xfId="0" applyNumberFormat="1" applyFont="1" applyBorder="1"/>
    <xf numFmtId="0" fontId="35" fillId="0" borderId="49" xfId="0" applyFont="1" applyBorder="1"/>
    <xf numFmtId="189" fontId="31" fillId="36" borderId="66" xfId="0" applyNumberFormat="1" applyFont="1" applyFill="1" applyBorder="1"/>
    <xf numFmtId="10" fontId="31" fillId="0" borderId="24" xfId="3" applyNumberFormat="1" applyFont="1" applyBorder="1"/>
    <xf numFmtId="189" fontId="111" fillId="0" borderId="48" xfId="0" applyNumberFormat="1" applyFont="1" applyBorder="1"/>
    <xf numFmtId="41" fontId="44" fillId="36" borderId="67" xfId="0" applyNumberFormat="1" applyFont="1" applyFill="1" applyBorder="1"/>
    <xf numFmtId="2" fontId="31" fillId="0" borderId="17" xfId="0" applyNumberFormat="1" applyFont="1" applyBorder="1"/>
    <xf numFmtId="189" fontId="38" fillId="0" borderId="50" xfId="0" applyNumberFormat="1" applyFont="1" applyBorder="1"/>
    <xf numFmtId="0" fontId="35" fillId="0" borderId="51" xfId="0" applyFont="1" applyBorder="1"/>
    <xf numFmtId="0" fontId="35" fillId="0" borderId="52" xfId="0" applyFont="1" applyBorder="1"/>
    <xf numFmtId="41" fontId="25" fillId="36" borderId="67" xfId="0" applyNumberFormat="1" applyFont="1" applyFill="1" applyBorder="1"/>
    <xf numFmtId="10" fontId="31" fillId="0" borderId="17" xfId="0" applyNumberFormat="1" applyFont="1" applyBorder="1"/>
    <xf numFmtId="166" fontId="21" fillId="2" borderId="18" xfId="0" applyNumberFormat="1" applyFont="1" applyFill="1" applyBorder="1"/>
    <xf numFmtId="41" fontId="39" fillId="36" borderId="67" xfId="0" applyNumberFormat="1" applyFont="1" applyFill="1" applyBorder="1"/>
    <xf numFmtId="41" fontId="39" fillId="36" borderId="68" xfId="0" applyNumberFormat="1" applyFont="1" applyFill="1" applyBorder="1"/>
    <xf numFmtId="0" fontId="42" fillId="0" borderId="0" xfId="0" applyFont="1" applyAlignment="1">
      <alignment wrapText="1"/>
    </xf>
    <xf numFmtId="171" fontId="35" fillId="0" borderId="0" xfId="0" applyNumberFormat="1" applyFont="1"/>
    <xf numFmtId="5" fontId="112" fillId="4" borderId="24" xfId="0" applyNumberFormat="1" applyFont="1" applyFill="1" applyBorder="1"/>
    <xf numFmtId="9" fontId="35" fillId="0" borderId="17" xfId="0" applyNumberFormat="1" applyFont="1" applyBorder="1"/>
    <xf numFmtId="5" fontId="112" fillId="4" borderId="17" xfId="0" applyNumberFormat="1" applyFont="1" applyFill="1" applyBorder="1"/>
    <xf numFmtId="166" fontId="42" fillId="0" borderId="17" xfId="0" applyNumberFormat="1" applyFont="1" applyBorder="1"/>
    <xf numFmtId="0" fontId="35" fillId="0" borderId="20" xfId="0" applyFont="1" applyBorder="1"/>
    <xf numFmtId="175" fontId="42" fillId="0" borderId="4" xfId="0" applyNumberFormat="1" applyFont="1" applyBorder="1"/>
    <xf numFmtId="9" fontId="42" fillId="0" borderId="53" xfId="0" applyNumberFormat="1" applyFont="1" applyBorder="1"/>
    <xf numFmtId="166" fontId="21" fillId="2" borderId="44" xfId="0" applyNumberFormat="1" applyFont="1" applyFill="1" applyBorder="1"/>
    <xf numFmtId="0" fontId="113" fillId="19" borderId="0" xfId="0" applyFont="1" applyFill="1"/>
    <xf numFmtId="41" fontId="113" fillId="19" borderId="0" xfId="0" applyNumberFormat="1" applyFont="1" applyFill="1"/>
    <xf numFmtId="42" fontId="113" fillId="19" borderId="0" xfId="0" applyNumberFormat="1" applyFont="1" applyFill="1" applyAlignment="1">
      <alignment horizontal="right"/>
    </xf>
    <xf numFmtId="0" fontId="114" fillId="36" borderId="0" xfId="0" applyFont="1" applyFill="1"/>
    <xf numFmtId="5" fontId="113" fillId="36" borderId="0" xfId="0" applyNumberFormat="1" applyFont="1" applyFill="1"/>
    <xf numFmtId="42" fontId="113" fillId="36" borderId="0" xfId="0" applyNumberFormat="1" applyFont="1" applyFill="1" applyAlignment="1">
      <alignment horizontal="right"/>
    </xf>
    <xf numFmtId="0" fontId="35" fillId="36" borderId="0" xfId="0" applyFont="1" applyFill="1"/>
    <xf numFmtId="190" fontId="35" fillId="0" borderId="0" xfId="0" applyNumberFormat="1" applyFont="1"/>
    <xf numFmtId="0" fontId="38" fillId="0" borderId="29" xfId="0" applyFont="1" applyBorder="1"/>
    <xf numFmtId="0" fontId="38" fillId="0" borderId="28" xfId="0" applyFont="1" applyBorder="1"/>
    <xf numFmtId="0" fontId="38" fillId="0" borderId="27" xfId="0" applyFont="1" applyBorder="1"/>
    <xf numFmtId="0" fontId="42" fillId="0" borderId="22" xfId="0" applyFont="1" applyBorder="1"/>
    <xf numFmtId="41" fontId="35" fillId="36" borderId="25" xfId="0" applyNumberFormat="1" applyFont="1" applyFill="1" applyBorder="1" applyAlignment="1">
      <alignment horizontal="right"/>
    </xf>
    <xf numFmtId="41" fontId="35" fillId="36" borderId="15" xfId="0" applyNumberFormat="1" applyFont="1" applyFill="1" applyBorder="1" applyAlignment="1">
      <alignment horizontal="right"/>
    </xf>
    <xf numFmtId="41" fontId="35" fillId="36" borderId="57" xfId="0" applyNumberFormat="1" applyFont="1" applyFill="1" applyBorder="1" applyAlignment="1">
      <alignment horizontal="right"/>
    </xf>
    <xf numFmtId="41" fontId="35" fillId="36" borderId="64" xfId="0" applyNumberFormat="1" applyFont="1" applyFill="1" applyBorder="1" applyAlignment="1">
      <alignment horizontal="right"/>
    </xf>
    <xf numFmtId="41" fontId="35" fillId="36" borderId="58" xfId="0" applyNumberFormat="1" applyFont="1" applyFill="1" applyBorder="1" applyAlignment="1">
      <alignment horizontal="right"/>
    </xf>
    <xf numFmtId="41" fontId="35" fillId="36" borderId="22" xfId="0" applyNumberFormat="1" applyFont="1" applyFill="1" applyBorder="1" applyAlignment="1">
      <alignment horizontal="right"/>
    </xf>
    <xf numFmtId="41" fontId="35" fillId="36" borderId="0" xfId="0" applyNumberFormat="1" applyFont="1" applyFill="1" applyAlignment="1">
      <alignment horizontal="right"/>
    </xf>
    <xf numFmtId="41" fontId="35" fillId="36" borderId="59" xfId="0" applyNumberFormat="1" applyFont="1" applyFill="1" applyBorder="1" applyAlignment="1">
      <alignment horizontal="right"/>
    </xf>
    <xf numFmtId="41" fontId="35" fillId="36" borderId="60" xfId="0" applyNumberFormat="1" applyFont="1" applyFill="1" applyBorder="1" applyAlignment="1">
      <alignment horizontal="right"/>
    </xf>
    <xf numFmtId="0" fontId="42" fillId="0" borderId="22" xfId="0" quotePrefix="1" applyFont="1" applyBorder="1"/>
    <xf numFmtId="0" fontId="42" fillId="0" borderId="0" xfId="0" quotePrefix="1" applyFont="1"/>
    <xf numFmtId="9" fontId="31" fillId="0" borderId="0" xfId="0" quotePrefix="1" applyNumberFormat="1" applyFont="1"/>
    <xf numFmtId="41" fontId="115" fillId="36" borderId="22" xfId="0" applyNumberFormat="1" applyFont="1" applyFill="1" applyBorder="1" applyAlignment="1">
      <alignment horizontal="right"/>
    </xf>
    <xf numFmtId="41" fontId="115" fillId="36" borderId="0" xfId="0" applyNumberFormat="1" applyFont="1" applyFill="1" applyAlignment="1">
      <alignment horizontal="right"/>
    </xf>
    <xf numFmtId="41" fontId="115" fillId="36" borderId="59" xfId="0" applyNumberFormat="1" applyFont="1" applyFill="1" applyBorder="1" applyAlignment="1">
      <alignment horizontal="right"/>
    </xf>
    <xf numFmtId="41" fontId="115" fillId="36" borderId="60" xfId="0" applyNumberFormat="1" applyFont="1" applyFill="1" applyBorder="1" applyAlignment="1">
      <alignment horizontal="right"/>
    </xf>
    <xf numFmtId="41" fontId="39" fillId="36" borderId="22" xfId="0" applyNumberFormat="1" applyFont="1" applyFill="1" applyBorder="1" applyAlignment="1">
      <alignment horizontal="right"/>
    </xf>
    <xf numFmtId="41" fontId="39" fillId="36" borderId="0" xfId="0" applyNumberFormat="1" applyFont="1" applyFill="1" applyAlignment="1">
      <alignment horizontal="right"/>
    </xf>
    <xf numFmtId="41" fontId="39" fillId="36" borderId="59" xfId="0" applyNumberFormat="1" applyFont="1" applyFill="1" applyBorder="1" applyAlignment="1">
      <alignment horizontal="right"/>
    </xf>
    <xf numFmtId="41" fontId="39" fillId="36" borderId="60" xfId="0" applyNumberFormat="1" applyFont="1" applyFill="1" applyBorder="1" applyAlignment="1">
      <alignment horizontal="right"/>
    </xf>
    <xf numFmtId="41" fontId="39" fillId="36" borderId="62" xfId="0" applyNumberFormat="1" applyFont="1" applyFill="1" applyBorder="1" applyAlignment="1">
      <alignment horizontal="right"/>
    </xf>
    <xf numFmtId="41" fontId="39" fillId="36" borderId="65" xfId="0" applyNumberFormat="1" applyFont="1" applyFill="1" applyBorder="1" applyAlignment="1">
      <alignment horizontal="right"/>
    </xf>
    <xf numFmtId="41" fontId="39" fillId="36" borderId="63" xfId="0" applyNumberFormat="1" applyFont="1" applyFill="1" applyBorder="1" applyAlignment="1">
      <alignment horizontal="right"/>
    </xf>
    <xf numFmtId="0" fontId="42" fillId="0" borderId="54" xfId="0" applyFont="1" applyBorder="1"/>
    <xf numFmtId="0" fontId="42" fillId="0" borderId="4" xfId="0" applyFont="1" applyBorder="1"/>
    <xf numFmtId="41" fontId="42" fillId="36" borderId="54" xfId="0" applyNumberFormat="1" applyFont="1" applyFill="1" applyBorder="1" applyAlignment="1">
      <alignment horizontal="right"/>
    </xf>
    <xf numFmtId="41" fontId="42" fillId="36" borderId="53" xfId="0" applyNumberFormat="1" applyFont="1" applyFill="1" applyBorder="1" applyAlignment="1">
      <alignment horizontal="right"/>
    </xf>
    <xf numFmtId="41" fontId="42" fillId="36" borderId="19" xfId="0" applyNumberFormat="1" applyFont="1" applyFill="1" applyBorder="1" applyAlignment="1">
      <alignment horizontal="right"/>
    </xf>
    <xf numFmtId="41" fontId="42" fillId="36" borderId="18" xfId="0" applyNumberFormat="1" applyFont="1" applyFill="1" applyBorder="1" applyAlignment="1">
      <alignment horizontal="right"/>
    </xf>
    <xf numFmtId="0" fontId="42" fillId="0" borderId="20" xfId="0" applyFont="1" applyBorder="1"/>
    <xf numFmtId="0" fontId="42" fillId="0" borderId="19" xfId="0" applyFont="1" applyBorder="1"/>
    <xf numFmtId="41" fontId="42" fillId="36" borderId="20" xfId="0" applyNumberFormat="1" applyFont="1" applyFill="1" applyBorder="1" applyAlignment="1">
      <alignment horizontal="right"/>
    </xf>
    <xf numFmtId="0" fontId="35" fillId="0" borderId="22" xfId="0" applyFont="1" applyBorder="1"/>
    <xf numFmtId="166" fontId="31" fillId="0" borderId="17" xfId="3" applyNumberFormat="1" applyFont="1" applyBorder="1"/>
    <xf numFmtId="0" fontId="35" fillId="0" borderId="55" xfId="0" applyFont="1" applyBorder="1"/>
    <xf numFmtId="10" fontId="35" fillId="0" borderId="56" xfId="0" applyNumberFormat="1" applyFont="1" applyBorder="1"/>
    <xf numFmtId="10" fontId="35" fillId="0" borderId="17" xfId="3" applyNumberFormat="1" applyFont="1" applyBorder="1"/>
    <xf numFmtId="10" fontId="35" fillId="0" borderId="17" xfId="0" applyNumberFormat="1" applyFont="1" applyBorder="1"/>
    <xf numFmtId="9" fontId="35" fillId="0" borderId="17" xfId="3" applyFont="1" applyBorder="1"/>
    <xf numFmtId="10" fontId="35" fillId="0" borderId="18" xfId="0" applyNumberFormat="1" applyFont="1" applyBorder="1"/>
    <xf numFmtId="9" fontId="116" fillId="0" borderId="0" xfId="3" applyFont="1" applyFill="1" applyBorder="1" applyAlignment="1">
      <alignment horizontal="centerContinuous"/>
    </xf>
    <xf numFmtId="0" fontId="25" fillId="0" borderId="57" xfId="6" applyFont="1" applyBorder="1"/>
    <xf numFmtId="166" fontId="31" fillId="0" borderId="58" xfId="3" applyNumberFormat="1" applyFont="1" applyFill="1" applyBorder="1" applyAlignment="1" applyProtection="1"/>
    <xf numFmtId="169" fontId="33" fillId="0" borderId="0" xfId="7" applyNumberFormat="1" applyFont="1" applyAlignment="1">
      <alignment horizontal="centerContinuous"/>
    </xf>
    <xf numFmtId="0" fontId="25" fillId="0" borderId="25" xfId="6" applyFont="1" applyBorder="1"/>
    <xf numFmtId="191" fontId="25" fillId="0" borderId="24" xfId="3" applyNumberFormat="1" applyFont="1" applyFill="1" applyBorder="1" applyAlignment="1" applyProtection="1"/>
    <xf numFmtId="0" fontId="25" fillId="0" borderId="59" xfId="6" applyFont="1" applyBorder="1"/>
    <xf numFmtId="166" fontId="25" fillId="0" borderId="60" xfId="6" applyNumberFormat="1" applyFont="1" applyBorder="1"/>
    <xf numFmtId="0" fontId="25" fillId="0" borderId="0" xfId="6" applyFont="1"/>
    <xf numFmtId="0" fontId="25" fillId="0" borderId="22" xfId="6" applyFont="1" applyBorder="1"/>
    <xf numFmtId="166" fontId="25" fillId="0" borderId="17" xfId="3" applyNumberFormat="1" applyFont="1" applyFill="1" applyBorder="1" applyAlignment="1" applyProtection="1"/>
    <xf numFmtId="0" fontId="25" fillId="0" borderId="60" xfId="6" applyFont="1" applyBorder="1"/>
    <xf numFmtId="166" fontId="25" fillId="0" borderId="0" xfId="6" applyNumberFormat="1" applyFont="1"/>
    <xf numFmtId="0" fontId="25" fillId="0" borderId="17" xfId="6" applyFont="1" applyBorder="1"/>
    <xf numFmtId="41" fontId="25" fillId="0" borderId="59" xfId="6" applyNumberFormat="1" applyFont="1" applyBorder="1"/>
    <xf numFmtId="41" fontId="25" fillId="0" borderId="60" xfId="2" applyNumberFormat="1" applyFont="1" applyBorder="1" applyAlignment="1"/>
    <xf numFmtId="41" fontId="25" fillId="0" borderId="17" xfId="2" applyNumberFormat="1" applyFont="1" applyBorder="1" applyAlignment="1"/>
    <xf numFmtId="41" fontId="35" fillId="0" borderId="60" xfId="0" applyNumberFormat="1" applyFont="1" applyBorder="1"/>
    <xf numFmtId="192" fontId="25" fillId="0" borderId="0" xfId="5" applyNumberFormat="1" applyFont="1" applyFill="1" applyBorder="1" applyAlignment="1" applyProtection="1"/>
    <xf numFmtId="41" fontId="35" fillId="0" borderId="17" xfId="0" applyNumberFormat="1" applyFont="1" applyBorder="1"/>
    <xf numFmtId="41" fontId="33" fillId="0" borderId="59" xfId="6" applyNumberFormat="1" applyFont="1" applyBorder="1"/>
    <xf numFmtId="41" fontId="33" fillId="0" borderId="61" xfId="6" applyNumberFormat="1" applyFont="1" applyBorder="1"/>
    <xf numFmtId="0" fontId="33" fillId="0" borderId="22" xfId="6" applyFont="1" applyBorder="1"/>
    <xf numFmtId="41" fontId="25" fillId="0" borderId="59" xfId="6" applyNumberFormat="1" applyFont="1" applyBorder="1" applyAlignment="1">
      <alignment horizontal="left" indent="1"/>
    </xf>
    <xf numFmtId="41" fontId="25" fillId="0" borderId="60" xfId="6" applyNumberFormat="1" applyFont="1" applyBorder="1"/>
    <xf numFmtId="193" fontId="33" fillId="0" borderId="0" xfId="5" applyNumberFormat="1" applyFont="1" applyFill="1" applyBorder="1" applyAlignment="1"/>
    <xf numFmtId="0" fontId="25" fillId="0" borderId="22" xfId="6" applyFont="1" applyBorder="1" applyAlignment="1">
      <alignment horizontal="left" indent="1"/>
    </xf>
    <xf numFmtId="41" fontId="25" fillId="0" borderId="61" xfId="6" applyNumberFormat="1" applyFont="1" applyBorder="1"/>
    <xf numFmtId="169" fontId="25" fillId="0" borderId="0" xfId="5" applyNumberFormat="1" applyFont="1" applyFill="1" applyBorder="1" applyAlignment="1"/>
    <xf numFmtId="41" fontId="25" fillId="0" borderId="56" xfId="6" applyNumberFormat="1" applyFont="1" applyBorder="1"/>
    <xf numFmtId="41" fontId="25" fillId="0" borderId="60" xfId="2" applyNumberFormat="1" applyFont="1" applyFill="1" applyBorder="1" applyAlignment="1"/>
    <xf numFmtId="166" fontId="29" fillId="0" borderId="0" xfId="3" applyNumberFormat="1" applyFont="1" applyFill="1" applyBorder="1" applyAlignment="1"/>
    <xf numFmtId="41" fontId="25" fillId="0" borderId="17" xfId="6" applyNumberFormat="1" applyFont="1" applyBorder="1"/>
    <xf numFmtId="41" fontId="33" fillId="0" borderId="59" xfId="6" applyNumberFormat="1" applyFont="1" applyBorder="1" applyAlignment="1">
      <alignment horizontal="left"/>
    </xf>
    <xf numFmtId="41" fontId="33" fillId="34" borderId="60" xfId="5" applyNumberFormat="1" applyFont="1" applyFill="1" applyBorder="1" applyAlignment="1"/>
    <xf numFmtId="0" fontId="33" fillId="0" borderId="0" xfId="0" applyFont="1" applyAlignment="1">
      <alignment horizontal="center" vertical="top"/>
    </xf>
    <xf numFmtId="0" fontId="33" fillId="0" borderId="22" xfId="6" applyFont="1" applyBorder="1" applyAlignment="1">
      <alignment horizontal="left"/>
    </xf>
    <xf numFmtId="41" fontId="33" fillId="34" borderId="17" xfId="5" applyNumberFormat="1" applyFont="1" applyFill="1" applyBorder="1" applyAlignment="1"/>
    <xf numFmtId="0" fontId="33" fillId="0" borderId="62" xfId="6" applyFont="1" applyBorder="1" applyAlignment="1">
      <alignment horizontal="left"/>
    </xf>
    <xf numFmtId="194" fontId="33" fillId="35" borderId="63" xfId="3" applyNumberFormat="1" applyFont="1" applyFill="1" applyBorder="1" applyAlignment="1"/>
    <xf numFmtId="0" fontId="33" fillId="0" borderId="20" xfId="6" applyFont="1" applyBorder="1" applyAlignment="1">
      <alignment horizontal="left"/>
    </xf>
    <xf numFmtId="194" fontId="33" fillId="35" borderId="18" xfId="3" applyNumberFormat="1" applyFont="1" applyFill="1" applyBorder="1" applyAlignment="1"/>
    <xf numFmtId="195" fontId="35" fillId="0" borderId="0" xfId="0" applyNumberFormat="1" applyFont="1"/>
    <xf numFmtId="0" fontId="21" fillId="2" borderId="22" xfId="6" applyFont="1" applyFill="1" applyBorder="1" applyAlignment="1">
      <alignment horizontal="left"/>
    </xf>
    <xf numFmtId="0" fontId="21" fillId="2" borderId="25" xfId="6" applyFont="1" applyFill="1" applyBorder="1"/>
    <xf numFmtId="0" fontId="21" fillId="2" borderId="15" xfId="6" applyFont="1" applyFill="1" applyBorder="1"/>
    <xf numFmtId="0" fontId="21" fillId="2" borderId="25" xfId="6" applyFont="1" applyFill="1" applyBorder="1" applyAlignment="1">
      <alignment horizontal="center"/>
    </xf>
    <xf numFmtId="0" fontId="21" fillId="2" borderId="76" xfId="6" applyFont="1" applyFill="1" applyBorder="1" applyAlignment="1">
      <alignment horizontal="center"/>
    </xf>
    <xf numFmtId="0" fontId="21" fillId="2" borderId="75" xfId="6" applyFont="1" applyFill="1" applyBorder="1" applyAlignment="1">
      <alignment horizontal="center"/>
    </xf>
    <xf numFmtId="0" fontId="23" fillId="2" borderId="24" xfId="6" applyFont="1" applyFill="1" applyBorder="1"/>
    <xf numFmtId="0" fontId="21" fillId="2" borderId="17" xfId="6" applyFont="1" applyFill="1" applyBorder="1"/>
    <xf numFmtId="0" fontId="21" fillId="2" borderId="0" xfId="6" applyFont="1" applyFill="1"/>
    <xf numFmtId="0" fontId="21" fillId="2" borderId="22" xfId="6" applyFont="1" applyFill="1" applyBorder="1"/>
    <xf numFmtId="0" fontId="21" fillId="2" borderId="0" xfId="6" applyFont="1" applyFill="1" applyAlignment="1">
      <alignment horizontal="center"/>
    </xf>
    <xf numFmtId="0" fontId="21" fillId="2" borderId="22" xfId="6" applyFont="1" applyFill="1" applyBorder="1" applyAlignment="1">
      <alignment horizontal="center"/>
    </xf>
    <xf numFmtId="41" fontId="25" fillId="36" borderId="77" xfId="0" applyNumberFormat="1" applyFont="1" applyFill="1" applyBorder="1"/>
    <xf numFmtId="0" fontId="7" fillId="0" borderId="0" xfId="0" applyFont="1"/>
    <xf numFmtId="0" fontId="7" fillId="0" borderId="0" xfId="0" applyFont="1" applyAlignment="1">
      <alignment horizontal="right"/>
    </xf>
    <xf numFmtId="44" fontId="35" fillId="0" borderId="0" xfId="0" applyNumberFormat="1" applyFont="1"/>
    <xf numFmtId="0" fontId="21" fillId="2" borderId="0" xfId="0" applyFont="1" applyFill="1" applyAlignment="1">
      <alignment horizontal="left"/>
    </xf>
    <xf numFmtId="0" fontId="42" fillId="4" borderId="44" xfId="0" applyFont="1" applyFill="1" applyBorder="1"/>
    <xf numFmtId="197" fontId="3" fillId="0" borderId="44" xfId="0" applyNumberFormat="1" applyFont="1" applyBorder="1"/>
    <xf numFmtId="0" fontId="117" fillId="0" borderId="6" xfId="0" applyFont="1" applyBorder="1" applyAlignment="1">
      <alignment horizontal="center"/>
    </xf>
    <xf numFmtId="0" fontId="33" fillId="11" borderId="73" xfId="0" applyFont="1" applyFill="1" applyBorder="1"/>
    <xf numFmtId="166" fontId="91" fillId="5" borderId="0" xfId="0" applyNumberFormat="1" applyFont="1" applyFill="1" applyAlignment="1">
      <alignment horizontal="center"/>
    </xf>
    <xf numFmtId="166" fontId="91" fillId="5" borderId="10" xfId="0" applyNumberFormat="1" applyFont="1" applyFill="1" applyBorder="1" applyAlignment="1">
      <alignment horizontal="center"/>
    </xf>
    <xf numFmtId="166" fontId="104" fillId="4" borderId="13" xfId="0" applyNumberFormat="1" applyFont="1" applyFill="1" applyBorder="1" applyAlignment="1">
      <alignment horizontal="center"/>
    </xf>
    <xf numFmtId="166" fontId="104" fillId="4" borderId="6" xfId="0" applyNumberFormat="1" applyFont="1" applyFill="1" applyBorder="1" applyAlignment="1">
      <alignment horizontal="center"/>
    </xf>
    <xf numFmtId="166" fontId="0" fillId="5" borderId="0" xfId="0" applyNumberFormat="1" applyFill="1" applyAlignment="1">
      <alignment horizontal="center"/>
    </xf>
    <xf numFmtId="166" fontId="0" fillId="5" borderId="10" xfId="0" applyNumberFormat="1" applyFill="1" applyBorder="1" applyAlignment="1">
      <alignment horizontal="center"/>
    </xf>
    <xf numFmtId="166" fontId="0" fillId="5" borderId="73" xfId="0" applyNumberFormat="1" applyFill="1" applyBorder="1" applyAlignment="1">
      <alignment horizontal="center"/>
    </xf>
    <xf numFmtId="166" fontId="0" fillId="5" borderId="7" xfId="0" applyNumberFormat="1" applyFill="1" applyBorder="1" applyAlignment="1">
      <alignment horizontal="center"/>
    </xf>
    <xf numFmtId="10" fontId="91" fillId="5" borderId="0" xfId="0" applyNumberFormat="1" applyFont="1" applyFill="1" applyAlignment="1">
      <alignment horizontal="center"/>
    </xf>
    <xf numFmtId="10" fontId="91" fillId="5" borderId="10" xfId="0" applyNumberFormat="1" applyFont="1" applyFill="1" applyBorder="1" applyAlignment="1">
      <alignment horizontal="center"/>
    </xf>
    <xf numFmtId="10" fontId="104" fillId="4" borderId="13" xfId="0" applyNumberFormat="1" applyFont="1" applyFill="1" applyBorder="1" applyAlignment="1">
      <alignment horizontal="center"/>
    </xf>
    <xf numFmtId="10" fontId="104" fillId="4" borderId="6" xfId="0" applyNumberFormat="1" applyFont="1" applyFill="1" applyBorder="1" applyAlignment="1">
      <alignment horizontal="center"/>
    </xf>
    <xf numFmtId="10" fontId="0" fillId="5" borderId="0" xfId="0" applyNumberFormat="1" applyFill="1" applyAlignment="1">
      <alignment horizontal="center"/>
    </xf>
    <xf numFmtId="10" fontId="0" fillId="5" borderId="10" xfId="0" applyNumberFormat="1" applyFill="1" applyBorder="1" applyAlignment="1">
      <alignment horizontal="center"/>
    </xf>
    <xf numFmtId="10" fontId="0" fillId="5" borderId="73" xfId="0" applyNumberFormat="1" applyFill="1" applyBorder="1" applyAlignment="1">
      <alignment horizontal="center"/>
    </xf>
    <xf numFmtId="10" fontId="0" fillId="5" borderId="7" xfId="0" applyNumberFormat="1" applyFill="1" applyBorder="1" applyAlignment="1">
      <alignment horizontal="center"/>
    </xf>
    <xf numFmtId="180" fontId="104" fillId="4" borderId="6" xfId="0" applyNumberFormat="1" applyFont="1" applyFill="1" applyBorder="1" applyAlignment="1">
      <alignment horizontal="center"/>
    </xf>
    <xf numFmtId="0" fontId="25" fillId="0" borderId="0" xfId="0" quotePrefix="1" applyFont="1" applyAlignment="1">
      <alignment horizontal="left" indent="1"/>
    </xf>
    <xf numFmtId="0" fontId="35" fillId="0" borderId="0" xfId="0" quotePrefix="1" applyFont="1" applyAlignment="1">
      <alignment horizontal="left" indent="1"/>
    </xf>
    <xf numFmtId="166" fontId="25" fillId="4" borderId="6" xfId="0" applyNumberFormat="1" applyFont="1" applyFill="1" applyBorder="1"/>
    <xf numFmtId="166" fontId="25" fillId="0" borderId="6" xfId="0" applyNumberFormat="1" applyFont="1" applyBorder="1"/>
    <xf numFmtId="166" fontId="26" fillId="4" borderId="0" xfId="0" applyNumberFormat="1" applyFont="1" applyFill="1"/>
    <xf numFmtId="10" fontId="88" fillId="8" borderId="0" xfId="0" applyNumberFormat="1" applyFont="1" applyFill="1" applyAlignment="1">
      <alignment horizontal="center"/>
    </xf>
    <xf numFmtId="167" fontId="24" fillId="8" borderId="0" xfId="0" applyNumberFormat="1" applyFont="1" applyFill="1" applyAlignment="1">
      <alignment horizontal="center"/>
    </xf>
    <xf numFmtId="169" fontId="24" fillId="8" borderId="0" xfId="0" applyNumberFormat="1" applyFont="1" applyFill="1" applyAlignment="1">
      <alignment horizontal="center"/>
    </xf>
    <xf numFmtId="169" fontId="32" fillId="0" borderId="0" xfId="0" applyNumberFormat="1" applyFont="1" applyAlignment="1">
      <alignment horizontal="center"/>
    </xf>
    <xf numFmtId="10" fontId="27" fillId="0" borderId="0" xfId="0" applyNumberFormat="1" applyFont="1" applyAlignment="1">
      <alignment horizontal="center"/>
    </xf>
    <xf numFmtId="10" fontId="35" fillId="0" borderId="0" xfId="0" applyNumberFormat="1" applyFont="1" applyAlignment="1">
      <alignment horizontal="center"/>
    </xf>
    <xf numFmtId="175" fontId="27" fillId="0" borderId="0" xfId="0" applyNumberFormat="1" applyFont="1" applyAlignment="1">
      <alignment horizontal="center"/>
    </xf>
    <xf numFmtId="9" fontId="113" fillId="0" borderId="0" xfId="0" applyNumberFormat="1" applyFont="1"/>
    <xf numFmtId="166" fontId="113" fillId="0" borderId="0" xfId="0" applyNumberFormat="1" applyFont="1"/>
    <xf numFmtId="0" fontId="19" fillId="3" borderId="0" xfId="0" applyFont="1" applyFill="1"/>
    <xf numFmtId="0" fontId="23" fillId="3" borderId="0" xfId="0" applyFont="1" applyFill="1"/>
    <xf numFmtId="168" fontId="45" fillId="3" borderId="0" xfId="0" applyNumberFormat="1" applyFont="1" applyFill="1" applyAlignment="1">
      <alignment horizontal="center"/>
    </xf>
    <xf numFmtId="166" fontId="24" fillId="8" borderId="6" xfId="0" applyNumberFormat="1" applyFont="1" applyFill="1" applyBorder="1" applyAlignment="1">
      <alignment horizontal="center" vertical="center"/>
    </xf>
    <xf numFmtId="0" fontId="35" fillId="3" borderId="0" xfId="0" applyFont="1" applyFill="1" applyAlignment="1">
      <alignment horizontal="center" vertical="center"/>
    </xf>
    <xf numFmtId="179" fontId="25" fillId="0" borderId="0" xfId="0" applyNumberFormat="1" applyFont="1"/>
    <xf numFmtId="10" fontId="19" fillId="0" borderId="0" xfId="0" applyNumberFormat="1" applyFont="1"/>
    <xf numFmtId="170" fontId="26" fillId="0" borderId="0" xfId="0" applyNumberFormat="1" applyFont="1"/>
    <xf numFmtId="0" fontId="21" fillId="0" borderId="0" xfId="0" applyFont="1"/>
    <xf numFmtId="37" fontId="35" fillId="0" borderId="0" xfId="0" applyNumberFormat="1" applyFont="1"/>
    <xf numFmtId="37" fontId="42" fillId="0" borderId="0" xfId="0" applyNumberFormat="1" applyFont="1"/>
    <xf numFmtId="166" fontId="24" fillId="8" borderId="11" xfId="0" applyNumberFormat="1" applyFont="1" applyFill="1" applyBorder="1" applyAlignment="1">
      <alignment horizontal="center"/>
    </xf>
    <xf numFmtId="0" fontId="19" fillId="0" borderId="2" xfId="0" applyFont="1" applyBorder="1" applyAlignment="1">
      <alignment horizontal="left" indent="7"/>
    </xf>
    <xf numFmtId="10" fontId="25" fillId="4" borderId="6" xfId="0" applyNumberFormat="1" applyFont="1" applyFill="1" applyBorder="1"/>
    <xf numFmtId="10" fontId="91" fillId="5" borderId="73" xfId="0" applyNumberFormat="1" applyFont="1" applyFill="1" applyBorder="1" applyAlignment="1">
      <alignment horizontal="center"/>
    </xf>
    <xf numFmtId="178" fontId="7" fillId="3" borderId="15" xfId="0" applyNumberFormat="1" applyFont="1" applyFill="1" applyBorder="1"/>
    <xf numFmtId="178" fontId="7" fillId="3" borderId="0" xfId="0" applyNumberFormat="1" applyFont="1" applyFill="1"/>
    <xf numFmtId="0" fontId="25" fillId="0" borderId="0" xfId="8" applyFont="1"/>
    <xf numFmtId="0" fontId="119" fillId="0" borderId="0" xfId="8" applyFont="1"/>
    <xf numFmtId="0" fontId="33" fillId="0" borderId="0" xfId="8" applyFont="1"/>
    <xf numFmtId="1" fontId="25" fillId="0" borderId="0" xfId="8" applyNumberFormat="1" applyFont="1"/>
    <xf numFmtId="0" fontId="120" fillId="33" borderId="0" xfId="8" applyFont="1" applyFill="1" applyAlignment="1">
      <alignment horizontal="centerContinuous"/>
    </xf>
    <xf numFmtId="0" fontId="122" fillId="33" borderId="0" xfId="8" applyFont="1" applyFill="1"/>
    <xf numFmtId="14" fontId="116" fillId="33" borderId="7" xfId="8" applyNumberFormat="1" applyFont="1" applyFill="1" applyBorder="1" applyAlignment="1">
      <alignment horizontal="center"/>
    </xf>
    <xf numFmtId="200" fontId="21" fillId="40" borderId="7" xfId="0" applyNumberFormat="1" applyFont="1" applyFill="1" applyBorder="1" applyAlignment="1">
      <alignment horizontal="center"/>
    </xf>
    <xf numFmtId="44" fontId="26" fillId="0" borderId="0" xfId="8" applyNumberFormat="1" applyFont="1"/>
    <xf numFmtId="199" fontId="39" fillId="0" borderId="0" xfId="8" applyNumberFormat="1" applyFont="1"/>
    <xf numFmtId="198" fontId="25" fillId="0" borderId="0" xfId="8" applyNumberFormat="1" applyFont="1"/>
    <xf numFmtId="198" fontId="26" fillId="0" borderId="0" xfId="8" applyNumberFormat="1" applyFont="1"/>
    <xf numFmtId="198" fontId="26" fillId="36" borderId="0" xfId="8" applyNumberFormat="1" applyFont="1" applyFill="1"/>
    <xf numFmtId="201" fontId="25" fillId="0" borderId="0" xfId="8" applyNumberFormat="1" applyFont="1"/>
    <xf numFmtId="43" fontId="26" fillId="0" borderId="0" xfId="8" applyNumberFormat="1" applyFont="1"/>
    <xf numFmtId="199" fontId="25" fillId="0" borderId="0" xfId="8" applyNumberFormat="1" applyFont="1"/>
    <xf numFmtId="199" fontId="26" fillId="0" borderId="0" xfId="8" applyNumberFormat="1" applyFont="1"/>
    <xf numFmtId="199" fontId="26" fillId="36" borderId="0" xfId="8" applyNumberFormat="1" applyFont="1" applyFill="1"/>
    <xf numFmtId="0" fontId="25" fillId="36" borderId="0" xfId="8" applyFont="1" applyFill="1"/>
    <xf numFmtId="0" fontId="25" fillId="0" borderId="78" xfId="8" applyFont="1" applyBorder="1"/>
    <xf numFmtId="0" fontId="25" fillId="0" borderId="1" xfId="8" applyFont="1" applyBorder="1"/>
    <xf numFmtId="44" fontId="25" fillId="0" borderId="1" xfId="8" applyNumberFormat="1" applyFont="1" applyBorder="1"/>
    <xf numFmtId="202" fontId="25" fillId="0" borderId="1" xfId="8" applyNumberFormat="1" applyFont="1" applyBorder="1"/>
    <xf numFmtId="201" fontId="25" fillId="0" borderId="1" xfId="8" applyNumberFormat="1" applyFont="1" applyBorder="1"/>
    <xf numFmtId="201" fontId="25" fillId="0" borderId="79" xfId="8" applyNumberFormat="1" applyFont="1" applyBorder="1"/>
    <xf numFmtId="0" fontId="25" fillId="0" borderId="71" xfId="8" applyFont="1" applyBorder="1"/>
    <xf numFmtId="43" fontId="25" fillId="0" borderId="0" xfId="8" applyNumberFormat="1" applyFont="1"/>
    <xf numFmtId="203" fontId="25" fillId="0" borderId="0" xfId="8" applyNumberFormat="1" applyFont="1"/>
    <xf numFmtId="201" fontId="25" fillId="0" borderId="10" xfId="8" applyNumberFormat="1" applyFont="1" applyBorder="1"/>
    <xf numFmtId="0" fontId="33" fillId="41" borderId="13" xfId="8" applyFont="1" applyFill="1" applyBorder="1"/>
    <xf numFmtId="0" fontId="33" fillId="41" borderId="2" xfId="8" applyFont="1" applyFill="1" applyBorder="1"/>
    <xf numFmtId="44" fontId="33" fillId="41" borderId="2" xfId="8" applyNumberFormat="1" applyFont="1" applyFill="1" applyBorder="1"/>
    <xf numFmtId="202" fontId="33" fillId="41" borderId="2" xfId="8" applyNumberFormat="1" applyFont="1" applyFill="1" applyBorder="1"/>
    <xf numFmtId="201" fontId="33" fillId="41" borderId="2" xfId="8" applyNumberFormat="1" applyFont="1" applyFill="1" applyBorder="1"/>
    <xf numFmtId="201" fontId="33" fillId="41" borderId="14" xfId="8" applyNumberFormat="1" applyFont="1" applyFill="1" applyBorder="1"/>
    <xf numFmtId="0" fontId="25" fillId="0" borderId="12" xfId="8" applyFont="1" applyBorder="1"/>
    <xf numFmtId="0" fontId="33" fillId="0" borderId="7" xfId="8" applyFont="1" applyBorder="1"/>
    <xf numFmtId="43" fontId="25" fillId="0" borderId="7" xfId="8" applyNumberFormat="1" applyFont="1" applyBorder="1"/>
    <xf numFmtId="203" fontId="25" fillId="0" borderId="7" xfId="8" applyNumberFormat="1" applyFont="1" applyBorder="1"/>
    <xf numFmtId="201" fontId="25" fillId="0" borderId="7" xfId="8" applyNumberFormat="1" applyFont="1" applyBorder="1"/>
    <xf numFmtId="201" fontId="25" fillId="0" borderId="73" xfId="8" applyNumberFormat="1" applyFont="1" applyBorder="1"/>
    <xf numFmtId="0" fontId="25" fillId="0" borderId="0" xfId="8" applyFont="1" applyAlignment="1">
      <alignment horizontal="center"/>
    </xf>
    <xf numFmtId="0" fontId="33" fillId="0" borderId="0" xfId="8" applyFont="1" applyAlignment="1">
      <alignment horizontal="center"/>
    </xf>
    <xf numFmtId="43" fontId="33" fillId="0" borderId="0" xfId="8" applyNumberFormat="1" applyFont="1" applyAlignment="1">
      <alignment horizontal="center"/>
    </xf>
    <xf numFmtId="204" fontId="25" fillId="0" borderId="0" xfId="8" applyNumberFormat="1" applyFont="1"/>
    <xf numFmtId="204" fontId="25" fillId="0" borderId="0" xfId="8" applyNumberFormat="1" applyFont="1" applyAlignment="1">
      <alignment horizontal="right"/>
    </xf>
    <xf numFmtId="204" fontId="25" fillId="0" borderId="1" xfId="8" applyNumberFormat="1" applyFont="1" applyBorder="1"/>
    <xf numFmtId="204" fontId="25" fillId="0" borderId="79" xfId="8" applyNumberFormat="1" applyFont="1" applyBorder="1"/>
    <xf numFmtId="204" fontId="25" fillId="0" borderId="10" xfId="8" applyNumberFormat="1" applyFont="1" applyBorder="1"/>
    <xf numFmtId="204" fontId="33" fillId="41" borderId="2" xfId="8" applyNumberFormat="1" applyFont="1" applyFill="1" applyBorder="1"/>
    <xf numFmtId="204" fontId="33" fillId="41" borderId="14" xfId="8" applyNumberFormat="1" applyFont="1" applyFill="1" applyBorder="1"/>
    <xf numFmtId="204" fontId="25" fillId="0" borderId="7" xfId="8" applyNumberFormat="1" applyFont="1" applyBorder="1"/>
    <xf numFmtId="204" fontId="25" fillId="0" borderId="73" xfId="8" applyNumberFormat="1" applyFont="1" applyBorder="1"/>
    <xf numFmtId="204" fontId="21" fillId="39" borderId="80" xfId="8" applyNumberFormat="1" applyFont="1" applyFill="1" applyBorder="1"/>
    <xf numFmtId="206" fontId="25" fillId="0" borderId="0" xfId="8" applyNumberFormat="1" applyFont="1"/>
    <xf numFmtId="0" fontId="35" fillId="0" borderId="0" xfId="10" applyFont="1"/>
    <xf numFmtId="0" fontId="119" fillId="0" borderId="0" xfId="10" applyFont="1"/>
    <xf numFmtId="204" fontId="32" fillId="0" borderId="0" xfId="0" applyNumberFormat="1" applyFont="1"/>
    <xf numFmtId="198" fontId="32" fillId="0" borderId="0" xfId="0" applyNumberFormat="1" applyFont="1"/>
    <xf numFmtId="199" fontId="32" fillId="0" borderId="0" xfId="0" applyNumberFormat="1" applyFont="1"/>
    <xf numFmtId="0" fontId="33" fillId="7" borderId="7" xfId="8" applyFont="1" applyFill="1" applyBorder="1"/>
    <xf numFmtId="0" fontId="35" fillId="7" borderId="7" xfId="0" applyFont="1" applyFill="1" applyBorder="1"/>
    <xf numFmtId="198" fontId="42" fillId="7" borderId="7" xfId="0" applyNumberFormat="1" applyFont="1" applyFill="1" applyBorder="1"/>
    <xf numFmtId="0" fontId="42" fillId="7" borderId="7" xfId="10" applyFont="1" applyFill="1" applyBorder="1" applyAlignment="1">
      <alignment horizontal="centerContinuous"/>
    </xf>
    <xf numFmtId="0" fontId="35" fillId="7" borderId="7" xfId="10" applyFont="1" applyFill="1" applyBorder="1" applyAlignment="1">
      <alignment horizontal="centerContinuous"/>
    </xf>
    <xf numFmtId="0" fontId="25" fillId="0" borderId="0" xfId="8" applyFont="1" applyAlignment="1">
      <alignment horizontal="left" indent="1"/>
    </xf>
    <xf numFmtId="199" fontId="26" fillId="0" borderId="0" xfId="0" applyNumberFormat="1" applyFont="1"/>
    <xf numFmtId="198" fontId="35" fillId="0" borderId="0" xfId="0" applyNumberFormat="1" applyFont="1"/>
    <xf numFmtId="199" fontId="35" fillId="0" borderId="0" xfId="0" applyNumberFormat="1" applyFont="1"/>
    <xf numFmtId="199" fontId="26" fillId="0" borderId="7" xfId="0" applyNumberFormat="1" applyFont="1" applyBorder="1"/>
    <xf numFmtId="0" fontId="33" fillId="7" borderId="1" xfId="8" applyFont="1" applyFill="1" applyBorder="1" applyAlignment="1">
      <alignment horizontal="left"/>
    </xf>
    <xf numFmtId="0" fontId="25" fillId="7" borderId="1" xfId="8" applyFont="1" applyFill="1" applyBorder="1"/>
    <xf numFmtId="199" fontId="33" fillId="7" borderId="0" xfId="8" applyNumberFormat="1" applyFont="1" applyFill="1"/>
    <xf numFmtId="207" fontId="26" fillId="0" borderId="0" xfId="0" applyNumberFormat="1" applyFont="1"/>
    <xf numFmtId="0" fontId="33" fillId="17" borderId="78" xfId="8" applyFont="1" applyFill="1" applyBorder="1"/>
    <xf numFmtId="0" fontId="25" fillId="17" borderId="1" xfId="8" applyFont="1" applyFill="1" applyBorder="1"/>
    <xf numFmtId="44" fontId="33" fillId="17" borderId="79" xfId="8" applyNumberFormat="1" applyFont="1" applyFill="1" applyBorder="1"/>
    <xf numFmtId="0" fontId="33" fillId="17" borderId="12" xfId="8" applyFont="1" applyFill="1" applyBorder="1"/>
    <xf numFmtId="0" fontId="25" fillId="17" borderId="7" xfId="8" applyFont="1" applyFill="1" applyBorder="1"/>
    <xf numFmtId="208" fontId="33" fillId="17" borderId="73" xfId="8" applyNumberFormat="1" applyFont="1" applyFill="1" applyBorder="1"/>
    <xf numFmtId="0" fontId="0" fillId="0" borderId="2" xfId="0" applyBorder="1"/>
    <xf numFmtId="0" fontId="14" fillId="0" borderId="2" xfId="0" applyFont="1" applyBorder="1" applyAlignment="1">
      <alignment horizontal="left"/>
    </xf>
    <xf numFmtId="0" fontId="25" fillId="0" borderId="2" xfId="8" applyFont="1" applyBorder="1"/>
    <xf numFmtId="0" fontId="25" fillId="0" borderId="13" xfId="8" applyFont="1" applyBorder="1"/>
    <xf numFmtId="0" fontId="120" fillId="33" borderId="0" xfId="8" applyFont="1" applyFill="1" applyAlignment="1">
      <alignment horizontal="left"/>
    </xf>
    <xf numFmtId="0" fontId="120" fillId="33" borderId="0" xfId="8" applyFont="1" applyFill="1" applyAlignment="1">
      <alignment horizontal="center"/>
    </xf>
    <xf numFmtId="4" fontId="7" fillId="8" borderId="0" xfId="0" applyNumberFormat="1" applyFont="1" applyFill="1"/>
    <xf numFmtId="209" fontId="7" fillId="0" borderId="0" xfId="0" applyNumberFormat="1" applyFont="1"/>
    <xf numFmtId="210" fontId="0" fillId="0" borderId="0" xfId="0" applyNumberFormat="1" applyAlignment="1">
      <alignment horizontal="left" indent="1"/>
    </xf>
    <xf numFmtId="4" fontId="7" fillId="8" borderId="74" xfId="0" applyNumberFormat="1" applyFont="1" applyFill="1" applyBorder="1"/>
    <xf numFmtId="209" fontId="8" fillId="0" borderId="0" xfId="0" applyNumberFormat="1" applyFont="1"/>
    <xf numFmtId="4" fontId="0" fillId="8" borderId="0" xfId="0" applyNumberFormat="1" applyFill="1"/>
    <xf numFmtId="209" fontId="0" fillId="0" borderId="0" xfId="0" applyNumberFormat="1"/>
    <xf numFmtId="188" fontId="8" fillId="0" borderId="0" xfId="0" applyNumberFormat="1" applyFont="1"/>
    <xf numFmtId="188" fontId="0" fillId="0" borderId="0" xfId="0" applyNumberFormat="1"/>
    <xf numFmtId="188" fontId="8" fillId="0" borderId="0" xfId="0" applyNumberFormat="1" applyFont="1" applyAlignment="1">
      <alignment horizontal="right"/>
    </xf>
    <xf numFmtId="0" fontId="21" fillId="2" borderId="0" xfId="11" applyFont="1" applyFill="1"/>
    <xf numFmtId="0" fontId="21" fillId="2" borderId="0" xfId="11" applyFont="1" applyFill="1" applyAlignment="1">
      <alignment horizontal="right"/>
    </xf>
    <xf numFmtId="0" fontId="118" fillId="0" borderId="0" xfId="11" applyFont="1"/>
    <xf numFmtId="39" fontId="26" fillId="0" borderId="0" xfId="11" applyNumberFormat="1" applyFont="1" applyAlignment="1">
      <alignment horizontal="right"/>
    </xf>
    <xf numFmtId="191" fontId="26" fillId="0" borderId="0" xfId="11" applyNumberFormat="1" applyFont="1" applyAlignment="1">
      <alignment horizontal="right"/>
    </xf>
    <xf numFmtId="37" fontId="26" fillId="0" borderId="0" xfId="11" applyNumberFormat="1" applyFont="1" applyAlignment="1">
      <alignment horizontal="right"/>
    </xf>
    <xf numFmtId="49" fontId="118" fillId="0" borderId="0" xfId="11" quotePrefix="1" applyNumberFormat="1" applyFont="1"/>
    <xf numFmtId="0" fontId="25" fillId="0" borderId="0" xfId="11" applyFont="1"/>
    <xf numFmtId="49" fontId="25" fillId="0" borderId="0" xfId="11" applyNumberFormat="1" applyFont="1" applyAlignment="1">
      <alignment horizontal="right"/>
    </xf>
    <xf numFmtId="0" fontId="116" fillId="2" borderId="0" xfId="9" applyFont="1" applyFill="1" applyAlignment="1">
      <alignment horizontal="left"/>
    </xf>
    <xf numFmtId="0" fontId="116" fillId="2" borderId="0" xfId="8" applyFont="1" applyFill="1"/>
    <xf numFmtId="0" fontId="120" fillId="2" borderId="0" xfId="8" applyFont="1" applyFill="1" applyAlignment="1">
      <alignment horizontal="centerContinuous"/>
    </xf>
    <xf numFmtId="0" fontId="121" fillId="2" borderId="0" xfId="8" applyFont="1" applyFill="1" applyAlignment="1">
      <alignment horizontal="centerContinuous"/>
    </xf>
    <xf numFmtId="0" fontId="122" fillId="2" borderId="0" xfId="8" applyFont="1" applyFill="1"/>
    <xf numFmtId="0" fontId="116" fillId="2" borderId="0" xfId="8" applyFont="1" applyFill="1" applyAlignment="1">
      <alignment horizontal="center"/>
    </xf>
    <xf numFmtId="0" fontId="122" fillId="2" borderId="0" xfId="8" applyFont="1" applyFill="1" applyAlignment="1">
      <alignment horizontal="centerContinuous"/>
    </xf>
    <xf numFmtId="0" fontId="116" fillId="2" borderId="7" xfId="8" applyFont="1" applyFill="1" applyBorder="1"/>
    <xf numFmtId="0" fontId="116" fillId="2" borderId="7" xfId="8" applyFont="1" applyFill="1" applyBorder="1" applyAlignment="1">
      <alignment horizontal="center"/>
    </xf>
    <xf numFmtId="14" fontId="116" fillId="2" borderId="7" xfId="8" applyNumberFormat="1" applyFont="1" applyFill="1" applyBorder="1" applyAlignment="1">
      <alignment horizontal="center"/>
    </xf>
    <xf numFmtId="200" fontId="21" fillId="2" borderId="7" xfId="0" applyNumberFormat="1" applyFont="1" applyFill="1" applyBorder="1" applyAlignment="1">
      <alignment horizontal="center"/>
    </xf>
    <xf numFmtId="0" fontId="21" fillId="2" borderId="13" xfId="8" applyFont="1" applyFill="1" applyBorder="1"/>
    <xf numFmtId="0" fontId="21" fillId="2" borderId="2" xfId="8" applyFont="1" applyFill="1" applyBorder="1"/>
    <xf numFmtId="44" fontId="21" fillId="2" borderId="2" xfId="8" applyNumberFormat="1" applyFont="1" applyFill="1" applyBorder="1"/>
    <xf numFmtId="203" fontId="21" fillId="2" borderId="2" xfId="8" applyNumberFormat="1" applyFont="1" applyFill="1" applyBorder="1"/>
    <xf numFmtId="198" fontId="21" fillId="2" borderId="2" xfId="8" applyNumberFormat="1" applyFont="1" applyFill="1" applyBorder="1"/>
    <xf numFmtId="201" fontId="21" fillId="2" borderId="2" xfId="8" applyNumberFormat="1" applyFont="1" applyFill="1" applyBorder="1"/>
    <xf numFmtId="205" fontId="21" fillId="2" borderId="2" xfId="8" applyNumberFormat="1" applyFont="1" applyFill="1" applyBorder="1"/>
    <xf numFmtId="42" fontId="21" fillId="2" borderId="2" xfId="8" applyNumberFormat="1" applyFont="1" applyFill="1" applyBorder="1"/>
    <xf numFmtId="204" fontId="21" fillId="2" borderId="2" xfId="8" applyNumberFormat="1" applyFont="1" applyFill="1" applyBorder="1"/>
    <xf numFmtId="204" fontId="21" fillId="2" borderId="0" xfId="8" applyNumberFormat="1" applyFont="1" applyFill="1"/>
    <xf numFmtId="204" fontId="21" fillId="2" borderId="80" xfId="8" applyNumberFormat="1" applyFont="1" applyFill="1" applyBorder="1"/>
    <xf numFmtId="0" fontId="21" fillId="2" borderId="0" xfId="8" applyFont="1" applyFill="1"/>
    <xf numFmtId="0" fontId="123" fillId="2" borderId="0" xfId="8" applyFont="1" applyFill="1" applyAlignment="1">
      <alignment horizontal="centerContinuous"/>
    </xf>
    <xf numFmtId="0" fontId="124" fillId="2" borderId="0" xfId="8" applyFont="1" applyFill="1" applyAlignment="1">
      <alignment horizontal="centerContinuous"/>
    </xf>
    <xf numFmtId="0" fontId="23" fillId="2" borderId="0" xfId="8" applyFont="1" applyFill="1"/>
    <xf numFmtId="0" fontId="21" fillId="2" borderId="0" xfId="8" applyFont="1" applyFill="1" applyAlignment="1">
      <alignment horizontal="center"/>
    </xf>
    <xf numFmtId="0" fontId="23" fillId="2" borderId="0" xfId="8" applyFont="1" applyFill="1" applyAlignment="1">
      <alignment horizontal="centerContinuous"/>
    </xf>
    <xf numFmtId="0" fontId="21" fillId="2" borderId="7" xfId="8" applyFont="1" applyFill="1" applyBorder="1"/>
    <xf numFmtId="0" fontId="21" fillId="2" borderId="7" xfId="8" applyFont="1" applyFill="1" applyBorder="1" applyAlignment="1">
      <alignment horizontal="center"/>
    </xf>
    <xf numFmtId="14" fontId="21" fillId="2" borderId="7" xfId="8" applyNumberFormat="1" applyFont="1" applyFill="1" applyBorder="1" applyAlignment="1">
      <alignment horizontal="center"/>
    </xf>
    <xf numFmtId="0" fontId="21" fillId="2" borderId="0" xfId="11" applyFont="1" applyFill="1" applyAlignment="1">
      <alignment horizontal="center"/>
    </xf>
    <xf numFmtId="0" fontId="21" fillId="2" borderId="0" xfId="11" applyFont="1" applyFill="1" applyAlignment="1">
      <alignment horizontal="center" vertical="center"/>
    </xf>
    <xf numFmtId="0" fontId="21" fillId="2" borderId="0" xfId="11" applyFont="1" applyFill="1" applyAlignment="1">
      <alignment horizontal="left"/>
    </xf>
    <xf numFmtId="0" fontId="25" fillId="0" borderId="0" xfId="11" applyFont="1" applyAlignment="1">
      <alignment horizontal="center" vertical="center"/>
    </xf>
    <xf numFmtId="49" fontId="25" fillId="0" borderId="0" xfId="11" applyNumberFormat="1" applyFont="1" applyAlignment="1">
      <alignment horizontal="center" vertical="center"/>
    </xf>
    <xf numFmtId="177" fontId="26" fillId="0" borderId="0" xfId="11" applyNumberFormat="1" applyFont="1" applyAlignment="1">
      <alignment horizontal="center" vertical="center"/>
    </xf>
    <xf numFmtId="49" fontId="25" fillId="0" borderId="7" xfId="11" applyNumberFormat="1" applyFont="1" applyBorder="1" applyAlignment="1">
      <alignment horizontal="center" vertical="center"/>
    </xf>
    <xf numFmtId="0" fontId="25" fillId="0" borderId="7" xfId="11" applyFont="1" applyBorder="1" applyAlignment="1">
      <alignment horizontal="center" vertical="center"/>
    </xf>
    <xf numFmtId="177" fontId="26" fillId="0" borderId="7" xfId="11" applyNumberFormat="1" applyFont="1" applyBorder="1" applyAlignment="1">
      <alignment horizontal="center" vertical="center"/>
    </xf>
    <xf numFmtId="191" fontId="25" fillId="0" borderId="0" xfId="11" applyNumberFormat="1" applyFont="1" applyAlignment="1">
      <alignment horizontal="center" vertical="center"/>
    </xf>
    <xf numFmtId="37" fontId="26" fillId="0" borderId="0" xfId="11" applyNumberFormat="1" applyFont="1" applyAlignment="1">
      <alignment horizontal="center" vertical="center"/>
    </xf>
    <xf numFmtId="39" fontId="26" fillId="0" borderId="1" xfId="11" applyNumberFormat="1" applyFont="1" applyBorder="1" applyAlignment="1">
      <alignment horizontal="right"/>
    </xf>
    <xf numFmtId="191" fontId="26" fillId="0" borderId="1" xfId="11" applyNumberFormat="1" applyFont="1" applyBorder="1" applyAlignment="1">
      <alignment horizontal="right"/>
    </xf>
    <xf numFmtId="0" fontId="42" fillId="0" borderId="0" xfId="8" applyFont="1"/>
    <xf numFmtId="0" fontId="33" fillId="42" borderId="2" xfId="8" applyFont="1" applyFill="1" applyBorder="1"/>
    <xf numFmtId="177" fontId="33" fillId="42" borderId="2" xfId="11" applyNumberFormat="1" applyFont="1" applyFill="1" applyBorder="1" applyAlignment="1">
      <alignment horizontal="center" vertical="center"/>
    </xf>
    <xf numFmtId="191" fontId="33" fillId="42" borderId="2" xfId="11" applyNumberFormat="1" applyFont="1" applyFill="1" applyBorder="1" applyAlignment="1">
      <alignment horizontal="center" vertical="center"/>
    </xf>
    <xf numFmtId="37" fontId="33" fillId="42" borderId="2" xfId="11" applyNumberFormat="1" applyFont="1" applyFill="1" applyBorder="1" applyAlignment="1">
      <alignment horizontal="center" vertical="center"/>
    </xf>
    <xf numFmtId="191" fontId="35" fillId="0" borderId="0" xfId="0" applyNumberFormat="1" applyFont="1" applyAlignment="1">
      <alignment horizontal="center" vertical="center"/>
    </xf>
    <xf numFmtId="191" fontId="33" fillId="42" borderId="2" xfId="0" applyNumberFormat="1" applyFont="1" applyFill="1" applyBorder="1" applyAlignment="1">
      <alignment horizontal="center" vertical="center"/>
    </xf>
    <xf numFmtId="0" fontId="19" fillId="0" borderId="0" xfId="0" applyFont="1" applyAlignment="1">
      <alignment horizontal="left" indent="10"/>
    </xf>
    <xf numFmtId="0" fontId="19" fillId="0" borderId="0" xfId="0" applyFont="1" applyAlignment="1">
      <alignment horizontal="left" indent="12"/>
    </xf>
    <xf numFmtId="167" fontId="46" fillId="0" borderId="6" xfId="0" applyNumberFormat="1" applyFont="1" applyBorder="1" applyAlignment="1">
      <alignment horizontal="center"/>
    </xf>
    <xf numFmtId="167" fontId="46" fillId="0" borderId="11" xfId="0" applyNumberFormat="1" applyFont="1" applyBorder="1" applyAlignment="1">
      <alignment horizontal="center"/>
    </xf>
    <xf numFmtId="0" fontId="2" fillId="2" borderId="0" xfId="1" applyFont="1" applyFill="1" applyAlignment="1">
      <alignment horizontal="centerContinuous"/>
    </xf>
    <xf numFmtId="0" fontId="2" fillId="2" borderId="0" xfId="1" applyFont="1" applyFill="1"/>
    <xf numFmtId="0" fontId="2" fillId="2" borderId="0" xfId="1" applyFont="1" applyFill="1" applyAlignment="1">
      <alignment horizontal="center"/>
    </xf>
    <xf numFmtId="14" fontId="2" fillId="2" borderId="0" xfId="1" applyNumberFormat="1" applyFont="1" applyFill="1"/>
    <xf numFmtId="204" fontId="33" fillId="41" borderId="44" xfId="8" applyNumberFormat="1" applyFont="1" applyFill="1" applyBorder="1"/>
    <xf numFmtId="191" fontId="33" fillId="42" borderId="44" xfId="0" applyNumberFormat="1" applyFont="1" applyFill="1" applyBorder="1" applyAlignment="1">
      <alignment horizontal="center" vertical="center"/>
    </xf>
    <xf numFmtId="169" fontId="35" fillId="0" borderId="0" xfId="0" applyNumberFormat="1" applyFont="1" applyAlignment="1">
      <alignment horizontal="center"/>
    </xf>
    <xf numFmtId="42" fontId="35" fillId="0" borderId="0" xfId="0" applyNumberFormat="1" applyFont="1" applyAlignment="1">
      <alignment horizontal="center"/>
    </xf>
    <xf numFmtId="170" fontId="35" fillId="0" borderId="1" xfId="0" applyNumberFormat="1" applyFont="1" applyBorder="1" applyAlignment="1">
      <alignment horizontal="center"/>
    </xf>
    <xf numFmtId="167" fontId="35" fillId="0" borderId="0" xfId="0" applyNumberFormat="1" applyFont="1" applyAlignment="1">
      <alignment horizontal="center"/>
    </xf>
    <xf numFmtId="9" fontId="35" fillId="0" borderId="0" xfId="0" applyNumberFormat="1" applyFont="1" applyAlignment="1">
      <alignment horizontal="center"/>
    </xf>
    <xf numFmtId="14" fontId="126" fillId="2" borderId="0" xfId="1" applyNumberFormat="1" applyFont="1" applyFill="1" applyAlignment="1">
      <alignment horizontal="center"/>
    </xf>
    <xf numFmtId="0" fontId="17" fillId="0" borderId="0" xfId="1" applyFont="1" applyAlignment="1">
      <alignment horizontal="center"/>
    </xf>
    <xf numFmtId="0" fontId="127" fillId="2" borderId="0" xfId="1" applyFont="1" applyFill="1" applyAlignment="1">
      <alignment horizontal="centerContinuous"/>
    </xf>
    <xf numFmtId="14" fontId="127" fillId="2" borderId="0" xfId="1" applyNumberFormat="1" applyFont="1" applyFill="1"/>
    <xf numFmtId="0" fontId="128" fillId="0" borderId="0" xfId="1" applyFont="1"/>
    <xf numFmtId="0" fontId="127" fillId="2" borderId="0" xfId="1" applyFont="1" applyFill="1"/>
    <xf numFmtId="0" fontId="128" fillId="0" borderId="0" xfId="0" applyFont="1" applyAlignment="1">
      <alignment horizontal="center" wrapText="1"/>
    </xf>
    <xf numFmtId="14" fontId="129" fillId="2" borderId="0" xfId="1" applyNumberFormat="1" applyFont="1" applyFill="1" applyAlignment="1">
      <alignment horizontal="center"/>
    </xf>
    <xf numFmtId="0" fontId="127" fillId="2" borderId="0" xfId="1" applyFont="1" applyFill="1" applyAlignment="1">
      <alignment horizontal="center"/>
    </xf>
    <xf numFmtId="170" fontId="128" fillId="0" borderId="0" xfId="1" applyNumberFormat="1" applyFont="1"/>
    <xf numFmtId="0" fontId="128" fillId="0" borderId="0" xfId="1" applyFont="1" applyAlignment="1">
      <alignment horizontal="center"/>
    </xf>
    <xf numFmtId="0" fontId="131" fillId="0" borderId="0" xfId="1" applyFont="1" applyAlignment="1">
      <alignment horizontal="left" indent="1"/>
    </xf>
    <xf numFmtId="166" fontId="132" fillId="7" borderId="0" xfId="1" applyNumberFormat="1" applyFont="1" applyFill="1"/>
    <xf numFmtId="166" fontId="132" fillId="0" borderId="0" xfId="1" applyNumberFormat="1" applyFont="1"/>
    <xf numFmtId="166" fontId="133" fillId="0" borderId="0" xfId="0" applyNumberFormat="1" applyFont="1" applyAlignment="1">
      <alignment horizontal="center"/>
    </xf>
    <xf numFmtId="0" fontId="128" fillId="0" borderId="1" xfId="1" applyFont="1" applyBorder="1"/>
    <xf numFmtId="170" fontId="128" fillId="0" borderId="1" xfId="1" applyNumberFormat="1" applyFont="1" applyBorder="1"/>
    <xf numFmtId="0" fontId="134" fillId="0" borderId="2" xfId="1" applyFont="1" applyBorder="1" applyAlignment="1">
      <alignment horizontal="left"/>
    </xf>
    <xf numFmtId="0" fontId="133" fillId="0" borderId="0" xfId="1" applyFont="1" applyAlignment="1">
      <alignment horizontal="left" indent="1"/>
    </xf>
    <xf numFmtId="166" fontId="132" fillId="0" borderId="1" xfId="1" applyNumberFormat="1" applyFont="1" applyBorder="1"/>
    <xf numFmtId="0" fontId="128" fillId="0" borderId="0" xfId="1" applyFont="1" applyAlignment="1">
      <alignment horizontal="left" indent="1"/>
    </xf>
    <xf numFmtId="170" fontId="134" fillId="0" borderId="2" xfId="1" applyNumberFormat="1" applyFont="1" applyBorder="1"/>
    <xf numFmtId="0" fontId="130" fillId="0" borderId="0" xfId="0" applyFont="1" applyAlignment="1">
      <alignment horizontal="left" indent="1"/>
    </xf>
    <xf numFmtId="0" fontId="135" fillId="0" borderId="0" xfId="0" applyFont="1" applyAlignment="1">
      <alignment horizontal="left" indent="1"/>
    </xf>
    <xf numFmtId="0" fontId="136" fillId="0" borderId="0" xfId="1" applyFont="1" applyAlignment="1">
      <alignment horizontal="left" indent="1"/>
    </xf>
    <xf numFmtId="170" fontId="136" fillId="0" borderId="0" xfId="1" applyNumberFormat="1" applyFont="1"/>
    <xf numFmtId="0" fontId="134" fillId="0" borderId="1" xfId="1" applyFont="1" applyBorder="1"/>
    <xf numFmtId="167" fontId="137" fillId="0" borderId="1" xfId="0" applyNumberFormat="1" applyFont="1" applyBorder="1"/>
    <xf numFmtId="0" fontId="134" fillId="0" borderId="0" xfId="1" applyFont="1"/>
    <xf numFmtId="167" fontId="130" fillId="0" borderId="0" xfId="0" applyNumberFormat="1" applyFont="1"/>
    <xf numFmtId="0" fontId="134" fillId="0" borderId="7" xfId="1" applyFont="1" applyBorder="1"/>
    <xf numFmtId="0" fontId="128" fillId="0" borderId="7" xfId="0" applyFont="1" applyBorder="1" applyAlignment="1">
      <alignment horizontal="right"/>
    </xf>
    <xf numFmtId="167" fontId="138" fillId="0" borderId="0" xfId="1" applyNumberFormat="1" applyFont="1" applyAlignment="1">
      <alignment horizontal="right"/>
    </xf>
    <xf numFmtId="9" fontId="134" fillId="0" borderId="7" xfId="1" applyNumberFormat="1" applyFont="1" applyBorder="1" applyAlignment="1">
      <alignment horizontal="right"/>
    </xf>
    <xf numFmtId="166" fontId="48"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0" xfId="0" applyFont="1" applyAlignment="1">
      <alignment horizontal="center" wrapText="1"/>
    </xf>
    <xf numFmtId="0" fontId="3" fillId="16" borderId="0" xfId="0" applyFont="1" applyFill="1" applyAlignment="1">
      <alignment horizontal="center"/>
    </xf>
    <xf numFmtId="0" fontId="3" fillId="16" borderId="0" xfId="0" applyFont="1" applyFill="1" applyAlignment="1">
      <alignment horizontal="center" wrapText="1"/>
    </xf>
    <xf numFmtId="0" fontId="3" fillId="0" borderId="28" xfId="0" applyFont="1" applyBorder="1" applyAlignment="1">
      <alignment horizontal="center"/>
    </xf>
    <xf numFmtId="0" fontId="3" fillId="0" borderId="27" xfId="0" applyFont="1" applyBorder="1" applyAlignment="1">
      <alignment horizontal="center"/>
    </xf>
    <xf numFmtId="0" fontId="0" fillId="16" borderId="25" xfId="0" applyFill="1" applyBorder="1" applyAlignment="1">
      <alignment horizontal="center"/>
    </xf>
    <xf numFmtId="0" fontId="0" fillId="16" borderId="15" xfId="0" applyFill="1" applyBorder="1" applyAlignment="1">
      <alignment horizontal="center"/>
    </xf>
    <xf numFmtId="0" fontId="0" fillId="16" borderId="29" xfId="0" applyFill="1" applyBorder="1" applyAlignment="1">
      <alignment horizontal="center"/>
    </xf>
    <xf numFmtId="0" fontId="0" fillId="16" borderId="28" xfId="0" applyFill="1" applyBorder="1" applyAlignment="1">
      <alignment horizontal="center"/>
    </xf>
    <xf numFmtId="9" fontId="6" fillId="0" borderId="28" xfId="3" applyFont="1" applyBorder="1" applyAlignment="1">
      <alignment horizontal="center" vertical="center"/>
    </xf>
    <xf numFmtId="9" fontId="6" fillId="0" borderId="27" xfId="3" applyFont="1" applyBorder="1" applyAlignment="1">
      <alignment horizontal="center" vertical="center"/>
    </xf>
    <xf numFmtId="0" fontId="53" fillId="21" borderId="19" xfId="0" applyFont="1" applyFill="1" applyBorder="1" applyAlignment="1">
      <alignment horizontal="center"/>
    </xf>
    <xf numFmtId="0" fontId="50" fillId="0" borderId="28" xfId="0" applyFont="1" applyBorder="1" applyAlignment="1">
      <alignment horizontal="center"/>
    </xf>
    <xf numFmtId="0" fontId="50" fillId="0" borderId="27" xfId="0" applyFont="1" applyBorder="1" applyAlignment="1">
      <alignment horizontal="center"/>
    </xf>
    <xf numFmtId="9" fontId="54" fillId="0" borderId="28" xfId="3" applyFont="1" applyBorder="1" applyAlignment="1">
      <alignment horizontal="center" vertical="center"/>
    </xf>
    <xf numFmtId="9" fontId="54" fillId="0" borderId="27" xfId="3" applyFont="1" applyBorder="1" applyAlignment="1">
      <alignment horizontal="center" vertical="center"/>
    </xf>
    <xf numFmtId="0" fontId="49" fillId="16" borderId="15" xfId="0" applyFont="1" applyFill="1" applyBorder="1" applyAlignment="1">
      <alignment horizontal="center"/>
    </xf>
    <xf numFmtId="0" fontId="51" fillId="32" borderId="28" xfId="0" applyFont="1" applyFill="1" applyBorder="1" applyAlignment="1">
      <alignment horizontal="center"/>
    </xf>
    <xf numFmtId="0" fontId="49" fillId="16" borderId="25" xfId="0" applyFont="1" applyFill="1" applyBorder="1" applyAlignment="1">
      <alignment horizontal="center"/>
    </xf>
    <xf numFmtId="0" fontId="49" fillId="16" borderId="29" xfId="0" applyFont="1" applyFill="1" applyBorder="1" applyAlignment="1">
      <alignment horizontal="center"/>
    </xf>
    <xf numFmtId="0" fontId="49" fillId="16" borderId="28" xfId="0" applyFont="1" applyFill="1" applyBorder="1" applyAlignment="1">
      <alignment horizontal="center"/>
    </xf>
    <xf numFmtId="0" fontId="21" fillId="2" borderId="22" xfId="6" applyFont="1" applyFill="1" applyBorder="1" applyAlignment="1">
      <alignment horizontal="left"/>
    </xf>
    <xf numFmtId="0" fontId="21" fillId="2" borderId="0" xfId="6" applyFont="1" applyFill="1" applyAlignment="1">
      <alignment horizontal="left"/>
    </xf>
    <xf numFmtId="190" fontId="35" fillId="0" borderId="22" xfId="0" quotePrefix="1" applyNumberFormat="1" applyFont="1" applyBorder="1" applyAlignment="1">
      <alignment wrapText="1"/>
    </xf>
    <xf numFmtId="190" fontId="35" fillId="0" borderId="0" xfId="0" quotePrefix="1" applyNumberFormat="1" applyFont="1" applyAlignment="1">
      <alignment wrapText="1"/>
    </xf>
    <xf numFmtId="0" fontId="125" fillId="0" borderId="0" xfId="0" applyFont="1" applyAlignment="1">
      <alignment horizontal="left" vertical="top" wrapText="1"/>
    </xf>
    <xf numFmtId="0" fontId="125" fillId="0" borderId="7" xfId="0" applyFont="1" applyBorder="1" applyAlignment="1">
      <alignment vertical="center" wrapText="1"/>
    </xf>
    <xf numFmtId="0" fontId="50" fillId="0" borderId="6" xfId="0" applyFont="1" applyBorder="1" applyAlignment="1">
      <alignment horizontal="center"/>
    </xf>
    <xf numFmtId="0" fontId="0" fillId="0" borderId="0" xfId="0" quotePrefix="1"/>
    <xf numFmtId="14" fontId="0" fillId="0" borderId="0" xfId="0" applyNumberFormat="1" applyAlignment="1">
      <alignment horizontal="center"/>
    </xf>
    <xf numFmtId="42" fontId="91" fillId="0" borderId="0" xfId="0" applyNumberFormat="1" applyFont="1"/>
    <xf numFmtId="0" fontId="6" fillId="0" borderId="0" xfId="0" applyFont="1" applyAlignment="1">
      <alignment horizontal="left" indent="1"/>
    </xf>
    <xf numFmtId="42" fontId="91" fillId="7" borderId="0" xfId="0" applyNumberFormat="1" applyFont="1" applyFill="1"/>
    <xf numFmtId="166" fontId="14" fillId="0" borderId="0" xfId="0" applyNumberFormat="1" applyFont="1" applyBorder="1"/>
    <xf numFmtId="41" fontId="139" fillId="0" borderId="0" xfId="0" applyNumberFormat="1" applyFont="1" applyProtection="1">
      <protection locked="0"/>
    </xf>
    <xf numFmtId="0" fontId="6" fillId="0" borderId="0" xfId="0" applyFont="1" applyAlignment="1">
      <alignment horizontal="left" indent="2"/>
    </xf>
    <xf numFmtId="41" fontId="104" fillId="0" borderId="0" xfId="0" applyNumberFormat="1" applyFont="1" applyProtection="1">
      <protection locked="0"/>
    </xf>
    <xf numFmtId="41" fontId="7" fillId="0" borderId="0" xfId="0" applyNumberFormat="1" applyFont="1" applyProtection="1">
      <protection locked="0"/>
    </xf>
    <xf numFmtId="42" fontId="7" fillId="0" borderId="2" xfId="0" applyNumberFormat="1" applyFont="1" applyBorder="1"/>
    <xf numFmtId="42" fontId="7" fillId="0" borderId="0" xfId="0" applyNumberFormat="1" applyFont="1" applyBorder="1"/>
    <xf numFmtId="43" fontId="0" fillId="0" borderId="0" xfId="0" applyNumberFormat="1"/>
    <xf numFmtId="9" fontId="0" fillId="0" borderId="0" xfId="0" applyNumberFormat="1" applyAlignment="1">
      <alignment horizontal="left" indent="1"/>
    </xf>
    <xf numFmtId="166" fontId="0" fillId="0" borderId="0" xfId="0" applyNumberFormat="1"/>
    <xf numFmtId="166" fontId="0" fillId="6" borderId="6" xfId="0" applyNumberFormat="1" applyFill="1" applyBorder="1"/>
    <xf numFmtId="0" fontId="3" fillId="0" borderId="2" xfId="0" applyFont="1" applyBorder="1" applyAlignment="1">
      <alignment horizontal="left"/>
    </xf>
    <xf numFmtId="166" fontId="0" fillId="0" borderId="2" xfId="0" applyNumberFormat="1" applyBorder="1"/>
    <xf numFmtId="0" fontId="0" fillId="43" borderId="0" xfId="0" applyFill="1"/>
    <xf numFmtId="9" fontId="0" fillId="17" borderId="0" xfId="0" applyNumberFormat="1" applyFill="1"/>
    <xf numFmtId="0" fontId="3" fillId="0" borderId="2" xfId="0" applyFont="1" applyBorder="1"/>
    <xf numFmtId="166" fontId="3" fillId="0" borderId="2" xfId="0" applyNumberFormat="1" applyFont="1" applyBorder="1"/>
    <xf numFmtId="14" fontId="2" fillId="2" borderId="0" xfId="1" applyNumberFormat="1" applyFont="1" applyFill="1" applyAlignment="1">
      <alignment horizontal="center"/>
    </xf>
    <xf numFmtId="14" fontId="17" fillId="0" borderId="0" xfId="1" applyNumberFormat="1" applyFont="1"/>
  </cellXfs>
  <cellStyles count="12">
    <cellStyle name="Comma" xfId="2" builtinId="3"/>
    <cellStyle name="Currency" xfId="5" builtinId="4"/>
    <cellStyle name="Normal" xfId="0" builtinId="0"/>
    <cellStyle name="Normal 11" xfId="11"/>
    <cellStyle name="Normal 2" xfId="1"/>
    <cellStyle name="Normal 2 2" xfId="8"/>
    <cellStyle name="Normal 3" xfId="4"/>
    <cellStyle name="Normal 3 2" xfId="9"/>
    <cellStyle name="Normal 5 2" xfId="10"/>
    <cellStyle name="Normal_Book3" xfId="7"/>
    <cellStyle name="Normal_DCF1" xfId="6"/>
    <cellStyle name="Percent" xfId="3" builtinId="5"/>
  </cellStyles>
  <dxfs count="87">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font>
        <color rgb="FFFF0000"/>
      </font>
    </dxf>
    <dxf>
      <border>
        <top style="thin">
          <color auto="1"/>
        </top>
        <bottom style="thin">
          <color auto="1"/>
        </bottom>
      </border>
    </dxf>
    <dxf>
      <fill>
        <patternFill>
          <bgColor theme="8"/>
        </patternFill>
      </fill>
      <border>
        <left/>
        <right/>
        <top style="thin">
          <color rgb="FF9C0006"/>
        </top>
        <bottom style="thin">
          <color rgb="FF9C0006"/>
        </bottom>
        <vertical/>
        <horizontal/>
      </border>
    </dxf>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
      <border>
        <top style="thin">
          <color auto="1"/>
        </top>
        <bottom style="thin">
          <color auto="1"/>
        </bottom>
      </border>
    </dxf>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
      <font>
        <color rgb="FF9C0006"/>
      </font>
      <fill>
        <patternFill>
          <bgColor rgb="FFFFC7CE"/>
        </patternFill>
      </fill>
    </dxf>
    <dxf>
      <font>
        <color rgb="FF00B050"/>
      </font>
    </dxf>
    <dxf>
      <font>
        <color rgb="FFC00000"/>
      </font>
    </dxf>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
      <font>
        <color rgb="FF00B050"/>
      </font>
    </dxf>
    <dxf>
      <font>
        <color rgb="FFC00000"/>
      </font>
    </dxf>
    <dxf>
      <font>
        <color rgb="FF006100"/>
      </font>
      <fill>
        <patternFill>
          <bgColor rgb="FFC6EFCE"/>
        </patternFill>
      </fill>
    </dxf>
    <dxf>
      <fill>
        <patternFill>
          <bgColor rgb="FF00B050"/>
        </patternFill>
      </fill>
    </dxf>
    <dxf>
      <font>
        <color theme="1"/>
      </font>
      <fill>
        <patternFill>
          <bgColor rgb="FF00B050"/>
        </patternFill>
      </fill>
    </dxf>
    <dxf>
      <font>
        <color rgb="FF9C0006"/>
      </font>
      <fill>
        <patternFill>
          <bgColor rgb="FFFFC7CE"/>
        </patternFill>
      </fill>
    </dxf>
    <dxf>
      <font>
        <color auto="1"/>
      </font>
      <fill>
        <patternFill>
          <bgColor rgb="FFFFC000"/>
        </patternFill>
      </fill>
    </dxf>
  </dxfs>
  <tableStyles count="0" defaultTableStyle="TableStyleMedium2" defaultPivotStyle="PivotStyleLight16"/>
  <colors>
    <mruColors>
      <color rgb="FFFFFFFF"/>
      <color rgb="FFACB9CA"/>
      <color rgb="FF0000FF"/>
      <color rgb="FFFFFFE1"/>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'Quarterly Summary Historical'!$N$7</c:f>
              <c:strCache>
                <c:ptCount val="1"/>
                <c:pt idx="0">
                  <c:v>Revenue</c:v>
                </c:pt>
              </c:strCache>
            </c:strRef>
          </c:tx>
          <c:spPr>
            <a:solidFill>
              <a:srgbClr val="002060"/>
            </a:solidFill>
            <a:ln>
              <a:noFill/>
            </a:ln>
            <a:effectLst/>
          </c:spPr>
          <c:invertIfNegative val="0"/>
          <c:cat>
            <c:numRef>
              <c:f>'Quarterly Summary Historical'!$O$6:$V$6</c:f>
              <c:numCache>
                <c:formatCode>m/d/yyyy</c:formatCode>
                <c:ptCount val="8"/>
                <c:pt idx="0">
                  <c:v>44286</c:v>
                </c:pt>
                <c:pt idx="1">
                  <c:v>44377</c:v>
                </c:pt>
                <c:pt idx="2">
                  <c:v>44469</c:v>
                </c:pt>
                <c:pt idx="3">
                  <c:v>44561</c:v>
                </c:pt>
                <c:pt idx="4">
                  <c:v>44651</c:v>
                </c:pt>
                <c:pt idx="5">
                  <c:v>44742</c:v>
                </c:pt>
                <c:pt idx="6">
                  <c:v>44834</c:v>
                </c:pt>
                <c:pt idx="7">
                  <c:v>44926</c:v>
                </c:pt>
              </c:numCache>
            </c:numRef>
          </c:cat>
          <c:val>
            <c:numRef>
              <c:f>'Quarterly Summary Historical'!$O$7:$V$7</c:f>
              <c:numCache>
                <c:formatCode>General</c:formatCode>
                <c:ptCount val="8"/>
                <c:pt idx="0">
                  <c:v>55360</c:v>
                </c:pt>
                <c:pt idx="1">
                  <c:v>58803</c:v>
                </c:pt>
                <c:pt idx="2">
                  <c:v>63595</c:v>
                </c:pt>
                <c:pt idx="3">
                  <c:v>73014</c:v>
                </c:pt>
                <c:pt idx="4">
                  <c:v>81220</c:v>
                </c:pt>
                <c:pt idx="5">
                  <c:v>88386</c:v>
                </c:pt>
                <c:pt idx="6">
                  <c:v>96065</c:v>
                </c:pt>
                <c:pt idx="7">
                  <c:v>103824</c:v>
                </c:pt>
              </c:numCache>
            </c:numRef>
          </c:val>
          <c:extLst>
            <c:ext xmlns:c16="http://schemas.microsoft.com/office/drawing/2014/chart" uri="{C3380CC4-5D6E-409C-BE32-E72D297353CC}">
              <c16:uniqueId val="{00000000-7F6F-45A5-BE7B-C867875DFB18}"/>
            </c:ext>
          </c:extLst>
        </c:ser>
        <c:ser>
          <c:idx val="1"/>
          <c:order val="1"/>
          <c:tx>
            <c:strRef>
              <c:f>'Quarterly Summary Historical'!$N$8</c:f>
              <c:strCache>
                <c:ptCount val="1"/>
                <c:pt idx="0">
                  <c:v>Gross Profit</c:v>
                </c:pt>
              </c:strCache>
            </c:strRef>
          </c:tx>
          <c:spPr>
            <a:solidFill>
              <a:schemeClr val="bg2">
                <a:lumMod val="90000"/>
              </a:schemeClr>
            </a:solidFill>
            <a:ln>
              <a:noFill/>
            </a:ln>
            <a:effectLst/>
          </c:spPr>
          <c:invertIfNegative val="0"/>
          <c:cat>
            <c:numRef>
              <c:f>'Quarterly Summary Historical'!$O$6:$V$6</c:f>
              <c:numCache>
                <c:formatCode>m/d/yyyy</c:formatCode>
                <c:ptCount val="8"/>
                <c:pt idx="0">
                  <c:v>44286</c:v>
                </c:pt>
                <c:pt idx="1">
                  <c:v>44377</c:v>
                </c:pt>
                <c:pt idx="2">
                  <c:v>44469</c:v>
                </c:pt>
                <c:pt idx="3">
                  <c:v>44561</c:v>
                </c:pt>
                <c:pt idx="4">
                  <c:v>44651</c:v>
                </c:pt>
                <c:pt idx="5">
                  <c:v>44742</c:v>
                </c:pt>
                <c:pt idx="6">
                  <c:v>44834</c:v>
                </c:pt>
                <c:pt idx="7">
                  <c:v>44926</c:v>
                </c:pt>
              </c:numCache>
            </c:numRef>
          </c:cat>
          <c:val>
            <c:numRef>
              <c:f>'Quarterly Summary Historical'!$O$8:$V$8</c:f>
              <c:numCache>
                <c:formatCode>General</c:formatCode>
                <c:ptCount val="8"/>
                <c:pt idx="0">
                  <c:v>40341</c:v>
                </c:pt>
                <c:pt idx="1">
                  <c:v>42666</c:v>
                </c:pt>
                <c:pt idx="2">
                  <c:v>45517</c:v>
                </c:pt>
                <c:pt idx="3">
                  <c:v>53062</c:v>
                </c:pt>
                <c:pt idx="4">
                  <c:v>59730</c:v>
                </c:pt>
                <c:pt idx="5">
                  <c:v>64517</c:v>
                </c:pt>
                <c:pt idx="6">
                  <c:v>69763</c:v>
                </c:pt>
                <c:pt idx="7">
                  <c:v>76054</c:v>
                </c:pt>
              </c:numCache>
            </c:numRef>
          </c:val>
          <c:extLst>
            <c:ext xmlns:c16="http://schemas.microsoft.com/office/drawing/2014/chart" uri="{C3380CC4-5D6E-409C-BE32-E72D297353CC}">
              <c16:uniqueId val="{00000001-7F6F-45A5-BE7B-C867875DFB18}"/>
            </c:ext>
          </c:extLst>
        </c:ser>
        <c:dLbls>
          <c:showLegendKey val="0"/>
          <c:showVal val="0"/>
          <c:showCatName val="0"/>
          <c:showSerName val="0"/>
          <c:showPercent val="0"/>
          <c:showBubbleSize val="0"/>
        </c:dLbls>
        <c:gapWidth val="219"/>
        <c:overlap val="-27"/>
        <c:axId val="717031944"/>
        <c:axId val="717032600"/>
      </c:barChart>
      <c:lineChart>
        <c:grouping val="standard"/>
        <c:varyColors val="0"/>
        <c:ser>
          <c:idx val="2"/>
          <c:order val="2"/>
          <c:tx>
            <c:strRef>
              <c:f>'Quarterly Summary Historical'!$N$9</c:f>
              <c:strCache>
                <c:ptCount val="1"/>
                <c:pt idx="0">
                  <c:v>Adjusted EBITDA</c:v>
                </c:pt>
              </c:strCache>
            </c:strRef>
          </c:tx>
          <c:spPr>
            <a:ln w="28575" cap="rnd">
              <a:solidFill>
                <a:srgbClr val="00B050"/>
              </a:solidFill>
              <a:round/>
            </a:ln>
            <a:effectLst/>
          </c:spPr>
          <c:marker>
            <c:symbol val="none"/>
          </c:marker>
          <c:cat>
            <c:numRef>
              <c:f>'Quarterly Summary Historical'!$O$6:$V$6</c:f>
              <c:numCache>
                <c:formatCode>m/d/yyyy</c:formatCode>
                <c:ptCount val="8"/>
                <c:pt idx="0">
                  <c:v>44286</c:v>
                </c:pt>
                <c:pt idx="1">
                  <c:v>44377</c:v>
                </c:pt>
                <c:pt idx="2">
                  <c:v>44469</c:v>
                </c:pt>
                <c:pt idx="3">
                  <c:v>44561</c:v>
                </c:pt>
                <c:pt idx="4">
                  <c:v>44651</c:v>
                </c:pt>
                <c:pt idx="5">
                  <c:v>44742</c:v>
                </c:pt>
                <c:pt idx="6">
                  <c:v>44834</c:v>
                </c:pt>
                <c:pt idx="7">
                  <c:v>44926</c:v>
                </c:pt>
              </c:numCache>
            </c:numRef>
          </c:cat>
          <c:val>
            <c:numRef>
              <c:f>'Quarterly Summary Historical'!$O$9:$V$9</c:f>
              <c:numCache>
                <c:formatCode>General</c:formatCode>
                <c:ptCount val="8"/>
                <c:pt idx="0">
                  <c:v>914</c:v>
                </c:pt>
                <c:pt idx="1">
                  <c:v>3400</c:v>
                </c:pt>
                <c:pt idx="2">
                  <c:v>-5745</c:v>
                </c:pt>
                <c:pt idx="3">
                  <c:v>335</c:v>
                </c:pt>
                <c:pt idx="4">
                  <c:v>4258</c:v>
                </c:pt>
                <c:pt idx="5">
                  <c:v>4737</c:v>
                </c:pt>
                <c:pt idx="6">
                  <c:v>2620</c:v>
                </c:pt>
                <c:pt idx="7">
                  <c:v>4518</c:v>
                </c:pt>
              </c:numCache>
            </c:numRef>
          </c:val>
          <c:smooth val="0"/>
          <c:extLst>
            <c:ext xmlns:c16="http://schemas.microsoft.com/office/drawing/2014/chart" uri="{C3380CC4-5D6E-409C-BE32-E72D297353CC}">
              <c16:uniqueId val="{00000002-7F6F-45A5-BE7B-C867875DFB18}"/>
            </c:ext>
          </c:extLst>
        </c:ser>
        <c:dLbls>
          <c:showLegendKey val="0"/>
          <c:showVal val="0"/>
          <c:showCatName val="0"/>
          <c:showSerName val="0"/>
          <c:showPercent val="0"/>
          <c:showBubbleSize val="0"/>
        </c:dLbls>
        <c:marker val="1"/>
        <c:smooth val="0"/>
        <c:axId val="716788680"/>
        <c:axId val="716787040"/>
      </c:lineChart>
      <c:catAx>
        <c:axId val="71703194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7032600"/>
        <c:crosses val="autoZero"/>
        <c:auto val="0"/>
        <c:lblAlgn val="ctr"/>
        <c:lblOffset val="100"/>
        <c:noMultiLvlLbl val="0"/>
      </c:catAx>
      <c:valAx>
        <c:axId val="7170326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7031944"/>
        <c:crosses val="autoZero"/>
        <c:crossBetween val="between"/>
      </c:valAx>
      <c:valAx>
        <c:axId val="7167870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788680"/>
        <c:crosses val="max"/>
        <c:crossBetween val="between"/>
      </c:valAx>
      <c:catAx>
        <c:axId val="716788680"/>
        <c:scaling>
          <c:orientation val="minMax"/>
        </c:scaling>
        <c:delete val="1"/>
        <c:axPos val="b"/>
        <c:numFmt formatCode="m/d/yyyy" sourceLinked="1"/>
        <c:majorTickMark val="out"/>
        <c:minorTickMark val="none"/>
        <c:tickLblPos val="nextTo"/>
        <c:crossAx val="716787040"/>
        <c:auto val="0"/>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'Unit of Economics'!$A$26:$E$26</c:f>
              <c:strCache>
                <c:ptCount val="5"/>
                <c:pt idx="0">
                  <c:v>MAU</c:v>
                </c:pt>
                <c:pt idx="3">
                  <c:v>-5%</c:v>
                </c:pt>
                <c:pt idx="4">
                  <c:v>0%</c:v>
                </c:pt>
              </c:strCache>
            </c:strRef>
          </c:tx>
          <c:spPr>
            <a:solidFill>
              <a:schemeClr val="accent1"/>
            </a:solidFill>
            <a:ln>
              <a:noFill/>
            </a:ln>
            <a:effectLst/>
          </c:spPr>
          <c:invertIfNegative val="0"/>
          <c:cat>
            <c:multiLvlStrRef>
              <c:f>'Unit of Economics'!$F$24:$O$25</c:f>
              <c:multiLvlStrCache>
                <c:ptCount val="10"/>
                <c:lvl>
                  <c:pt idx="1">
                    <c:v>Q1</c:v>
                  </c:pt>
                  <c:pt idx="2">
                    <c:v>Q2</c:v>
                  </c:pt>
                  <c:pt idx="3">
                    <c:v>Q3</c:v>
                  </c:pt>
                  <c:pt idx="4">
                    <c:v>Q4</c:v>
                  </c:pt>
                  <c:pt idx="6">
                    <c:v>Q1</c:v>
                  </c:pt>
                  <c:pt idx="7">
                    <c:v>Q2</c:v>
                  </c:pt>
                  <c:pt idx="8">
                    <c:v>Q3</c:v>
                  </c:pt>
                  <c:pt idx="9">
                    <c:v>Q4</c:v>
                  </c:pt>
                </c:lvl>
                <c:lvl>
                  <c:pt idx="1">
                    <c:v>FY 2021</c:v>
                  </c:pt>
                  <c:pt idx="6">
                    <c:v>FY 2022</c:v>
                  </c:pt>
                </c:lvl>
              </c:multiLvlStrCache>
            </c:multiLvlStrRef>
          </c:cat>
          <c:val>
            <c:numRef>
              <c:f>'Unit of Economics'!$F$26:$O$26</c:f>
              <c:numCache>
                <c:formatCode>0%</c:formatCode>
                <c:ptCount val="10"/>
                <c:pt idx="1">
                  <c:v>7.8378378378378466E-2</c:v>
                </c:pt>
                <c:pt idx="2">
                  <c:v>-5.0125313283208017E-2</c:v>
                </c:pt>
                <c:pt idx="3">
                  <c:v>0.10026385224274414</c:v>
                </c:pt>
                <c:pt idx="4">
                  <c:v>1.6786570743405171E-2</c:v>
                </c:pt>
                <c:pt idx="6">
                  <c:v>0.16037735849056611</c:v>
                </c:pt>
                <c:pt idx="7">
                  <c:v>6.0975609756097615E-3</c:v>
                </c:pt>
                <c:pt idx="8">
                  <c:v>0.14141414141414144</c:v>
                </c:pt>
                <c:pt idx="9">
                  <c:v>7.4336283185840735E-2</c:v>
                </c:pt>
              </c:numCache>
            </c:numRef>
          </c:val>
          <c:extLst>
            <c:ext xmlns:c16="http://schemas.microsoft.com/office/drawing/2014/chart" uri="{C3380CC4-5D6E-409C-BE32-E72D297353CC}">
              <c16:uniqueId val="{00000000-8ED5-4684-BD1E-34D96F937A20}"/>
            </c:ext>
          </c:extLst>
        </c:ser>
        <c:ser>
          <c:idx val="1"/>
          <c:order val="1"/>
          <c:tx>
            <c:strRef>
              <c:f>'Unit of Economics'!$A$27:$E$27</c:f>
              <c:strCache>
                <c:ptCount val="5"/>
                <c:pt idx="0">
                  <c:v>DAU</c:v>
                </c:pt>
                <c:pt idx="3">
                  <c:v>-6%</c:v>
                </c:pt>
                <c:pt idx="4">
                  <c:v>0%</c:v>
                </c:pt>
              </c:strCache>
            </c:strRef>
          </c:tx>
          <c:spPr>
            <a:solidFill>
              <a:schemeClr val="accent2"/>
            </a:solidFill>
            <a:ln>
              <a:noFill/>
            </a:ln>
            <a:effectLst/>
          </c:spPr>
          <c:invertIfNegative val="0"/>
          <c:cat>
            <c:multiLvlStrRef>
              <c:f>'Unit of Economics'!$F$24:$O$25</c:f>
              <c:multiLvlStrCache>
                <c:ptCount val="10"/>
                <c:lvl>
                  <c:pt idx="1">
                    <c:v>Q1</c:v>
                  </c:pt>
                  <c:pt idx="2">
                    <c:v>Q2</c:v>
                  </c:pt>
                  <c:pt idx="3">
                    <c:v>Q3</c:v>
                  </c:pt>
                  <c:pt idx="4">
                    <c:v>Q4</c:v>
                  </c:pt>
                  <c:pt idx="6">
                    <c:v>Q1</c:v>
                  </c:pt>
                  <c:pt idx="7">
                    <c:v>Q2</c:v>
                  </c:pt>
                  <c:pt idx="8">
                    <c:v>Q3</c:v>
                  </c:pt>
                  <c:pt idx="9">
                    <c:v>Q4</c:v>
                  </c:pt>
                </c:lvl>
                <c:lvl>
                  <c:pt idx="1">
                    <c:v>FY 2021</c:v>
                  </c:pt>
                  <c:pt idx="6">
                    <c:v>FY 2022</c:v>
                  </c:pt>
                </c:lvl>
              </c:multiLvlStrCache>
            </c:multiLvlStrRef>
          </c:cat>
          <c:val>
            <c:numRef>
              <c:f>'Unit of Economics'!$F$27:$O$27</c:f>
              <c:numCache>
                <c:formatCode>0%</c:formatCode>
                <c:ptCount val="10"/>
                <c:pt idx="1">
                  <c:v>0.13095238095238093</c:v>
                </c:pt>
                <c:pt idx="2">
                  <c:v>-4.2105263157894757E-2</c:v>
                </c:pt>
                <c:pt idx="3">
                  <c:v>7.6923076923076872E-2</c:v>
                </c:pt>
                <c:pt idx="4">
                  <c:v>3.0612244897959107E-2</c:v>
                </c:pt>
                <c:pt idx="6">
                  <c:v>0.23762376237623761</c:v>
                </c:pt>
                <c:pt idx="7">
                  <c:v>5.600000000000005E-2</c:v>
                </c:pt>
                <c:pt idx="8">
                  <c:v>0.1287878787878789</c:v>
                </c:pt>
                <c:pt idx="9">
                  <c:v>9.3959731543624248E-2</c:v>
                </c:pt>
              </c:numCache>
            </c:numRef>
          </c:val>
          <c:extLst>
            <c:ext xmlns:c16="http://schemas.microsoft.com/office/drawing/2014/chart" uri="{C3380CC4-5D6E-409C-BE32-E72D297353CC}">
              <c16:uniqueId val="{00000001-8ED5-4684-BD1E-34D96F937A20}"/>
            </c:ext>
          </c:extLst>
        </c:ser>
        <c:ser>
          <c:idx val="2"/>
          <c:order val="2"/>
          <c:tx>
            <c:strRef>
              <c:f>'Unit of Economics'!$A$28:$E$28</c:f>
              <c:strCache>
                <c:ptCount val="5"/>
                <c:pt idx="0">
                  <c:v>Paid subscribers</c:v>
                </c:pt>
                <c:pt idx="3">
                  <c:v>15%</c:v>
                </c:pt>
                <c:pt idx="4">
                  <c:v>7%</c:v>
                </c:pt>
              </c:strCache>
            </c:strRef>
          </c:tx>
          <c:spPr>
            <a:solidFill>
              <a:schemeClr val="accent3"/>
            </a:solidFill>
            <a:ln>
              <a:noFill/>
            </a:ln>
            <a:effectLst/>
          </c:spPr>
          <c:invertIfNegative val="0"/>
          <c:cat>
            <c:multiLvlStrRef>
              <c:f>'Unit of Economics'!$F$24:$O$25</c:f>
              <c:multiLvlStrCache>
                <c:ptCount val="10"/>
                <c:lvl>
                  <c:pt idx="1">
                    <c:v>Q1</c:v>
                  </c:pt>
                  <c:pt idx="2">
                    <c:v>Q2</c:v>
                  </c:pt>
                  <c:pt idx="3">
                    <c:v>Q3</c:v>
                  </c:pt>
                  <c:pt idx="4">
                    <c:v>Q4</c:v>
                  </c:pt>
                  <c:pt idx="6">
                    <c:v>Q1</c:v>
                  </c:pt>
                  <c:pt idx="7">
                    <c:v>Q2</c:v>
                  </c:pt>
                  <c:pt idx="8">
                    <c:v>Q3</c:v>
                  </c:pt>
                  <c:pt idx="9">
                    <c:v>Q4</c:v>
                  </c:pt>
                </c:lvl>
                <c:lvl>
                  <c:pt idx="1">
                    <c:v>FY 2021</c:v>
                  </c:pt>
                  <c:pt idx="6">
                    <c:v>FY 2022</c:v>
                  </c:pt>
                </c:lvl>
              </c:multiLvlStrCache>
            </c:multiLvlStrRef>
          </c:cat>
          <c:val>
            <c:numRef>
              <c:f>'Unit of Economics'!$F$28:$O$28</c:f>
              <c:numCache>
                <c:formatCode>0%</c:formatCode>
                <c:ptCount val="10"/>
                <c:pt idx="1">
                  <c:v>0.125</c:v>
                </c:pt>
                <c:pt idx="2">
                  <c:v>5.555555555555558E-2</c:v>
                </c:pt>
                <c:pt idx="3">
                  <c:v>0.15789473684210531</c:v>
                </c:pt>
                <c:pt idx="4">
                  <c:v>0.13636363636363646</c:v>
                </c:pt>
                <c:pt idx="6">
                  <c:v>0.15999999999999992</c:v>
                </c:pt>
                <c:pt idx="7">
                  <c:v>0.13793103448275867</c:v>
                </c:pt>
                <c:pt idx="8">
                  <c:v>0.1212121212121211</c:v>
                </c:pt>
                <c:pt idx="9">
                  <c:v>0.13513513513513509</c:v>
                </c:pt>
              </c:numCache>
            </c:numRef>
          </c:val>
          <c:extLst>
            <c:ext xmlns:c16="http://schemas.microsoft.com/office/drawing/2014/chart" uri="{C3380CC4-5D6E-409C-BE32-E72D297353CC}">
              <c16:uniqueId val="{00000002-8ED5-4684-BD1E-34D96F937A20}"/>
            </c:ext>
          </c:extLst>
        </c:ser>
        <c:ser>
          <c:idx val="3"/>
          <c:order val="3"/>
          <c:tx>
            <c:strRef>
              <c:f>'Unit of Economics'!$A$29:$E$29</c:f>
              <c:strCache>
                <c:ptCount val="5"/>
                <c:pt idx="0">
                  <c:v>Total bookings </c:v>
                </c:pt>
                <c:pt idx="3">
                  <c:v>-6%</c:v>
                </c:pt>
                <c:pt idx="4">
                  <c:v>22%</c:v>
                </c:pt>
              </c:strCache>
            </c:strRef>
          </c:tx>
          <c:spPr>
            <a:solidFill>
              <a:schemeClr val="accent4"/>
            </a:solidFill>
            <a:ln>
              <a:noFill/>
            </a:ln>
            <a:effectLst/>
          </c:spPr>
          <c:invertIfNegative val="0"/>
          <c:cat>
            <c:multiLvlStrRef>
              <c:f>'Unit of Economics'!$F$24:$O$25</c:f>
              <c:multiLvlStrCache>
                <c:ptCount val="10"/>
                <c:lvl>
                  <c:pt idx="1">
                    <c:v>Q1</c:v>
                  </c:pt>
                  <c:pt idx="2">
                    <c:v>Q2</c:v>
                  </c:pt>
                  <c:pt idx="3">
                    <c:v>Q3</c:v>
                  </c:pt>
                  <c:pt idx="4">
                    <c:v>Q4</c:v>
                  </c:pt>
                  <c:pt idx="6">
                    <c:v>Q1</c:v>
                  </c:pt>
                  <c:pt idx="7">
                    <c:v>Q2</c:v>
                  </c:pt>
                  <c:pt idx="8">
                    <c:v>Q3</c:v>
                  </c:pt>
                  <c:pt idx="9">
                    <c:v>Q4</c:v>
                  </c:pt>
                </c:lvl>
                <c:lvl>
                  <c:pt idx="1">
                    <c:v>FY 2021</c:v>
                  </c:pt>
                  <c:pt idx="6">
                    <c:v>FY 2022</c:v>
                  </c:pt>
                </c:lvl>
              </c:multiLvlStrCache>
            </c:multiLvlStrRef>
          </c:cat>
          <c:val>
            <c:numRef>
              <c:f>'Unit of Economics'!$F$29:$O$29</c:f>
              <c:numCache>
                <c:formatCode>0%</c:formatCode>
                <c:ptCount val="10"/>
                <c:pt idx="1">
                  <c:v>0.1538148451314425</c:v>
                </c:pt>
                <c:pt idx="2">
                  <c:v>-2.0371567993415107E-2</c:v>
                </c:pt>
                <c:pt idx="3">
                  <c:v>0.13268217054263576</c:v>
                </c:pt>
                <c:pt idx="4">
                  <c:v>0.2431355909003805</c:v>
                </c:pt>
                <c:pt idx="6">
                  <c:v>0.12368284868037138</c:v>
                </c:pt>
                <c:pt idx="7">
                  <c:v>-4.4946792874360653E-2</c:v>
                </c:pt>
                <c:pt idx="8">
                  <c:v>5.407984240819963E-2</c:v>
                </c:pt>
                <c:pt idx="9">
                  <c:v>0.23019720064630422</c:v>
                </c:pt>
              </c:numCache>
            </c:numRef>
          </c:val>
          <c:extLst>
            <c:ext xmlns:c16="http://schemas.microsoft.com/office/drawing/2014/chart" uri="{C3380CC4-5D6E-409C-BE32-E72D297353CC}">
              <c16:uniqueId val="{00000003-8ED5-4684-BD1E-34D96F937A20}"/>
            </c:ext>
          </c:extLst>
        </c:ser>
        <c:dLbls>
          <c:showLegendKey val="0"/>
          <c:showVal val="0"/>
          <c:showCatName val="0"/>
          <c:showSerName val="0"/>
          <c:showPercent val="0"/>
          <c:showBubbleSize val="0"/>
        </c:dLbls>
        <c:gapWidth val="219"/>
        <c:overlap val="-27"/>
        <c:axId val="2108457504"/>
        <c:axId val="292909600"/>
      </c:barChart>
      <c:catAx>
        <c:axId val="210845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909600"/>
        <c:crosses val="autoZero"/>
        <c:auto val="1"/>
        <c:lblAlgn val="ctr"/>
        <c:lblOffset val="100"/>
        <c:noMultiLvlLbl val="0"/>
      </c:catAx>
      <c:valAx>
        <c:axId val="292909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8457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'Unit of Economics'!$B$35</c:f>
              <c:strCache>
                <c:ptCount val="1"/>
                <c:pt idx="0">
                  <c:v>2020</c:v>
                </c:pt>
              </c:strCache>
            </c:strRef>
          </c:tx>
          <c:spPr>
            <a:solidFill>
              <a:schemeClr val="accent1"/>
            </a:solidFill>
            <a:ln>
              <a:noFill/>
            </a:ln>
            <a:effectLst/>
          </c:spPr>
          <c:invertIfNegative val="0"/>
          <c:cat>
            <c:strRef>
              <c:f>'Unit of Economics'!$A$36:$A$39</c:f>
              <c:strCache>
                <c:ptCount val="4"/>
                <c:pt idx="0">
                  <c:v>Subscription </c:v>
                </c:pt>
                <c:pt idx="1">
                  <c:v>Advertising </c:v>
                </c:pt>
                <c:pt idx="2">
                  <c:v>Duolingo English Test </c:v>
                </c:pt>
                <c:pt idx="3">
                  <c:v>Other </c:v>
                </c:pt>
              </c:strCache>
            </c:strRef>
          </c:cat>
          <c:val>
            <c:numRef>
              <c:f>'Unit of Economics'!$B$36:$B$39</c:f>
              <c:numCache>
                <c:formatCode>_(* #,##0_);_(* \(#,##0\);_(* "-"??_);_(@_)</c:formatCode>
                <c:ptCount val="4"/>
                <c:pt idx="0">
                  <c:v>117501</c:v>
                </c:pt>
                <c:pt idx="1">
                  <c:v>27043</c:v>
                </c:pt>
                <c:pt idx="2">
                  <c:v>15155</c:v>
                </c:pt>
                <c:pt idx="3">
                  <c:v>1997</c:v>
                </c:pt>
              </c:numCache>
            </c:numRef>
          </c:val>
          <c:extLst>
            <c:ext xmlns:c16="http://schemas.microsoft.com/office/drawing/2014/chart" uri="{C3380CC4-5D6E-409C-BE32-E72D297353CC}">
              <c16:uniqueId val="{00000000-5B4D-4C5F-B7D1-6D66885E56BF}"/>
            </c:ext>
          </c:extLst>
        </c:ser>
        <c:ser>
          <c:idx val="1"/>
          <c:order val="1"/>
          <c:tx>
            <c:strRef>
              <c:f>'Unit of Economics'!$C$35</c:f>
              <c:strCache>
                <c:ptCount val="1"/>
                <c:pt idx="0">
                  <c:v>2021</c:v>
                </c:pt>
              </c:strCache>
            </c:strRef>
          </c:tx>
          <c:spPr>
            <a:solidFill>
              <a:schemeClr val="accent2"/>
            </a:solidFill>
            <a:ln>
              <a:noFill/>
            </a:ln>
            <a:effectLst/>
          </c:spPr>
          <c:invertIfNegative val="0"/>
          <c:cat>
            <c:strRef>
              <c:f>'Unit of Economics'!$A$36:$A$39</c:f>
              <c:strCache>
                <c:ptCount val="4"/>
                <c:pt idx="0">
                  <c:v>Subscription </c:v>
                </c:pt>
                <c:pt idx="1">
                  <c:v>Advertising </c:v>
                </c:pt>
                <c:pt idx="2">
                  <c:v>Duolingo English Test </c:v>
                </c:pt>
                <c:pt idx="3">
                  <c:v>Other </c:v>
                </c:pt>
              </c:strCache>
            </c:strRef>
          </c:cat>
          <c:val>
            <c:numRef>
              <c:f>'Unit of Economics'!$C$36:$C$39</c:f>
              <c:numCache>
                <c:formatCode>_(* #,##0_);_(* \(#,##0\);_(* "-"??_);_(@_)</c:formatCode>
                <c:ptCount val="4"/>
                <c:pt idx="0">
                  <c:v>180698</c:v>
                </c:pt>
                <c:pt idx="1">
                  <c:v>38501</c:v>
                </c:pt>
                <c:pt idx="2">
                  <c:v>24658</c:v>
                </c:pt>
                <c:pt idx="3">
                  <c:v>6915</c:v>
                </c:pt>
              </c:numCache>
            </c:numRef>
          </c:val>
          <c:extLst>
            <c:ext xmlns:c16="http://schemas.microsoft.com/office/drawing/2014/chart" uri="{C3380CC4-5D6E-409C-BE32-E72D297353CC}">
              <c16:uniqueId val="{00000001-5B4D-4C5F-B7D1-6D66885E56BF}"/>
            </c:ext>
          </c:extLst>
        </c:ser>
        <c:ser>
          <c:idx val="2"/>
          <c:order val="2"/>
          <c:tx>
            <c:strRef>
              <c:f>'Unit of Economics'!$D$35</c:f>
              <c:strCache>
                <c:ptCount val="1"/>
                <c:pt idx="0">
                  <c:v>2022</c:v>
                </c:pt>
              </c:strCache>
            </c:strRef>
          </c:tx>
          <c:spPr>
            <a:solidFill>
              <a:schemeClr val="accent3"/>
            </a:solidFill>
            <a:ln>
              <a:noFill/>
            </a:ln>
            <a:effectLst/>
          </c:spPr>
          <c:invertIfNegative val="0"/>
          <c:cat>
            <c:strRef>
              <c:f>'Unit of Economics'!$A$36:$A$39</c:f>
              <c:strCache>
                <c:ptCount val="4"/>
                <c:pt idx="0">
                  <c:v>Subscription </c:v>
                </c:pt>
                <c:pt idx="1">
                  <c:v>Advertising </c:v>
                </c:pt>
                <c:pt idx="2">
                  <c:v>Duolingo English Test </c:v>
                </c:pt>
                <c:pt idx="3">
                  <c:v>Other </c:v>
                </c:pt>
              </c:strCache>
            </c:strRef>
          </c:cat>
          <c:val>
            <c:numRef>
              <c:f>'Unit of Economics'!$D$36:$D$39</c:f>
              <c:numCache>
                <c:formatCode>_(* #,##0_);_(* \(#,##0\);_(* "-"??_);_(@_)</c:formatCode>
                <c:ptCount val="4"/>
                <c:pt idx="0">
                  <c:v>273507</c:v>
                </c:pt>
                <c:pt idx="1">
                  <c:v>44731</c:v>
                </c:pt>
                <c:pt idx="2">
                  <c:v>32718</c:v>
                </c:pt>
                <c:pt idx="3">
                  <c:v>18539</c:v>
                </c:pt>
              </c:numCache>
            </c:numRef>
          </c:val>
          <c:extLst>
            <c:ext xmlns:c16="http://schemas.microsoft.com/office/drawing/2014/chart" uri="{C3380CC4-5D6E-409C-BE32-E72D297353CC}">
              <c16:uniqueId val="{00000002-5B4D-4C5F-B7D1-6D66885E56BF}"/>
            </c:ext>
          </c:extLst>
        </c:ser>
        <c:dLbls>
          <c:showLegendKey val="0"/>
          <c:showVal val="0"/>
          <c:showCatName val="0"/>
          <c:showSerName val="0"/>
          <c:showPercent val="0"/>
          <c:showBubbleSize val="0"/>
        </c:dLbls>
        <c:gapWidth val="219"/>
        <c:overlap val="-27"/>
        <c:axId val="599495264"/>
        <c:axId val="377038208"/>
      </c:barChart>
      <c:catAx>
        <c:axId val="59949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038208"/>
        <c:crosses val="autoZero"/>
        <c:auto val="1"/>
        <c:lblAlgn val="ctr"/>
        <c:lblOffset val="100"/>
        <c:noMultiLvlLbl val="0"/>
      </c:catAx>
      <c:valAx>
        <c:axId val="3770382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495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Quarterly Growth per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'Unit of Economics'!$A$81</c:f>
              <c:strCache>
                <c:ptCount val="1"/>
                <c:pt idx="0">
                  <c:v>MAU</c:v>
                </c:pt>
              </c:strCache>
            </c:strRef>
          </c:tx>
          <c:spPr>
            <a:ln w="28575" cap="rnd">
              <a:solidFill>
                <a:schemeClr val="accent1"/>
              </a:solidFill>
              <a:round/>
            </a:ln>
            <a:effectLst/>
          </c:spPr>
          <c:marker>
            <c:symbol val="none"/>
          </c:marker>
          <c:cat>
            <c:numRef>
              <c:f>'Unit of Economics'!$B$80:$I$80</c:f>
              <c:numCache>
                <c:formatCode>General</c:formatCode>
                <c:ptCount val="8"/>
                <c:pt idx="0">
                  <c:v>2020</c:v>
                </c:pt>
                <c:pt idx="1">
                  <c:v>2021</c:v>
                </c:pt>
                <c:pt idx="2">
                  <c:v>2022</c:v>
                </c:pt>
                <c:pt idx="3">
                  <c:v>2023</c:v>
                </c:pt>
                <c:pt idx="4">
                  <c:v>2024</c:v>
                </c:pt>
                <c:pt idx="5">
                  <c:v>2025</c:v>
                </c:pt>
                <c:pt idx="6">
                  <c:v>2026</c:v>
                </c:pt>
                <c:pt idx="7">
                  <c:v>2027</c:v>
                </c:pt>
              </c:numCache>
            </c:numRef>
          </c:cat>
          <c:val>
            <c:numRef>
              <c:f>'Unit of Economics'!$B$81:$I$81</c:f>
              <c:numCache>
                <c:formatCode>0%</c:formatCode>
                <c:ptCount val="8"/>
                <c:pt idx="0">
                  <c:v>-2.6517150395778399E-2</c:v>
                </c:pt>
                <c:pt idx="1">
                  <c:v>3.6325872020329941E-2</c:v>
                </c:pt>
                <c:pt idx="2">
                  <c:v>9.5556336016539511E-2</c:v>
                </c:pt>
                <c:pt idx="3">
                  <c:v>0.15478680001274908</c:v>
                </c:pt>
                <c:pt idx="4">
                  <c:v>0.21401726400895865</c:v>
                </c:pt>
                <c:pt idx="5">
                  <c:v>0.27324772800516822</c:v>
                </c:pt>
                <c:pt idx="6">
                  <c:v>0.33247819200137779</c:v>
                </c:pt>
                <c:pt idx="7">
                  <c:v>0.39170865599758736</c:v>
                </c:pt>
              </c:numCache>
            </c:numRef>
          </c:val>
          <c:smooth val="0"/>
          <c:extLst>
            <c:ext xmlns:c16="http://schemas.microsoft.com/office/drawing/2014/chart" uri="{C3380CC4-5D6E-409C-BE32-E72D297353CC}">
              <c16:uniqueId val="{00000000-F0DE-4DD9-A807-9DF198380440}"/>
            </c:ext>
          </c:extLst>
        </c:ser>
        <c:ser>
          <c:idx val="1"/>
          <c:order val="1"/>
          <c:tx>
            <c:strRef>
              <c:f>'Unit of Economics'!$A$83</c:f>
              <c:strCache>
                <c:ptCount val="1"/>
                <c:pt idx="0">
                  <c:v>DAU</c:v>
                </c:pt>
              </c:strCache>
            </c:strRef>
          </c:tx>
          <c:spPr>
            <a:ln w="28575" cap="rnd">
              <a:solidFill>
                <a:schemeClr val="accent2"/>
              </a:solidFill>
              <a:round/>
            </a:ln>
            <a:effectLst/>
          </c:spPr>
          <c:marker>
            <c:symbol val="none"/>
          </c:marker>
          <c:cat>
            <c:numRef>
              <c:f>'Unit of Economics'!$B$80:$I$80</c:f>
              <c:numCache>
                <c:formatCode>General</c:formatCode>
                <c:ptCount val="8"/>
                <c:pt idx="0">
                  <c:v>2020</c:v>
                </c:pt>
                <c:pt idx="1">
                  <c:v>2021</c:v>
                </c:pt>
                <c:pt idx="2">
                  <c:v>2022</c:v>
                </c:pt>
                <c:pt idx="3">
                  <c:v>2023</c:v>
                </c:pt>
                <c:pt idx="4">
                  <c:v>2024</c:v>
                </c:pt>
                <c:pt idx="5">
                  <c:v>2025</c:v>
                </c:pt>
                <c:pt idx="6">
                  <c:v>2026</c:v>
                </c:pt>
                <c:pt idx="7">
                  <c:v>2027</c:v>
                </c:pt>
              </c:numCache>
            </c:numRef>
          </c:cat>
          <c:val>
            <c:numRef>
              <c:f>'Unit of Economics'!$B$83:$I$83</c:f>
              <c:numCache>
                <c:formatCode>0%</c:formatCode>
                <c:ptCount val="8"/>
                <c:pt idx="0">
                  <c:v>-2.9230769230769227E-2</c:v>
                </c:pt>
                <c:pt idx="1">
                  <c:v>4.9095609903880538E-2</c:v>
                </c:pt>
                <c:pt idx="2">
                  <c:v>0.1290928431769352</c:v>
                </c:pt>
                <c:pt idx="3">
                  <c:v>0.20909007644998986</c:v>
                </c:pt>
                <c:pt idx="4">
                  <c:v>0.28908730972304453</c:v>
                </c:pt>
                <c:pt idx="5">
                  <c:v>0.36908454299609916</c:v>
                </c:pt>
                <c:pt idx="6">
                  <c:v>0.4490817762691538</c:v>
                </c:pt>
                <c:pt idx="7">
                  <c:v>0.52907900954220843</c:v>
                </c:pt>
              </c:numCache>
            </c:numRef>
          </c:val>
          <c:smooth val="0"/>
          <c:extLst>
            <c:ext xmlns:c16="http://schemas.microsoft.com/office/drawing/2014/chart" uri="{C3380CC4-5D6E-409C-BE32-E72D297353CC}">
              <c16:uniqueId val="{00000001-F0DE-4DD9-A807-9DF198380440}"/>
            </c:ext>
          </c:extLst>
        </c:ser>
        <c:ser>
          <c:idx val="2"/>
          <c:order val="2"/>
          <c:tx>
            <c:strRef>
              <c:f>'Unit of Economics'!$A$85</c:f>
              <c:strCache>
                <c:ptCount val="1"/>
                <c:pt idx="0">
                  <c:v>Paid Subscribers</c:v>
                </c:pt>
              </c:strCache>
            </c:strRef>
          </c:tx>
          <c:spPr>
            <a:ln w="28575" cap="rnd">
              <a:solidFill>
                <a:schemeClr val="accent3"/>
              </a:solidFill>
              <a:round/>
            </a:ln>
            <a:effectLst/>
          </c:spPr>
          <c:marker>
            <c:symbol val="none"/>
          </c:marker>
          <c:cat>
            <c:numRef>
              <c:f>'Unit of Economics'!$B$80:$I$80</c:f>
              <c:numCache>
                <c:formatCode>General</c:formatCode>
                <c:ptCount val="8"/>
                <c:pt idx="0">
                  <c:v>2020</c:v>
                </c:pt>
                <c:pt idx="1">
                  <c:v>2021</c:v>
                </c:pt>
                <c:pt idx="2">
                  <c:v>2022</c:v>
                </c:pt>
                <c:pt idx="3">
                  <c:v>2023</c:v>
                </c:pt>
                <c:pt idx="4">
                  <c:v>2024</c:v>
                </c:pt>
                <c:pt idx="5">
                  <c:v>2025</c:v>
                </c:pt>
                <c:pt idx="6">
                  <c:v>2026</c:v>
                </c:pt>
                <c:pt idx="7">
                  <c:v>2027</c:v>
                </c:pt>
              </c:numCache>
            </c:numRef>
          </c:cat>
          <c:val>
            <c:numRef>
              <c:f>'Unit of Economics'!$B$85:$I$85</c:f>
              <c:numCache>
                <c:formatCode>0%</c:formatCode>
                <c:ptCount val="8"/>
                <c:pt idx="0">
                  <c:v>0.10964912280701755</c:v>
                </c:pt>
                <c:pt idx="1">
                  <c:v>0.11870348219032434</c:v>
                </c:pt>
                <c:pt idx="2">
                  <c:v>0.1385695727075037</c:v>
                </c:pt>
                <c:pt idx="3">
                  <c:v>0.15843566322468305</c:v>
                </c:pt>
                <c:pt idx="4">
                  <c:v>0.17830175374186241</c:v>
                </c:pt>
                <c:pt idx="5">
                  <c:v>0.19816784425904177</c:v>
                </c:pt>
                <c:pt idx="6">
                  <c:v>0.21803393477622113</c:v>
                </c:pt>
                <c:pt idx="7">
                  <c:v>0.23790002529340049</c:v>
                </c:pt>
              </c:numCache>
            </c:numRef>
          </c:val>
          <c:smooth val="0"/>
          <c:extLst>
            <c:ext xmlns:c16="http://schemas.microsoft.com/office/drawing/2014/chart" uri="{C3380CC4-5D6E-409C-BE32-E72D297353CC}">
              <c16:uniqueId val="{00000002-F0DE-4DD9-A807-9DF198380440}"/>
            </c:ext>
          </c:extLst>
        </c:ser>
        <c:dLbls>
          <c:showLegendKey val="0"/>
          <c:showVal val="0"/>
          <c:showCatName val="0"/>
          <c:showSerName val="0"/>
          <c:showPercent val="0"/>
          <c:showBubbleSize val="0"/>
        </c:dLbls>
        <c:smooth val="0"/>
        <c:axId val="843559087"/>
        <c:axId val="236512191"/>
      </c:lineChart>
      <c:catAx>
        <c:axId val="84355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512191"/>
        <c:crosses val="autoZero"/>
        <c:auto val="1"/>
        <c:lblAlgn val="ctr"/>
        <c:lblOffset val="100"/>
        <c:noMultiLvlLbl val="0"/>
      </c:catAx>
      <c:valAx>
        <c:axId val="2365121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559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Unit_Econmics_Breakdown!$C$10</c:f>
              <c:strCache>
                <c:ptCount val="1"/>
                <c:pt idx="0">
                  <c:v>monthly active users (MAU)</c:v>
                </c:pt>
              </c:strCache>
            </c:strRef>
          </c:tx>
          <c:spPr>
            <a:solidFill>
              <a:schemeClr val="accent1"/>
            </a:solidFill>
            <a:ln>
              <a:noFill/>
            </a:ln>
            <a:effectLst/>
          </c:spPr>
          <c:invertIfNegative val="0"/>
          <c:val>
            <c:numRef>
              <c:f>Unit_Econmics_Breakdown!$D$10:$AE$10</c:f>
              <c:numCache>
                <c:formatCode>_(* #,##0_);_(* \(#,##0\);_(* "-"_);_(@_)</c:formatCode>
                <c:ptCount val="28"/>
                <c:pt idx="0">
                  <c:v>39900</c:v>
                </c:pt>
                <c:pt idx="1">
                  <c:v>37900</c:v>
                </c:pt>
                <c:pt idx="2">
                  <c:v>41700</c:v>
                </c:pt>
                <c:pt idx="3">
                  <c:v>42400</c:v>
                </c:pt>
                <c:pt idx="4">
                  <c:v>49200</c:v>
                </c:pt>
                <c:pt idx="5">
                  <c:v>49500</c:v>
                </c:pt>
                <c:pt idx="6">
                  <c:v>56500</c:v>
                </c:pt>
                <c:pt idx="7">
                  <c:v>60700</c:v>
                </c:pt>
                <c:pt idx="8" formatCode="#,##0">
                  <c:v>66554.461296919661</c:v>
                </c:pt>
                <c:pt idx="9" formatCode="#,##0">
                  <c:v>69349.856640185302</c:v>
                </c:pt>
                <c:pt idx="10" formatCode="#,##0">
                  <c:v>71137.911963285078</c:v>
                </c:pt>
                <c:pt idx="11" formatCode="#,##0">
                  <c:v>78774.885043394199</c:v>
                </c:pt>
                <c:pt idx="12" formatCode="#,##0">
                  <c:v>80150.380502268716</c:v>
                </c:pt>
                <c:pt idx="13" formatCode="#,##0">
                  <c:v>83962.230851541259</c:v>
                </c:pt>
                <c:pt idx="14" formatCode="#,##0">
                  <c:v>89302.025773286456</c:v>
                </c:pt>
                <c:pt idx="15" formatCode="#,##0">
                  <c:v>95050.03518357483</c:v>
                </c:pt>
                <c:pt idx="16" formatCode="#,##0">
                  <c:v>92430.377323878463</c:v>
                </c:pt>
                <c:pt idx="17" formatCode="#,##0">
                  <c:v>97230.688743118706</c:v>
                </c:pt>
                <c:pt idx="18" formatCode="#,##0">
                  <c:v>106403.58366459931</c:v>
                </c:pt>
                <c:pt idx="19" formatCode="#,##0">
                  <c:v>109778.27241860829</c:v>
                </c:pt>
                <c:pt idx="20" formatCode="#,##0">
                  <c:v>100927.24083951919</c:v>
                </c:pt>
                <c:pt idx="21" formatCode="#,##0">
                  <c:v>106449.84325775936</c:v>
                </c:pt>
                <c:pt idx="22" formatCode="#,##0">
                  <c:v>118629.51267433715</c:v>
                </c:pt>
                <c:pt idx="23" formatCode="#,##0">
                  <c:v>119984.52075703794</c:v>
                </c:pt>
                <c:pt idx="24" formatCode="#,##0">
                  <c:v>105566.21892904202</c:v>
                </c:pt>
                <c:pt idx="25" formatCode="#,##0">
                  <c:v>111496.48833319097</c:v>
                </c:pt>
                <c:pt idx="26" formatCode="#,##0">
                  <c:v>125444.86583475323</c:v>
                </c:pt>
                <c:pt idx="27" formatCode="#,##0">
                  <c:v>125562.08992730216</c:v>
                </c:pt>
              </c:numCache>
            </c:numRef>
          </c:val>
          <c:extLst>
            <c:ext xmlns:c16="http://schemas.microsoft.com/office/drawing/2014/chart" uri="{C3380CC4-5D6E-409C-BE32-E72D297353CC}">
              <c16:uniqueId val="{00000000-3E3B-4A87-98C5-DEE2C76C680C}"/>
            </c:ext>
          </c:extLst>
        </c:ser>
        <c:ser>
          <c:idx val="1"/>
          <c:order val="1"/>
          <c:tx>
            <c:strRef>
              <c:f>Unit_Econmics_Breakdown!$C$16</c:f>
              <c:strCache>
                <c:ptCount val="1"/>
                <c:pt idx="0">
                  <c:v>daily active users (DAU)</c:v>
                </c:pt>
              </c:strCache>
            </c:strRef>
          </c:tx>
          <c:spPr>
            <a:solidFill>
              <a:schemeClr val="accent2"/>
            </a:solidFill>
            <a:ln>
              <a:noFill/>
            </a:ln>
            <a:effectLst/>
          </c:spPr>
          <c:invertIfNegative val="0"/>
          <c:val>
            <c:numRef>
              <c:f>Unit_Econmics_Breakdown!$D$16:$AE$16</c:f>
              <c:numCache>
                <c:formatCode>_(* #,##0_);_(* \(#,##0\);_(* "-"_);_(@_)</c:formatCode>
                <c:ptCount val="28"/>
                <c:pt idx="0">
                  <c:v>9500</c:v>
                </c:pt>
                <c:pt idx="1">
                  <c:v>9100</c:v>
                </c:pt>
                <c:pt idx="2">
                  <c:v>9800</c:v>
                </c:pt>
                <c:pt idx="3">
                  <c:v>10100</c:v>
                </c:pt>
                <c:pt idx="4">
                  <c:v>12500</c:v>
                </c:pt>
                <c:pt idx="5">
                  <c:v>13200</c:v>
                </c:pt>
                <c:pt idx="6">
                  <c:v>14900</c:v>
                </c:pt>
                <c:pt idx="7">
                  <c:v>16300</c:v>
                </c:pt>
                <c:pt idx="8" formatCode="#,##0">
                  <c:v>17872.120578909235</c:v>
                </c:pt>
                <c:pt idx="9" formatCode="#,##0">
                  <c:v>18622.778636491275</c:v>
                </c:pt>
                <c:pt idx="10" formatCode="#,##0">
                  <c:v>19102.931878114443</c:v>
                </c:pt>
                <c:pt idx="11" formatCode="#,##0">
                  <c:v>21153.717070960876</c:v>
                </c:pt>
                <c:pt idx="12" formatCode="#,##0">
                  <c:v>21523.084055798678</c:v>
                </c:pt>
                <c:pt idx="13" formatCode="#,##0">
                  <c:v>22546.694610875158</c:v>
                </c:pt>
                <c:pt idx="14" formatCode="#,##0">
                  <c:v>23980.609886401464</c:v>
                </c:pt>
                <c:pt idx="15" formatCode="#,##0">
                  <c:v>25524.144538587632</c:v>
                </c:pt>
                <c:pt idx="16" formatCode="#,##0">
                  <c:v>24820.677930464884</c:v>
                </c:pt>
                <c:pt idx="17" formatCode="#,##0">
                  <c:v>26109.723665779809</c:v>
                </c:pt>
                <c:pt idx="18" formatCode="#,##0">
                  <c:v>28572.955745188934</c:v>
                </c:pt>
                <c:pt idx="19" formatCode="#,##0">
                  <c:v>29479.173647830557</c:v>
                </c:pt>
                <c:pt idx="20" formatCode="#,##0">
                  <c:v>27102.372746032332</c:v>
                </c:pt>
                <c:pt idx="21" formatCode="#,##0">
                  <c:v>28585.37800826157</c:v>
                </c:pt>
                <c:pt idx="22" formatCode="#,##0">
                  <c:v>31856.030586354122</c:v>
                </c:pt>
                <c:pt idx="23" formatCode="#,##0">
                  <c:v>32219.896018776246</c:v>
                </c:pt>
                <c:pt idx="24" formatCode="#,##0">
                  <c:v>28348.095033663667</c:v>
                </c:pt>
                <c:pt idx="25" formatCode="#,##0">
                  <c:v>29940.572649604816</c:v>
                </c:pt>
                <c:pt idx="26" formatCode="#,##0">
                  <c:v>33686.18308247903</c:v>
                </c:pt>
                <c:pt idx="27" formatCode="#,##0">
                  <c:v>33717.661710296947</c:v>
                </c:pt>
              </c:numCache>
            </c:numRef>
          </c:val>
          <c:extLst>
            <c:ext xmlns:c16="http://schemas.microsoft.com/office/drawing/2014/chart" uri="{C3380CC4-5D6E-409C-BE32-E72D297353CC}">
              <c16:uniqueId val="{00000001-3E3B-4A87-98C5-DEE2C76C680C}"/>
            </c:ext>
          </c:extLst>
        </c:ser>
        <c:dLbls>
          <c:showLegendKey val="0"/>
          <c:showVal val="0"/>
          <c:showCatName val="0"/>
          <c:showSerName val="0"/>
          <c:showPercent val="0"/>
          <c:showBubbleSize val="0"/>
        </c:dLbls>
        <c:gapWidth val="150"/>
        <c:axId val="580242768"/>
        <c:axId val="580242440"/>
      </c:barChart>
      <c:lineChart>
        <c:grouping val="standard"/>
        <c:varyColors val="0"/>
        <c:ser>
          <c:idx val="2"/>
          <c:order val="2"/>
          <c:tx>
            <c:strRef>
              <c:f>Unit_Econmics_Breakdown!$C$22</c:f>
              <c:strCache>
                <c:ptCount val="1"/>
                <c:pt idx="0">
                  <c:v>paid subscribers</c:v>
                </c:pt>
              </c:strCache>
            </c:strRef>
          </c:tx>
          <c:spPr>
            <a:ln w="28575" cap="rnd">
              <a:solidFill>
                <a:schemeClr val="accent3"/>
              </a:solidFill>
              <a:round/>
            </a:ln>
            <a:effectLst/>
          </c:spPr>
          <c:marker>
            <c:symbol val="none"/>
          </c:marker>
          <c:val>
            <c:numRef>
              <c:f>Unit_Econmics_Breakdown!$D$22:$AE$22</c:f>
              <c:numCache>
                <c:formatCode>_(* #,##0_);_(* \(#,##0\);_(* "-"_);_(@_)</c:formatCode>
                <c:ptCount val="28"/>
                <c:pt idx="0">
                  <c:v>1800</c:v>
                </c:pt>
                <c:pt idx="1">
                  <c:v>1900</c:v>
                </c:pt>
                <c:pt idx="2">
                  <c:v>2200</c:v>
                </c:pt>
                <c:pt idx="3">
                  <c:v>2500</c:v>
                </c:pt>
                <c:pt idx="4">
                  <c:v>2900</c:v>
                </c:pt>
                <c:pt idx="5">
                  <c:v>3300</c:v>
                </c:pt>
                <c:pt idx="6">
                  <c:v>3700</c:v>
                </c:pt>
                <c:pt idx="7">
                  <c:v>4200</c:v>
                </c:pt>
                <c:pt idx="8" formatCode="#,##0">
                  <c:v>4605.0862841361213</c:v>
                </c:pt>
                <c:pt idx="9" formatCode="#,##0">
                  <c:v>4798.5073787278134</c:v>
                </c:pt>
                <c:pt idx="10" formatCode="#,##0">
                  <c:v>4922.2278458945193</c:v>
                </c:pt>
                <c:pt idx="11" formatCode="#,##0">
                  <c:v>5450.6510244193678</c:v>
                </c:pt>
                <c:pt idx="12" formatCode="#,##0">
                  <c:v>5545.8253395309484</c:v>
                </c:pt>
                <c:pt idx="13" formatCode="#,##0">
                  <c:v>5809.577752495441</c:v>
                </c:pt>
                <c:pt idx="14" formatCode="#,##0">
                  <c:v>6179.0528541647955</c:v>
                </c:pt>
                <c:pt idx="15" formatCode="#,##0">
                  <c:v>6576.7734393906794</c:v>
                </c:pt>
                <c:pt idx="16" formatCode="#,##0">
                  <c:v>6395.5121047823641</c:v>
                </c:pt>
                <c:pt idx="17" formatCode="#,##0">
                  <c:v>6727.6588586671915</c:v>
                </c:pt>
                <c:pt idx="18" formatCode="#,##0">
                  <c:v>7362.3566950793584</c:v>
                </c:pt>
                <c:pt idx="19" formatCode="#,##0">
                  <c:v>7595.8606945330275</c:v>
                </c:pt>
                <c:pt idx="20" formatCode="#,##0">
                  <c:v>6983.4334683028092</c:v>
                </c:pt>
                <c:pt idx="21" formatCode="#,##0">
                  <c:v>7365.5575236011409</c:v>
                </c:pt>
                <c:pt idx="22" formatCode="#,##0">
                  <c:v>8208.3023596740677</c:v>
                </c:pt>
                <c:pt idx="23" formatCode="#,##0">
                  <c:v>8302.0590968625893</c:v>
                </c:pt>
                <c:pt idx="24" formatCode="#,##0">
                  <c:v>7304.4171252384895</c:v>
                </c:pt>
                <c:pt idx="25" formatCode="#,##0">
                  <c:v>7714.7487808797669</c:v>
                </c:pt>
                <c:pt idx="26" formatCode="#,##0">
                  <c:v>8679.8753954853928</c:v>
                </c:pt>
                <c:pt idx="27" formatCode="#,##0">
                  <c:v>8687.986452959949</c:v>
                </c:pt>
              </c:numCache>
            </c:numRef>
          </c:val>
          <c:smooth val="0"/>
          <c:extLst>
            <c:ext xmlns:c16="http://schemas.microsoft.com/office/drawing/2014/chart" uri="{C3380CC4-5D6E-409C-BE32-E72D297353CC}">
              <c16:uniqueId val="{00000002-3E3B-4A87-98C5-DEE2C76C680C}"/>
            </c:ext>
          </c:extLst>
        </c:ser>
        <c:dLbls>
          <c:showLegendKey val="0"/>
          <c:showVal val="0"/>
          <c:showCatName val="0"/>
          <c:showSerName val="0"/>
          <c:showPercent val="0"/>
          <c:showBubbleSize val="0"/>
        </c:dLbls>
        <c:marker val="1"/>
        <c:smooth val="0"/>
        <c:axId val="416784840"/>
        <c:axId val="416784512"/>
      </c:lineChart>
      <c:catAx>
        <c:axId val="58024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242440"/>
        <c:crosses val="autoZero"/>
        <c:auto val="1"/>
        <c:lblAlgn val="ctr"/>
        <c:lblOffset val="100"/>
        <c:noMultiLvlLbl val="0"/>
      </c:catAx>
      <c:valAx>
        <c:axId val="5802424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242768"/>
        <c:crosses val="autoZero"/>
        <c:crossBetween val="between"/>
      </c:valAx>
      <c:valAx>
        <c:axId val="416784512"/>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784840"/>
        <c:crosses val="max"/>
        <c:crossBetween val="between"/>
      </c:valAx>
      <c:catAx>
        <c:axId val="416784840"/>
        <c:scaling>
          <c:orientation val="minMax"/>
        </c:scaling>
        <c:delete val="1"/>
        <c:axPos val="b"/>
        <c:majorTickMark val="out"/>
        <c:minorTickMark val="none"/>
        <c:tickLblPos val="nextTo"/>
        <c:crossAx val="41678451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390524</xdr:colOff>
      <xdr:row>14</xdr:row>
      <xdr:rowOff>180974</xdr:rowOff>
    </xdr:from>
    <xdr:to>
      <xdr:col>21</xdr:col>
      <xdr:colOff>257175</xdr:colOff>
      <xdr:row>37</xdr:row>
      <xdr:rowOff>190499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447675</xdr:colOff>
      <xdr:row>16</xdr:row>
      <xdr:rowOff>76200</xdr:rowOff>
    </xdr:from>
    <xdr:to>
      <xdr:col>25</xdr:col>
      <xdr:colOff>180975</xdr:colOff>
      <xdr:row>31</xdr:row>
      <xdr:rowOff>114300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537542</xdr:colOff>
      <xdr:row>32</xdr:row>
      <xdr:rowOff>45886</xdr:rowOff>
    </xdr:from>
    <xdr:to>
      <xdr:col>12</xdr:col>
      <xdr:colOff>405020</xdr:colOff>
      <xdr:row>41</xdr:row>
      <xdr:rowOff>140970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800100</xdr:colOff>
      <xdr:row>77</xdr:row>
      <xdr:rowOff>76199</xdr:rowOff>
    </xdr:from>
    <xdr:to>
      <xdr:col>14</xdr:col>
      <xdr:colOff>714375</xdr:colOff>
      <xdr:row>90</xdr:row>
      <xdr:rowOff>85724</xdr:rowOff>
    </xdr:to>
    <xdr:graphicFrame macro="">
      <xdr:nvGraphicFramePr>
        <xdr:cNvPr id="5" name="Chart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523875</xdr:colOff>
      <xdr:row>9</xdr:row>
      <xdr:rowOff>19049</xdr:rowOff>
    </xdr:from>
    <xdr:to>
      <xdr:col>23</xdr:col>
      <xdr:colOff>419100</xdr:colOff>
      <xdr:row>25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209550</xdr:colOff>
      <xdr:row>3</xdr:row>
      <xdr:rowOff>171450</xdr:rowOff>
    </xdr:from>
    <xdr:to>
      <xdr:col>5</xdr:col>
      <xdr:colOff>276225</xdr:colOff>
      <xdr:row>6</xdr:row>
      <xdr:rowOff>180975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428750" y="742950"/>
          <a:ext cx="189547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Intentionally</a:t>
          </a:r>
          <a:r>
            <a:rPr lang="en-US" sz="1100" baseline="0"/>
            <a:t> left blank</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609599</xdr:colOff>
      <xdr:row>21</xdr:row>
      <xdr:rowOff>0</xdr:rowOff>
    </xdr:from>
    <xdr:to>
      <xdr:col>6</xdr:col>
      <xdr:colOff>276225</xdr:colOff>
      <xdr:row>29</xdr:row>
      <xdr:rowOff>119046</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609599" y="4019550"/>
          <a:ext cx="9601201" cy="16430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83880</xdr:rowOff>
    </xdr:from>
    <xdr:to>
      <xdr:col>2</xdr:col>
      <xdr:colOff>1978920</xdr:colOff>
      <xdr:row>1</xdr:row>
      <xdr:rowOff>389880</xdr:rowOff>
    </xdr:to>
    <xdr:pic>
      <xdr:nvPicPr>
        <xdr:cNvPr id="2" name="Picture 2">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xdr:blipFill>
      <xdr:spPr>
        <a:xfrm>
          <a:off x="200025" y="160080"/>
          <a:ext cx="1978920" cy="3060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83880</xdr:rowOff>
    </xdr:from>
    <xdr:to>
      <xdr:col>2</xdr:col>
      <xdr:colOff>1978920</xdr:colOff>
      <xdr:row>1</xdr:row>
      <xdr:rowOff>389880</xdr:rowOff>
    </xdr:to>
    <xdr:pic>
      <xdr:nvPicPr>
        <xdr:cNvPr id="2" name="Picture 2">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xdr:blipFill>
      <xdr:spPr>
        <a:xfrm>
          <a:off x="200025" y="160080"/>
          <a:ext cx="1978920" cy="3060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83880</xdr:rowOff>
    </xdr:from>
    <xdr:to>
      <xdr:col>2</xdr:col>
      <xdr:colOff>1978920</xdr:colOff>
      <xdr:row>1</xdr:row>
      <xdr:rowOff>389880</xdr:rowOff>
    </xdr:to>
    <xdr:pic>
      <xdr:nvPicPr>
        <xdr:cNvPr id="2" name="Picture 2">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xdr:blipFill>
      <xdr:spPr>
        <a:xfrm>
          <a:off x="200025" y="160080"/>
          <a:ext cx="1978920" cy="30600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F07C922\Operating%20Model%20Tutorial_pt31_Final%20Recommendation.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eer%20Group"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ris%20Lopez/Downloads/Comparable%20Analysis/Comparable_Updated.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eveloping%20Stor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uolingo_OperatingModel_V44_%20(Autosa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nnual Summary"/>
      <sheetName val="Next 12 Months"/>
      <sheetName val="Transaction"/>
      <sheetName val="Operating Mode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titors"/>
      <sheetName val="M&amp;A Comps"/>
      <sheetName val="Public-Comps"/>
      <sheetName val="ValSum"/>
      <sheetName val="Diluted Share Calculations"/>
    </sheetNames>
    <sheetDataSet>
      <sheetData sheetId="0" refreshError="1"/>
      <sheetData sheetId="1" refreshError="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Stor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ummary"/>
      <sheetName val="Quarterly Summary"/>
      <sheetName val="Transaction Structure"/>
      <sheetName val="Operating Model"/>
      <sheetName val="Original - Metrics"/>
      <sheetName val="Original - Metrics (formatted)"/>
      <sheetName val="Unit_Econmics_2"/>
      <sheetName val="Unit of Economics_Assumptions"/>
      <sheetName val="MASTER DCF"/>
      <sheetName val="Public-Comps"/>
      <sheetName val="Public - Dil.Shares"/>
      <sheetName val="ValSum"/>
      <sheetName val="M&amp;A Comps"/>
      <sheetName val="Unit of Economics"/>
      <sheetName val="Region Breakdown"/>
      <sheetName val="Sheet1"/>
      <sheetName val="Share Conversion"/>
      <sheetName val="YoY Estimates"/>
      <sheetName val="QoQ Estimates_Edited"/>
      <sheetName val="QoQ Estimates"/>
      <sheetName val="Supplemental Sheets -&gt;"/>
    </sheetNames>
    <sheetDataSet>
      <sheetData sheetId="0"/>
      <sheetData sheetId="1"/>
      <sheetData sheetId="2">
        <row r="5">
          <cell r="U5" t="str">
            <v>Best case</v>
          </cell>
        </row>
        <row r="22">
          <cell r="K22">
            <v>45199</v>
          </cell>
        </row>
        <row r="23">
          <cell r="K23">
            <v>44926</v>
          </cell>
        </row>
      </sheetData>
      <sheetData sheetId="3">
        <row r="4">
          <cell r="K4">
            <v>2021</v>
          </cell>
          <cell r="L4">
            <v>2021</v>
          </cell>
          <cell r="M4">
            <v>2021</v>
          </cell>
          <cell r="N4">
            <v>2021</v>
          </cell>
          <cell r="O4">
            <v>2022</v>
          </cell>
          <cell r="P4">
            <v>2022</v>
          </cell>
          <cell r="Q4">
            <v>2022</v>
          </cell>
          <cell r="R4">
            <v>2022</v>
          </cell>
          <cell r="S4">
            <v>2023</v>
          </cell>
          <cell r="T4">
            <v>2023</v>
          </cell>
          <cell r="U4">
            <v>2023</v>
          </cell>
          <cell r="V4">
            <v>2023</v>
          </cell>
          <cell r="W4">
            <v>2024</v>
          </cell>
          <cell r="X4">
            <v>2024</v>
          </cell>
          <cell r="Y4">
            <v>2024</v>
          </cell>
          <cell r="Z4">
            <v>2024</v>
          </cell>
          <cell r="AA4">
            <v>2025</v>
          </cell>
          <cell r="AB4">
            <v>2025</v>
          </cell>
          <cell r="AC4">
            <v>2025</v>
          </cell>
          <cell r="AD4">
            <v>2025</v>
          </cell>
          <cell r="AE4">
            <v>2026</v>
          </cell>
          <cell r="AF4">
            <v>2026</v>
          </cell>
          <cell r="AG4">
            <v>2026</v>
          </cell>
          <cell r="AH4">
            <v>2026</v>
          </cell>
          <cell r="AI4">
            <v>2027</v>
          </cell>
          <cell r="AJ4">
            <v>2027</v>
          </cell>
          <cell r="AK4">
            <v>2027</v>
          </cell>
          <cell r="AL4">
            <v>2027</v>
          </cell>
        </row>
        <row r="5">
          <cell r="K5">
            <v>44286</v>
          </cell>
          <cell r="L5">
            <v>44377</v>
          </cell>
          <cell r="M5">
            <v>44469</v>
          </cell>
          <cell r="N5">
            <v>44561</v>
          </cell>
          <cell r="O5">
            <v>44651</v>
          </cell>
          <cell r="P5">
            <v>44742</v>
          </cell>
          <cell r="Q5">
            <v>44834</v>
          </cell>
          <cell r="R5">
            <v>44926</v>
          </cell>
          <cell r="S5">
            <v>45016</v>
          </cell>
          <cell r="T5">
            <v>45107</v>
          </cell>
          <cell r="U5">
            <v>45199</v>
          </cell>
          <cell r="V5">
            <v>45291</v>
          </cell>
          <cell r="W5">
            <v>45382</v>
          </cell>
          <cell r="X5">
            <v>45473</v>
          </cell>
          <cell r="Y5">
            <v>45565</v>
          </cell>
          <cell r="Z5">
            <v>45657</v>
          </cell>
          <cell r="AA5">
            <v>45747</v>
          </cell>
          <cell r="AB5">
            <v>45838</v>
          </cell>
          <cell r="AC5">
            <v>45930</v>
          </cell>
          <cell r="AD5">
            <v>46022</v>
          </cell>
          <cell r="AE5">
            <v>46112</v>
          </cell>
          <cell r="AF5">
            <v>46203</v>
          </cell>
          <cell r="AG5">
            <v>46295</v>
          </cell>
          <cell r="AH5">
            <v>46387</v>
          </cell>
          <cell r="AI5">
            <v>46477</v>
          </cell>
          <cell r="AJ5">
            <v>46568</v>
          </cell>
          <cell r="AK5">
            <v>46660</v>
          </cell>
          <cell r="AL5">
            <v>46752</v>
          </cell>
        </row>
      </sheetData>
      <sheetData sheetId="4"/>
      <sheetData sheetId="5"/>
      <sheetData sheetId="6">
        <row r="10">
          <cell r="C10" t="str">
            <v>monthly active users (MAU)</v>
          </cell>
          <cell r="D10">
            <v>39900</v>
          </cell>
          <cell r="E10">
            <v>37900</v>
          </cell>
          <cell r="F10">
            <v>41700</v>
          </cell>
          <cell r="G10">
            <v>42400</v>
          </cell>
          <cell r="H10">
            <v>49200</v>
          </cell>
          <cell r="I10">
            <v>49500</v>
          </cell>
          <cell r="J10">
            <v>56500</v>
          </cell>
          <cell r="K10">
            <v>60700</v>
          </cell>
          <cell r="L10">
            <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row>
        <row r="16">
          <cell r="C16" t="str">
            <v>daily active users (DAU)</v>
          </cell>
          <cell r="D16">
            <v>9500</v>
          </cell>
          <cell r="E16">
            <v>9100</v>
          </cell>
          <cell r="F16">
            <v>9800</v>
          </cell>
          <cell r="G16">
            <v>10100</v>
          </cell>
          <cell r="H16">
            <v>12500</v>
          </cell>
          <cell r="I16">
            <v>13200</v>
          </cell>
          <cell r="J16">
            <v>14900</v>
          </cell>
          <cell r="K16">
            <v>16300</v>
          </cell>
          <cell r="L16">
            <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row>
        <row r="22">
          <cell r="C22" t="str">
            <v>paid subscribers</v>
          </cell>
          <cell r="D22">
            <v>1800</v>
          </cell>
          <cell r="E22">
            <v>1900</v>
          </cell>
          <cell r="F22">
            <v>2200</v>
          </cell>
          <cell r="G22">
            <v>2500</v>
          </cell>
          <cell r="H22">
            <v>2900</v>
          </cell>
          <cell r="I22">
            <v>3300</v>
          </cell>
          <cell r="J22">
            <v>3700</v>
          </cell>
          <cell r="K22">
            <v>4200</v>
          </cell>
          <cell r="L22">
            <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row>
      </sheetData>
      <sheetData sheetId="7"/>
      <sheetData sheetId="8"/>
      <sheetData sheetId="9"/>
      <sheetData sheetId="10"/>
      <sheetData sheetId="11">
        <row r="35">
          <cell r="E35">
            <v>46.561999999999998</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3" Type="http://schemas.openxmlformats.org/officeDocument/2006/relationships/hyperlink" Target="https://my.pitchbook.com/?c=54660-16" TargetMode="External"/><Relationship Id="rId7" Type="http://schemas.openxmlformats.org/officeDocument/2006/relationships/drawing" Target="../drawings/drawing6.xml"/><Relationship Id="rId2" Type="http://schemas.openxmlformats.org/officeDocument/2006/relationships/hyperlink" Target="https://my.pitchbook.com/?c=54660-16" TargetMode="External"/><Relationship Id="rId1" Type="http://schemas.openxmlformats.org/officeDocument/2006/relationships/hyperlink" Target="https://my.pitchbook.com/?c=54660-16" TargetMode="External"/><Relationship Id="rId6" Type="http://schemas.openxmlformats.org/officeDocument/2006/relationships/printerSettings" Target="../printerSettings/printerSettings14.bin"/><Relationship Id="rId5" Type="http://schemas.openxmlformats.org/officeDocument/2006/relationships/hyperlink" Target="https://my.pitchbook.com/?c=54660-16" TargetMode="External"/><Relationship Id="rId4" Type="http://schemas.openxmlformats.org/officeDocument/2006/relationships/hyperlink" Target="https://my.pitchbook.com/?c=54660-16"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my.pitchbook.com/?c=54660-16" TargetMode="External"/><Relationship Id="rId13" Type="http://schemas.openxmlformats.org/officeDocument/2006/relationships/hyperlink" Target="https://my.pitchbook.com/?c=54660-16" TargetMode="External"/><Relationship Id="rId3" Type="http://schemas.openxmlformats.org/officeDocument/2006/relationships/hyperlink" Target="https://my.pitchbook.com/?c=54660-16" TargetMode="External"/><Relationship Id="rId7" Type="http://schemas.openxmlformats.org/officeDocument/2006/relationships/hyperlink" Target="https://my.pitchbook.com/?c=54660-16" TargetMode="External"/><Relationship Id="rId12" Type="http://schemas.openxmlformats.org/officeDocument/2006/relationships/hyperlink" Target="https://my.pitchbook.com/?c=54660-16" TargetMode="External"/><Relationship Id="rId17" Type="http://schemas.openxmlformats.org/officeDocument/2006/relationships/drawing" Target="../drawings/drawing7.xml"/><Relationship Id="rId2" Type="http://schemas.openxmlformats.org/officeDocument/2006/relationships/hyperlink" Target="https://my.pitchbook.com/?c=54660-16" TargetMode="External"/><Relationship Id="rId16" Type="http://schemas.openxmlformats.org/officeDocument/2006/relationships/printerSettings" Target="../printerSettings/printerSettings15.bin"/><Relationship Id="rId1" Type="http://schemas.openxmlformats.org/officeDocument/2006/relationships/hyperlink" Target="https://my.pitchbook.com/?c=54660-16" TargetMode="External"/><Relationship Id="rId6" Type="http://schemas.openxmlformats.org/officeDocument/2006/relationships/hyperlink" Target="https://my.pitchbook.com/?c=54660-16" TargetMode="External"/><Relationship Id="rId11" Type="http://schemas.openxmlformats.org/officeDocument/2006/relationships/hyperlink" Target="https://my.pitchbook.com/?c=54660-16" TargetMode="External"/><Relationship Id="rId5" Type="http://schemas.openxmlformats.org/officeDocument/2006/relationships/hyperlink" Target="https://my.pitchbook.com/?c=54660-16" TargetMode="External"/><Relationship Id="rId15" Type="http://schemas.openxmlformats.org/officeDocument/2006/relationships/hyperlink" Target="https://my.pitchbook.com/?c=54660-16" TargetMode="External"/><Relationship Id="rId10" Type="http://schemas.openxmlformats.org/officeDocument/2006/relationships/hyperlink" Target="https://my.pitchbook.com/?c=54660-16" TargetMode="External"/><Relationship Id="rId4" Type="http://schemas.openxmlformats.org/officeDocument/2006/relationships/hyperlink" Target="https://my.pitchbook.com/?c=54660-16" TargetMode="External"/><Relationship Id="rId9" Type="http://schemas.openxmlformats.org/officeDocument/2006/relationships/hyperlink" Target="https://my.pitchbook.com/?c=54660-16" TargetMode="External"/><Relationship Id="rId14" Type="http://schemas.openxmlformats.org/officeDocument/2006/relationships/hyperlink" Target="https://my.pitchbook.com/?c=54660-16"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my.pitchbook.com/?c=54660-16" TargetMode="External"/><Relationship Id="rId13" Type="http://schemas.openxmlformats.org/officeDocument/2006/relationships/hyperlink" Target="https://my.pitchbook.com/?c=54660-16" TargetMode="External"/><Relationship Id="rId3" Type="http://schemas.openxmlformats.org/officeDocument/2006/relationships/hyperlink" Target="https://my.pitchbook.com/?c=54660-16" TargetMode="External"/><Relationship Id="rId7" Type="http://schemas.openxmlformats.org/officeDocument/2006/relationships/hyperlink" Target="https://my.pitchbook.com/?c=54660-16" TargetMode="External"/><Relationship Id="rId12" Type="http://schemas.openxmlformats.org/officeDocument/2006/relationships/hyperlink" Target="https://my.pitchbook.com/?c=54660-16" TargetMode="External"/><Relationship Id="rId17" Type="http://schemas.openxmlformats.org/officeDocument/2006/relationships/drawing" Target="../drawings/drawing8.xml"/><Relationship Id="rId2" Type="http://schemas.openxmlformats.org/officeDocument/2006/relationships/hyperlink" Target="https://my.pitchbook.com/?c=54660-16" TargetMode="External"/><Relationship Id="rId16" Type="http://schemas.openxmlformats.org/officeDocument/2006/relationships/printerSettings" Target="../printerSettings/printerSettings16.bin"/><Relationship Id="rId1" Type="http://schemas.openxmlformats.org/officeDocument/2006/relationships/hyperlink" Target="https://my.pitchbook.com/?c=54660-16" TargetMode="External"/><Relationship Id="rId6" Type="http://schemas.openxmlformats.org/officeDocument/2006/relationships/hyperlink" Target="https://my.pitchbook.com/?c=54660-16" TargetMode="External"/><Relationship Id="rId11" Type="http://schemas.openxmlformats.org/officeDocument/2006/relationships/hyperlink" Target="https://my.pitchbook.com/?c=54660-16" TargetMode="External"/><Relationship Id="rId5" Type="http://schemas.openxmlformats.org/officeDocument/2006/relationships/hyperlink" Target="https://my.pitchbook.com/?c=54660-16" TargetMode="External"/><Relationship Id="rId15" Type="http://schemas.openxmlformats.org/officeDocument/2006/relationships/hyperlink" Target="https://my.pitchbook.com/?c=54660-16" TargetMode="External"/><Relationship Id="rId10" Type="http://schemas.openxmlformats.org/officeDocument/2006/relationships/hyperlink" Target="https://my.pitchbook.com/?c=54660-16" TargetMode="External"/><Relationship Id="rId4" Type="http://schemas.openxmlformats.org/officeDocument/2006/relationships/hyperlink" Target="https://my.pitchbook.com/?c=54660-16" TargetMode="External"/><Relationship Id="rId9" Type="http://schemas.openxmlformats.org/officeDocument/2006/relationships/hyperlink" Target="https://my.pitchbook.com/?c=54660-16" TargetMode="External"/><Relationship Id="rId14" Type="http://schemas.openxmlformats.org/officeDocument/2006/relationships/hyperlink" Target="https://my.pitchbook.com/?c=54660-16"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6"/>
  <sheetViews>
    <sheetView showGridLines="0" view="pageBreakPreview" zoomScaleNormal="100" zoomScaleSheetLayoutView="100" workbookViewId="0">
      <selection activeCell="J5" sqref="J5"/>
    </sheetView>
  </sheetViews>
  <sheetFormatPr defaultColWidth="9.140625" defaultRowHeight="18.75" outlineLevelRow="1" x14ac:dyDescent="0.3"/>
  <cols>
    <col min="1" max="1" width="9.140625" style="1415"/>
    <col min="2" max="2" width="53.28515625" style="1415" bestFit="1" customWidth="1"/>
    <col min="3" max="9" width="15.140625" style="1415" bestFit="1" customWidth="1"/>
    <col min="10" max="10" width="11.28515625" style="1415" bestFit="1" customWidth="1"/>
    <col min="11" max="11" width="11" style="1415" customWidth="1"/>
    <col min="12" max="16384" width="9.140625" style="1415"/>
  </cols>
  <sheetData>
    <row r="2" spans="2:10" x14ac:dyDescent="0.3">
      <c r="B2" s="1413" t="str">
        <f>'Transaction Structure'!U4&amp;" | Annual Summary "&amp;'Transaction Structure'!U5 &amp; ""</f>
        <v>Project Owl | Annual Summary Base Case</v>
      </c>
      <c r="C2" s="1413"/>
      <c r="D2" s="1413"/>
      <c r="E2" s="1413"/>
      <c r="F2" s="1413"/>
      <c r="G2" s="1413"/>
      <c r="H2" s="1413"/>
      <c r="I2" s="1413"/>
      <c r="J2" s="1414"/>
    </row>
    <row r="3" spans="2:10" x14ac:dyDescent="0.3">
      <c r="B3" s="1416" t="s">
        <v>0</v>
      </c>
      <c r="C3" s="1417" t="str">
        <f>IF(C5=Closing_Date,"Closing",IF(C5&lt;='Transaction Structure'!$K$23,"Actual","Forecast"))</f>
        <v>Actual</v>
      </c>
      <c r="D3" s="1417" t="str">
        <f>IF(D5=Closing_Date,"Closing",IF(D5&lt;='Transaction Structure'!$K$23,"Actual","Forecast"))</f>
        <v>Actual</v>
      </c>
      <c r="E3" s="1417" t="str">
        <f>IF(E5=Closing_Date,"Closing",IF(E5&lt;='Transaction Structure'!$K$23,"Actual","Forecast"))</f>
        <v>Forecast</v>
      </c>
      <c r="F3" s="1417" t="str">
        <f>IF(F5=Closing_Date,"Closing",IF(F5&lt;='Transaction Structure'!$K$23,"Actual","Forecast"))</f>
        <v>Forecast</v>
      </c>
      <c r="G3" s="1417" t="str">
        <f>IF(G5=Closing_Date,"Closing",IF(G5&lt;='Transaction Structure'!$K$23,"Actual","Forecast"))</f>
        <v>Forecast</v>
      </c>
      <c r="H3" s="1417" t="str">
        <f>IF(H5=Closing_Date,"Closing",IF(H5&lt;='Transaction Structure'!$K$23,"Actual","Forecast"))</f>
        <v>Forecast</v>
      </c>
      <c r="I3" s="1417" t="str">
        <f>IF(I5=Closing_Date,"Closing",IF(I5&lt;='Transaction Structure'!$K$23,"Actual","Forecast"))</f>
        <v>Forecast</v>
      </c>
      <c r="J3" s="1418" t="s">
        <v>1</v>
      </c>
    </row>
    <row r="4" spans="2:10" x14ac:dyDescent="0.3">
      <c r="B4" s="1416" t="s">
        <v>2</v>
      </c>
      <c r="C4" s="1419">
        <f>YEAR(C5)</f>
        <v>2021</v>
      </c>
      <c r="D4" s="1419">
        <f>YEAR(D5)</f>
        <v>2022</v>
      </c>
      <c r="E4" s="1419">
        <f t="shared" ref="E4:I4" si="0">YEAR(E5)</f>
        <v>2023</v>
      </c>
      <c r="F4" s="1419">
        <f t="shared" si="0"/>
        <v>2024</v>
      </c>
      <c r="G4" s="1419">
        <f t="shared" si="0"/>
        <v>2025</v>
      </c>
      <c r="H4" s="1419">
        <f t="shared" si="0"/>
        <v>2026</v>
      </c>
      <c r="I4" s="1419">
        <f t="shared" si="0"/>
        <v>2027</v>
      </c>
      <c r="J4" s="1414"/>
    </row>
    <row r="5" spans="2:10" x14ac:dyDescent="0.3">
      <c r="B5" s="1416" t="s">
        <v>3</v>
      </c>
      <c r="C5" s="1414">
        <f>+'Operating Model'!AN5</f>
        <v>44561</v>
      </c>
      <c r="D5" s="1414">
        <f>+'Operating Model'!AO5</f>
        <v>44926</v>
      </c>
      <c r="E5" s="1414">
        <f>+'Operating Model'!AP5</f>
        <v>45291</v>
      </c>
      <c r="F5" s="1414">
        <f>+'Operating Model'!AQ5</f>
        <v>45657</v>
      </c>
      <c r="G5" s="1414">
        <f>+'Operating Model'!AR5</f>
        <v>46022</v>
      </c>
      <c r="H5" s="1414">
        <f>+'Operating Model'!AS5</f>
        <v>46387</v>
      </c>
      <c r="I5" s="1414">
        <f>+'Operating Model'!AT5</f>
        <v>46752</v>
      </c>
      <c r="J5" s="1414" t="s">
        <v>4</v>
      </c>
    </row>
    <row r="6" spans="2:10" x14ac:dyDescent="0.3">
      <c r="B6" s="1416" t="s">
        <v>5</v>
      </c>
      <c r="C6" s="1414"/>
      <c r="D6" s="1414"/>
      <c r="E6" s="1414"/>
      <c r="F6" s="1414"/>
      <c r="G6" s="1414"/>
      <c r="H6" s="1414"/>
      <c r="I6" s="1414"/>
      <c r="J6" s="1418"/>
    </row>
    <row r="7" spans="2:10" x14ac:dyDescent="0.3">
      <c r="B7" s="1415" t="s">
        <v>6</v>
      </c>
      <c r="C7" s="1420">
        <f>INDEX('Operating Model'!$AN7:$AT7,MATCH('Annual Summary'!C$5,'Operating Model'!$AN$5:$AT$5,0))</f>
        <v>250772</v>
      </c>
      <c r="D7" s="1420">
        <f>INDEX('Operating Model'!$AN7:$AT7,MATCH('Annual Summary'!D$5,'Operating Model'!$AN$5:$AT$5,0))</f>
        <v>369495</v>
      </c>
      <c r="E7" s="1420">
        <f ca="1">INDEX('Operating Model'!$AN7:$AT7,MATCH('Annual Summary'!E$5,'Operating Model'!$AN$5:$AT$5,0))</f>
        <v>504409.99136549217</v>
      </c>
      <c r="F7" s="1420">
        <f ca="1">INDEX('Operating Model'!$AN7:$AT7,MATCH('Annual Summary'!F$5,'Operating Model'!$AN$5:$AT$5,0))</f>
        <v>614970.38897049869</v>
      </c>
      <c r="G7" s="1420">
        <f ca="1">INDEX('Operating Model'!$AN7:$AT7,MATCH('Annual Summary'!G$5,'Operating Model'!$AN$5:$AT$5,0))</f>
        <v>716231.51362994616</v>
      </c>
      <c r="H7" s="1420">
        <f ca="1">INDEX('Operating Model'!$AN7:$AT7,MATCH('Annual Summary'!H$5,'Operating Model'!$AN$5:$AT$5,0))</f>
        <v>787085.0413767593</v>
      </c>
      <c r="I7" s="1420">
        <f ca="1">INDEX('Operating Model'!$AN7:$AT7,MATCH('Annual Summary'!I$5,'Operating Model'!$AN$5:$AT$5,0))</f>
        <v>826049.25436661509</v>
      </c>
      <c r="J7" s="1421"/>
    </row>
    <row r="8" spans="2:10" x14ac:dyDescent="0.3">
      <c r="B8" s="1422" t="s">
        <v>7</v>
      </c>
      <c r="C8" s="1423"/>
      <c r="D8" s="1424">
        <f>+D7/C7-1</f>
        <v>0.47343004801173971</v>
      </c>
      <c r="E8" s="1424">
        <f t="shared" ref="E8:I8" ca="1" si="1">+E7/D7-1</f>
        <v>0.36513346964232851</v>
      </c>
      <c r="F8" s="1424">
        <f t="shared" ca="1" si="1"/>
        <v>0.21918756467473544</v>
      </c>
      <c r="G8" s="1424">
        <f t="shared" ca="1" si="1"/>
        <v>0.16466016327869926</v>
      </c>
      <c r="H8" s="1424">
        <f t="shared" ca="1" si="1"/>
        <v>9.8925454128259593E-2</v>
      </c>
      <c r="I8" s="1424">
        <f t="shared" ca="1" si="1"/>
        <v>4.9504451160321983E-2</v>
      </c>
      <c r="J8" s="1425">
        <f ca="1">+(I7/D7)^(1/COLUMNS(E8:I8))-1</f>
        <v>0.17457154511902173</v>
      </c>
    </row>
    <row r="9" spans="2:10" ht="5.0999999999999996" customHeight="1" x14ac:dyDescent="0.3">
      <c r="J9" s="1421"/>
    </row>
    <row r="10" spans="2:10" x14ac:dyDescent="0.3">
      <c r="B10" s="1426" t="s">
        <v>8</v>
      </c>
      <c r="C10" s="1427">
        <f>INDEX('Operating Model'!$AN15:$AT15,MATCH('Annual Summary'!C$5,'Operating Model'!$AN$5:$AT$5,0))</f>
        <v>181586</v>
      </c>
      <c r="D10" s="1427">
        <f>INDEX('Operating Model'!$AN15:$AT15,MATCH('Annual Summary'!D$5,'Operating Model'!$AN$5:$AT$5,0))</f>
        <v>270064.47343004803</v>
      </c>
      <c r="E10" s="1427">
        <f ca="1">INDEX('Operating Model'!$AN15:$AT15,MATCH('Annual Summary'!E$5,'Operating Model'!$AN$5:$AT$5,0))</f>
        <v>371126.29770611192</v>
      </c>
      <c r="F10" s="1427">
        <f ca="1">INDEX('Operating Model'!$AN15:$AT15,MATCH('Annual Summary'!F$5,'Operating Model'!$AN$5:$AT$5,0))</f>
        <v>447014.01139863359</v>
      </c>
      <c r="G10" s="1427">
        <f ca="1">INDEX('Operating Model'!$AN15:$AT15,MATCH('Annual Summary'!G$5,'Operating Model'!$AN$5:$AT$5,0))</f>
        <v>520621.97369402461</v>
      </c>
      <c r="H10" s="1427">
        <f ca="1">INDEX('Operating Model'!$AN15:$AT15,MATCH('Annual Summary'!H$5,'Operating Model'!$AN$5:$AT$5,0))</f>
        <v>572126.52693837287</v>
      </c>
      <c r="I10" s="1427">
        <f ca="1">INDEX('Operating Model'!$AN15:$AT15,MATCH('Annual Summary'!I$5,'Operating Model'!$AN$5:$AT$5,0))</f>
        <v>600450.31550992315</v>
      </c>
      <c r="J10" s="1421"/>
    </row>
    <row r="11" spans="2:10" x14ac:dyDescent="0.3">
      <c r="B11" s="1422" t="s">
        <v>9</v>
      </c>
      <c r="C11" s="1424">
        <f>+C10/C7</f>
        <v>0.72410795463608379</v>
      </c>
      <c r="D11" s="1424">
        <f>+D10/D7</f>
        <v>0.73090156410789875</v>
      </c>
      <c r="E11" s="1424">
        <f t="shared" ref="E11:I11" ca="1" si="2">+E10/E7</f>
        <v>0.73576317689789028</v>
      </c>
      <c r="F11" s="1424">
        <f t="shared" ca="1" si="2"/>
        <v>0.72688704922356462</v>
      </c>
      <c r="G11" s="1424">
        <f t="shared" ca="1" si="2"/>
        <v>0.72689062654539005</v>
      </c>
      <c r="H11" s="1424">
        <f t="shared" ca="1" si="2"/>
        <v>0.72689289830437676</v>
      </c>
      <c r="I11" s="1424">
        <f t="shared" ca="1" si="2"/>
        <v>0.72689408329570726</v>
      </c>
      <c r="J11" s="1425">
        <f ca="1">+(I10/D10)^(1/COLUMNS(E11:I11))-1</f>
        <v>0.17328069265108526</v>
      </c>
    </row>
    <row r="12" spans="2:10" ht="5.0999999999999996" customHeight="1" x14ac:dyDescent="0.3">
      <c r="J12" s="1421"/>
    </row>
    <row r="13" spans="2:10" x14ac:dyDescent="0.3">
      <c r="B13" s="1415" t="s">
        <v>10</v>
      </c>
      <c r="C13" s="1420">
        <f>INDEX('Operating Model'!$AN28:$AT28,MATCH('Annual Summary'!C$5,'Operating Model'!$AN$5:$AT$5,0))</f>
        <v>-60007</v>
      </c>
      <c r="D13" s="1420">
        <f>INDEX('Operating Model'!$AN28:$AT28,MATCH('Annual Summary'!D$5,'Operating Model'!$AN$5:$AT$5,0))</f>
        <v>-65194.526569951966</v>
      </c>
      <c r="E13" s="1420">
        <f ca="1">INDEX('Operating Model'!$AN28:$AT28,MATCH('Annual Summary'!E$5,'Operating Model'!$AN$5:$AT$5,0))</f>
        <v>39479.383925112546</v>
      </c>
      <c r="F13" s="1420">
        <f ca="1">INDEX('Operating Model'!$AN28:$AT28,MATCH('Annual Summary'!F$5,'Operating Model'!$AN$5:$AT$5,0))</f>
        <v>62917.774814227014</v>
      </c>
      <c r="G13" s="1420">
        <f ca="1">INDEX('Operating Model'!$AN28:$AT28,MATCH('Annual Summary'!G$5,'Operating Model'!$AN$5:$AT$5,0))</f>
        <v>72470.513950811874</v>
      </c>
      <c r="H13" s="1420">
        <f ca="1">INDEX('Operating Model'!$AN28:$AT28,MATCH('Annual Summary'!H$5,'Operating Model'!$AN$5:$AT$5,0))</f>
        <v>78462.458287463407</v>
      </c>
      <c r="I13" s="1420">
        <f ca="1">INDEX('Operating Model'!$AN28:$AT28,MATCH('Annual Summary'!I$5,'Operating Model'!$AN$5:$AT$5,0))</f>
        <v>80831.798513819755</v>
      </c>
      <c r="J13" s="1421"/>
    </row>
    <row r="14" spans="2:10" x14ac:dyDescent="0.3">
      <c r="B14" s="1422" t="s">
        <v>11</v>
      </c>
      <c r="C14" s="1424">
        <f>+C13/C7</f>
        <v>-0.23928907533536439</v>
      </c>
      <c r="D14" s="1424">
        <f>+D13/D7</f>
        <v>-0.1764422429801539</v>
      </c>
      <c r="E14" s="1424">
        <f t="shared" ref="E14:I14" ca="1" si="3">+E13/E7</f>
        <v>7.8268441547395998E-2</v>
      </c>
      <c r="F14" s="1424">
        <f t="shared" ca="1" si="3"/>
        <v>0.10231025093672486</v>
      </c>
      <c r="G14" s="1424">
        <f t="shared" ca="1" si="3"/>
        <v>0.10118308475917616</v>
      </c>
      <c r="H14" s="1424">
        <f t="shared" ca="1" si="3"/>
        <v>9.9687396104260681E-2</v>
      </c>
      <c r="I14" s="1424">
        <f t="shared" ca="1" si="3"/>
        <v>9.7853485232909834E-2</v>
      </c>
      <c r="J14" s="1421"/>
    </row>
    <row r="15" spans="2:10" ht="5.0999999999999996" customHeight="1" x14ac:dyDescent="0.3">
      <c r="J15" s="1421"/>
    </row>
    <row r="16" spans="2:10" x14ac:dyDescent="0.3">
      <c r="B16" s="1428" t="s">
        <v>12</v>
      </c>
      <c r="C16" s="1427">
        <f>INDEX('Operating Model'!$AN84:$AT84,MATCH('Annual Summary'!C$5,'Operating Model'!$AN$5:$AT$5,0))</f>
        <v>-1096</v>
      </c>
      <c r="D16" s="1427">
        <f>INDEX('Operating Model'!$AN84:$AT84,MATCH('Annual Summary'!D$5,'Operating Model'!$AN$5:$AT$5,0))</f>
        <v>16133</v>
      </c>
      <c r="E16" s="1427">
        <f ca="1">INDEX('Operating Model'!$AN84:$AT84,MATCH('Annual Summary'!E$5,'Operating Model'!$AN$5:$AT$5,0))</f>
        <v>36956.968834815438</v>
      </c>
      <c r="F16" s="1427">
        <f ca="1">INDEX('Operating Model'!$AN84:$AT84,MATCH('Annual Summary'!F$5,'Operating Model'!$AN$5:$AT$5,0))</f>
        <v>59842.703681809864</v>
      </c>
      <c r="G16" s="1427">
        <f ca="1">INDEX('Operating Model'!$AN84:$AT84,MATCH('Annual Summary'!G$5,'Operating Model'!$AN$5:$AT$5,0))</f>
        <v>68889.191722498945</v>
      </c>
      <c r="H16" s="1427">
        <f ca="1">INDEX('Operating Model'!$AN84:$AT84,MATCH('Annual Summary'!H$5,'Operating Model'!$AN$5:$AT$5,0))</f>
        <v>74526.934155125506</v>
      </c>
      <c r="I16" s="1427">
        <f ca="1">INDEX('Operating Model'!$AN84:$AT84,MATCH('Annual Summary'!I$5,'Operating Model'!$AN$5:$AT$5,0))</f>
        <v>76701.502737535469</v>
      </c>
      <c r="J16" s="1421"/>
    </row>
    <row r="17" spans="2:10" x14ac:dyDescent="0.3">
      <c r="B17" s="1429" t="s">
        <v>13</v>
      </c>
      <c r="C17" s="1430">
        <f>+C16/C7</f>
        <v>-4.370503884006189E-3</v>
      </c>
      <c r="D17" s="1430">
        <f>+D16/D7</f>
        <v>4.3662295836208877E-2</v>
      </c>
      <c r="E17" s="1430">
        <f t="shared" ref="E17:I17" ca="1" si="4">+E16/E7</f>
        <v>7.3267717665086177E-2</v>
      </c>
      <c r="F17" s="1430">
        <f t="shared" ca="1" si="4"/>
        <v>9.7309894517019796E-2</v>
      </c>
      <c r="G17" s="1430">
        <f t="shared" ca="1" si="4"/>
        <v>9.6182854861217096E-2</v>
      </c>
      <c r="H17" s="1430">
        <f t="shared" ca="1" si="4"/>
        <v>9.4687270418408576E-2</v>
      </c>
      <c r="I17" s="1430">
        <f t="shared" ca="1" si="4"/>
        <v>9.2853425303733764E-2</v>
      </c>
      <c r="J17" s="1425">
        <f ca="1">+(I16/D16)^(1/COLUMNS(E17:I17))-1</f>
        <v>0.36589636036478712</v>
      </c>
    </row>
    <row r="18" spans="2:10" ht="5.0999999999999996" customHeight="1" x14ac:dyDescent="0.3"/>
    <row r="19" spans="2:10" x14ac:dyDescent="0.3">
      <c r="B19" s="1416" t="s">
        <v>14</v>
      </c>
      <c r="C19" s="1414"/>
      <c r="D19" s="1414"/>
      <c r="E19" s="1414"/>
      <c r="F19" s="1414"/>
      <c r="G19" s="1414"/>
      <c r="H19" s="1414"/>
      <c r="I19" s="1414"/>
    </row>
    <row r="20" spans="2:10" x14ac:dyDescent="0.3">
      <c r="B20" s="1431" t="s">
        <v>15</v>
      </c>
      <c r="C20" s="1420">
        <f>INDEX('Operating Model'!$K99:$AL99,MATCH('Annual Summary'!C$5,'Operating Model'!$K$5:$AL$5))+INDEX('Operating Model'!$K100:$AL100,MATCH('Annual Summary'!C$5,'Operating Model'!$K$5:$AL$5))</f>
        <v>553922</v>
      </c>
      <c r="D20" s="1420">
        <f>INDEX('Operating Model'!$K99:$AL99,MATCH('Annual Summary'!D$5,'Operating Model'!$K$5:$AL$5))+INDEX('Operating Model'!$K100:$AL100,MATCH('Annual Summary'!D$5,'Operating Model'!$K$5:$AL$5))</f>
        <v>608180</v>
      </c>
      <c r="E20" s="1420">
        <f ca="1">INDEX('Operating Model'!$K99:$AL99,MATCH('Annual Summary'!E$5,'Operating Model'!$K$5:$AL$5))+INDEX('Operating Model'!$K100:$AL100,MATCH('Annual Summary'!E$5,'Operating Model'!$K$5:$AL$5))</f>
        <v>50503.943002136992</v>
      </c>
      <c r="F20" s="1420">
        <f ca="1">INDEX('Operating Model'!$K99:$AL99,MATCH('Annual Summary'!F$5,'Operating Model'!$K$5:$AL$5))+INDEX('Operating Model'!$K100:$AL100,MATCH('Annual Summary'!F$5,'Operating Model'!$K$5:$AL$5))</f>
        <v>92748.340149424577</v>
      </c>
      <c r="G20" s="1420">
        <f ca="1">INDEX('Operating Model'!$K99:$AL99,MATCH('Annual Summary'!G$5,'Operating Model'!$K$5:$AL$5))+INDEX('Operating Model'!$K100:$AL100,MATCH('Annual Summary'!G$5,'Operating Model'!$K$5:$AL$5))</f>
        <v>136318.94057490339</v>
      </c>
      <c r="H20" s="1420">
        <f ca="1">INDEX('Operating Model'!$K99:$AL99,MATCH('Annual Summary'!H$5,'Operating Model'!$K$5:$AL$5))+INDEX('Operating Model'!$K100:$AL100,MATCH('Annual Summary'!H$5,'Operating Model'!$K$5:$AL$5))</f>
        <v>176695.3831276751</v>
      </c>
      <c r="I20" s="1420">
        <f ca="1">INDEX('Operating Model'!$K99:$AL99,MATCH('Annual Summary'!I$5,'Operating Model'!$K$5:$AL$5))+INDEX('Operating Model'!$K100:$AL100,MATCH('Annual Summary'!I$5,'Operating Model'!$K$5:$AL$5))</f>
        <v>211327.37941165364</v>
      </c>
    </row>
    <row r="21" spans="2:10" x14ac:dyDescent="0.3">
      <c r="B21" s="1431" t="s">
        <v>16</v>
      </c>
      <c r="C21" s="1420">
        <f>C22-C20</f>
        <v>107389</v>
      </c>
      <c r="D21" s="1420">
        <f t="shared" ref="D21:I21" si="5">D22-D20</f>
        <v>139167</v>
      </c>
      <c r="E21" s="1420">
        <f t="shared" ca="1" si="5"/>
        <v>6238789.4110613596</v>
      </c>
      <c r="F21" s="1420">
        <f t="shared" ca="1" si="5"/>
        <v>6274143.7775826799</v>
      </c>
      <c r="G21" s="1420">
        <f t="shared" ca="1" si="5"/>
        <v>6309378.6797010768</v>
      </c>
      <c r="H21" s="1420">
        <f t="shared" ca="1" si="5"/>
        <v>6337021.987624554</v>
      </c>
      <c r="I21" s="1420">
        <f t="shared" ca="1" si="5"/>
        <v>6355948.0015478879</v>
      </c>
    </row>
    <row r="22" spans="2:10" x14ac:dyDescent="0.3">
      <c r="B22" s="1428" t="s">
        <v>17</v>
      </c>
      <c r="C22" s="1432">
        <f>INDEX('Operating Model'!$K114:$AL114,MATCH('Annual Summary'!C$5,'Operating Model'!$K$5:$AL$5))</f>
        <v>661311</v>
      </c>
      <c r="D22" s="1432">
        <f>INDEX('Operating Model'!$K114:$AL114,MATCH('Annual Summary'!D$5,'Operating Model'!$K$5:$AL$5))</f>
        <v>747347</v>
      </c>
      <c r="E22" s="1432">
        <f ca="1">INDEX('Operating Model'!$K114:$AL114,MATCH('Annual Summary'!E$5,'Operating Model'!$K$5:$AL$5))</f>
        <v>6289293.3540634969</v>
      </c>
      <c r="F22" s="1432">
        <f ca="1">INDEX('Operating Model'!$K114:$AL114,MATCH('Annual Summary'!F$5,'Operating Model'!$K$5:$AL$5))</f>
        <v>6366892.1177321048</v>
      </c>
      <c r="G22" s="1432">
        <f ca="1">INDEX('Operating Model'!$K114:$AL114,MATCH('Annual Summary'!G$5,'Operating Model'!$K$5:$AL$5))</f>
        <v>6445697.6202759799</v>
      </c>
      <c r="H22" s="1432">
        <f ca="1">INDEX('Operating Model'!$K114:$AL114,MATCH('Annual Summary'!H$5,'Operating Model'!$K$5:$AL$5))</f>
        <v>6513717.3707522294</v>
      </c>
      <c r="I22" s="1432">
        <f ca="1">INDEX('Operating Model'!$K114:$AL114,MATCH('Annual Summary'!I$5,'Operating Model'!$K$5:$AL$5))</f>
        <v>6567275.3809595415</v>
      </c>
    </row>
    <row r="23" spans="2:10" ht="5.0999999999999996" customHeight="1" x14ac:dyDescent="0.3">
      <c r="C23" s="1420"/>
      <c r="D23" s="1420"/>
      <c r="E23" s="1420"/>
      <c r="F23" s="1420"/>
      <c r="G23" s="1420"/>
      <c r="H23" s="1420"/>
      <c r="I23" s="1420"/>
    </row>
    <row r="24" spans="2:10" x14ac:dyDescent="0.3">
      <c r="B24" s="1431" t="s">
        <v>18</v>
      </c>
      <c r="C24" s="1420">
        <f>C29-SUM(C25:C28)</f>
        <v>148255</v>
      </c>
      <c r="D24" s="1420">
        <f t="shared" ref="D24:I24" si="6">D29-SUM(D25:D28)</f>
        <v>205269</v>
      </c>
      <c r="E24" s="1420">
        <f t="shared" ca="1" si="6"/>
        <v>255219.07977795566</v>
      </c>
      <c r="F24" s="1420">
        <f t="shared" ca="1" si="6"/>
        <v>310860.44038669346</v>
      </c>
      <c r="G24" s="1420">
        <f t="shared" ca="1" si="6"/>
        <v>359688.70874431985</v>
      </c>
      <c r="H24" s="1420">
        <f t="shared" ca="1" si="6"/>
        <v>393065.02114300325</v>
      </c>
      <c r="I24" s="1420">
        <f t="shared" ca="1" si="6"/>
        <v>411197.10084451712</v>
      </c>
    </row>
    <row r="25" spans="2:10" x14ac:dyDescent="0.3">
      <c r="B25" s="1433" t="s">
        <v>19</v>
      </c>
      <c r="C25" s="1420">
        <f>INDEX('Operating Model'!$K127:$AL127,MATCH('Annual Summary'!C$5,'Operating Model'!$K$5:$AL$5))</f>
        <v>0</v>
      </c>
      <c r="D25" s="1420">
        <f>INDEX('Operating Model'!$K127:$AL127,MATCH('Annual Summary'!D$5,'Operating Model'!$K$5:$AL$5))</f>
        <v>0</v>
      </c>
      <c r="E25" s="1420">
        <f ca="1">INDEX('Operating Model'!$K127:$AL127,MATCH('Annual Summary'!E$5,'Operating Model'!$K$5:$AL$5))</f>
        <v>0</v>
      </c>
      <c r="F25" s="1420">
        <f ca="1">INDEX('Operating Model'!$K127:$AL127,MATCH('Annual Summary'!F$5,'Operating Model'!$K$5:$AL$5))</f>
        <v>0</v>
      </c>
      <c r="G25" s="1420">
        <f ca="1">INDEX('Operating Model'!$K127:$AL127,MATCH('Annual Summary'!G$5,'Operating Model'!$K$5:$AL$5))</f>
        <v>0</v>
      </c>
      <c r="H25" s="1420">
        <f ca="1">INDEX('Operating Model'!$K127:$AL127,MATCH('Annual Summary'!H$5,'Operating Model'!$K$5:$AL$5))</f>
        <v>0</v>
      </c>
      <c r="I25" s="1420">
        <f ca="1">INDEX('Operating Model'!$K127:$AL127,MATCH('Annual Summary'!I$5,'Operating Model'!$K$5:$AL$5))</f>
        <v>0</v>
      </c>
    </row>
    <row r="26" spans="2:10" x14ac:dyDescent="0.3">
      <c r="B26" s="1434" t="s">
        <v>20</v>
      </c>
      <c r="C26" s="1420">
        <f>INDEX('Operating Model'!$K128:$AL128,MATCH('Annual Summary'!C$5,'Operating Model'!$K$5:$AL$5))</f>
        <v>0</v>
      </c>
      <c r="D26" s="1420">
        <f>INDEX('Operating Model'!$K128:$AL128,MATCH('Annual Summary'!D$5,'Operating Model'!$K$5:$AL$5))</f>
        <v>0</v>
      </c>
      <c r="E26" s="1420">
        <f ca="1">INDEX('Operating Model'!$K128:$AL128,MATCH('Annual Summary'!E$5,'Operating Model'!$K$5:$AL$5))</f>
        <v>0</v>
      </c>
      <c r="F26" s="1420">
        <f ca="1">INDEX('Operating Model'!$K128:$AL128,MATCH('Annual Summary'!F$5,'Operating Model'!$K$5:$AL$5))</f>
        <v>0</v>
      </c>
      <c r="G26" s="1420">
        <f ca="1">INDEX('Operating Model'!$K128:$AL128,MATCH('Annual Summary'!G$5,'Operating Model'!$K$5:$AL$5))</f>
        <v>0</v>
      </c>
      <c r="H26" s="1420">
        <f ca="1">INDEX('Operating Model'!$K128:$AL128,MATCH('Annual Summary'!H$5,'Operating Model'!$K$5:$AL$5))</f>
        <v>0</v>
      </c>
      <c r="I26" s="1420">
        <f ca="1">INDEX('Operating Model'!$K128:$AL128,MATCH('Annual Summary'!I$5,'Operating Model'!$K$5:$AL$5))</f>
        <v>0</v>
      </c>
    </row>
    <row r="27" spans="2:10" x14ac:dyDescent="0.3">
      <c r="B27" s="1434" t="s">
        <v>21</v>
      </c>
      <c r="C27" s="1420">
        <f>INDEX('Operating Model'!$K129:$AL129,MATCH('Annual Summary'!C$5,'Operating Model'!$K$5:$AL$5))</f>
        <v>0</v>
      </c>
      <c r="D27" s="1420">
        <f>INDEX('Operating Model'!$K129:$AL129,MATCH('Annual Summary'!D$5,'Operating Model'!$K$5:$AL$5))</f>
        <v>0</v>
      </c>
      <c r="E27" s="1420">
        <f ca="1">INDEX('Operating Model'!$K129:$AL129,MATCH('Annual Summary'!E$5,'Operating Model'!$K$5:$AL$5))</f>
        <v>0</v>
      </c>
      <c r="F27" s="1420">
        <f ca="1">INDEX('Operating Model'!$K129:$AL129,MATCH('Annual Summary'!F$5,'Operating Model'!$K$5:$AL$5))</f>
        <v>0</v>
      </c>
      <c r="G27" s="1420">
        <f ca="1">INDEX('Operating Model'!$K129:$AL129,MATCH('Annual Summary'!G$5,'Operating Model'!$K$5:$AL$5))</f>
        <v>0</v>
      </c>
      <c r="H27" s="1420">
        <f ca="1">INDEX('Operating Model'!$K129:$AL129,MATCH('Annual Summary'!H$5,'Operating Model'!$K$5:$AL$5))</f>
        <v>0</v>
      </c>
      <c r="I27" s="1420">
        <f ca="1">INDEX('Operating Model'!$K129:$AL129,MATCH('Annual Summary'!I$5,'Operating Model'!$K$5:$AL$5))</f>
        <v>0</v>
      </c>
    </row>
    <row r="28" spans="2:10" x14ac:dyDescent="0.3">
      <c r="B28" s="1434" t="s">
        <v>22</v>
      </c>
      <c r="C28" s="1420">
        <f>INDEX('Operating Model'!$K130:$AL130,MATCH('Annual Summary'!C$5,'Operating Model'!$K$5:$AL$5))</f>
        <v>0</v>
      </c>
      <c r="D28" s="1420">
        <f>INDEX('Operating Model'!$K130:$AL130,MATCH('Annual Summary'!D$5,'Operating Model'!$K$5:$AL$5))</f>
        <v>0</v>
      </c>
      <c r="E28" s="1420">
        <f ca="1">INDEX('Operating Model'!$K130:$AL130,MATCH('Annual Summary'!E$5,'Operating Model'!$K$5:$AL$5))</f>
        <v>500000</v>
      </c>
      <c r="F28" s="1420">
        <f ca="1">INDEX('Operating Model'!$K130:$AL130,MATCH('Annual Summary'!F$5,'Operating Model'!$K$5:$AL$5))</f>
        <v>500000</v>
      </c>
      <c r="G28" s="1420">
        <f ca="1">INDEX('Operating Model'!$K130:$AL130,MATCH('Annual Summary'!G$5,'Operating Model'!$K$5:$AL$5))</f>
        <v>500000</v>
      </c>
      <c r="H28" s="1420">
        <f ca="1">INDEX('Operating Model'!$K130:$AL130,MATCH('Annual Summary'!H$5,'Operating Model'!$K$5:$AL$5))</f>
        <v>500000</v>
      </c>
      <c r="I28" s="1420">
        <f ca="1">INDEX('Operating Model'!$K130:$AL130,MATCH('Annual Summary'!I$5,'Operating Model'!$K$5:$AL$5))</f>
        <v>500000</v>
      </c>
    </row>
    <row r="29" spans="2:10" x14ac:dyDescent="0.3">
      <c r="B29" s="1426" t="s">
        <v>23</v>
      </c>
      <c r="C29" s="1427">
        <f>INDEX('Operating Model'!$K131:$AL131,MATCH('Annual Summary'!C$5,'Operating Model'!$K$5:$AL$5))</f>
        <v>148255</v>
      </c>
      <c r="D29" s="1427">
        <f>INDEX('Operating Model'!$K131:$AL131,MATCH('Annual Summary'!D$5,'Operating Model'!$K$5:$AL$5))</f>
        <v>205269</v>
      </c>
      <c r="E29" s="1427">
        <f ca="1">INDEX('Operating Model'!$K131:$AL131,MATCH('Annual Summary'!E$5,'Operating Model'!$K$5:$AL$5))</f>
        <v>755219.07977795566</v>
      </c>
      <c r="F29" s="1427">
        <f ca="1">INDEX('Operating Model'!$K131:$AL131,MATCH('Annual Summary'!F$5,'Operating Model'!$K$5:$AL$5))</f>
        <v>810860.44038669346</v>
      </c>
      <c r="G29" s="1427">
        <f ca="1">INDEX('Operating Model'!$K131:$AL131,MATCH('Annual Summary'!G$5,'Operating Model'!$K$5:$AL$5))</f>
        <v>859688.70874431985</v>
      </c>
      <c r="H29" s="1427">
        <f ca="1">INDEX('Operating Model'!$K131:$AL131,MATCH('Annual Summary'!H$5,'Operating Model'!$K$5:$AL$5))</f>
        <v>893065.02114300325</v>
      </c>
      <c r="I29" s="1427">
        <f ca="1">INDEX('Operating Model'!$K131:$AL131,MATCH('Annual Summary'!I$5,'Operating Model'!$K$5:$AL$5))</f>
        <v>911197.10084451712</v>
      </c>
    </row>
    <row r="30" spans="2:10" ht="5.0999999999999996" customHeight="1" x14ac:dyDescent="0.3">
      <c r="C30" s="1420"/>
      <c r="D30" s="1420"/>
      <c r="E30" s="1420"/>
      <c r="F30" s="1420"/>
      <c r="G30" s="1420"/>
      <c r="H30" s="1420"/>
      <c r="I30" s="1420"/>
    </row>
    <row r="31" spans="2:10" x14ac:dyDescent="0.3">
      <c r="B31" s="1431" t="s">
        <v>24</v>
      </c>
      <c r="C31" s="1420">
        <f>INDEX('Operating Model'!$K143:$AL143,MATCH('Annual Summary'!C$5,'Operating Model'!$K$5:$AL$5))</f>
        <v>513056</v>
      </c>
      <c r="D31" s="1420">
        <f>INDEX('Operating Model'!$K143:$AL143,MATCH('Annual Summary'!D$5,'Operating Model'!$K$5:$AL$5))</f>
        <v>542078</v>
      </c>
      <c r="E31" s="1420">
        <f ca="1">INDEX('Operating Model'!$K143:$AL143,MATCH('Annual Summary'!E$5,'Operating Model'!$K$5:$AL$5))</f>
        <v>5534074.2742855418</v>
      </c>
      <c r="F31" s="1420">
        <f ca="1">INDEX('Operating Model'!$K143:$AL143,MATCH('Annual Summary'!F$5,'Operating Model'!$K$5:$AL$5))</f>
        <v>5556031.6773454119</v>
      </c>
      <c r="G31" s="1420">
        <f ca="1">INDEX('Operating Model'!$K143:$AL143,MATCH('Annual Summary'!G$5,'Operating Model'!$K$5:$AL$5))</f>
        <v>5586008.9115316607</v>
      </c>
      <c r="H31" s="1420">
        <f ca="1">INDEX('Operating Model'!$K143:$AL143,MATCH('Annual Summary'!H$5,'Operating Model'!$K$5:$AL$5))</f>
        <v>5620652.3496092269</v>
      </c>
      <c r="I31" s="1420">
        <f ca="1">INDEX('Operating Model'!$K143:$AL143,MATCH('Annual Summary'!I$5,'Operating Model'!$K$5:$AL$5))</f>
        <v>5656078.2801150251</v>
      </c>
    </row>
    <row r="32" spans="2:10" x14ac:dyDescent="0.3">
      <c r="B32" s="1428" t="s">
        <v>25</v>
      </c>
      <c r="C32" s="1432">
        <f>SUM(C29,C31)</f>
        <v>661311</v>
      </c>
      <c r="D32" s="1432">
        <f t="shared" ref="D32:I32" si="7">SUM(D29,D31)</f>
        <v>747347</v>
      </c>
      <c r="E32" s="1432">
        <f t="shared" ca="1" si="7"/>
        <v>6289293.3540634979</v>
      </c>
      <c r="F32" s="1432">
        <f t="shared" ca="1" si="7"/>
        <v>6366892.1177321058</v>
      </c>
      <c r="G32" s="1432">
        <f t="shared" ca="1" si="7"/>
        <v>6445697.6202759808</v>
      </c>
      <c r="H32" s="1432">
        <f t="shared" ca="1" si="7"/>
        <v>6513717.3707522303</v>
      </c>
      <c r="I32" s="1432">
        <f t="shared" ca="1" si="7"/>
        <v>6567275.3809595425</v>
      </c>
    </row>
    <row r="33" spans="2:9" x14ac:dyDescent="0.3">
      <c r="B33" s="1435" t="s">
        <v>26</v>
      </c>
      <c r="C33" s="1436">
        <f t="shared" ref="C33:I33" si="8">ROUND(C32-C22,2)</f>
        <v>0</v>
      </c>
      <c r="D33" s="1436">
        <f t="shared" si="8"/>
        <v>0</v>
      </c>
      <c r="E33" s="1436">
        <f t="shared" ca="1" si="8"/>
        <v>0</v>
      </c>
      <c r="F33" s="1436">
        <f t="shared" ca="1" si="8"/>
        <v>0</v>
      </c>
      <c r="G33" s="1436">
        <f t="shared" ca="1" si="8"/>
        <v>0</v>
      </c>
      <c r="H33" s="1436">
        <f t="shared" ca="1" si="8"/>
        <v>0</v>
      </c>
      <c r="I33" s="1436">
        <f t="shared" ca="1" si="8"/>
        <v>0</v>
      </c>
    </row>
    <row r="34" spans="2:9" outlineLevel="1" x14ac:dyDescent="0.3">
      <c r="B34" s="1416" t="s">
        <v>27</v>
      </c>
      <c r="C34" s="1414"/>
      <c r="D34" s="1414"/>
      <c r="E34" s="1414"/>
      <c r="F34" s="1414"/>
      <c r="G34" s="1414"/>
      <c r="H34" s="1414"/>
      <c r="I34" s="1414"/>
    </row>
    <row r="35" spans="2:9" outlineLevel="1" x14ac:dyDescent="0.3">
      <c r="B35" s="1437" t="s">
        <v>28</v>
      </c>
      <c r="C35" s="1438">
        <f>INDEX('Operating Model'!$K413:$AL413,MATCH('Annual Summary'!C$5,'Operating Model'!$K$5:$AL$5))</f>
        <v>0</v>
      </c>
      <c r="D35" s="1438">
        <f>INDEX('Operating Model'!$K413:$AL413,MATCH('Annual Summary'!D$5,'Operating Model'!$K$5:$AL$5))</f>
        <v>0</v>
      </c>
      <c r="E35" s="1438">
        <f>INDEX('Operating Model'!$K413:$AL413,MATCH('Annual Summary'!E$5,'Operating Model'!$K$5:$AL$5))</f>
        <v>1.25</v>
      </c>
      <c r="F35" s="1438">
        <f>INDEX('Operating Model'!$K413:$AL413,MATCH('Annual Summary'!F$5,'Operating Model'!$K$5:$AL$5))</f>
        <v>1.25</v>
      </c>
      <c r="G35" s="1438">
        <f>INDEX('Operating Model'!$K413:$AL413,MATCH('Annual Summary'!G$5,'Operating Model'!$K$5:$AL$5))</f>
        <v>1.25</v>
      </c>
      <c r="H35" s="1438">
        <f>INDEX('Operating Model'!$K413:$AL413,MATCH('Annual Summary'!H$5,'Operating Model'!$K$5:$AL$5))</f>
        <v>1.25</v>
      </c>
      <c r="I35" s="1438">
        <f>INDEX('Operating Model'!$K413:$AL413,MATCH('Annual Summary'!I$5,'Operating Model'!$K$5:$AL$5))</f>
        <v>1.25</v>
      </c>
    </row>
    <row r="36" spans="2:9" outlineLevel="1" x14ac:dyDescent="0.3">
      <c r="B36" s="1439" t="s">
        <v>29</v>
      </c>
      <c r="C36" s="1440">
        <f>INDEX('Operating Model'!$K414:$AL414,MATCH('Annual Summary'!C$5,'Operating Model'!$K$5:$AL$5))</f>
        <v>0</v>
      </c>
      <c r="D36" s="1440">
        <f>INDEX('Operating Model'!$K414:$AL414,MATCH('Annual Summary'!D$5,'Operating Model'!$K$5:$AL$5))</f>
        <v>0</v>
      </c>
      <c r="E36" s="1440">
        <f ca="1">INDEX('Operating Model'!$K414:$AL414,MATCH('Annual Summary'!E$5,'Operating Model'!$K$5:$AL$5))</f>
        <v>4.2903046843257222</v>
      </c>
      <c r="F36" s="1440">
        <f ca="1">INDEX('Operating Model'!$K414:$AL414,MATCH('Annual Summary'!F$5,'Operating Model'!$K$5:$AL$5))</f>
        <v>3.6297237445231354</v>
      </c>
      <c r="G36" s="1440">
        <f ca="1">INDEX('Operating Model'!$K414:$AL414,MATCH('Annual Summary'!G$5,'Operating Model'!$K$5:$AL$5))</f>
        <v>3.5715504861797376</v>
      </c>
      <c r="H36" s="1440">
        <f ca="1">INDEX('Operating Model'!$K414:$AL414,MATCH('Annual Summary'!H$5,'Operating Model'!$K$5:$AL$5))</f>
        <v>3.5766768137113156</v>
      </c>
      <c r="I36" s="1440">
        <f ca="1">INDEX('Operating Model'!$K414:$AL414,MATCH('Annual Summary'!I$5,'Operating Model'!$K$5:$AL$5))</f>
        <v>3.5873476732580709</v>
      </c>
    </row>
    <row r="37" spans="2:9" outlineLevel="1" x14ac:dyDescent="0.3">
      <c r="B37" s="1441" t="s">
        <v>30</v>
      </c>
      <c r="C37" s="1442">
        <f>INDEX('Operating Model'!$K415:$AL415,MATCH('Annual Summary'!C$5,'Operating Model'!$K$5:$AL$5))</f>
        <v>0</v>
      </c>
      <c r="D37" s="1442">
        <f>INDEX('Operating Model'!$K415:$AL415,MATCH('Annual Summary'!D$5,'Operating Model'!$K$5:$AL$5))</f>
        <v>0</v>
      </c>
      <c r="E37" s="1442" t="str">
        <f ca="1">INDEX('Operating Model'!$K415:$AL415,MATCH('Annual Summary'!E$5,'Operating Model'!$K$5:$AL$5))</f>
        <v>PASS</v>
      </c>
      <c r="F37" s="1442" t="str">
        <f ca="1">INDEX('Operating Model'!$K415:$AL415,MATCH('Annual Summary'!F$5,'Operating Model'!$K$5:$AL$5))</f>
        <v>PASS</v>
      </c>
      <c r="G37" s="1442" t="str">
        <f ca="1">INDEX('Operating Model'!$K415:$AL415,MATCH('Annual Summary'!G$5,'Operating Model'!$K$5:$AL$5))</f>
        <v>PASS</v>
      </c>
      <c r="H37" s="1442" t="str">
        <f ca="1">INDEX('Operating Model'!$K415:$AL415,MATCH('Annual Summary'!H$5,'Operating Model'!$K$5:$AL$5))</f>
        <v>PASS</v>
      </c>
      <c r="I37" s="1442" t="str">
        <f ca="1">INDEX('Operating Model'!$K415:$AL415,MATCH('Annual Summary'!I$5,'Operating Model'!$K$5:$AL$5))</f>
        <v>PASS</v>
      </c>
    </row>
    <row r="38" spans="2:9" outlineLevel="1" x14ac:dyDescent="0.3">
      <c r="B38" s="1437" t="s">
        <v>31</v>
      </c>
      <c r="C38" s="1438">
        <f>INDEX('Operating Model'!$K433:$AL433,MATCH('Annual Summary'!C$5,'Operating Model'!$K$5:$AL$5))</f>
        <v>0</v>
      </c>
      <c r="D38" s="1438">
        <f>INDEX('Operating Model'!$K433:$AL433,MATCH('Annual Summary'!D$5,'Operating Model'!$K$5:$AL$5))</f>
        <v>0</v>
      </c>
      <c r="E38" s="1438">
        <f>INDEX('Operating Model'!$K433:$AL433,MATCH('Annual Summary'!E$5,'Operating Model'!$K$5:$AL$5))</f>
        <v>1.25</v>
      </c>
      <c r="F38" s="1438">
        <f>INDEX('Operating Model'!$K433:$AL433,MATCH('Annual Summary'!F$5,'Operating Model'!$K$5:$AL$5))</f>
        <v>1.25</v>
      </c>
      <c r="G38" s="1438">
        <f>INDEX('Operating Model'!$K433:$AL433,MATCH('Annual Summary'!G$5,'Operating Model'!$K$5:$AL$5))</f>
        <v>1.25</v>
      </c>
      <c r="H38" s="1438">
        <f>INDEX('Operating Model'!$K433:$AL433,MATCH('Annual Summary'!H$5,'Operating Model'!$K$5:$AL$5))</f>
        <v>1.25</v>
      </c>
      <c r="I38" s="1438">
        <f>INDEX('Operating Model'!$K433:$AL433,MATCH('Annual Summary'!I$5,'Operating Model'!$K$5:$AL$5))</f>
        <v>1.25</v>
      </c>
    </row>
    <row r="39" spans="2:9" outlineLevel="1" x14ac:dyDescent="0.3">
      <c r="B39" s="1439" t="s">
        <v>32</v>
      </c>
      <c r="C39" s="1440">
        <f>INDEX('Operating Model'!$K434:$AL434,MATCH('Annual Summary'!C$5,'Operating Model'!$K$5:$AL$5))</f>
        <v>0</v>
      </c>
      <c r="D39" s="1440">
        <f>INDEX('Operating Model'!$K434:$AL434,MATCH('Annual Summary'!D$5,'Operating Model'!$K$5:$AL$5))</f>
        <v>0</v>
      </c>
      <c r="E39" s="1440">
        <f ca="1">INDEX('Operating Model'!$K434:$AL434,MATCH('Annual Summary'!E$5,'Operating Model'!$K$5:$AL$5))</f>
        <v>0</v>
      </c>
      <c r="F39" s="1440">
        <f ca="1">INDEX('Operating Model'!$K434:$AL434,MATCH('Annual Summary'!F$5,'Operating Model'!$K$5:$AL$5))</f>
        <v>2.0820723177364582</v>
      </c>
      <c r="G39" s="1440">
        <f ca="1">INDEX('Operating Model'!$K434:$AL434,MATCH('Annual Summary'!G$5,'Operating Model'!$K$5:$AL$5))</f>
        <v>2.2731879728030693</v>
      </c>
      <c r="H39" s="1440">
        <f ca="1">INDEX('Operating Model'!$K434:$AL434,MATCH('Annual Summary'!H$5,'Operating Model'!$K$5:$AL$5))</f>
        <v>2.4671743172809051</v>
      </c>
      <c r="I39" s="1440">
        <f ca="1">INDEX('Operating Model'!$K434:$AL434,MATCH('Annual Summary'!I$5,'Operating Model'!$K$5:$AL$5))</f>
        <v>2.5458074639837962</v>
      </c>
    </row>
    <row r="40" spans="2:9" outlineLevel="1" x14ac:dyDescent="0.3">
      <c r="B40" s="1441" t="s">
        <v>30</v>
      </c>
      <c r="C40" s="1442">
        <f>INDEX('Operating Model'!$K435:$AL435,MATCH('Annual Summary'!C$5,'Operating Model'!$K$5:$AL$5))</f>
        <v>0</v>
      </c>
      <c r="D40" s="1442">
        <f>INDEX('Operating Model'!$K435:$AL435,MATCH('Annual Summary'!D$5,'Operating Model'!$K$5:$AL$5))</f>
        <v>0</v>
      </c>
      <c r="E40" s="1442">
        <f ca="1">INDEX('Operating Model'!$K435:$AL435,MATCH('Annual Summary'!E$5,'Operating Model'!$K$5:$AL$5))</f>
        <v>0</v>
      </c>
      <c r="F40" s="1442" t="str">
        <f ca="1">INDEX('Operating Model'!$K435:$AL435,MATCH('Annual Summary'!F$5,'Operating Model'!$K$5:$AL$5))</f>
        <v>PASS</v>
      </c>
      <c r="G40" s="1442" t="str">
        <f ca="1">INDEX('Operating Model'!$K435:$AL435,MATCH('Annual Summary'!G$5,'Operating Model'!$K$5:$AL$5))</f>
        <v>PASS</v>
      </c>
      <c r="H40" s="1442" t="str">
        <f ca="1">INDEX('Operating Model'!$K435:$AL435,MATCH('Annual Summary'!H$5,'Operating Model'!$K$5:$AL$5))</f>
        <v>PASS</v>
      </c>
      <c r="I40" s="1442" t="str">
        <f ca="1">INDEX('Operating Model'!$K435:$AL435,MATCH('Annual Summary'!I$5,'Operating Model'!$K$5:$AL$5))</f>
        <v>PASS</v>
      </c>
    </row>
    <row r="41" spans="2:9" outlineLevel="1" x14ac:dyDescent="0.3">
      <c r="B41" s="1437" t="s">
        <v>33</v>
      </c>
      <c r="C41" s="1438">
        <f>INDEX('Operating Model'!$K447:$AL447,MATCH('Annual Summary'!C$5,'Operating Model'!$K$5:$AL$5))</f>
        <v>0</v>
      </c>
      <c r="D41" s="1438">
        <f>INDEX('Operating Model'!$K447:$AL447,MATCH('Annual Summary'!D$5,'Operating Model'!$K$5:$AL$5))</f>
        <v>0</v>
      </c>
      <c r="E41" s="1438">
        <f>INDEX('Operating Model'!$K447:$AL447,MATCH('Annual Summary'!E$5,'Operating Model'!$K$5:$AL$5))</f>
        <v>3.5</v>
      </c>
      <c r="F41" s="1438">
        <f>INDEX('Operating Model'!$K447:$AL447,MATCH('Annual Summary'!F$5,'Operating Model'!$K$5:$AL$5))</f>
        <v>3.5</v>
      </c>
      <c r="G41" s="1438">
        <f>INDEX('Operating Model'!$K447:$AL447,MATCH('Annual Summary'!G$5,'Operating Model'!$K$5:$AL$5))</f>
        <v>3.5</v>
      </c>
      <c r="H41" s="1438">
        <f>INDEX('Operating Model'!$K447:$AL447,MATCH('Annual Summary'!H$5,'Operating Model'!$K$5:$AL$5))</f>
        <v>3.5</v>
      </c>
      <c r="I41" s="1438">
        <f>INDEX('Operating Model'!$K447:$AL447,MATCH('Annual Summary'!I$5,'Operating Model'!$K$5:$AL$5))</f>
        <v>3.5</v>
      </c>
    </row>
    <row r="42" spans="2:9" outlineLevel="1" x14ac:dyDescent="0.3">
      <c r="B42" s="1439" t="s">
        <v>34</v>
      </c>
      <c r="C42" s="1440">
        <f>INDEX('Operating Model'!$K448:$AL448,MATCH('Annual Summary'!C$5,'Operating Model'!$K$5:$AL$5))</f>
        <v>0</v>
      </c>
      <c r="D42" s="1440">
        <f>INDEX('Operating Model'!$K448:$AL448,MATCH('Annual Summary'!D$5,'Operating Model'!$K$5:$AL$5))</f>
        <v>0</v>
      </c>
      <c r="E42" s="1440">
        <f ca="1">INDEX('Operating Model'!$K448:$AL448,MATCH('Annual Summary'!E$5,'Operating Model'!$K$5:$AL$5))</f>
        <v>0</v>
      </c>
      <c r="F42" s="1440">
        <f ca="1">INDEX('Operating Model'!$K448:$AL448,MATCH('Annual Summary'!F$5,'Operating Model'!$K$5:$AL$5))</f>
        <v>0</v>
      </c>
      <c r="G42" s="1440">
        <f ca="1">INDEX('Operating Model'!$K448:$AL448,MATCH('Annual Summary'!G$5,'Operating Model'!$K$5:$AL$5))</f>
        <v>0</v>
      </c>
      <c r="H42" s="1440">
        <f ca="1">INDEX('Operating Model'!$K448:$AL448,MATCH('Annual Summary'!H$5,'Operating Model'!$K$5:$AL$5))</f>
        <v>0</v>
      </c>
      <c r="I42" s="1440">
        <f ca="1">INDEX('Operating Model'!$K448:$AL448,MATCH('Annual Summary'!I$5,'Operating Model'!$K$5:$AL$5))</f>
        <v>0</v>
      </c>
    </row>
    <row r="43" spans="2:9" outlineLevel="1" x14ac:dyDescent="0.3">
      <c r="B43" s="1441" t="s">
        <v>30</v>
      </c>
      <c r="C43" s="1442">
        <f>INDEX('Operating Model'!$K449:$AL449,MATCH('Annual Summary'!C$5,'Operating Model'!$K$5:$AL$5))</f>
        <v>0</v>
      </c>
      <c r="D43" s="1442">
        <f>INDEX('Operating Model'!$K449:$AL449,MATCH('Annual Summary'!D$5,'Operating Model'!$K$5:$AL$5))</f>
        <v>0</v>
      </c>
      <c r="E43" s="1442">
        <f ca="1">INDEX('Operating Model'!$K449:$AL449,MATCH('Annual Summary'!E$5,'Operating Model'!$K$5:$AL$5))</f>
        <v>0</v>
      </c>
      <c r="F43" s="1442">
        <f ca="1">INDEX('Operating Model'!$K449:$AL449,MATCH('Annual Summary'!F$5,'Operating Model'!$K$5:$AL$5))</f>
        <v>0</v>
      </c>
      <c r="G43" s="1442">
        <f ca="1">INDEX('Operating Model'!$K449:$AL449,MATCH('Annual Summary'!G$5,'Operating Model'!$K$5:$AL$5))</f>
        <v>0</v>
      </c>
      <c r="H43" s="1442">
        <f ca="1">INDEX('Operating Model'!$K449:$AL449,MATCH('Annual Summary'!H$5,'Operating Model'!$K$5:$AL$5))</f>
        <v>0</v>
      </c>
      <c r="I43" s="1442">
        <f ca="1">INDEX('Operating Model'!$K449:$AL449,MATCH('Annual Summary'!I$5,'Operating Model'!$K$5:$AL$5))</f>
        <v>0</v>
      </c>
    </row>
    <row r="44" spans="2:9" outlineLevel="1" x14ac:dyDescent="0.3">
      <c r="B44" s="1437" t="s">
        <v>35</v>
      </c>
      <c r="C44" s="1438">
        <f>INDEX('Operating Model'!$K451:$AL451,MATCH('Annual Summary'!C$5,'Operating Model'!$K$5:$AL$5))</f>
        <v>0</v>
      </c>
      <c r="D44" s="1438">
        <f>INDEX('Operating Model'!$K451:$AL451,MATCH('Annual Summary'!D$5,'Operating Model'!$K$5:$AL$5))</f>
        <v>0</v>
      </c>
      <c r="E44" s="1438">
        <f>INDEX('Operating Model'!$K451:$AL451,MATCH('Annual Summary'!E$5,'Operating Model'!$K$5:$AL$5))</f>
        <v>4.5</v>
      </c>
      <c r="F44" s="1438">
        <f>INDEX('Operating Model'!$K451:$AL451,MATCH('Annual Summary'!F$5,'Operating Model'!$K$5:$AL$5))</f>
        <v>4.5</v>
      </c>
      <c r="G44" s="1438">
        <f>INDEX('Operating Model'!$K451:$AL451,MATCH('Annual Summary'!G$5,'Operating Model'!$K$5:$AL$5))</f>
        <v>4.5</v>
      </c>
      <c r="H44" s="1438">
        <f>INDEX('Operating Model'!$K451:$AL451,MATCH('Annual Summary'!H$5,'Operating Model'!$K$5:$AL$5))</f>
        <v>4.5</v>
      </c>
      <c r="I44" s="1438">
        <f>INDEX('Operating Model'!$K451:$AL451,MATCH('Annual Summary'!I$5,'Operating Model'!$K$5:$AL$5))</f>
        <v>4.5</v>
      </c>
    </row>
    <row r="45" spans="2:9" outlineLevel="1" x14ac:dyDescent="0.3">
      <c r="B45" s="1439" t="s">
        <v>36</v>
      </c>
      <c r="C45" s="1440">
        <f>INDEX('Operating Model'!$K452:$AL452,MATCH('Annual Summary'!C$5,'Operating Model'!$K$5:$AL$5))</f>
        <v>0</v>
      </c>
      <c r="D45" s="1440">
        <f>INDEX('Operating Model'!$K452:$AL452,MATCH('Annual Summary'!D$5,'Operating Model'!$K$5:$AL$5))</f>
        <v>0</v>
      </c>
      <c r="E45" s="1440">
        <f ca="1">INDEX('Operating Model'!$K452:$AL452,MATCH('Annual Summary'!E$5,'Operating Model'!$K$5:$AL$5))</f>
        <v>12.100334815001428</v>
      </c>
      <c r="F45" s="1440">
        <f ca="1">INDEX('Operating Model'!$K452:$AL452,MATCH('Annual Summary'!F$5,'Operating Model'!$K$5:$AL$5))</f>
        <v>7.5341709058000683</v>
      </c>
      <c r="G45" s="1440">
        <f ca="1">INDEX('Operating Model'!$K452:$AL452,MATCH('Annual Summary'!G$5,'Operating Model'!$K$5:$AL$5))</f>
        <v>6.474987624768441</v>
      </c>
      <c r="H45" s="1440">
        <f ca="1">INDEX('Operating Model'!$K452:$AL452,MATCH('Annual Summary'!H$5,'Operating Model'!$K$5:$AL$5))</f>
        <v>5.8956421129838992</v>
      </c>
      <c r="I45" s="1440">
        <f ca="1">INDEX('Operating Model'!$K452:$AL452,MATCH('Annual Summary'!I$5,'Operating Model'!$K$5:$AL$5))</f>
        <v>5.6193307328961062</v>
      </c>
    </row>
    <row r="46" spans="2:9" outlineLevel="1" x14ac:dyDescent="0.3">
      <c r="B46" s="1441" t="s">
        <v>30</v>
      </c>
      <c r="C46" s="1442">
        <f>INDEX('Operating Model'!$K453:$AL453,MATCH('Annual Summary'!C$5,'Operating Model'!$K$5:$AL$5))</f>
        <v>0</v>
      </c>
      <c r="D46" s="1442">
        <f>INDEX('Operating Model'!$K453:$AL453,MATCH('Annual Summary'!D$5,'Operating Model'!$K$5:$AL$5))</f>
        <v>0</v>
      </c>
      <c r="E46" s="1442" t="str">
        <f ca="1">INDEX('Operating Model'!$K453:$AL453,MATCH('Annual Summary'!E$5,'Operating Model'!$K$5:$AL$5))</f>
        <v>FAIL</v>
      </c>
      <c r="F46" s="1442" t="str">
        <f ca="1">INDEX('Operating Model'!$K453:$AL453,MATCH('Annual Summary'!F$5,'Operating Model'!$K$5:$AL$5))</f>
        <v>FAIL</v>
      </c>
      <c r="G46" s="1442" t="str">
        <f ca="1">INDEX('Operating Model'!$K453:$AL453,MATCH('Annual Summary'!G$5,'Operating Model'!$K$5:$AL$5))</f>
        <v>FAIL</v>
      </c>
      <c r="H46" s="1442" t="str">
        <f ca="1">INDEX('Operating Model'!$K453:$AL453,MATCH('Annual Summary'!H$5,'Operating Model'!$K$5:$AL$5))</f>
        <v>FAIL</v>
      </c>
      <c r="I46" s="1442" t="str">
        <f ca="1">INDEX('Operating Model'!$K453:$AL453,MATCH('Annual Summary'!I$5,'Operating Model'!$K$5:$AL$5))</f>
        <v>FAIL</v>
      </c>
    </row>
    <row r="47" spans="2:9" ht="5.0999999999999996" customHeight="1" x14ac:dyDescent="0.3"/>
    <row r="48" spans="2:9" x14ac:dyDescent="0.3">
      <c r="B48" s="1416" t="s">
        <v>37</v>
      </c>
      <c r="C48" s="1414"/>
      <c r="D48" s="1414"/>
      <c r="E48" s="1414"/>
      <c r="F48" s="1414"/>
      <c r="G48" s="1414"/>
      <c r="H48" s="1414"/>
      <c r="I48" s="1414"/>
    </row>
    <row r="49" spans="2:9" x14ac:dyDescent="0.3">
      <c r="B49" s="1426" t="s">
        <v>38</v>
      </c>
      <c r="C49" s="1427">
        <f>INDEX('Operating Model'!$K490:$AL490,MATCH('Annual Summary'!C$5,'Operating Model'!$K$5:$AL$5))</f>
        <v>0</v>
      </c>
      <c r="D49" s="1427">
        <f>INDEX('Operating Model'!$K490:$AL490,MATCH('Annual Summary'!D$5,'Operating Model'!$K$5:$AL$5))</f>
        <v>0</v>
      </c>
      <c r="E49" s="1427">
        <f ca="1">INDEX('Operating Model'!$K490:$AL490,MATCH('Annual Summary'!E$5,'Operating Model'!$K$5:$AL$5))</f>
        <v>6127230.2655016035</v>
      </c>
      <c r="F49" s="1427">
        <f ca="1">INDEX('Operating Model'!$K490:$AL490,MATCH('Annual Summary'!F$5,'Operating Model'!$K$5:$AL$5))</f>
        <v>7225956.7329398505</v>
      </c>
      <c r="G49" s="1427">
        <f ca="1">INDEX('Operating Model'!$K490:$AL490,MATCH('Annual Summary'!G$5,'Operating Model'!$K$5:$AL$5))</f>
        <v>8247221.5550078955</v>
      </c>
      <c r="H49" s="1427">
        <f ca="1">INDEX('Operating Model'!$K490:$AL490,MATCH('Annual Summary'!H$5,'Operating Model'!$K$5:$AL$5))</f>
        <v>8998073.222975852</v>
      </c>
      <c r="I49" s="1427">
        <f ca="1">INDEX('Operating Model'!$K490:$AL490,MATCH('Annual Summary'!I$5,'Operating Model'!$K$5:$AL$5))</f>
        <v>9464083.9207209423</v>
      </c>
    </row>
    <row r="50" spans="2:9" x14ac:dyDescent="0.3">
      <c r="B50" s="1415" t="s">
        <v>39</v>
      </c>
      <c r="C50" s="1420">
        <f>INDEX('Operating Model'!$K491:$AL491,MATCH('Annual Summary'!C$5,'Operating Model'!$K$5:$AL$5))</f>
        <v>0</v>
      </c>
      <c r="D50" s="1420">
        <f>INDEX('Operating Model'!$K491:$AL491,MATCH('Annual Summary'!D$5,'Operating Model'!$K$5:$AL$5))</f>
        <v>0</v>
      </c>
      <c r="E50" s="1420">
        <f ca="1">INDEX('Operating Model'!$K491:$AL491,MATCH('Annual Summary'!E$5,'Operating Model'!$K$5:$AL$5))</f>
        <v>4581670.2123345677</v>
      </c>
      <c r="F50" s="1420">
        <f ca="1">INDEX('Operating Model'!$K491:$AL491,MATCH('Annual Summary'!F$5,'Operating Model'!$K$5:$AL$5))</f>
        <v>4581670.2123345677</v>
      </c>
      <c r="G50" s="1420">
        <f ca="1">INDEX('Operating Model'!$K491:$AL491,MATCH('Annual Summary'!G$5,'Operating Model'!$K$5:$AL$5))</f>
        <v>4581670.2123345677</v>
      </c>
      <c r="H50" s="1420">
        <f ca="1">INDEX('Operating Model'!$K491:$AL491,MATCH('Annual Summary'!H$5,'Operating Model'!$K$5:$AL$5))</f>
        <v>4581670.2123345677</v>
      </c>
      <c r="I50" s="1420">
        <f ca="1">INDEX('Operating Model'!$K491:$AL491,MATCH('Annual Summary'!I$5,'Operating Model'!$K$5:$AL$5))</f>
        <v>4581670.2123345677</v>
      </c>
    </row>
    <row r="51" spans="2:9" x14ac:dyDescent="0.3">
      <c r="B51" s="1439" t="s">
        <v>40</v>
      </c>
      <c r="C51" s="1443">
        <f>INDEX('Operating Model'!$K492:$AL492,MATCH('Annual Summary'!C$5,'Operating Model'!$K$5:$AL$5))</f>
        <v>0</v>
      </c>
      <c r="D51" s="1443">
        <f>INDEX('Operating Model'!$K492:$AL492,MATCH('Annual Summary'!D$5,'Operating Model'!$K$5:$AL$5))</f>
        <v>0</v>
      </c>
      <c r="E51" s="1443">
        <f ca="1">INDEX('Operating Model'!$K492:$AL492,MATCH('Annual Summary'!E$5,'Operating Model'!$K$5:$AL$5))</f>
        <v>1.3373355090041505</v>
      </c>
      <c r="F51" s="1443">
        <f ca="1">INDEX('Operating Model'!$K492:$AL492,MATCH('Annual Summary'!F$5,'Operating Model'!$K$5:$AL$5))</f>
        <v>1.5771446651673997</v>
      </c>
      <c r="G51" s="1443">
        <f ca="1">INDEX('Operating Model'!$K492:$AL492,MATCH('Annual Summary'!G$5,'Operating Model'!$K$5:$AL$5))</f>
        <v>1.8000469638353922</v>
      </c>
      <c r="H51" s="1443">
        <f ca="1">INDEX('Operating Model'!$K492:$AL492,MATCH('Annual Summary'!H$5,'Operating Model'!$K$5:$AL$5))</f>
        <v>1.9639286124853861</v>
      </c>
      <c r="I51" s="1443">
        <f ca="1">INDEX('Operating Model'!$K492:$AL492,MATCH('Annual Summary'!I$5,'Operating Model'!$K$5:$AL$5))</f>
        <v>2.0656405812976586</v>
      </c>
    </row>
    <row r="52" spans="2:9" x14ac:dyDescent="0.3">
      <c r="B52" s="1441" t="s">
        <v>41</v>
      </c>
      <c r="C52" s="1444">
        <f>INDEX('Operating Model'!$K493:$AL493,MATCH('Annual Summary'!C$5,'Operating Model'!$K$5:$AL$5))</f>
        <v>0</v>
      </c>
      <c r="D52" s="1444">
        <f>INDEX('Operating Model'!$K493:$AL493,MATCH('Annual Summary'!D$5,'Operating Model'!$K$5:$AL$5))</f>
        <v>0</v>
      </c>
      <c r="E52" s="1444">
        <f ca="1">INDEX('Operating Model'!$K493:$AL493,MATCH('Annual Summary'!E$5,'Operating Model'!$K$5:$AL$5))</f>
        <v>2.1986115761905491</v>
      </c>
      <c r="F52" s="1444">
        <f ca="1">INDEX('Operating Model'!$K493:$AL493,MATCH('Annual Summary'!F$5,'Operating Model'!$K$5:$AL$5))</f>
        <v>0.43978360868331579</v>
      </c>
      <c r="G52" s="1444">
        <f ca="1">INDEX('Operating Model'!$K493:$AL493,MATCH('Annual Summary'!G$5,'Operating Model'!$K$5:$AL$5))</f>
        <v>0.29855241042786429</v>
      </c>
      <c r="H52" s="1444">
        <f ca="1">INDEX('Operating Model'!$K493:$AL493,MATCH('Annual Summary'!H$5,'Operating Model'!$K$5:$AL$5))</f>
        <v>0.23081426855255849</v>
      </c>
      <c r="I52" s="1444">
        <f ca="1">INDEX('Operating Model'!$K493:$AL493,MATCH('Annual Summary'!I$5,'Operating Model'!$K$5:$AL$5))</f>
        <v>0.18612519510890957</v>
      </c>
    </row>
    <row r="53" spans="2:9" x14ac:dyDescent="0.3">
      <c r="B53" s="1426" t="s">
        <v>42</v>
      </c>
      <c r="C53" s="1427">
        <f>INDEX('Operating Model'!$K496:$AL496,MATCH('Annual Summary'!C$5,'Operating Model'!$K$5:$AL$5))</f>
        <v>0</v>
      </c>
      <c r="D53" s="1427">
        <f>INDEX('Operating Model'!$K496:$AL496,MATCH('Annual Summary'!D$5,'Operating Model'!$K$5:$AL$5))</f>
        <v>0</v>
      </c>
      <c r="E53" s="1427">
        <f ca="1">INDEX('Operating Model'!$K496:$AL496,MATCH('Annual Summary'!E$5,'Operating Model'!$K$5:$AL$5))</f>
        <v>818627.74982158025</v>
      </c>
      <c r="F53" s="1427">
        <f ca="1">INDEX('Operating Model'!$K496:$AL496,MATCH('Annual Summary'!F$5,'Operating Model'!$K$5:$AL$5))</f>
        <v>1327775.1545174215</v>
      </c>
      <c r="G53" s="1427">
        <f ca="1">INDEX('Operating Model'!$K496:$AL496,MATCH('Annual Summary'!G$5,'Operating Model'!$K$5:$AL$5))</f>
        <v>1787943.0828614263</v>
      </c>
      <c r="H53" s="1427">
        <f ca="1">INDEX('Operating Model'!$K496:$AL496,MATCH('Annual Summary'!H$5,'Operating Model'!$K$5:$AL$5))</f>
        <v>2093609.4538420115</v>
      </c>
      <c r="I53" s="1427">
        <f ca="1">INDEX('Operating Model'!$K496:$AL496,MATCH('Annual Summary'!I$5,'Operating Model'!$K$5:$AL$5))</f>
        <v>2236337.7008940205</v>
      </c>
    </row>
    <row r="54" spans="2:9" x14ac:dyDescent="0.3">
      <c r="B54" s="1415" t="s">
        <v>43</v>
      </c>
      <c r="C54" s="1420">
        <f>INDEX('Operating Model'!$K497:$AL497,MATCH('Annual Summary'!C$5,'Operating Model'!$K$5:$AL$5))</f>
        <v>0</v>
      </c>
      <c r="D54" s="1420">
        <f>INDEX('Operating Model'!$K497:$AL497,MATCH('Annual Summary'!D$5,'Operating Model'!$K$5:$AL$5))</f>
        <v>0</v>
      </c>
      <c r="E54" s="1420">
        <f>INDEX('Operating Model'!$K497:$AL497,MATCH('Annual Summary'!E$5,'Operating Model'!$K$5:$AL$5))</f>
        <v>1075000</v>
      </c>
      <c r="F54" s="1420">
        <f>INDEX('Operating Model'!$K497:$AL497,MATCH('Annual Summary'!F$5,'Operating Model'!$K$5:$AL$5))</f>
        <v>1075000</v>
      </c>
      <c r="G54" s="1420">
        <f>INDEX('Operating Model'!$K497:$AL497,MATCH('Annual Summary'!G$5,'Operating Model'!$K$5:$AL$5))</f>
        <v>1075000</v>
      </c>
      <c r="H54" s="1420">
        <f>INDEX('Operating Model'!$K497:$AL497,MATCH('Annual Summary'!H$5,'Operating Model'!$K$5:$AL$5))</f>
        <v>1075000</v>
      </c>
      <c r="I54" s="1420">
        <f>INDEX('Operating Model'!$K497:$AL497,MATCH('Annual Summary'!I$5,'Operating Model'!$K$5:$AL$5))</f>
        <v>1075000</v>
      </c>
    </row>
    <row r="55" spans="2:9" x14ac:dyDescent="0.3">
      <c r="B55" s="1439" t="s">
        <v>40</v>
      </c>
      <c r="C55" s="1443">
        <f>INDEX('Operating Model'!$K498:$AL498,MATCH('Annual Summary'!C$5,'Operating Model'!$K$5:$AL$5))</f>
        <v>0</v>
      </c>
      <c r="D55" s="1443">
        <f>INDEX('Operating Model'!$K498:$AL498,MATCH('Annual Summary'!D$5,'Operating Model'!$K$5:$AL$5))</f>
        <v>0</v>
      </c>
      <c r="E55" s="1443">
        <f ca="1">INDEX('Operating Model'!$K498:$AL498,MATCH('Annual Summary'!E$5,'Operating Model'!$K$5:$AL$5))</f>
        <v>0.76151418588053976</v>
      </c>
      <c r="F55" s="1443">
        <f ca="1">INDEX('Operating Model'!$K498:$AL498,MATCH('Annual Summary'!F$5,'Operating Model'!$K$5:$AL$5))</f>
        <v>1.2351396786208573</v>
      </c>
      <c r="G55" s="1443">
        <f ca="1">INDEX('Operating Model'!$K498:$AL498,MATCH('Annual Summary'!G$5,'Operating Model'!$K$5:$AL$5))</f>
        <v>1.663202867778071</v>
      </c>
      <c r="H55" s="1443">
        <f ca="1">INDEX('Operating Model'!$K498:$AL498,MATCH('Annual Summary'!H$5,'Operating Model'!$K$5:$AL$5))</f>
        <v>1.9475436779925688</v>
      </c>
      <c r="I55" s="1443">
        <f ca="1">INDEX('Operating Model'!$K498:$AL498,MATCH('Annual Summary'!I$5,'Operating Model'!$K$5:$AL$5))</f>
        <v>2.0803141403665308</v>
      </c>
    </row>
    <row r="56" spans="2:9" x14ac:dyDescent="0.3">
      <c r="B56" s="1441" t="s">
        <v>41</v>
      </c>
      <c r="C56" s="1444">
        <f>INDEX('Operating Model'!$K499:$AL499,MATCH('Annual Summary'!C$5,'Operating Model'!$K$5:$AL$5))</f>
        <v>0</v>
      </c>
      <c r="D56" s="1444">
        <f>INDEX('Operating Model'!$K499:$AL499,MATCH('Annual Summary'!D$5,'Operating Model'!$K$5:$AL$5))</f>
        <v>0</v>
      </c>
      <c r="E56" s="1444">
        <f ca="1">INDEX('Operating Model'!$K499:$AL499,MATCH('Annual Summary'!E$5,'Operating Model'!$K$5:$AL$5))</f>
        <v>-0.66371151861132671</v>
      </c>
      <c r="F56" s="1444">
        <f ca="1">INDEX('Operating Model'!$K499:$AL499,MATCH('Annual Summary'!F$5,'Operating Model'!$K$5:$AL$5))</f>
        <v>0.18405767944886797</v>
      </c>
      <c r="G56" s="1444">
        <f ca="1">INDEX('Operating Model'!$K499:$AL499,MATCH('Annual Summary'!G$5,'Operating Model'!$K$5:$AL$5))</f>
        <v>0.25371227447893152</v>
      </c>
      <c r="H56" s="1444">
        <f ca="1">INDEX('Operating Model'!$K499:$AL499,MATCH('Annual Summary'!H$5,'Operating Model'!$K$5:$AL$5))</f>
        <v>0.22764552931918502</v>
      </c>
      <c r="I56" s="1444">
        <f ca="1">INDEX('Operating Model'!$K499:$AL499,MATCH('Annual Summary'!I$5,'Operating Model'!$K$5:$AL$5))</f>
        <v>0.18810237432459243</v>
      </c>
    </row>
  </sheetData>
  <conditionalFormatting sqref="C3:I3">
    <cfRule type="cellIs" dxfId="86" priority="3" operator="equal">
      <formula>"Forecast"</formula>
    </cfRule>
    <cfRule type="cellIs" dxfId="85" priority="4" operator="equal">
      <formula>"Closing"</formula>
    </cfRule>
    <cfRule type="cellIs" dxfId="84" priority="5" operator="equal">
      <formula>"Actual"</formula>
    </cfRule>
    <cfRule type="cellIs" dxfId="83" priority="6" operator="equal">
      <formula>"""Actual"""</formula>
    </cfRule>
    <cfRule type="cellIs" dxfId="82" priority="7" operator="equal">
      <formula>"""Forecast"""</formula>
    </cfRule>
  </conditionalFormatting>
  <conditionalFormatting sqref="C37:I37 C40:I40 C43:I43 C46:I46">
    <cfRule type="cellIs" dxfId="81" priority="1" operator="equal">
      <formula>"fail"</formula>
    </cfRule>
    <cfRule type="cellIs" dxfId="80" priority="2" operator="equal">
      <formula>"PASS"</formula>
    </cfRule>
  </conditionalFormatting>
  <pageMargins left="0.25" right="0.25" top="0.25" bottom="0.25" header="0.25" footer="0.25"/>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6"/>
  <sheetViews>
    <sheetView showGridLines="0" view="pageBreakPreview" zoomScaleNormal="100" zoomScaleSheetLayoutView="100" workbookViewId="0">
      <selection activeCell="E3" sqref="E3"/>
    </sheetView>
  </sheetViews>
  <sheetFormatPr defaultColWidth="9.140625" defaultRowHeight="15" outlineLevelRow="1" x14ac:dyDescent="0.25"/>
  <cols>
    <col min="1" max="1" width="9.140625" style="149"/>
    <col min="2" max="2" width="53.28515625" style="149" bestFit="1" customWidth="1"/>
    <col min="3" max="4" width="10.5703125" style="149" bestFit="1" customWidth="1"/>
    <col min="5" max="5" width="10.85546875" style="149" bestFit="1" customWidth="1"/>
    <col min="6" max="6" width="10.7109375" style="149" bestFit="1" customWidth="1"/>
    <col min="7" max="9" width="10.5703125" style="149" customWidth="1"/>
    <col min="10" max="10" width="11.85546875" style="149" bestFit="1" customWidth="1"/>
    <col min="11" max="22" width="11.5703125" style="149" customWidth="1"/>
    <col min="23" max="23" width="5" style="149" customWidth="1"/>
    <col min="24" max="24" width="11" style="149" customWidth="1"/>
    <col min="25" max="16384" width="9.140625" style="149"/>
  </cols>
  <sheetData>
    <row r="2" spans="2:22" x14ac:dyDescent="0.25">
      <c r="B2" s="1400" t="str">
        <f>'Transaction Structure'!U4&amp;" | Quarterly Summary "&amp; 'Transaction Structure'!U5&amp;""</f>
        <v>Project Owl | Quarterly Summary Base Case</v>
      </c>
      <c r="C2" s="1400"/>
      <c r="D2" s="1400"/>
      <c r="E2" s="1400"/>
      <c r="F2" s="1400"/>
      <c r="G2" s="1400"/>
      <c r="H2" s="1400"/>
      <c r="I2" s="1400"/>
      <c r="J2" s="1400"/>
      <c r="K2" s="1400"/>
      <c r="L2" s="1400"/>
      <c r="M2" s="1400"/>
      <c r="N2" s="1400"/>
      <c r="O2" s="1400"/>
      <c r="P2" s="1400"/>
      <c r="Q2" s="1400"/>
      <c r="R2" s="1400"/>
      <c r="S2" s="1400"/>
      <c r="T2" s="1400"/>
      <c r="U2" s="1400"/>
      <c r="V2" s="1400"/>
    </row>
    <row r="3" spans="2:22" x14ac:dyDescent="0.25">
      <c r="B3" s="1401" t="s">
        <v>0</v>
      </c>
      <c r="C3" s="148" t="str">
        <f>IF(C5=Closing_Date,"Closing",IF(C5&lt;='Transaction Structure'!$K$23,"Actual","Forecast"))</f>
        <v>Forecast</v>
      </c>
      <c r="D3" s="148" t="str">
        <f>IF(D5=Closing_Date,"Closing",IF(D5&lt;='Transaction Structure'!$K$23,"Actual","Forecast"))</f>
        <v>Forecast</v>
      </c>
      <c r="E3" s="148" t="str">
        <f>IF(E5=Closing_Date,"Closing",IF(E5&lt;='Transaction Structure'!$K$23,"Actual","Forecast"))</f>
        <v>Closing</v>
      </c>
      <c r="F3" s="148" t="str">
        <f>IF(F5=Closing_Date,"Closing",IF(F5&lt;='Transaction Structure'!$K$23,"Actual","Forecast"))</f>
        <v>Forecast</v>
      </c>
      <c r="G3" s="148" t="str">
        <f>IF(G5=Closing_Date,"Closing",IF(G5&lt;='Transaction Structure'!$K$23,"Actual","Forecast"))</f>
        <v>Forecast</v>
      </c>
      <c r="H3" s="148" t="str">
        <f>IF(H5=Closing_Date,"Closing",IF(H5&lt;='Transaction Structure'!$K$23,"Actual","Forecast"))</f>
        <v>Forecast</v>
      </c>
      <c r="I3" s="148" t="str">
        <f>IF(I5=Closing_Date,"Closing",IF(I5&lt;='Transaction Structure'!$K$23,"Actual","Forecast"))</f>
        <v>Forecast</v>
      </c>
      <c r="J3" s="148" t="str">
        <f>IF(J5=Closing_Date,"Closing",IF(J5&lt;='Transaction Structure'!$K$23,"Actual","Forecast"))</f>
        <v>Forecast</v>
      </c>
      <c r="K3" s="148" t="str">
        <f>IF(K5=Closing_Date,"Closing",IF(K5&lt;='Transaction Structure'!$K$23,"Actual","Forecast"))</f>
        <v>Forecast</v>
      </c>
      <c r="L3" s="148" t="str">
        <f>IF(L5=Closing_Date,"Closing",IF(L5&lt;='Transaction Structure'!$K$23,"Actual","Forecast"))</f>
        <v>Forecast</v>
      </c>
      <c r="M3" s="148" t="str">
        <f>IF(M5=Closing_Date,"Closing",IF(M5&lt;='Transaction Structure'!$K$23,"Actual","Forecast"))</f>
        <v>Forecast</v>
      </c>
      <c r="N3" s="148" t="str">
        <f>IF(N5=Closing_Date,"Closing",IF(N5&lt;='Transaction Structure'!$K$23,"Actual","Forecast"))</f>
        <v>Forecast</v>
      </c>
      <c r="O3" s="148" t="str">
        <f>IF(O5=Closing_Date,"Closing",IF(O5&lt;='Transaction Structure'!$K$23,"Actual","Forecast"))</f>
        <v>Forecast</v>
      </c>
      <c r="P3" s="148" t="str">
        <f>IF(P5=Closing_Date,"Closing",IF(P5&lt;='Transaction Structure'!$K$23,"Actual","Forecast"))</f>
        <v>Forecast</v>
      </c>
      <c r="Q3" s="148" t="str">
        <f>IF(Q5=Closing_Date,"Closing",IF(Q5&lt;='Transaction Structure'!$K$23,"Actual","Forecast"))</f>
        <v>Forecast</v>
      </c>
      <c r="R3" s="148" t="str">
        <f>IF(R5=Closing_Date,"Closing",IF(R5&lt;='Transaction Structure'!$K$23,"Actual","Forecast"))</f>
        <v>Forecast</v>
      </c>
      <c r="S3" s="148" t="str">
        <f>IF(S5=Closing_Date,"Closing",IF(S5&lt;='Transaction Structure'!$K$23,"Actual","Forecast"))</f>
        <v>Forecast</v>
      </c>
      <c r="T3" s="148" t="str">
        <f>IF(T5=Closing_Date,"Closing",IF(T5&lt;='Transaction Structure'!$K$23,"Actual","Forecast"))</f>
        <v>Forecast</v>
      </c>
      <c r="U3" s="148" t="str">
        <f>IF(U5=Closing_Date,"Closing",IF(U5&lt;='Transaction Structure'!$K$23,"Actual","Forecast"))</f>
        <v>Forecast</v>
      </c>
      <c r="V3" s="148" t="str">
        <f>IF(V5=Closing_Date,"Closing",IF(V5&lt;='Transaction Structure'!$K$23,"Actual","Forecast"))</f>
        <v>Forecast</v>
      </c>
    </row>
    <row r="4" spans="2:22" x14ac:dyDescent="0.25">
      <c r="B4" s="1401" t="s">
        <v>44</v>
      </c>
      <c r="C4" s="1402">
        <f>YEAR(C5)</f>
        <v>2023</v>
      </c>
      <c r="D4" s="1402">
        <f>YEAR(D5)</f>
        <v>2023</v>
      </c>
      <c r="E4" s="1402">
        <f t="shared" ref="E4:V4" si="0">YEAR(E5)</f>
        <v>2023</v>
      </c>
      <c r="F4" s="1402">
        <f t="shared" si="0"/>
        <v>2023</v>
      </c>
      <c r="G4" s="1402">
        <f t="shared" si="0"/>
        <v>2024</v>
      </c>
      <c r="H4" s="1402">
        <f t="shared" si="0"/>
        <v>2024</v>
      </c>
      <c r="I4" s="1402">
        <f t="shared" si="0"/>
        <v>2024</v>
      </c>
      <c r="J4" s="1402">
        <f t="shared" si="0"/>
        <v>2024</v>
      </c>
      <c r="K4" s="1402">
        <f t="shared" si="0"/>
        <v>2025</v>
      </c>
      <c r="L4" s="1402">
        <f t="shared" si="0"/>
        <v>2025</v>
      </c>
      <c r="M4" s="1402">
        <f t="shared" si="0"/>
        <v>2025</v>
      </c>
      <c r="N4" s="1402">
        <f t="shared" si="0"/>
        <v>2025</v>
      </c>
      <c r="O4" s="1402">
        <f t="shared" si="0"/>
        <v>2026</v>
      </c>
      <c r="P4" s="1402">
        <f t="shared" si="0"/>
        <v>2026</v>
      </c>
      <c r="Q4" s="1402">
        <f t="shared" si="0"/>
        <v>2026</v>
      </c>
      <c r="R4" s="1402">
        <f t="shared" si="0"/>
        <v>2026</v>
      </c>
      <c r="S4" s="1402">
        <f t="shared" si="0"/>
        <v>2027</v>
      </c>
      <c r="T4" s="1402">
        <f t="shared" si="0"/>
        <v>2027</v>
      </c>
      <c r="U4" s="1402">
        <f t="shared" si="0"/>
        <v>2027</v>
      </c>
      <c r="V4" s="1402">
        <f t="shared" si="0"/>
        <v>2027</v>
      </c>
    </row>
    <row r="5" spans="2:22" x14ac:dyDescent="0.25">
      <c r="B5" s="1401" t="s">
        <v>3</v>
      </c>
      <c r="C5" s="1403">
        <f>'Operating Model'!S5</f>
        <v>45016</v>
      </c>
      <c r="D5" s="1403">
        <f>'Operating Model'!T5</f>
        <v>45107</v>
      </c>
      <c r="E5" s="1403">
        <f>'Operating Model'!U5</f>
        <v>45199</v>
      </c>
      <c r="F5" s="1403">
        <f>'Operating Model'!V5</f>
        <v>45291</v>
      </c>
      <c r="G5" s="1403">
        <f>'Operating Model'!W5</f>
        <v>45382</v>
      </c>
      <c r="H5" s="1403">
        <f>'Operating Model'!X5</f>
        <v>45473</v>
      </c>
      <c r="I5" s="1403">
        <f>'Operating Model'!Y5</f>
        <v>45565</v>
      </c>
      <c r="J5" s="1403">
        <f>'Operating Model'!Z5</f>
        <v>45657</v>
      </c>
      <c r="K5" s="1403">
        <f>'Operating Model'!AA5</f>
        <v>45747</v>
      </c>
      <c r="L5" s="1403">
        <f>'Operating Model'!AB5</f>
        <v>45838</v>
      </c>
      <c r="M5" s="1403">
        <f>'Operating Model'!AC5</f>
        <v>45930</v>
      </c>
      <c r="N5" s="1403">
        <f>'Operating Model'!AD5</f>
        <v>46022</v>
      </c>
      <c r="O5" s="1403">
        <f>'Operating Model'!AE5</f>
        <v>46112</v>
      </c>
      <c r="P5" s="1403">
        <f>'Operating Model'!AF5</f>
        <v>46203</v>
      </c>
      <c r="Q5" s="1403">
        <f>'Operating Model'!AG5</f>
        <v>46295</v>
      </c>
      <c r="R5" s="1403">
        <f>'Operating Model'!AH5</f>
        <v>46387</v>
      </c>
      <c r="S5" s="1403">
        <f>'Operating Model'!AI5</f>
        <v>46477</v>
      </c>
      <c r="T5" s="1403">
        <f>'Operating Model'!AJ5</f>
        <v>46568</v>
      </c>
      <c r="U5" s="1403">
        <f>'Operating Model'!AK5</f>
        <v>46660</v>
      </c>
      <c r="V5" s="1403">
        <f>'Operating Model'!AL5</f>
        <v>46752</v>
      </c>
    </row>
    <row r="6" spans="2:22" x14ac:dyDescent="0.25">
      <c r="B6" s="1401" t="s">
        <v>5</v>
      </c>
      <c r="C6" s="1403"/>
      <c r="D6" s="1403"/>
      <c r="E6" s="1403"/>
      <c r="F6" s="1403"/>
      <c r="G6" s="1403"/>
      <c r="H6" s="1403"/>
      <c r="I6" s="1403"/>
      <c r="J6" s="1403"/>
      <c r="K6" s="1403"/>
      <c r="L6" s="1403"/>
      <c r="M6" s="1403"/>
      <c r="N6" s="1403"/>
      <c r="O6" s="1403"/>
      <c r="P6" s="1403"/>
      <c r="Q6" s="1403"/>
      <c r="R6" s="1403"/>
      <c r="S6" s="1403"/>
      <c r="T6" s="1403"/>
      <c r="U6" s="1403"/>
      <c r="V6" s="1403"/>
    </row>
    <row r="7" spans="2:22" x14ac:dyDescent="0.25">
      <c r="B7" s="149" t="s">
        <v>6</v>
      </c>
      <c r="C7" s="181">
        <f ca="1">INDEX('Operating Model'!$K7:$AL7,MATCH('Quarterly Summary'!C$5,'Operating Model'!$K$5:$AL$5))</f>
        <v>117455.30093506495</v>
      </c>
      <c r="D7" s="181">
        <f ca="1">INDEX('Operating Model'!$K7:$AL7,MATCH('Quarterly Summary'!D$5,'Operating Model'!$K$5:$AL$5))</f>
        <v>122388.61411764707</v>
      </c>
      <c r="E7" s="181">
        <f ca="1">INDEX('Operating Model'!$K7:$AL7,MATCH('Quarterly Summary'!E$5,'Operating Model'!$K$5:$AL$5))</f>
        <v>125544.1738197425</v>
      </c>
      <c r="F7" s="181">
        <f ca="1">INDEX('Operating Model'!$K7:$AL7,MATCH('Quarterly Summary'!F$5,'Operating Model'!$K$5:$AL$5))</f>
        <v>139021.90249303763</v>
      </c>
      <c r="G7" s="181">
        <f ca="1">INDEX('Operating Model'!$K7:$AL7,MATCH('Quarterly Summary'!G$5,'Operating Model'!$K$5:$AL$5))</f>
        <v>141449.37662337665</v>
      </c>
      <c r="H7" s="181">
        <f ca="1">INDEX('Operating Model'!$K7:$AL7,MATCH('Quarterly Summary'!H$5,'Operating Model'!$K$5:$AL$5))</f>
        <v>148176.52941176473</v>
      </c>
      <c r="I7" s="181">
        <f ca="1">INDEX('Operating Model'!$K7:$AL7,MATCH('Quarterly Summary'!I$5,'Operating Model'!$K$5:$AL$5))</f>
        <v>157600.19849785409</v>
      </c>
      <c r="J7" s="181">
        <f ca="1">INDEX('Operating Model'!$K7:$AL7,MATCH('Quarterly Summary'!J$5,'Operating Model'!$K$5:$AL$5))</f>
        <v>167744.28443750326</v>
      </c>
      <c r="K7" s="181">
        <f ca="1">INDEX('Operating Model'!$K7:$AL7,MATCH('Quarterly Summary'!K$5,'Operating Model'!$K$5:$AL$5))</f>
        <v>163121.11273328293</v>
      </c>
      <c r="L7" s="181">
        <f ca="1">INDEX('Operating Model'!$K7:$AL7,MATCH('Quarterly Summary'!L$5,'Operating Model'!$K$5:$AL$5))</f>
        <v>171592.70143435456</v>
      </c>
      <c r="M7" s="181">
        <f ca="1">INDEX('Operating Model'!$K7:$AL7,MATCH('Quarterly Summary'!M$5,'Operating Model'!$K$5:$AL$5))</f>
        <v>187781.02468802198</v>
      </c>
      <c r="N7" s="181">
        <f ca="1">INDEX('Operating Model'!$K7:$AL7,MATCH('Quarterly Summary'!N$5,'Operating Model'!$K$5:$AL$5))</f>
        <v>193736.67477428674</v>
      </c>
      <c r="O7" s="181">
        <f ca="1">INDEX('Operating Model'!$K7:$AL7,MATCH('Quarterly Summary'!O$5,'Operating Model'!$K$5:$AL$5))</f>
        <v>178116.37588748935</v>
      </c>
      <c r="P7" s="181">
        <f ca="1">INDEX('Operating Model'!$K7:$AL7,MATCH('Quarterly Summary'!P$5,'Operating Model'!$K$5:$AL$5))</f>
        <v>187862.66360943863</v>
      </c>
      <c r="Q7" s="181">
        <f ca="1">INDEX('Operating Model'!$K7:$AL7,MATCH('Quarterly Summary'!Q$5,'Operating Model'!$K$5:$AL$5))</f>
        <v>209357.34193357918</v>
      </c>
      <c r="R7" s="181">
        <f ca="1">INDEX('Operating Model'!$K7:$AL7,MATCH('Quarterly Summary'!R$5,'Operating Model'!$K$5:$AL$5))</f>
        <v>211748.6599462521</v>
      </c>
      <c r="S7" s="181">
        <f ca="1">INDEX('Operating Model'!$K7:$AL7,MATCH('Quarterly Summary'!S$5,'Operating Model'!$K$5:$AL$5))</f>
        <v>186303.24355824146</v>
      </c>
      <c r="T7" s="181">
        <f ca="1">INDEX('Operating Model'!$K7:$AL7,MATCH('Quarterly Summary'!T$5,'Operating Model'!$K$5:$AL$5))</f>
        <v>196768.98190120302</v>
      </c>
      <c r="U7" s="181">
        <f ca="1">INDEX('Operating Model'!$K7:$AL7,MATCH('Quarterly Summary'!U$5,'Operating Model'!$K$5:$AL$5))</f>
        <v>221385.07592520662</v>
      </c>
      <c r="V7" s="181">
        <f ca="1">INDEX('Operating Model'!$K7:$AL7,MATCH('Quarterly Summary'!V$5,'Operating Model'!$K$5:$AL$5))</f>
        <v>221591.95298196396</v>
      </c>
    </row>
    <row r="8" spans="2:22" x14ac:dyDescent="0.25">
      <c r="B8" s="150" t="s">
        <v>7</v>
      </c>
      <c r="C8" s="151"/>
      <c r="D8" s="152">
        <f ca="1">+D7/C7-1</f>
        <v>4.2001622262323401E-2</v>
      </c>
      <c r="E8" s="152">
        <f t="shared" ref="E8:V8" ca="1" si="1">+E7/D7-1</f>
        <v>2.5783114915102434E-2</v>
      </c>
      <c r="F8" s="152">
        <f t="shared" ca="1" si="1"/>
        <v>0.10735447343535487</v>
      </c>
      <c r="G8" s="152">
        <f t="shared" ca="1" si="1"/>
        <v>1.7461091287112707E-2</v>
      </c>
      <c r="H8" s="152">
        <f t="shared" ca="1" si="1"/>
        <v>4.7558730543576733E-2</v>
      </c>
      <c r="I8" s="152">
        <f t="shared" ca="1" si="1"/>
        <v>6.3597582717719758E-2</v>
      </c>
      <c r="J8" s="152">
        <f t="shared" ca="1" si="1"/>
        <v>6.4365946466668378E-2</v>
      </c>
      <c r="K8" s="152">
        <f t="shared" ca="1" si="1"/>
        <v>-2.7560829984301427E-2</v>
      </c>
      <c r="L8" s="152">
        <f t="shared" ca="1" si="1"/>
        <v>5.1934348406042385E-2</v>
      </c>
      <c r="M8" s="152">
        <f t="shared" ca="1" si="1"/>
        <v>9.4341560674481961E-2</v>
      </c>
      <c r="N8" s="152">
        <f t="shared" ca="1" si="1"/>
        <v>3.1715931341622206E-2</v>
      </c>
      <c r="O8" s="152">
        <f t="shared" ca="1" si="1"/>
        <v>-8.06264425927401E-2</v>
      </c>
      <c r="P8" s="152">
        <f t="shared" ca="1" si="1"/>
        <v>5.4718650508057243E-2</v>
      </c>
      <c r="Q8" s="152">
        <f t="shared" ca="1" si="1"/>
        <v>0.11441697839879139</v>
      </c>
      <c r="R8" s="152">
        <f t="shared" ca="1" si="1"/>
        <v>1.1422183672123554E-2</v>
      </c>
      <c r="S8" s="152">
        <f t="shared" ca="1" si="1"/>
        <v>-0.12016801614928474</v>
      </c>
      <c r="T8" s="152">
        <f t="shared" ca="1" si="1"/>
        <v>5.617582465594495E-2</v>
      </c>
      <c r="U8" s="152">
        <f t="shared" ca="1" si="1"/>
        <v>0.12510149611061783</v>
      </c>
      <c r="V8" s="152">
        <f t="shared" ca="1" si="1"/>
        <v>9.3446704071076248E-4</v>
      </c>
    </row>
    <row r="10" spans="2:22" x14ac:dyDescent="0.25">
      <c r="B10" s="153" t="s">
        <v>8</v>
      </c>
      <c r="C10" s="182">
        <f ca="1">INDEX('Operating Model'!$K15:$AL15,MATCH('Quarterly Summary'!C$5,'Operating Model'!$K$5:$AL$5))</f>
        <v>85544.701298701315</v>
      </c>
      <c r="D10" s="182">
        <f ca="1">INDEX('Operating Model'!$K15:$AL15,MATCH('Quarterly Summary'!D$5,'Operating Model'!$K$5:$AL$5))</f>
        <v>89113.884705882374</v>
      </c>
      <c r="E10" s="182">
        <f ca="1">INDEX('Operating Model'!$K15:$AL15,MATCH('Quarterly Summary'!E$5,'Operating Model'!$K$5:$AL$5))</f>
        <v>93591.223175965672</v>
      </c>
      <c r="F10" s="182">
        <f ca="1">INDEX('Operating Model'!$K15:$AL15,MATCH('Quarterly Summary'!F$5,'Operating Model'!$K$5:$AL$5))</f>
        <v>102876.12339209294</v>
      </c>
      <c r="G10" s="182">
        <f ca="1">INDEX('Operating Model'!$K15:$AL15,MATCH('Quarterly Summary'!G$5,'Operating Model'!$K$5:$AL$5))</f>
        <v>102421.58441558444</v>
      </c>
      <c r="H10" s="182">
        <f ca="1">INDEX('Operating Model'!$K15:$AL15,MATCH('Quarterly Summary'!H$5,'Operating Model'!$K$5:$AL$5))</f>
        <v>107622.9529411765</v>
      </c>
      <c r="I10" s="182">
        <f ca="1">INDEX('Operating Model'!$K15:$AL15,MATCH('Quarterly Summary'!I$5,'Operating Model'!$K$5:$AL$5))</f>
        <v>114618.32618025751</v>
      </c>
      <c r="J10" s="182">
        <f ca="1">INDEX('Operating Model'!$K15:$AL15,MATCH('Quarterly Summary'!J$5,'Operating Model'!$K$5:$AL$5))</f>
        <v>122350.92867405052</v>
      </c>
      <c r="K10" s="182">
        <f ca="1">INDEX('Operating Model'!$K15:$AL15,MATCH('Quarterly Summary'!K$5,'Operating Model'!$K$5:$AL$5))</f>
        <v>118113.79602089316</v>
      </c>
      <c r="L10" s="182">
        <f ca="1">INDEX('Operating Model'!$K15:$AL15,MATCH('Quarterly Summary'!L$5,'Operating Model'!$K$5:$AL$5))</f>
        <v>124630.48841021542</v>
      </c>
      <c r="M10" s="182">
        <f ca="1">INDEX('Operating Model'!$K15:$AL15,MATCH('Quarterly Summary'!M$5,'Operating Model'!$K$5:$AL$5))</f>
        <v>136568.01795492508</v>
      </c>
      <c r="N10" s="182">
        <f ca="1">INDEX('Operating Model'!$K15:$AL15,MATCH('Quarterly Summary'!N$5,'Operating Model'!$K$5:$AL$5))</f>
        <v>141309.50664782777</v>
      </c>
      <c r="O10" s="182">
        <f ca="1">INDEX('Operating Model'!$K15:$AL15,MATCH('Quarterly Summary'!O$5,'Operating Model'!$K$5:$AL$5))</f>
        <v>128971.66367393897</v>
      </c>
      <c r="P10" s="182">
        <f ca="1">INDEX('Operating Model'!$K15:$AL15,MATCH('Quarterly Summary'!P$5,'Operating Model'!$K$5:$AL$5))</f>
        <v>136447.61883211861</v>
      </c>
      <c r="Q10" s="182">
        <f ca="1">INDEX('Operating Model'!$K15:$AL15,MATCH('Quarterly Summary'!Q$5,'Operating Model'!$K$5:$AL$5))</f>
        <v>152259.88504260304</v>
      </c>
      <c r="R10" s="182">
        <f ca="1">INDEX('Operating Model'!$K15:$AL15,MATCH('Quarterly Summary'!R$5,'Operating Model'!$K$5:$AL$5))</f>
        <v>154447.26046425814</v>
      </c>
      <c r="S10" s="182">
        <f ca="1">INDEX('Operating Model'!$K15:$AL15,MATCH('Quarterly Summary'!S$5,'Operating Model'!$K$5:$AL$5))</f>
        <v>134899.66405298468</v>
      </c>
      <c r="T10" s="182">
        <f ca="1">INDEX('Operating Model'!$K15:$AL15,MATCH('Quarterly Summary'!T$5,'Operating Model'!$K$5:$AL$5))</f>
        <v>142916.41843350537</v>
      </c>
      <c r="U10" s="182">
        <f ca="1">INDEX('Operating Model'!$K15:$AL15,MATCH('Quarterly Summary'!U$5,'Operating Model'!$K$5:$AL$5))</f>
        <v>161007.32794560483</v>
      </c>
      <c r="V10" s="182">
        <f ca="1">INDEX('Operating Model'!$K15:$AL15,MATCH('Quarterly Summary'!V$5,'Operating Model'!$K$5:$AL$5))</f>
        <v>161626.85557337711</v>
      </c>
    </row>
    <row r="11" spans="2:22" x14ac:dyDescent="0.25">
      <c r="B11" s="150" t="s">
        <v>9</v>
      </c>
      <c r="C11" s="152">
        <f ca="1">+C10/C7</f>
        <v>0.72831707566774373</v>
      </c>
      <c r="D11" s="152">
        <f ca="1">+D10/D7</f>
        <v>0.7281223449447749</v>
      </c>
      <c r="E11" s="152">
        <f t="shared" ref="E11:V11" ca="1" si="2">+E10/E7</f>
        <v>0.74548440065681443</v>
      </c>
      <c r="F11" s="152">
        <f t="shared" ca="1" si="2"/>
        <v>0.73999939252194513</v>
      </c>
      <c r="G11" s="152">
        <f t="shared" ca="1" si="2"/>
        <v>0.72408650260999252</v>
      </c>
      <c r="H11" s="152">
        <f t="shared" ca="1" si="2"/>
        <v>0.72631578947368425</v>
      </c>
      <c r="I11" s="152">
        <f t="shared" ca="1" si="2"/>
        <v>0.72727272727272729</v>
      </c>
      <c r="J11" s="152">
        <f t="shared" ca="1" si="2"/>
        <v>0.72938955317809939</v>
      </c>
      <c r="K11" s="152">
        <f t="shared" ca="1" si="2"/>
        <v>0.72408650260999252</v>
      </c>
      <c r="L11" s="152">
        <f t="shared" ca="1" si="2"/>
        <v>0.72631578947368425</v>
      </c>
      <c r="M11" s="152">
        <f t="shared" ca="1" si="2"/>
        <v>0.72727272727272729</v>
      </c>
      <c r="N11" s="152">
        <f t="shared" ca="1" si="2"/>
        <v>0.72938955317809939</v>
      </c>
      <c r="O11" s="152">
        <f t="shared" ca="1" si="2"/>
        <v>0.72408650260999252</v>
      </c>
      <c r="P11" s="152">
        <f t="shared" ca="1" si="2"/>
        <v>0.72631578947368436</v>
      </c>
      <c r="Q11" s="152">
        <f t="shared" ca="1" si="2"/>
        <v>0.72727272727272729</v>
      </c>
      <c r="R11" s="152">
        <f t="shared" ca="1" si="2"/>
        <v>0.7293895531780995</v>
      </c>
      <c r="S11" s="152">
        <f t="shared" ca="1" si="2"/>
        <v>0.72408650260999252</v>
      </c>
      <c r="T11" s="152">
        <f t="shared" ca="1" si="2"/>
        <v>0.72631578947368436</v>
      </c>
      <c r="U11" s="152">
        <f t="shared" ca="1" si="2"/>
        <v>0.7272727272727274</v>
      </c>
      <c r="V11" s="152">
        <f t="shared" ca="1" si="2"/>
        <v>0.72938955317809939</v>
      </c>
    </row>
    <row r="13" spans="2:22" x14ac:dyDescent="0.25">
      <c r="B13" s="149" t="s">
        <v>10</v>
      </c>
      <c r="C13" s="181">
        <f ca="1">INDEX('Operating Model'!$K28:$AL28,MATCH('Quarterly Summary'!C$5,'Operating Model'!$K$5:$AL$5))</f>
        <v>9076.1092568407621</v>
      </c>
      <c r="D13" s="181">
        <f ca="1">INDEX('Operating Model'!$K28:$AL28,MATCH('Quarterly Summary'!D$5,'Operating Model'!$K$5:$AL$5))</f>
        <v>10058.450285719737</v>
      </c>
      <c r="E13" s="181">
        <f ca="1">INDEX('Operating Model'!$K28:$AL28,MATCH('Quarterly Summary'!E$5,'Operating Model'!$K$5:$AL$5))</f>
        <v>9307.0006018406129</v>
      </c>
      <c r="F13" s="181">
        <f ca="1">INDEX('Operating Model'!$K28:$AL28,MATCH('Quarterly Summary'!F$5,'Operating Model'!$K$5:$AL$5))</f>
        <v>11037.458647241787</v>
      </c>
      <c r="G13" s="181">
        <f ca="1">INDEX('Operating Model'!$K28:$AL28,MATCH('Quarterly Summary'!G$5,'Operating Model'!$K$5:$AL$5))</f>
        <v>14914.782133147019</v>
      </c>
      <c r="H13" s="181">
        <f ca="1">INDEX('Operating Model'!$K28:$AL28,MATCH('Quarterly Summary'!H$5,'Operating Model'!$K$5:$AL$5))</f>
        <v>16735.958864241897</v>
      </c>
      <c r="I13" s="181">
        <f ca="1">INDEX('Operating Model'!$K28:$AL28,MATCH('Quarterly Summary'!I$5,'Operating Model'!$K$5:$AL$5))</f>
        <v>13998.42011188365</v>
      </c>
      <c r="J13" s="181">
        <f ca="1">INDEX('Operating Model'!$K28:$AL28,MATCH('Quarterly Summary'!J$5,'Operating Model'!$K$5:$AL$5))</f>
        <v>17268.394517389796</v>
      </c>
      <c r="K13" s="181">
        <f ca="1">INDEX('Operating Model'!$K28:$AL28,MATCH('Quarterly Summary'!K$5,'Operating Model'!$K$5:$AL$5))</f>
        <v>17005.163952661067</v>
      </c>
      <c r="L13" s="181">
        <f ca="1">INDEX('Operating Model'!$K28:$AL28,MATCH('Quarterly Summary'!L$5,'Operating Model'!$K$5:$AL$5))</f>
        <v>19190.862359809631</v>
      </c>
      <c r="M13" s="181">
        <f ca="1">INDEX('Operating Model'!$K28:$AL28,MATCH('Quarterly Summary'!M$5,'Operating Model'!$K$5:$AL$5))</f>
        <v>16531.733219597678</v>
      </c>
      <c r="N13" s="181">
        <f ca="1">INDEX('Operating Model'!$K28:$AL28,MATCH('Quarterly Summary'!N$5,'Operating Model'!$K$5:$AL$5))</f>
        <v>19742.589758580303</v>
      </c>
      <c r="O13" s="181">
        <f ca="1">INDEX('Operating Model'!$K28:$AL28,MATCH('Quarterly Summary'!O$5,'Operating Model'!$K$5:$AL$5))</f>
        <v>18280.500409368557</v>
      </c>
      <c r="P13" s="181">
        <f ca="1">INDEX('Operating Model'!$K28:$AL28,MATCH('Quarterly Summary'!P$5,'Operating Model'!$K$5:$AL$5))</f>
        <v>20724.714479029513</v>
      </c>
      <c r="Q13" s="181">
        <f ca="1">INDEX('Operating Model'!$K28:$AL28,MATCH('Quarterly Summary'!Q$5,'Operating Model'!$K$5:$AL$5))</f>
        <v>18173.433100241557</v>
      </c>
      <c r="R13" s="181">
        <f ca="1">INDEX('Operating Model'!$K28:$AL28,MATCH('Quarterly Summary'!R$5,'Operating Model'!$K$5:$AL$5))</f>
        <v>21283.711373369675</v>
      </c>
      <c r="S13" s="181">
        <f ca="1">INDEX('Operating Model'!$K28:$AL28,MATCH('Quarterly Summary'!S$5,'Operating Model'!$K$5:$AL$5))</f>
        <v>18743.479210002508</v>
      </c>
      <c r="T13" s="181">
        <f ca="1">INDEX('Operating Model'!$K28:$AL28,MATCH('Quarterly Summary'!T$5,'Operating Model'!$K$5:$AL$5))</f>
        <v>21332.259907600586</v>
      </c>
      <c r="U13" s="181">
        <f ca="1">INDEX('Operating Model'!$K28:$AL28,MATCH('Quarterly Summary'!U$5,'Operating Model'!$K$5:$AL$5))</f>
        <v>18863.137152471871</v>
      </c>
      <c r="V13" s="181">
        <f ca="1">INDEX('Operating Model'!$K28:$AL28,MATCH('Quarterly Summary'!V$5,'Operating Model'!$K$5:$AL$5))</f>
        <v>21892.872739293583</v>
      </c>
    </row>
    <row r="14" spans="2:22" x14ac:dyDescent="0.25">
      <c r="B14" s="150" t="s">
        <v>11</v>
      </c>
      <c r="C14" s="152">
        <f ca="1">+C13/C7</f>
        <v>7.7272878998100564E-2</v>
      </c>
      <c r="D14" s="152">
        <f ca="1">+D13/D7</f>
        <v>8.2184526381277337E-2</v>
      </c>
      <c r="E14" s="152">
        <f t="shared" ref="E14:V14" ca="1" si="3">+E13/E7</f>
        <v>7.4133273720879245E-2</v>
      </c>
      <c r="F14" s="152">
        <f t="shared" ca="1" si="3"/>
        <v>7.9393667107918869E-2</v>
      </c>
      <c r="G14" s="152">
        <f t="shared" ca="1" si="3"/>
        <v>0.10544254410437695</v>
      </c>
      <c r="H14" s="152">
        <f t="shared" ca="1" si="3"/>
        <v>0.11294608485352416</v>
      </c>
      <c r="I14" s="152">
        <f t="shared" ca="1" si="3"/>
        <v>8.8822350766736224E-2</v>
      </c>
      <c r="J14" s="152">
        <f t="shared" ca="1" si="3"/>
        <v>0.10294475651016001</v>
      </c>
      <c r="K14" s="152">
        <f t="shared" ca="1" si="3"/>
        <v>0.10424870004697659</v>
      </c>
      <c r="L14" s="152">
        <f t="shared" ca="1" si="3"/>
        <v>0.11183961904784973</v>
      </c>
      <c r="M14" s="152">
        <f t="shared" ca="1" si="3"/>
        <v>8.8037293688557602E-2</v>
      </c>
      <c r="N14" s="152">
        <f t="shared" ca="1" si="3"/>
        <v>0.10190424596469121</v>
      </c>
      <c r="O14" s="152">
        <f t="shared" ca="1" si="3"/>
        <v>0.10263233977383296</v>
      </c>
      <c r="P14" s="152">
        <f t="shared" ca="1" si="3"/>
        <v>0.11031843199091242</v>
      </c>
      <c r="Q14" s="152">
        <f t="shared" ca="1" si="3"/>
        <v>8.6805807393214182E-2</v>
      </c>
      <c r="R14" s="152">
        <f t="shared" ca="1" si="3"/>
        <v>0.10051403101569613</v>
      </c>
      <c r="S14" s="152">
        <f t="shared" ca="1" si="3"/>
        <v>0.10060736921170665</v>
      </c>
      <c r="T14" s="152">
        <f t="shared" ca="1" si="3"/>
        <v>0.10841271678841859</v>
      </c>
      <c r="U14" s="152">
        <f t="shared" ca="1" si="3"/>
        <v>8.5205098282436387E-2</v>
      </c>
      <c r="V14" s="152">
        <f t="shared" ca="1" si="3"/>
        <v>9.8798139754991507E-2</v>
      </c>
    </row>
    <row r="16" spans="2:22" x14ac:dyDescent="0.25">
      <c r="B16" s="154" t="s">
        <v>12</v>
      </c>
      <c r="C16" s="182">
        <f ca="1">INDEX('Operating Model'!$K84:$AL84,MATCH('Quarterly Summary'!C$5,'Operating Model'!$K$5:$AL$5))</f>
        <v>9388.2286474285665</v>
      </c>
      <c r="D16" s="182">
        <f ca="1">INDEX('Operating Model'!$K84:$AL84,MATCH('Quarterly Summary'!D$5,'Operating Model'!$K$5:$AL$5))</f>
        <v>10436.040237647072</v>
      </c>
      <c r="E16" s="182">
        <f ca="1">INDEX('Operating Model'!$K84:$AL84,MATCH('Quarterly Summary'!E$5,'Operating Model'!$K$5:$AL$5))</f>
        <v>9789.2488948497958</v>
      </c>
      <c r="F16" s="182">
        <f ca="1">INDEX('Operating Model'!$K84:$AL84,MATCH('Quarterly Summary'!F$5,'Operating Model'!$K$5:$AL$5))</f>
        <v>11707.652885544376</v>
      </c>
      <c r="G16" s="182">
        <f ca="1">INDEX('Operating Model'!$K84:$AL84,MATCH('Quarterly Summary'!G$5,'Operating Model'!$K$5:$AL$5))</f>
        <v>15658.396779220806</v>
      </c>
      <c r="H16" s="182">
        <f ca="1">INDEX('Operating Model'!$K84:$AL84,MATCH('Quarterly Summary'!H$5,'Operating Model'!$K$5:$AL$5))</f>
        <v>17553.45741176471</v>
      </c>
      <c r="I16" s="182">
        <f ca="1">INDEX('Operating Model'!$K84:$AL84,MATCH('Quarterly Summary'!I$5,'Operating Model'!$K$5:$AL$5))</f>
        <v>14934.646201716743</v>
      </c>
      <c r="J16" s="182">
        <f ca="1">INDEX('Operating Model'!$K84:$AL84,MATCH('Quarterly Summary'!J$5,'Operating Model'!$K$5:$AL$5))</f>
        <v>18217.802494969499</v>
      </c>
      <c r="K16" s="182">
        <f ca="1">INDEX('Operating Model'!$K84:$AL84,MATCH('Quarterly Summary'!K$5,'Operating Model'!$K$5:$AL$5))</f>
        <v>18057.45042656927</v>
      </c>
      <c r="L16" s="182">
        <f ca="1">INDEX('Operating Model'!$K84:$AL84,MATCH('Quarterly Summary'!L$5,'Operating Model'!$K$5:$AL$5))</f>
        <v>20327.410749562699</v>
      </c>
      <c r="M16" s="182">
        <f ca="1">INDEX('Operating Model'!$K84:$AL84,MATCH('Quarterly Summary'!M$5,'Operating Model'!$K$5:$AL$5))</f>
        <v>17794.667734188377</v>
      </c>
      <c r="N16" s="182">
        <f ca="1">INDEX('Operating Model'!$K84:$AL84,MATCH('Quarterly Summary'!N$5,'Operating Model'!$K$5:$AL$5))</f>
        <v>21040.695895573546</v>
      </c>
      <c r="O16" s="182">
        <f ca="1">INDEX('Operating Model'!$K84:$AL84,MATCH('Quarterly Summary'!O$5,'Operating Model'!$K$5:$AL$5))</f>
        <v>19717.420840596438</v>
      </c>
      <c r="P16" s="182">
        <f ca="1">INDEX('Operating Model'!$K84:$AL84,MATCH('Quarterly Summary'!P$5,'Operating Model'!$K$5:$AL$5))</f>
        <v>22254.801607380236</v>
      </c>
      <c r="Q16" s="182">
        <f ca="1">INDEX('Operating Model'!$K84:$AL84,MATCH('Quarterly Summary'!Q$5,'Operating Model'!$K$5:$AL$5))</f>
        <v>19839.301354385163</v>
      </c>
      <c r="R16" s="182">
        <f ca="1">INDEX('Operating Model'!$K84:$AL84,MATCH('Quarterly Summary'!R$5,'Operating Model'!$K$5:$AL$5))</f>
        <v>22996.880510182211</v>
      </c>
      <c r="S16" s="182">
        <f ca="1">INDEX('Operating Model'!$K84:$AL84,MATCH('Quarterly Summary'!S$5,'Operating Model'!$K$5:$AL$5))</f>
        <v>20623.704243378354</v>
      </c>
      <c r="T16" s="182">
        <f ca="1">INDEX('Operating Model'!$K84:$AL84,MATCH('Quarterly Summary'!T$5,'Operating Model'!$K$5:$AL$5))</f>
        <v>23309.872065911932</v>
      </c>
      <c r="U16" s="182">
        <f ca="1">INDEX('Operating Model'!$K84:$AL84,MATCH('Quarterly Summary'!U$5,'Operating Model'!$K$5:$AL$5))</f>
        <v>20979.083876776869</v>
      </c>
      <c r="V16" s="182">
        <f ca="1">INDEX('Operating Model'!$K84:$AL84,MATCH('Quarterly Summary'!V$5,'Operating Model'!$K$5:$AL$5))</f>
        <v>24065.90750580257</v>
      </c>
    </row>
    <row r="17" spans="2:22" x14ac:dyDescent="0.25">
      <c r="B17" s="155" t="s">
        <v>13</v>
      </c>
      <c r="C17" s="156">
        <f ca="1">+C16/C7</f>
        <v>7.9930225138317421E-2</v>
      </c>
      <c r="D17" s="156">
        <f ca="1">+D16/D7</f>
        <v>8.5269698598068461E-2</v>
      </c>
      <c r="E17" s="156">
        <f t="shared" ref="E17:V17" ca="1" si="4">+E16/E7</f>
        <v>7.797453754329764E-2</v>
      </c>
      <c r="F17" s="156">
        <f t="shared" ca="1" si="4"/>
        <v>8.4214448770982026E-2</v>
      </c>
      <c r="G17" s="156">
        <f t="shared" ca="1" si="4"/>
        <v>0.11069965208056647</v>
      </c>
      <c r="H17" s="156">
        <f t="shared" ca="1" si="4"/>
        <v>0.11846314312697773</v>
      </c>
      <c r="I17" s="156">
        <f t="shared" ca="1" si="4"/>
        <v>9.4762864159210411E-2</v>
      </c>
      <c r="J17" s="156">
        <f t="shared" ca="1" si="4"/>
        <v>0.1086046094271363</v>
      </c>
      <c r="K17" s="156">
        <f t="shared" ca="1" si="4"/>
        <v>0.1106996520805664</v>
      </c>
      <c r="L17" s="156">
        <f t="shared" ca="1" si="4"/>
        <v>0.11846314312697773</v>
      </c>
      <c r="M17" s="156">
        <f t="shared" ca="1" si="4"/>
        <v>9.476286415921048E-2</v>
      </c>
      <c r="N17" s="156">
        <f t="shared" ca="1" si="4"/>
        <v>0.10860460942713633</v>
      </c>
      <c r="O17" s="156">
        <f t="shared" ca="1" si="4"/>
        <v>0.11069965208056629</v>
      </c>
      <c r="P17" s="156">
        <f t="shared" ca="1" si="4"/>
        <v>0.11846314312697792</v>
      </c>
      <c r="Q17" s="156">
        <f t="shared" ca="1" si="4"/>
        <v>9.4762864159210564E-2</v>
      </c>
      <c r="R17" s="156">
        <f t="shared" ca="1" si="4"/>
        <v>0.1086046094271363</v>
      </c>
      <c r="S17" s="156">
        <f t="shared" ca="1" si="4"/>
        <v>0.1106996520805664</v>
      </c>
      <c r="T17" s="156">
        <f t="shared" ca="1" si="4"/>
        <v>0.11846314312697787</v>
      </c>
      <c r="U17" s="156">
        <f t="shared" ca="1" si="4"/>
        <v>9.476286415921055E-2</v>
      </c>
      <c r="V17" s="156">
        <f t="shared" ca="1" si="4"/>
        <v>0.1086046094271364</v>
      </c>
    </row>
    <row r="19" spans="2:22" x14ac:dyDescent="0.25">
      <c r="B19" s="1401" t="s">
        <v>14</v>
      </c>
      <c r="C19" s="1403"/>
      <c r="D19" s="1403"/>
      <c r="E19" s="1403"/>
      <c r="F19" s="1403"/>
      <c r="G19" s="1403"/>
      <c r="H19" s="1403"/>
      <c r="I19" s="1403"/>
      <c r="J19" s="1403"/>
      <c r="K19" s="1403"/>
      <c r="L19" s="1403"/>
      <c r="M19" s="1403"/>
      <c r="N19" s="1403"/>
      <c r="O19" s="1403"/>
      <c r="P19" s="1403"/>
      <c r="Q19" s="1403"/>
      <c r="R19" s="1403"/>
      <c r="S19" s="1403"/>
      <c r="T19" s="1403"/>
      <c r="U19" s="1403"/>
      <c r="V19" s="1403"/>
    </row>
    <row r="20" spans="2:22" x14ac:dyDescent="0.25">
      <c r="B20" s="157" t="s">
        <v>15</v>
      </c>
      <c r="C20" s="181">
        <f ca="1">INDEX('Operating Model'!$K99:$AL99,MATCH('Quarterly Summary'!C$5,'Operating Model'!$K$5:$AL$5))+INDEX('Operating Model'!$K100:$AL100,MATCH('Quarterly Summary'!C$5,'Operating Model'!$K$5:$AL$5))</f>
        <v>624279.01429171558</v>
      </c>
      <c r="D20" s="181">
        <f ca="1">INDEX('Operating Model'!$K99:$AL99,MATCH('Quarterly Summary'!D$5,'Operating Model'!$K$5:$AL$5))+INDEX('Operating Model'!$K100:$AL100,MATCH('Quarterly Summary'!D$5,'Operating Model'!$K$5:$AL$5))</f>
        <v>635275.72016170959</v>
      </c>
      <c r="E20" s="181">
        <f ca="1">INDEX('Operating Model'!$K99:$AL99,MATCH('Quarterly Summary'!E$5,'Operating Model'!$K$5:$AL$5))+INDEX('Operating Model'!$K100:$AL100,MATCH('Quarterly Summary'!E$5,'Operating Model'!$K$5:$AL$5))</f>
        <v>25000.000000000233</v>
      </c>
      <c r="F20" s="181">
        <f ca="1">INDEX('Operating Model'!$K99:$AL99,MATCH('Quarterly Summary'!F$5,'Operating Model'!$K$5:$AL$5))+INDEX('Operating Model'!$K100:$AL100,MATCH('Quarterly Summary'!F$5,'Operating Model'!$K$5:$AL$5))</f>
        <v>50503.943002136992</v>
      </c>
      <c r="G20" s="181">
        <f ca="1">INDEX('Operating Model'!$K99:$AL99,MATCH('Quarterly Summary'!G$5,'Operating Model'!$K$5:$AL$5))+INDEX('Operating Model'!$K100:$AL100,MATCH('Quarterly Summary'!G$5,'Operating Model'!$K$5:$AL$5))</f>
        <v>47663.768396651518</v>
      </c>
      <c r="H20" s="181">
        <f ca="1">INDEX('Operating Model'!$K99:$AL99,MATCH('Quarterly Summary'!H$5,'Operating Model'!$K$5:$AL$5))+INDEX('Operating Model'!$K100:$AL100,MATCH('Quarterly Summary'!H$5,'Operating Model'!$K$5:$AL$5))</f>
        <v>66074.312655787377</v>
      </c>
      <c r="I20" s="181">
        <f ca="1">INDEX('Operating Model'!$K99:$AL99,MATCH('Quarterly Summary'!I$5,'Operating Model'!$K$5:$AL$5))+INDEX('Operating Model'!$K100:$AL100,MATCH('Quarterly Summary'!I$5,'Operating Model'!$K$5:$AL$5))</f>
        <v>68283.876882257493</v>
      </c>
      <c r="J20" s="181">
        <f ca="1">INDEX('Operating Model'!$K99:$AL99,MATCH('Quarterly Summary'!J$5,'Operating Model'!$K$5:$AL$5))+INDEX('Operating Model'!$K100:$AL100,MATCH('Quarterly Summary'!J$5,'Operating Model'!$K$5:$AL$5))</f>
        <v>92748.340149424577</v>
      </c>
      <c r="K20" s="181">
        <f ca="1">INDEX('Operating Model'!$K99:$AL99,MATCH('Quarterly Summary'!K$5,'Operating Model'!$K$5:$AL$5))+INDEX('Operating Model'!$K100:$AL100,MATCH('Quarterly Summary'!K$5,'Operating Model'!$K$5:$AL$5))</f>
        <v>86826.044602563576</v>
      </c>
      <c r="L20" s="181">
        <f ca="1">INDEX('Operating Model'!$K99:$AL99,MATCH('Quarterly Summary'!L$5,'Operating Model'!$K$5:$AL$5))+INDEX('Operating Model'!$K100:$AL100,MATCH('Quarterly Summary'!L$5,'Operating Model'!$K$5:$AL$5))</f>
        <v>103186.39289381464</v>
      </c>
      <c r="M20" s="181">
        <f ca="1">INDEX('Operating Model'!$K99:$AL99,MATCH('Quarterly Summary'!M$5,'Operating Model'!$K$5:$AL$5))+INDEX('Operating Model'!$K100:$AL100,MATCH('Quarterly Summary'!M$5,'Operating Model'!$K$5:$AL$5))</f>
        <v>113367.12794134906</v>
      </c>
      <c r="N20" s="181">
        <f ca="1">INDEX('Operating Model'!$K99:$AL99,MATCH('Quarterly Summary'!N$5,'Operating Model'!$K$5:$AL$5))+INDEX('Operating Model'!$K100:$AL100,MATCH('Quarterly Summary'!N$5,'Operating Model'!$K$5:$AL$5))</f>
        <v>136318.94057490339</v>
      </c>
      <c r="O20" s="181">
        <f ca="1">INDEX('Operating Model'!$K99:$AL99,MATCH('Quarterly Summary'!O$5,'Operating Model'!$K$5:$AL$5))+INDEX('Operating Model'!$K100:$AL100,MATCH('Quarterly Summary'!O$5,'Operating Model'!$K$5:$AL$5))</f>
        <v>122278.96651408635</v>
      </c>
      <c r="P20" s="181">
        <f ca="1">INDEX('Operating Model'!$K99:$AL99,MATCH('Quarterly Summary'!P$5,'Operating Model'!$K$5:$AL$5))+INDEX('Operating Model'!$K100:$AL100,MATCH('Quarterly Summary'!P$5,'Operating Model'!$K$5:$AL$5))</f>
        <v>139262.57545557374</v>
      </c>
      <c r="Q20" s="181">
        <f ca="1">INDEX('Operating Model'!$K99:$AL99,MATCH('Quarterly Summary'!Q$5,'Operating Model'!$K$5:$AL$5))+INDEX('Operating Model'!$K100:$AL100,MATCH('Quarterly Summary'!Q$5,'Operating Model'!$K$5:$AL$5))</f>
        <v>155310.66858863179</v>
      </c>
      <c r="R20" s="181">
        <f ca="1">INDEX('Operating Model'!$K99:$AL99,MATCH('Quarterly Summary'!R$5,'Operating Model'!$K$5:$AL$5))+INDEX('Operating Model'!$K100:$AL100,MATCH('Quarterly Summary'!R$5,'Operating Model'!$K$5:$AL$5))</f>
        <v>176695.3831276751</v>
      </c>
      <c r="S20" s="181">
        <f ca="1">INDEX('Operating Model'!$K99:$AL99,MATCH('Quarterly Summary'!S$5,'Operating Model'!$K$5:$AL$5))+INDEX('Operating Model'!$K100:$AL100,MATCH('Quarterly Summary'!S$5,'Operating Model'!$K$5:$AL$5))</f>
        <v>162371.37704120483</v>
      </c>
      <c r="T20" s="181">
        <f ca="1">INDEX('Operating Model'!$K99:$AL99,MATCH('Quarterly Summary'!T$5,'Operating Model'!$K$5:$AL$5))+INDEX('Operating Model'!$K100:$AL100,MATCH('Quarterly Summary'!T$5,'Operating Model'!$K$5:$AL$5))</f>
        <v>172991.49388004711</v>
      </c>
      <c r="U20" s="181">
        <f ca="1">INDEX('Operating Model'!$K99:$AL99,MATCH('Quarterly Summary'!U$5,'Operating Model'!$K$5:$AL$5))+INDEX('Operating Model'!$K100:$AL100,MATCH('Quarterly Summary'!U$5,'Operating Model'!$K$5:$AL$5))</f>
        <v>191142.91300981201</v>
      </c>
      <c r="V20" s="181">
        <f ca="1">INDEX('Operating Model'!$K99:$AL99,MATCH('Quarterly Summary'!V$5,'Operating Model'!$K$5:$AL$5))+INDEX('Operating Model'!$K100:$AL100,MATCH('Quarterly Summary'!V$5,'Operating Model'!$K$5:$AL$5))</f>
        <v>211327.37941165364</v>
      </c>
    </row>
    <row r="21" spans="2:22" x14ac:dyDescent="0.25">
      <c r="B21" s="157" t="s">
        <v>16</v>
      </c>
      <c r="C21" s="181">
        <f ca="1">C22-C20</f>
        <v>143585.44237625622</v>
      </c>
      <c r="D21" s="181">
        <f t="shared" ref="D21:N21" ca="1" si="5">D22-D20</f>
        <v>153291.07660063857</v>
      </c>
      <c r="E21" s="181">
        <f t="shared" ca="1" si="5"/>
        <v>6230177.9569730582</v>
      </c>
      <c r="F21" s="181">
        <f t="shared" ca="1" si="5"/>
        <v>6238789.4110613596</v>
      </c>
      <c r="G21" s="181">
        <f t="shared" ca="1" si="5"/>
        <v>6243727.5775559032</v>
      </c>
      <c r="H21" s="181">
        <f t="shared" ca="1" si="5"/>
        <v>6255833.5026093964</v>
      </c>
      <c r="I21" s="181">
        <f t="shared" ca="1" si="5"/>
        <v>6265209.2101828046</v>
      </c>
      <c r="J21" s="181">
        <f t="shared" ca="1" si="5"/>
        <v>6274143.7775826799</v>
      </c>
      <c r="K21" s="181">
        <f t="shared" ca="1" si="5"/>
        <v>6274465.3458736064</v>
      </c>
      <c r="L21" s="181">
        <f t="shared" ca="1" si="5"/>
        <v>6288909.8045329116</v>
      </c>
      <c r="M21" s="181">
        <f t="shared" ca="1" si="5"/>
        <v>6304643.4917766247</v>
      </c>
      <c r="N21" s="181">
        <f t="shared" ca="1" si="5"/>
        <v>6309378.6797010768</v>
      </c>
      <c r="O21" s="181">
        <f t="shared" ref="O21" ca="1" si="6">O22-O20</f>
        <v>6299430.999953635</v>
      </c>
      <c r="P21" s="181">
        <f t="shared" ref="P21" ca="1" si="7">P22-P20</f>
        <v>6315430.728775085</v>
      </c>
      <c r="Q21" s="181">
        <f t="shared" ref="Q21" ca="1" si="8">Q22-Q20</f>
        <v>6336121.597958616</v>
      </c>
      <c r="R21" s="181">
        <f t="shared" ref="R21" ca="1" si="9">R22-R20</f>
        <v>6337021.987624554</v>
      </c>
      <c r="S21" s="181">
        <f t="shared" ref="S21" ca="1" si="10">S22-S20</f>
        <v>6317597.888549298</v>
      </c>
      <c r="T21" s="181">
        <f t="shared" ref="T21" ca="1" si="11">T22-T20</f>
        <v>6334216.9606070276</v>
      </c>
      <c r="U21" s="181">
        <f t="shared" ref="U21" ca="1" si="12">U22-U20</f>
        <v>6357542.7832833417</v>
      </c>
      <c r="V21" s="181">
        <f t="shared" ref="V21" ca="1" si="13">V22-V20</f>
        <v>6355948.0015478879</v>
      </c>
    </row>
    <row r="22" spans="2:22" x14ac:dyDescent="0.25">
      <c r="B22" s="154" t="s">
        <v>17</v>
      </c>
      <c r="C22" s="183">
        <f ca="1">INDEX('Operating Model'!$K114:$AL114,MATCH('Quarterly Summary'!C$5,'Operating Model'!$K$5:$AL$5))</f>
        <v>767864.4566679718</v>
      </c>
      <c r="D22" s="183">
        <f ca="1">INDEX('Operating Model'!$K114:$AL114,MATCH('Quarterly Summary'!D$5,'Operating Model'!$K$5:$AL$5))</f>
        <v>788566.79676234815</v>
      </c>
      <c r="E22" s="183">
        <f ca="1">INDEX('Operating Model'!$K114:$AL114,MATCH('Quarterly Summary'!E$5,'Operating Model'!$K$5:$AL$5))</f>
        <v>6255177.9569730582</v>
      </c>
      <c r="F22" s="183">
        <f ca="1">INDEX('Operating Model'!$K114:$AL114,MATCH('Quarterly Summary'!F$5,'Operating Model'!$K$5:$AL$5))</f>
        <v>6289293.3540634969</v>
      </c>
      <c r="G22" s="183">
        <f ca="1">INDEX('Operating Model'!$K114:$AL114,MATCH('Quarterly Summary'!G$5,'Operating Model'!$K$5:$AL$5))</f>
        <v>6291391.3459525546</v>
      </c>
      <c r="H22" s="183">
        <f ca="1">INDEX('Operating Model'!$K114:$AL114,MATCH('Quarterly Summary'!H$5,'Operating Model'!$K$5:$AL$5))</f>
        <v>6321907.8152651833</v>
      </c>
      <c r="I22" s="183">
        <f ca="1">INDEX('Operating Model'!$K114:$AL114,MATCH('Quarterly Summary'!I$5,'Operating Model'!$K$5:$AL$5))</f>
        <v>6333493.0870650625</v>
      </c>
      <c r="J22" s="183">
        <f ca="1">INDEX('Operating Model'!$K114:$AL114,MATCH('Quarterly Summary'!J$5,'Operating Model'!$K$5:$AL$5))</f>
        <v>6366892.1177321048</v>
      </c>
      <c r="K22" s="183">
        <f ca="1">INDEX('Operating Model'!$K114:$AL114,MATCH('Quarterly Summary'!K$5,'Operating Model'!$K$5:$AL$5))</f>
        <v>6361291.39047617</v>
      </c>
      <c r="L22" s="183">
        <f ca="1">INDEX('Operating Model'!$K114:$AL114,MATCH('Quarterly Summary'!L$5,'Operating Model'!$K$5:$AL$5))</f>
        <v>6392096.1974267261</v>
      </c>
      <c r="M22" s="183">
        <f ca="1">INDEX('Operating Model'!$K114:$AL114,MATCH('Quarterly Summary'!M$5,'Operating Model'!$K$5:$AL$5))</f>
        <v>6418010.6197179742</v>
      </c>
      <c r="N22" s="183">
        <f ca="1">INDEX('Operating Model'!$K114:$AL114,MATCH('Quarterly Summary'!N$5,'Operating Model'!$K$5:$AL$5))</f>
        <v>6445697.6202759799</v>
      </c>
      <c r="O22" s="183">
        <f ca="1">INDEX('Operating Model'!$K114:$AL114,MATCH('Quarterly Summary'!O$5,'Operating Model'!$K$5:$AL$5))</f>
        <v>6421709.9664677214</v>
      </c>
      <c r="P22" s="183">
        <f ca="1">INDEX('Operating Model'!$K114:$AL114,MATCH('Quarterly Summary'!P$5,'Operating Model'!$K$5:$AL$5))</f>
        <v>6454693.3042306583</v>
      </c>
      <c r="Q22" s="183">
        <f ca="1">INDEX('Operating Model'!$K114:$AL114,MATCH('Quarterly Summary'!Q$5,'Operating Model'!$K$5:$AL$5))</f>
        <v>6491432.2665472478</v>
      </c>
      <c r="R22" s="183">
        <f ca="1">INDEX('Operating Model'!$K114:$AL114,MATCH('Quarterly Summary'!R$5,'Operating Model'!$K$5:$AL$5))</f>
        <v>6513717.3707522294</v>
      </c>
      <c r="S22" s="183">
        <f ca="1">INDEX('Operating Model'!$K114:$AL114,MATCH('Quarterly Summary'!S$5,'Operating Model'!$K$5:$AL$5))</f>
        <v>6479969.2655905029</v>
      </c>
      <c r="T22" s="183">
        <f ca="1">INDEX('Operating Model'!$K114:$AL114,MATCH('Quarterly Summary'!T$5,'Operating Model'!$K$5:$AL$5))</f>
        <v>6507208.4544870751</v>
      </c>
      <c r="U22" s="183">
        <f ca="1">INDEX('Operating Model'!$K114:$AL114,MATCH('Quarterly Summary'!U$5,'Operating Model'!$K$5:$AL$5))</f>
        <v>6548685.6962931538</v>
      </c>
      <c r="V22" s="183">
        <f ca="1">INDEX('Operating Model'!$K114:$AL114,MATCH('Quarterly Summary'!V$5,'Operating Model'!$K$5:$AL$5))</f>
        <v>6567275.3809595415</v>
      </c>
    </row>
    <row r="23" spans="2:22" x14ac:dyDescent="0.25">
      <c r="C23" s="181"/>
      <c r="D23" s="181"/>
      <c r="E23" s="181"/>
      <c r="F23" s="181"/>
      <c r="G23" s="181"/>
      <c r="H23" s="181"/>
      <c r="I23" s="181"/>
      <c r="J23" s="181"/>
      <c r="K23" s="181"/>
      <c r="L23" s="181"/>
      <c r="M23" s="181"/>
      <c r="N23" s="181"/>
      <c r="O23" s="181"/>
      <c r="P23" s="181"/>
      <c r="Q23" s="181"/>
      <c r="R23" s="181"/>
      <c r="S23" s="181"/>
      <c r="T23" s="181"/>
      <c r="U23" s="181"/>
      <c r="V23" s="181"/>
    </row>
    <row r="24" spans="2:22" x14ac:dyDescent="0.25">
      <c r="B24" s="157" t="s">
        <v>18</v>
      </c>
      <c r="C24" s="181">
        <f ca="1">C29-SUM(C25:C28)</f>
        <v>217297.62391580641</v>
      </c>
      <c r="D24" s="181">
        <f t="shared" ref="D24:N24" ca="1" si="14">D29-SUM(D25:D28)</f>
        <v>228553.45679505129</v>
      </c>
      <c r="E24" s="181">
        <f t="shared" ca="1" si="14"/>
        <v>231210.08200041112</v>
      </c>
      <c r="F24" s="181">
        <f t="shared" ca="1" si="14"/>
        <v>255219.07977795566</v>
      </c>
      <c r="G24" s="181">
        <f t="shared" ca="1" si="14"/>
        <v>261566.31051510444</v>
      </c>
      <c r="H24" s="181">
        <f t="shared" ca="1" si="14"/>
        <v>276443.13511383894</v>
      </c>
      <c r="I24" s="181">
        <f t="shared" ca="1" si="14"/>
        <v>293387.85713662906</v>
      </c>
      <c r="J24" s="181">
        <f t="shared" ca="1" si="14"/>
        <v>310860.44038669346</v>
      </c>
      <c r="K24" s="181">
        <f t="shared" ca="1" si="14"/>
        <v>307781.32469411357</v>
      </c>
      <c r="L24" s="181">
        <f t="shared" ca="1" si="14"/>
        <v>320847.0216592073</v>
      </c>
      <c r="M24" s="181">
        <f t="shared" ca="1" si="14"/>
        <v>349995.34560690867</v>
      </c>
      <c r="N24" s="181">
        <f t="shared" ca="1" si="14"/>
        <v>359688.70874431985</v>
      </c>
      <c r="O24" s="181">
        <f t="shared" ref="O24" ca="1" si="15">O29-SUM(O25:O28)</f>
        <v>337269.25486578199</v>
      </c>
      <c r="P24" s="181">
        <f t="shared" ref="P24" ca="1" si="16">P29-SUM(P25:P28)</f>
        <v>351284.50878639275</v>
      </c>
      <c r="Q24" s="181">
        <f t="shared" ref="Q24" ca="1" si="17">Q29-SUM(Q25:Q28)</f>
        <v>389967.36610004678</v>
      </c>
      <c r="R24" s="181">
        <f t="shared" ref="R24" ca="1" si="18">R29-SUM(R25:R28)</f>
        <v>393065.02114300325</v>
      </c>
      <c r="S24" s="181">
        <f t="shared" ref="S24" ca="1" si="19">S29-SUM(S25:S28)</f>
        <v>353166.48684829613</v>
      </c>
      <c r="T24" s="181">
        <f t="shared" ref="T24" ca="1" si="20">T29-SUM(T25:T28)</f>
        <v>367959.3179581135</v>
      </c>
      <c r="U24" s="181">
        <f t="shared" ref="U24" ca="1" si="21">U29-SUM(U25:U28)</f>
        <v>412134.60948869644</v>
      </c>
      <c r="V24" s="181">
        <f t="shared" ref="V24" ca="1" si="22">V29-SUM(V25:V28)</f>
        <v>411197.10084451712</v>
      </c>
    </row>
    <row r="25" spans="2:22" x14ac:dyDescent="0.25">
      <c r="B25" s="9" t="s">
        <v>19</v>
      </c>
      <c r="C25" s="181">
        <f>INDEX('Operating Model'!$K127:$AL127,MATCH('Quarterly Summary'!C$5,'Operating Model'!$K$5:$AL$5))</f>
        <v>0</v>
      </c>
      <c r="D25" s="181">
        <f>INDEX('Operating Model'!$K127:$AL127,MATCH('Quarterly Summary'!D$5,'Operating Model'!$K$5:$AL$5))</f>
        <v>0</v>
      </c>
      <c r="E25" s="181">
        <f>INDEX('Operating Model'!$K127:$AL127,MATCH('Quarterly Summary'!E$5,'Operating Model'!$K$5:$AL$5))</f>
        <v>0</v>
      </c>
      <c r="F25" s="181">
        <f ca="1">INDEX('Operating Model'!$K127:$AL127,MATCH('Quarterly Summary'!F$5,'Operating Model'!$K$5:$AL$5))</f>
        <v>0</v>
      </c>
      <c r="G25" s="181">
        <f ca="1">INDEX('Operating Model'!$K127:$AL127,MATCH('Quarterly Summary'!G$5,'Operating Model'!$K$5:$AL$5))</f>
        <v>0</v>
      </c>
      <c r="H25" s="181">
        <f ca="1">INDEX('Operating Model'!$K127:$AL127,MATCH('Quarterly Summary'!H$5,'Operating Model'!$K$5:$AL$5))</f>
        <v>0</v>
      </c>
      <c r="I25" s="181">
        <f ca="1">INDEX('Operating Model'!$K127:$AL127,MATCH('Quarterly Summary'!I$5,'Operating Model'!$K$5:$AL$5))</f>
        <v>0</v>
      </c>
      <c r="J25" s="181">
        <f ca="1">INDEX('Operating Model'!$K127:$AL127,MATCH('Quarterly Summary'!J$5,'Operating Model'!$K$5:$AL$5))</f>
        <v>0</v>
      </c>
      <c r="K25" s="181">
        <f ca="1">INDEX('Operating Model'!$K127:$AL127,MATCH('Quarterly Summary'!K$5,'Operating Model'!$K$5:$AL$5))</f>
        <v>0</v>
      </c>
      <c r="L25" s="181">
        <f ca="1">INDEX('Operating Model'!$K127:$AL127,MATCH('Quarterly Summary'!L$5,'Operating Model'!$K$5:$AL$5))</f>
        <v>0</v>
      </c>
      <c r="M25" s="181">
        <f ca="1">INDEX('Operating Model'!$K127:$AL127,MATCH('Quarterly Summary'!M$5,'Operating Model'!$K$5:$AL$5))</f>
        <v>0</v>
      </c>
      <c r="N25" s="181">
        <f ca="1">INDEX('Operating Model'!$K127:$AL127,MATCH('Quarterly Summary'!N$5,'Operating Model'!$K$5:$AL$5))</f>
        <v>0</v>
      </c>
      <c r="O25" s="181">
        <f ca="1">INDEX('Operating Model'!$K127:$AL127,MATCH('Quarterly Summary'!O$5,'Operating Model'!$K$5:$AL$5))</f>
        <v>0</v>
      </c>
      <c r="P25" s="181">
        <f ca="1">INDEX('Operating Model'!$K127:$AL127,MATCH('Quarterly Summary'!P$5,'Operating Model'!$K$5:$AL$5))</f>
        <v>0</v>
      </c>
      <c r="Q25" s="181">
        <f ca="1">INDEX('Operating Model'!$K127:$AL127,MATCH('Quarterly Summary'!Q$5,'Operating Model'!$K$5:$AL$5))</f>
        <v>0</v>
      </c>
      <c r="R25" s="181">
        <f ca="1">INDEX('Operating Model'!$K127:$AL127,MATCH('Quarterly Summary'!R$5,'Operating Model'!$K$5:$AL$5))</f>
        <v>0</v>
      </c>
      <c r="S25" s="181">
        <f ca="1">INDEX('Operating Model'!$K127:$AL127,MATCH('Quarterly Summary'!S$5,'Operating Model'!$K$5:$AL$5))</f>
        <v>7752.5225485142055</v>
      </c>
      <c r="T25" s="181">
        <f ca="1">INDEX('Operating Model'!$K127:$AL127,MATCH('Quarterly Summary'!T$5,'Operating Model'!$K$5:$AL$5))</f>
        <v>1135.6781653539301</v>
      </c>
      <c r="U25" s="181">
        <f ca="1">INDEX('Operating Model'!$K127:$AL127,MATCH('Quarterly Summary'!U$5,'Operating Model'!$K$5:$AL$5))</f>
        <v>0</v>
      </c>
      <c r="V25" s="181">
        <f ca="1">INDEX('Operating Model'!$K127:$AL127,MATCH('Quarterly Summary'!V$5,'Operating Model'!$K$5:$AL$5))</f>
        <v>0</v>
      </c>
    </row>
    <row r="26" spans="2:22" x14ac:dyDescent="0.25">
      <c r="B26" s="19" t="s">
        <v>20</v>
      </c>
      <c r="C26" s="181">
        <f>INDEX('Operating Model'!$K128:$AL128,MATCH('Quarterly Summary'!C$5,'Operating Model'!$K$5:$AL$5))</f>
        <v>0</v>
      </c>
      <c r="D26" s="181">
        <f>INDEX('Operating Model'!$K128:$AL128,MATCH('Quarterly Summary'!D$5,'Operating Model'!$K$5:$AL$5))</f>
        <v>0</v>
      </c>
      <c r="E26" s="181">
        <f>INDEX('Operating Model'!$K128:$AL128,MATCH('Quarterly Summary'!E$5,'Operating Model'!$K$5:$AL$5))</f>
        <v>0</v>
      </c>
      <c r="F26" s="181">
        <f ca="1">INDEX('Operating Model'!$K128:$AL128,MATCH('Quarterly Summary'!F$5,'Operating Model'!$K$5:$AL$5))</f>
        <v>0</v>
      </c>
      <c r="G26" s="181">
        <f ca="1">INDEX('Operating Model'!$K128:$AL128,MATCH('Quarterly Summary'!G$5,'Operating Model'!$K$5:$AL$5))</f>
        <v>0</v>
      </c>
      <c r="H26" s="181">
        <f ca="1">INDEX('Operating Model'!$K128:$AL128,MATCH('Quarterly Summary'!H$5,'Operating Model'!$K$5:$AL$5))</f>
        <v>0</v>
      </c>
      <c r="I26" s="181">
        <f ca="1">INDEX('Operating Model'!$K128:$AL128,MATCH('Quarterly Summary'!I$5,'Operating Model'!$K$5:$AL$5))</f>
        <v>0</v>
      </c>
      <c r="J26" s="181">
        <f ca="1">INDEX('Operating Model'!$K128:$AL128,MATCH('Quarterly Summary'!J$5,'Operating Model'!$K$5:$AL$5))</f>
        <v>0</v>
      </c>
      <c r="K26" s="181">
        <f ca="1">INDEX('Operating Model'!$K128:$AL128,MATCH('Quarterly Summary'!K$5,'Operating Model'!$K$5:$AL$5))</f>
        <v>0</v>
      </c>
      <c r="L26" s="181">
        <f ca="1">INDEX('Operating Model'!$K128:$AL128,MATCH('Quarterly Summary'!L$5,'Operating Model'!$K$5:$AL$5))</f>
        <v>0</v>
      </c>
      <c r="M26" s="181">
        <f ca="1">INDEX('Operating Model'!$K128:$AL128,MATCH('Quarterly Summary'!M$5,'Operating Model'!$K$5:$AL$5))</f>
        <v>0</v>
      </c>
      <c r="N26" s="181">
        <f ca="1">INDEX('Operating Model'!$K128:$AL128,MATCH('Quarterly Summary'!N$5,'Operating Model'!$K$5:$AL$5))</f>
        <v>0</v>
      </c>
      <c r="O26" s="181">
        <f ca="1">INDEX('Operating Model'!$K128:$AL128,MATCH('Quarterly Summary'!O$5,'Operating Model'!$K$5:$AL$5))</f>
        <v>0</v>
      </c>
      <c r="P26" s="181">
        <f ca="1">INDEX('Operating Model'!$K128:$AL128,MATCH('Quarterly Summary'!P$5,'Operating Model'!$K$5:$AL$5))</f>
        <v>0</v>
      </c>
      <c r="Q26" s="181">
        <f ca="1">INDEX('Operating Model'!$K128:$AL128,MATCH('Quarterly Summary'!Q$5,'Operating Model'!$K$5:$AL$5))</f>
        <v>0</v>
      </c>
      <c r="R26" s="181">
        <f ca="1">INDEX('Operating Model'!$K128:$AL128,MATCH('Quarterly Summary'!R$5,'Operating Model'!$K$5:$AL$5))</f>
        <v>0</v>
      </c>
      <c r="S26" s="181">
        <f ca="1">INDEX('Operating Model'!$K128:$AL128,MATCH('Quarterly Summary'!S$5,'Operating Model'!$K$5:$AL$5))</f>
        <v>0</v>
      </c>
      <c r="T26" s="181">
        <f ca="1">INDEX('Operating Model'!$K128:$AL128,MATCH('Quarterly Summary'!T$5,'Operating Model'!$K$5:$AL$5))</f>
        <v>0</v>
      </c>
      <c r="U26" s="181">
        <f ca="1">INDEX('Operating Model'!$K128:$AL128,MATCH('Quarterly Summary'!U$5,'Operating Model'!$K$5:$AL$5))</f>
        <v>0</v>
      </c>
      <c r="V26" s="181">
        <f ca="1">INDEX('Operating Model'!$K128:$AL128,MATCH('Quarterly Summary'!V$5,'Operating Model'!$K$5:$AL$5))</f>
        <v>0</v>
      </c>
    </row>
    <row r="27" spans="2:22" x14ac:dyDescent="0.25">
      <c r="B27" s="19" t="s">
        <v>21</v>
      </c>
      <c r="C27" s="181">
        <f>INDEX('Operating Model'!$K129:$AL129,MATCH('Quarterly Summary'!C$5,'Operating Model'!$K$5:$AL$5))</f>
        <v>0</v>
      </c>
      <c r="D27" s="181">
        <f>INDEX('Operating Model'!$K129:$AL129,MATCH('Quarterly Summary'!D$5,'Operating Model'!$K$5:$AL$5))</f>
        <v>0</v>
      </c>
      <c r="E27" s="181">
        <f>INDEX('Operating Model'!$K129:$AL129,MATCH('Quarterly Summary'!E$5,'Operating Model'!$K$5:$AL$5))</f>
        <v>0</v>
      </c>
      <c r="F27" s="181">
        <f ca="1">INDEX('Operating Model'!$K129:$AL129,MATCH('Quarterly Summary'!F$5,'Operating Model'!$K$5:$AL$5))</f>
        <v>0</v>
      </c>
      <c r="G27" s="181">
        <f ca="1">INDEX('Operating Model'!$K129:$AL129,MATCH('Quarterly Summary'!G$5,'Operating Model'!$K$5:$AL$5))</f>
        <v>0</v>
      </c>
      <c r="H27" s="181">
        <f ca="1">INDEX('Operating Model'!$K129:$AL129,MATCH('Quarterly Summary'!H$5,'Operating Model'!$K$5:$AL$5))</f>
        <v>0</v>
      </c>
      <c r="I27" s="181">
        <f ca="1">INDEX('Operating Model'!$K129:$AL129,MATCH('Quarterly Summary'!I$5,'Operating Model'!$K$5:$AL$5))</f>
        <v>0</v>
      </c>
      <c r="J27" s="181">
        <f ca="1">INDEX('Operating Model'!$K129:$AL129,MATCH('Quarterly Summary'!J$5,'Operating Model'!$K$5:$AL$5))</f>
        <v>0</v>
      </c>
      <c r="K27" s="181">
        <f ca="1">INDEX('Operating Model'!$K129:$AL129,MATCH('Quarterly Summary'!K$5,'Operating Model'!$K$5:$AL$5))</f>
        <v>0</v>
      </c>
      <c r="L27" s="181">
        <f ca="1">INDEX('Operating Model'!$K129:$AL129,MATCH('Quarterly Summary'!L$5,'Operating Model'!$K$5:$AL$5))</f>
        <v>0</v>
      </c>
      <c r="M27" s="181">
        <f ca="1">INDEX('Operating Model'!$K129:$AL129,MATCH('Quarterly Summary'!M$5,'Operating Model'!$K$5:$AL$5))</f>
        <v>0</v>
      </c>
      <c r="N27" s="181">
        <f ca="1">INDEX('Operating Model'!$K129:$AL129,MATCH('Quarterly Summary'!N$5,'Operating Model'!$K$5:$AL$5))</f>
        <v>0</v>
      </c>
      <c r="O27" s="181">
        <f ca="1">INDEX('Operating Model'!$K129:$AL129,MATCH('Quarterly Summary'!O$5,'Operating Model'!$K$5:$AL$5))</f>
        <v>0</v>
      </c>
      <c r="P27" s="181">
        <f ca="1">INDEX('Operating Model'!$K129:$AL129,MATCH('Quarterly Summary'!P$5,'Operating Model'!$K$5:$AL$5))</f>
        <v>0</v>
      </c>
      <c r="Q27" s="181">
        <f ca="1">INDEX('Operating Model'!$K129:$AL129,MATCH('Quarterly Summary'!Q$5,'Operating Model'!$K$5:$AL$5))</f>
        <v>0</v>
      </c>
      <c r="R27" s="181">
        <f ca="1">INDEX('Operating Model'!$K129:$AL129,MATCH('Quarterly Summary'!R$5,'Operating Model'!$K$5:$AL$5))</f>
        <v>0</v>
      </c>
      <c r="S27" s="181">
        <f ca="1">INDEX('Operating Model'!$K129:$AL129,MATCH('Quarterly Summary'!S$5,'Operating Model'!$K$5:$AL$5))</f>
        <v>0</v>
      </c>
      <c r="T27" s="181">
        <f ca="1">INDEX('Operating Model'!$K129:$AL129,MATCH('Quarterly Summary'!T$5,'Operating Model'!$K$5:$AL$5))</f>
        <v>0</v>
      </c>
      <c r="U27" s="181">
        <f ca="1">INDEX('Operating Model'!$K129:$AL129,MATCH('Quarterly Summary'!U$5,'Operating Model'!$K$5:$AL$5))</f>
        <v>0</v>
      </c>
      <c r="V27" s="181">
        <f ca="1">INDEX('Operating Model'!$K129:$AL129,MATCH('Quarterly Summary'!V$5,'Operating Model'!$K$5:$AL$5))</f>
        <v>0</v>
      </c>
    </row>
    <row r="28" spans="2:22" x14ac:dyDescent="0.25">
      <c r="B28" s="19" t="s">
        <v>22</v>
      </c>
      <c r="C28" s="181">
        <f>INDEX('Operating Model'!$K130:$AL130,MATCH('Quarterly Summary'!C$5,'Operating Model'!$K$5:$AL$5))</f>
        <v>0</v>
      </c>
      <c r="D28" s="181">
        <f>INDEX('Operating Model'!$K130:$AL130,MATCH('Quarterly Summary'!D$5,'Operating Model'!$K$5:$AL$5))</f>
        <v>0</v>
      </c>
      <c r="E28" s="181">
        <f>INDEX('Operating Model'!$K130:$AL130,MATCH('Quarterly Summary'!E$5,'Operating Model'!$K$5:$AL$5))</f>
        <v>500000</v>
      </c>
      <c r="F28" s="181">
        <f ca="1">INDEX('Operating Model'!$K130:$AL130,MATCH('Quarterly Summary'!F$5,'Operating Model'!$K$5:$AL$5))</f>
        <v>500000</v>
      </c>
      <c r="G28" s="181">
        <f ca="1">INDEX('Operating Model'!$K130:$AL130,MATCH('Quarterly Summary'!G$5,'Operating Model'!$K$5:$AL$5))</f>
        <v>500000</v>
      </c>
      <c r="H28" s="181">
        <f ca="1">INDEX('Operating Model'!$K130:$AL130,MATCH('Quarterly Summary'!H$5,'Operating Model'!$K$5:$AL$5))</f>
        <v>500000</v>
      </c>
      <c r="I28" s="181">
        <f ca="1">INDEX('Operating Model'!$K130:$AL130,MATCH('Quarterly Summary'!I$5,'Operating Model'!$K$5:$AL$5))</f>
        <v>500000</v>
      </c>
      <c r="J28" s="181">
        <f ca="1">INDEX('Operating Model'!$K130:$AL130,MATCH('Quarterly Summary'!J$5,'Operating Model'!$K$5:$AL$5))</f>
        <v>500000</v>
      </c>
      <c r="K28" s="181">
        <f ca="1">INDEX('Operating Model'!$K130:$AL130,MATCH('Quarterly Summary'!K$5,'Operating Model'!$K$5:$AL$5))</f>
        <v>500000</v>
      </c>
      <c r="L28" s="181">
        <f ca="1">INDEX('Operating Model'!$K130:$AL130,MATCH('Quarterly Summary'!L$5,'Operating Model'!$K$5:$AL$5))</f>
        <v>500000</v>
      </c>
      <c r="M28" s="181">
        <f ca="1">INDEX('Operating Model'!$K130:$AL130,MATCH('Quarterly Summary'!M$5,'Operating Model'!$K$5:$AL$5))</f>
        <v>500000</v>
      </c>
      <c r="N28" s="181">
        <f ca="1">INDEX('Operating Model'!$K130:$AL130,MATCH('Quarterly Summary'!N$5,'Operating Model'!$K$5:$AL$5))</f>
        <v>500000</v>
      </c>
      <c r="O28" s="181">
        <f ca="1">INDEX('Operating Model'!$K130:$AL130,MATCH('Quarterly Summary'!O$5,'Operating Model'!$K$5:$AL$5))</f>
        <v>500000</v>
      </c>
      <c r="P28" s="181">
        <f ca="1">INDEX('Operating Model'!$K130:$AL130,MATCH('Quarterly Summary'!P$5,'Operating Model'!$K$5:$AL$5))</f>
        <v>500000</v>
      </c>
      <c r="Q28" s="181">
        <f ca="1">INDEX('Operating Model'!$K130:$AL130,MATCH('Quarterly Summary'!Q$5,'Operating Model'!$K$5:$AL$5))</f>
        <v>500000</v>
      </c>
      <c r="R28" s="181">
        <f ca="1">INDEX('Operating Model'!$K130:$AL130,MATCH('Quarterly Summary'!R$5,'Operating Model'!$K$5:$AL$5))</f>
        <v>500000</v>
      </c>
      <c r="S28" s="181">
        <f ca="1">INDEX('Operating Model'!$K130:$AL130,MATCH('Quarterly Summary'!S$5,'Operating Model'!$K$5:$AL$5))</f>
        <v>500000</v>
      </c>
      <c r="T28" s="181">
        <f ca="1">INDEX('Operating Model'!$K130:$AL130,MATCH('Quarterly Summary'!T$5,'Operating Model'!$K$5:$AL$5))</f>
        <v>500000</v>
      </c>
      <c r="U28" s="181">
        <f ca="1">INDEX('Operating Model'!$K130:$AL130,MATCH('Quarterly Summary'!U$5,'Operating Model'!$K$5:$AL$5))</f>
        <v>500000</v>
      </c>
      <c r="V28" s="181">
        <f ca="1">INDEX('Operating Model'!$K130:$AL130,MATCH('Quarterly Summary'!V$5,'Operating Model'!$K$5:$AL$5))</f>
        <v>500000</v>
      </c>
    </row>
    <row r="29" spans="2:22" x14ac:dyDescent="0.25">
      <c r="B29" s="153" t="s">
        <v>23</v>
      </c>
      <c r="C29" s="182">
        <f ca="1">INDEX('Operating Model'!$K131:$AL131,MATCH('Quarterly Summary'!C$5,'Operating Model'!$K$5:$AL$5))</f>
        <v>217297.62391580641</v>
      </c>
      <c r="D29" s="182">
        <f ca="1">INDEX('Operating Model'!$K131:$AL131,MATCH('Quarterly Summary'!D$5,'Operating Model'!$K$5:$AL$5))</f>
        <v>228553.45679505129</v>
      </c>
      <c r="E29" s="182">
        <f ca="1">INDEX('Operating Model'!$K131:$AL131,MATCH('Quarterly Summary'!E$5,'Operating Model'!$K$5:$AL$5))</f>
        <v>731210.08200041112</v>
      </c>
      <c r="F29" s="182">
        <f ca="1">INDEX('Operating Model'!$K131:$AL131,MATCH('Quarterly Summary'!F$5,'Operating Model'!$K$5:$AL$5))</f>
        <v>755219.07977795566</v>
      </c>
      <c r="G29" s="182">
        <f ca="1">INDEX('Operating Model'!$K131:$AL131,MATCH('Quarterly Summary'!G$5,'Operating Model'!$K$5:$AL$5))</f>
        <v>761566.31051510444</v>
      </c>
      <c r="H29" s="182">
        <f ca="1">INDEX('Operating Model'!$K131:$AL131,MATCH('Quarterly Summary'!H$5,'Operating Model'!$K$5:$AL$5))</f>
        <v>776443.13511383894</v>
      </c>
      <c r="I29" s="182">
        <f ca="1">INDEX('Operating Model'!$K131:$AL131,MATCH('Quarterly Summary'!I$5,'Operating Model'!$K$5:$AL$5))</f>
        <v>793387.85713662906</v>
      </c>
      <c r="J29" s="182">
        <f ca="1">INDEX('Operating Model'!$K131:$AL131,MATCH('Quarterly Summary'!J$5,'Operating Model'!$K$5:$AL$5))</f>
        <v>810860.44038669346</v>
      </c>
      <c r="K29" s="182">
        <f ca="1">INDEX('Operating Model'!$K131:$AL131,MATCH('Quarterly Summary'!K$5,'Operating Model'!$K$5:$AL$5))</f>
        <v>807781.32469411357</v>
      </c>
      <c r="L29" s="182">
        <f ca="1">INDEX('Operating Model'!$K131:$AL131,MATCH('Quarterly Summary'!L$5,'Operating Model'!$K$5:$AL$5))</f>
        <v>820847.0216592073</v>
      </c>
      <c r="M29" s="182">
        <f ca="1">INDEX('Operating Model'!$K131:$AL131,MATCH('Quarterly Summary'!M$5,'Operating Model'!$K$5:$AL$5))</f>
        <v>849995.34560690867</v>
      </c>
      <c r="N29" s="182">
        <f ca="1">INDEX('Operating Model'!$K131:$AL131,MATCH('Quarterly Summary'!N$5,'Operating Model'!$K$5:$AL$5))</f>
        <v>859688.70874431985</v>
      </c>
      <c r="O29" s="182">
        <f ca="1">INDEX('Operating Model'!$K131:$AL131,MATCH('Quarterly Summary'!O$5,'Operating Model'!$K$5:$AL$5))</f>
        <v>837269.25486578199</v>
      </c>
      <c r="P29" s="182">
        <f ca="1">INDEX('Operating Model'!$K131:$AL131,MATCH('Quarterly Summary'!P$5,'Operating Model'!$K$5:$AL$5))</f>
        <v>851284.50878639275</v>
      </c>
      <c r="Q29" s="182">
        <f ca="1">INDEX('Operating Model'!$K131:$AL131,MATCH('Quarterly Summary'!Q$5,'Operating Model'!$K$5:$AL$5))</f>
        <v>889967.36610004678</v>
      </c>
      <c r="R29" s="182">
        <f ca="1">INDEX('Operating Model'!$K131:$AL131,MATCH('Quarterly Summary'!R$5,'Operating Model'!$K$5:$AL$5))</f>
        <v>893065.02114300325</v>
      </c>
      <c r="S29" s="182">
        <f ca="1">INDEX('Operating Model'!$K131:$AL131,MATCH('Quarterly Summary'!S$5,'Operating Model'!$K$5:$AL$5))</f>
        <v>860919.00939681032</v>
      </c>
      <c r="T29" s="182">
        <f ca="1">INDEX('Operating Model'!$K131:$AL131,MATCH('Quarterly Summary'!T$5,'Operating Model'!$K$5:$AL$5))</f>
        <v>869094.99612346746</v>
      </c>
      <c r="U29" s="182">
        <f ca="1">INDEX('Operating Model'!$K131:$AL131,MATCH('Quarterly Summary'!U$5,'Operating Model'!$K$5:$AL$5))</f>
        <v>912134.60948869644</v>
      </c>
      <c r="V29" s="182">
        <f ca="1">INDEX('Operating Model'!$K131:$AL131,MATCH('Quarterly Summary'!V$5,'Operating Model'!$K$5:$AL$5))</f>
        <v>911197.10084451712</v>
      </c>
    </row>
    <row r="30" spans="2:22" x14ac:dyDescent="0.25">
      <c r="C30" s="181"/>
      <c r="D30" s="181"/>
      <c r="E30" s="181"/>
      <c r="F30" s="181"/>
      <c r="G30" s="181"/>
      <c r="H30" s="181"/>
      <c r="I30" s="181"/>
      <c r="J30" s="181"/>
      <c r="K30" s="181"/>
      <c r="L30" s="181"/>
      <c r="M30" s="181"/>
      <c r="N30" s="181"/>
      <c r="O30" s="181"/>
      <c r="P30" s="181"/>
      <c r="Q30" s="181"/>
      <c r="R30" s="181"/>
      <c r="S30" s="181"/>
      <c r="T30" s="181"/>
      <c r="U30" s="181"/>
      <c r="V30" s="181"/>
    </row>
    <row r="31" spans="2:22" x14ac:dyDescent="0.25">
      <c r="B31" s="157" t="s">
        <v>24</v>
      </c>
      <c r="C31" s="181">
        <f ca="1">INDEX('Operating Model'!$K143:$AL143,MATCH('Quarterly Summary'!C$5,'Operating Model'!$K$5:$AL$5))</f>
        <v>550566.83275216538</v>
      </c>
      <c r="D31" s="181">
        <f ca="1">INDEX('Operating Model'!$K143:$AL143,MATCH('Quarterly Summary'!D$5,'Operating Model'!$K$5:$AL$5))</f>
        <v>560013.33996729692</v>
      </c>
      <c r="E31" s="181">
        <f ca="1">INDEX('Operating Model'!$K143:$AL143,MATCH('Quarterly Summary'!E$5,'Operating Model'!$K$5:$AL$5))</f>
        <v>5523967.8749726471</v>
      </c>
      <c r="F31" s="181">
        <f ca="1">INDEX('Operating Model'!$K143:$AL143,MATCH('Quarterly Summary'!F$5,'Operating Model'!$K$5:$AL$5))</f>
        <v>5534074.2742855418</v>
      </c>
      <c r="G31" s="181">
        <f ca="1">INDEX('Operating Model'!$K143:$AL143,MATCH('Quarterly Summary'!G$5,'Operating Model'!$K$5:$AL$5))</f>
        <v>5529825.0354374507</v>
      </c>
      <c r="H31" s="181">
        <f ca="1">INDEX('Operating Model'!$K143:$AL143,MATCH('Quarterly Summary'!H$5,'Operating Model'!$K$5:$AL$5))</f>
        <v>5545464.6801513452</v>
      </c>
      <c r="I31" s="181">
        <f ca="1">INDEX('Operating Model'!$K143:$AL143,MATCH('Quarterly Summary'!I$5,'Operating Model'!$K$5:$AL$5))</f>
        <v>5540105.229928433</v>
      </c>
      <c r="J31" s="181">
        <f ca="1">INDEX('Operating Model'!$K143:$AL143,MATCH('Quarterly Summary'!J$5,'Operating Model'!$K$5:$AL$5))</f>
        <v>5556031.6773454119</v>
      </c>
      <c r="K31" s="181">
        <f ca="1">INDEX('Operating Model'!$K143:$AL143,MATCH('Quarterly Summary'!K$5,'Operating Model'!$K$5:$AL$5))</f>
        <v>5553510.0657820562</v>
      </c>
      <c r="L31" s="181">
        <f ca="1">INDEX('Operating Model'!$K143:$AL143,MATCH('Quarterly Summary'!L$5,'Operating Model'!$K$5:$AL$5))</f>
        <v>5571249.1757675176</v>
      </c>
      <c r="M31" s="181">
        <f ca="1">INDEX('Operating Model'!$K143:$AL143,MATCH('Quarterly Summary'!M$5,'Operating Model'!$K$5:$AL$5))</f>
        <v>5568015.2741110651</v>
      </c>
      <c r="N31" s="181">
        <f ca="1">INDEX('Operating Model'!$K143:$AL143,MATCH('Quarterly Summary'!N$5,'Operating Model'!$K$5:$AL$5))</f>
        <v>5586008.9115316607</v>
      </c>
      <c r="O31" s="181">
        <f ca="1">INDEX('Operating Model'!$K143:$AL143,MATCH('Quarterly Summary'!O$5,'Operating Model'!$K$5:$AL$5))</f>
        <v>5584440.7116019391</v>
      </c>
      <c r="P31" s="181">
        <f ca="1">INDEX('Operating Model'!$K143:$AL143,MATCH('Quarterly Summary'!P$5,'Operating Model'!$K$5:$AL$5))</f>
        <v>5603408.7954442659</v>
      </c>
      <c r="Q31" s="181">
        <f ca="1">INDEX('Operating Model'!$K143:$AL143,MATCH('Quarterly Summary'!Q$5,'Operating Model'!$K$5:$AL$5))</f>
        <v>5601464.9004472019</v>
      </c>
      <c r="R31" s="181">
        <f ca="1">INDEX('Operating Model'!$K143:$AL143,MATCH('Quarterly Summary'!R$5,'Operating Model'!$K$5:$AL$5))</f>
        <v>5620652.3496092269</v>
      </c>
      <c r="S31" s="181">
        <f ca="1">INDEX('Operating Model'!$K143:$AL143,MATCH('Quarterly Summary'!S$5,'Operating Model'!$K$5:$AL$5))</f>
        <v>5619050.2561936928</v>
      </c>
      <c r="T31" s="181">
        <f ca="1">INDEX('Operating Model'!$K143:$AL143,MATCH('Quarterly Summary'!T$5,'Operating Model'!$K$5:$AL$5))</f>
        <v>5638113.4583636075</v>
      </c>
      <c r="U31" s="181">
        <f ca="1">INDEX('Operating Model'!$K143:$AL143,MATCH('Quarterly Summary'!U$5,'Operating Model'!$K$5:$AL$5))</f>
        <v>5636551.0868044579</v>
      </c>
      <c r="V31" s="181">
        <f ca="1">INDEX('Operating Model'!$K143:$AL143,MATCH('Quarterly Summary'!V$5,'Operating Model'!$K$5:$AL$5))</f>
        <v>5656078.2801150251</v>
      </c>
    </row>
    <row r="32" spans="2:22" x14ac:dyDescent="0.25">
      <c r="B32" s="154" t="s">
        <v>25</v>
      </c>
      <c r="C32" s="183">
        <f ca="1">SUM(C29,C31)</f>
        <v>767864.4566679718</v>
      </c>
      <c r="D32" s="183">
        <f t="shared" ref="D32:N32" ca="1" si="23">SUM(D29,D31)</f>
        <v>788566.79676234815</v>
      </c>
      <c r="E32" s="183">
        <f t="shared" ca="1" si="23"/>
        <v>6255177.9569730582</v>
      </c>
      <c r="F32" s="183">
        <f t="shared" ca="1" si="23"/>
        <v>6289293.3540634979</v>
      </c>
      <c r="G32" s="183">
        <f t="shared" ca="1" si="23"/>
        <v>6291391.3459525555</v>
      </c>
      <c r="H32" s="183">
        <f t="shared" ca="1" si="23"/>
        <v>6321907.8152651843</v>
      </c>
      <c r="I32" s="183">
        <f t="shared" ca="1" si="23"/>
        <v>6333493.0870650616</v>
      </c>
      <c r="J32" s="183">
        <f t="shared" ca="1" si="23"/>
        <v>6366892.1177321058</v>
      </c>
      <c r="K32" s="183">
        <f t="shared" ca="1" si="23"/>
        <v>6361291.39047617</v>
      </c>
      <c r="L32" s="183">
        <f t="shared" ca="1" si="23"/>
        <v>6392096.1974267252</v>
      </c>
      <c r="M32" s="183">
        <f t="shared" ca="1" si="23"/>
        <v>6418010.6197179742</v>
      </c>
      <c r="N32" s="183">
        <f t="shared" ca="1" si="23"/>
        <v>6445697.6202759808</v>
      </c>
      <c r="O32" s="183">
        <f t="shared" ref="O32:V32" ca="1" si="24">SUM(O29,O31)</f>
        <v>6421709.9664677214</v>
      </c>
      <c r="P32" s="183">
        <f t="shared" ca="1" si="24"/>
        <v>6454693.3042306583</v>
      </c>
      <c r="Q32" s="183">
        <f t="shared" ca="1" si="24"/>
        <v>6491432.2665472487</v>
      </c>
      <c r="R32" s="183">
        <f t="shared" ca="1" si="24"/>
        <v>6513717.3707522303</v>
      </c>
      <c r="S32" s="183">
        <f t="shared" ca="1" si="24"/>
        <v>6479969.2655905029</v>
      </c>
      <c r="T32" s="183">
        <f t="shared" ca="1" si="24"/>
        <v>6507208.4544870751</v>
      </c>
      <c r="U32" s="183">
        <f t="shared" ca="1" si="24"/>
        <v>6548685.6962931547</v>
      </c>
      <c r="V32" s="183">
        <f t="shared" ca="1" si="24"/>
        <v>6567275.3809595425</v>
      </c>
    </row>
    <row r="33" spans="2:22" x14ac:dyDescent="0.25">
      <c r="B33" s="158" t="s">
        <v>26</v>
      </c>
      <c r="C33" s="184">
        <f t="shared" ref="C33:N33" ca="1" si="25">ROUND(C32-C22,2)</f>
        <v>0</v>
      </c>
      <c r="D33" s="184">
        <f t="shared" ca="1" si="25"/>
        <v>0</v>
      </c>
      <c r="E33" s="184">
        <f t="shared" ca="1" si="25"/>
        <v>0</v>
      </c>
      <c r="F33" s="184">
        <f t="shared" ca="1" si="25"/>
        <v>0</v>
      </c>
      <c r="G33" s="184">
        <f t="shared" ca="1" si="25"/>
        <v>0</v>
      </c>
      <c r="H33" s="184">
        <f t="shared" ca="1" si="25"/>
        <v>0</v>
      </c>
      <c r="I33" s="184">
        <f t="shared" ca="1" si="25"/>
        <v>0</v>
      </c>
      <c r="J33" s="184">
        <f t="shared" ca="1" si="25"/>
        <v>0</v>
      </c>
      <c r="K33" s="184">
        <f t="shared" ca="1" si="25"/>
        <v>0</v>
      </c>
      <c r="L33" s="184">
        <f t="shared" ca="1" si="25"/>
        <v>0</v>
      </c>
      <c r="M33" s="184">
        <f t="shared" ca="1" si="25"/>
        <v>0</v>
      </c>
      <c r="N33" s="184">
        <f t="shared" ca="1" si="25"/>
        <v>0</v>
      </c>
      <c r="O33" s="184">
        <f t="shared" ref="O33:V33" ca="1" si="26">ROUND(O32-O22,2)</f>
        <v>0</v>
      </c>
      <c r="P33" s="184">
        <f t="shared" ca="1" si="26"/>
        <v>0</v>
      </c>
      <c r="Q33" s="184">
        <f t="shared" ca="1" si="26"/>
        <v>0</v>
      </c>
      <c r="R33" s="184">
        <f t="shared" ca="1" si="26"/>
        <v>0</v>
      </c>
      <c r="S33" s="184">
        <f t="shared" ca="1" si="26"/>
        <v>0</v>
      </c>
      <c r="T33" s="184">
        <f t="shared" ca="1" si="26"/>
        <v>0</v>
      </c>
      <c r="U33" s="184">
        <f t="shared" ca="1" si="26"/>
        <v>0</v>
      </c>
      <c r="V33" s="184">
        <f t="shared" ca="1" si="26"/>
        <v>0</v>
      </c>
    </row>
    <row r="34" spans="2:22" outlineLevel="1" x14ac:dyDescent="0.25">
      <c r="B34" s="1401" t="s">
        <v>27</v>
      </c>
      <c r="C34" s="1403"/>
      <c r="D34" s="1403"/>
      <c r="E34" s="1403"/>
      <c r="F34" s="1403"/>
      <c r="G34" s="1403"/>
      <c r="H34" s="1403"/>
      <c r="I34" s="1403"/>
      <c r="J34" s="1403"/>
      <c r="K34" s="1403"/>
      <c r="L34" s="1403"/>
      <c r="M34" s="1403"/>
      <c r="N34" s="1403"/>
      <c r="O34" s="1403"/>
      <c r="P34" s="1403"/>
      <c r="Q34" s="1403"/>
      <c r="R34" s="1403"/>
      <c r="S34" s="1403"/>
      <c r="T34" s="1403"/>
      <c r="U34" s="1403"/>
      <c r="V34" s="1403"/>
    </row>
    <row r="35" spans="2:22" outlineLevel="1" x14ac:dyDescent="0.25">
      <c r="B35" s="159" t="s">
        <v>28</v>
      </c>
      <c r="C35" s="774">
        <f>INDEX('Operating Model'!$K413:$AL413,MATCH(C$5,'Operating Model'!$K$5:$AL$5))</f>
        <v>1.25</v>
      </c>
      <c r="D35" s="774">
        <f>INDEX('Operating Model'!$K413:$AL413,MATCH(D$5,'Operating Model'!$K$5:$AL$5))</f>
        <v>1.25</v>
      </c>
      <c r="E35" s="774">
        <f>INDEX('Operating Model'!$K413:$AL413,MATCH(E$5,'Operating Model'!$K$5:$AL$5))</f>
        <v>1.25</v>
      </c>
      <c r="F35" s="774">
        <f>INDEX('Operating Model'!$K413:$AL413,MATCH(F$5,'Operating Model'!$K$5:$AL$5))</f>
        <v>1.25</v>
      </c>
      <c r="G35" s="774">
        <f>INDEX('Operating Model'!$K413:$AL413,MATCH(G$5,'Operating Model'!$K$5:$AL$5))</f>
        <v>1.25</v>
      </c>
      <c r="H35" s="774">
        <f>INDEX('Operating Model'!$K413:$AL413,MATCH(H$5,'Operating Model'!$K$5:$AL$5))</f>
        <v>1.25</v>
      </c>
      <c r="I35" s="774">
        <f>INDEX('Operating Model'!$K413:$AL413,MATCH(I$5,'Operating Model'!$K$5:$AL$5))</f>
        <v>1.25</v>
      </c>
      <c r="J35" s="774">
        <f>INDEX('Operating Model'!$K413:$AL413,MATCH(J$5,'Operating Model'!$K$5:$AL$5))</f>
        <v>1.25</v>
      </c>
      <c r="K35" s="774">
        <f>INDEX('Operating Model'!$K413:$AL413,MATCH(K$5,'Operating Model'!$K$5:$AL$5))</f>
        <v>1.25</v>
      </c>
      <c r="L35" s="774">
        <f>INDEX('Operating Model'!$K413:$AL413,MATCH(L$5,'Operating Model'!$K$5:$AL$5))</f>
        <v>1.25</v>
      </c>
      <c r="M35" s="774">
        <f>INDEX('Operating Model'!$K413:$AL413,MATCH(M$5,'Operating Model'!$K$5:$AL$5))</f>
        <v>1.25</v>
      </c>
      <c r="N35" s="774">
        <f>INDEX('Operating Model'!$K413:$AL413,MATCH(N$5,'Operating Model'!$K$5:$AL$5))</f>
        <v>1.25</v>
      </c>
      <c r="O35" s="774">
        <f>INDEX('Operating Model'!$K413:$AL413,MATCH(O$5,'Operating Model'!$K$5:$AL$5))</f>
        <v>1.25</v>
      </c>
      <c r="P35" s="774">
        <f>INDEX('Operating Model'!$K413:$AL413,MATCH(P$5,'Operating Model'!$K$5:$AL$5))</f>
        <v>1.25</v>
      </c>
      <c r="Q35" s="774">
        <f>INDEX('Operating Model'!$K413:$AL413,MATCH(Q$5,'Operating Model'!$K$5:$AL$5))</f>
        <v>1.25</v>
      </c>
      <c r="R35" s="774">
        <f>INDEX('Operating Model'!$K413:$AL413,MATCH(R$5,'Operating Model'!$K$5:$AL$5))</f>
        <v>1.25</v>
      </c>
      <c r="S35" s="774">
        <f>INDEX('Operating Model'!$K413:$AL413,MATCH(S$5,'Operating Model'!$K$5:$AL$5))</f>
        <v>1.25</v>
      </c>
      <c r="T35" s="774">
        <f>INDEX('Operating Model'!$K413:$AL413,MATCH(T$5,'Operating Model'!$K$5:$AL$5))</f>
        <v>1.25</v>
      </c>
      <c r="U35" s="774">
        <f>INDEX('Operating Model'!$K413:$AL413,MATCH(U$5,'Operating Model'!$K$5:$AL$5))</f>
        <v>1.25</v>
      </c>
      <c r="V35" s="774">
        <f>INDEX('Operating Model'!$K413:$AL413,MATCH(V$5,'Operating Model'!$K$5:$AL$5))</f>
        <v>1.25</v>
      </c>
    </row>
    <row r="36" spans="2:22" outlineLevel="1" x14ac:dyDescent="0.25">
      <c r="B36" s="160" t="s">
        <v>29</v>
      </c>
      <c r="C36" s="775">
        <f>INDEX('Operating Model'!$K414:$AL414,MATCH(C$5,'Operating Model'!$K$5:$AL$5))</f>
        <v>0</v>
      </c>
      <c r="D36" s="775">
        <f>INDEX('Operating Model'!$K414:$AL414,MATCH(D$5,'Operating Model'!$K$5:$AL$5))</f>
        <v>0</v>
      </c>
      <c r="E36" s="775">
        <f ca="1">INDEX('Operating Model'!$K414:$AL414,MATCH(E$5,'Operating Model'!$K$5:$AL$5))</f>
        <v>4.2862453765748683</v>
      </c>
      <c r="F36" s="775">
        <f ca="1">INDEX('Operating Model'!$K414:$AL414,MATCH(F$5,'Operating Model'!$K$5:$AL$5))</f>
        <v>4.2903046843257222</v>
      </c>
      <c r="G36" s="775">
        <f ca="1">INDEX('Operating Model'!$K414:$AL414,MATCH(G$5,'Operating Model'!$K$5:$AL$5))</f>
        <v>3.9185069211592136</v>
      </c>
      <c r="H36" s="775">
        <f ca="1">INDEX('Operating Model'!$K414:$AL414,MATCH(H$5,'Operating Model'!$K$5:$AL$5))</f>
        <v>3.9448212001575889</v>
      </c>
      <c r="I36" s="775">
        <f ca="1">INDEX('Operating Model'!$K414:$AL414,MATCH(I$5,'Operating Model'!$K$5:$AL$5))</f>
        <v>3.5827862014377407</v>
      </c>
      <c r="J36" s="775">
        <f ca="1">INDEX('Operating Model'!$K414:$AL414,MATCH(J$5,'Operating Model'!$K$5:$AL$5))</f>
        <v>3.6297237445231354</v>
      </c>
      <c r="K36" s="775">
        <f ca="1">INDEX('Operating Model'!$K414:$AL414,MATCH(K$5,'Operating Model'!$K$5:$AL$5))</f>
        <v>3.2807927615060652</v>
      </c>
      <c r="L36" s="775">
        <f ca="1">INDEX('Operating Model'!$K414:$AL414,MATCH(L$5,'Operating Model'!$K$5:$AL$5))</f>
        <v>3.8608481259843139</v>
      </c>
      <c r="M36" s="775">
        <f ca="1">INDEX('Operating Model'!$K414:$AL414,MATCH(M$5,'Operating Model'!$K$5:$AL$5))</f>
        <v>3.5450810853607906</v>
      </c>
      <c r="N36" s="775">
        <f ca="1">INDEX('Operating Model'!$K414:$AL414,MATCH(N$5,'Operating Model'!$K$5:$AL$5))</f>
        <v>3.5715504861797376</v>
      </c>
      <c r="O36" s="775">
        <f ca="1">INDEX('Operating Model'!$K414:$AL414,MATCH(O$5,'Operating Model'!$K$5:$AL$5))</f>
        <v>3.1883470884912537</v>
      </c>
      <c r="P36" s="775">
        <f ca="1">INDEX('Operating Model'!$K414:$AL414,MATCH(P$5,'Operating Model'!$K$5:$AL$5))</f>
        <v>3.8592145785493779</v>
      </c>
      <c r="Q36" s="775">
        <f ca="1">INDEX('Operating Model'!$K414:$AL414,MATCH(Q$5,'Operating Model'!$K$5:$AL$5))</f>
        <v>3.5644068687133741</v>
      </c>
      <c r="R36" s="775">
        <f ca="1">INDEX('Operating Model'!$K414:$AL414,MATCH(R$5,'Operating Model'!$K$5:$AL$5))</f>
        <v>3.5766768137113156</v>
      </c>
      <c r="S36" s="775">
        <f ca="1">INDEX('Operating Model'!$K414:$AL414,MATCH(S$5,'Operating Model'!$K$5:$AL$5))</f>
        <v>3.1601847996358683</v>
      </c>
      <c r="T36" s="775">
        <f ca="1">INDEX('Operating Model'!$K414:$AL414,MATCH(T$5,'Operating Model'!$K$5:$AL$5))</f>
        <v>3.8571329937568852</v>
      </c>
      <c r="U36" s="775">
        <f ca="1">INDEX('Operating Model'!$K414:$AL414,MATCH(U$5,'Operating Model'!$K$5:$AL$5))</f>
        <v>3.582396792442939</v>
      </c>
      <c r="V36" s="775">
        <f ca="1">INDEX('Operating Model'!$K414:$AL414,MATCH(V$5,'Operating Model'!$K$5:$AL$5))</f>
        <v>3.5873476732580709</v>
      </c>
    </row>
    <row r="37" spans="2:22" outlineLevel="1" x14ac:dyDescent="0.25">
      <c r="B37" s="161" t="s">
        <v>30</v>
      </c>
      <c r="C37" s="773">
        <f>INDEX('Operating Model'!$K415:$AL415,MATCH(C$5,'Operating Model'!$K$5:$AL$5))</f>
        <v>0</v>
      </c>
      <c r="D37" s="773">
        <f>INDEX('Operating Model'!$K415:$AL415,MATCH(D$5,'Operating Model'!$K$5:$AL$5))</f>
        <v>0</v>
      </c>
      <c r="E37" s="773" t="str">
        <f ca="1">INDEX('Operating Model'!$K415:$AL415,MATCH(E$5,'Operating Model'!$K$5:$AL$5))</f>
        <v>PASS</v>
      </c>
      <c r="F37" s="773" t="str">
        <f ca="1">INDEX('Operating Model'!$K415:$AL415,MATCH(F$5,'Operating Model'!$K$5:$AL$5))</f>
        <v>PASS</v>
      </c>
      <c r="G37" s="773" t="str">
        <f ca="1">INDEX('Operating Model'!$K415:$AL415,MATCH(G$5,'Operating Model'!$K$5:$AL$5))</f>
        <v>PASS</v>
      </c>
      <c r="H37" s="773" t="str">
        <f ca="1">INDEX('Operating Model'!$K415:$AL415,MATCH(H$5,'Operating Model'!$K$5:$AL$5))</f>
        <v>PASS</v>
      </c>
      <c r="I37" s="773" t="str">
        <f ca="1">INDEX('Operating Model'!$K415:$AL415,MATCH(I$5,'Operating Model'!$K$5:$AL$5))</f>
        <v>PASS</v>
      </c>
      <c r="J37" s="773" t="str">
        <f ca="1">INDEX('Operating Model'!$K415:$AL415,MATCH(J$5,'Operating Model'!$K$5:$AL$5))</f>
        <v>PASS</v>
      </c>
      <c r="K37" s="773" t="str">
        <f ca="1">INDEX('Operating Model'!$K415:$AL415,MATCH(K$5,'Operating Model'!$K$5:$AL$5))</f>
        <v>PASS</v>
      </c>
      <c r="L37" s="773" t="str">
        <f ca="1">INDEX('Operating Model'!$K415:$AL415,MATCH(L$5,'Operating Model'!$K$5:$AL$5))</f>
        <v>PASS</v>
      </c>
      <c r="M37" s="773" t="str">
        <f ca="1">INDEX('Operating Model'!$K415:$AL415,MATCH(M$5,'Operating Model'!$K$5:$AL$5))</f>
        <v>PASS</v>
      </c>
      <c r="N37" s="773" t="str">
        <f ca="1">INDEX('Operating Model'!$K415:$AL415,MATCH(N$5,'Operating Model'!$K$5:$AL$5))</f>
        <v>PASS</v>
      </c>
      <c r="O37" s="773" t="str">
        <f ca="1">INDEX('Operating Model'!$K415:$AL415,MATCH(O$5,'Operating Model'!$K$5:$AL$5))</f>
        <v>PASS</v>
      </c>
      <c r="P37" s="773" t="str">
        <f ca="1">INDEX('Operating Model'!$K415:$AL415,MATCH(P$5,'Operating Model'!$K$5:$AL$5))</f>
        <v>PASS</v>
      </c>
      <c r="Q37" s="773" t="str">
        <f ca="1">INDEX('Operating Model'!$K415:$AL415,MATCH(Q$5,'Operating Model'!$K$5:$AL$5))</f>
        <v>PASS</v>
      </c>
      <c r="R37" s="773" t="str">
        <f ca="1">INDEX('Operating Model'!$K415:$AL415,MATCH(R$5,'Operating Model'!$K$5:$AL$5))</f>
        <v>PASS</v>
      </c>
      <c r="S37" s="773" t="str">
        <f ca="1">INDEX('Operating Model'!$K415:$AL415,MATCH(S$5,'Operating Model'!$K$5:$AL$5))</f>
        <v>PASS</v>
      </c>
      <c r="T37" s="773" t="str">
        <f ca="1">INDEX('Operating Model'!$K415:$AL415,MATCH(T$5,'Operating Model'!$K$5:$AL$5))</f>
        <v>PASS</v>
      </c>
      <c r="U37" s="773" t="str">
        <f ca="1">INDEX('Operating Model'!$K415:$AL415,MATCH(U$5,'Operating Model'!$K$5:$AL$5))</f>
        <v>PASS</v>
      </c>
      <c r="V37" s="773" t="str">
        <f ca="1">INDEX('Operating Model'!$K415:$AL415,MATCH(V$5,'Operating Model'!$K$5:$AL$5))</f>
        <v>PASS</v>
      </c>
    </row>
    <row r="38" spans="2:22" outlineLevel="1" x14ac:dyDescent="0.25">
      <c r="B38" s="159" t="s">
        <v>31</v>
      </c>
      <c r="C38" s="774">
        <f>INDEX('Operating Model'!$K433:$AL433,MATCH(C$5,'Operating Model'!$K$5:$AL$5))</f>
        <v>1.25</v>
      </c>
      <c r="D38" s="774">
        <f>INDEX('Operating Model'!$K433:$AL433,MATCH(D$5,'Operating Model'!$K$5:$AL$5))</f>
        <v>1.25</v>
      </c>
      <c r="E38" s="774">
        <f>INDEX('Operating Model'!$K433:$AL433,MATCH(E$5,'Operating Model'!$K$5:$AL$5))</f>
        <v>1.25</v>
      </c>
      <c r="F38" s="774">
        <f>INDEX('Operating Model'!$K433:$AL433,MATCH(F$5,'Operating Model'!$K$5:$AL$5))</f>
        <v>1.25</v>
      </c>
      <c r="G38" s="774">
        <f>INDEX('Operating Model'!$K433:$AL433,MATCH(G$5,'Operating Model'!$K$5:$AL$5))</f>
        <v>1.25</v>
      </c>
      <c r="H38" s="774">
        <f>INDEX('Operating Model'!$K433:$AL433,MATCH(H$5,'Operating Model'!$K$5:$AL$5))</f>
        <v>1.25</v>
      </c>
      <c r="I38" s="774">
        <f>INDEX('Operating Model'!$K433:$AL433,MATCH(I$5,'Operating Model'!$K$5:$AL$5))</f>
        <v>1.25</v>
      </c>
      <c r="J38" s="774">
        <f>INDEX('Operating Model'!$K433:$AL433,MATCH(J$5,'Operating Model'!$K$5:$AL$5))</f>
        <v>1.25</v>
      </c>
      <c r="K38" s="774">
        <f>INDEX('Operating Model'!$K433:$AL433,MATCH(K$5,'Operating Model'!$K$5:$AL$5))</f>
        <v>1.25</v>
      </c>
      <c r="L38" s="774">
        <f>INDEX('Operating Model'!$K433:$AL433,MATCH(L$5,'Operating Model'!$K$5:$AL$5))</f>
        <v>1.25</v>
      </c>
      <c r="M38" s="774">
        <f>INDEX('Operating Model'!$K433:$AL433,MATCH(M$5,'Operating Model'!$K$5:$AL$5))</f>
        <v>1.25</v>
      </c>
      <c r="N38" s="774">
        <f>INDEX('Operating Model'!$K433:$AL433,MATCH(N$5,'Operating Model'!$K$5:$AL$5))</f>
        <v>1.25</v>
      </c>
      <c r="O38" s="774">
        <f>INDEX('Operating Model'!$K433:$AL433,MATCH(O$5,'Operating Model'!$K$5:$AL$5))</f>
        <v>1.25</v>
      </c>
      <c r="P38" s="774">
        <f>INDEX('Operating Model'!$K433:$AL433,MATCH(P$5,'Operating Model'!$K$5:$AL$5))</f>
        <v>1.25</v>
      </c>
      <c r="Q38" s="774">
        <f>INDEX('Operating Model'!$K433:$AL433,MATCH(Q$5,'Operating Model'!$K$5:$AL$5))</f>
        <v>1.25</v>
      </c>
      <c r="R38" s="774">
        <f>INDEX('Operating Model'!$K433:$AL433,MATCH(R$5,'Operating Model'!$K$5:$AL$5))</f>
        <v>1.25</v>
      </c>
      <c r="S38" s="774">
        <f>INDEX('Operating Model'!$K433:$AL433,MATCH(S$5,'Operating Model'!$K$5:$AL$5))</f>
        <v>1.25</v>
      </c>
      <c r="T38" s="774">
        <f>INDEX('Operating Model'!$K433:$AL433,MATCH(T$5,'Operating Model'!$K$5:$AL$5))</f>
        <v>1.25</v>
      </c>
      <c r="U38" s="774">
        <f>INDEX('Operating Model'!$K433:$AL433,MATCH(U$5,'Operating Model'!$K$5:$AL$5))</f>
        <v>1.25</v>
      </c>
      <c r="V38" s="774">
        <f>INDEX('Operating Model'!$K433:$AL433,MATCH(V$5,'Operating Model'!$K$5:$AL$5))</f>
        <v>1.25</v>
      </c>
    </row>
    <row r="39" spans="2:22" outlineLevel="1" x14ac:dyDescent="0.25">
      <c r="B39" s="160" t="s">
        <v>32</v>
      </c>
      <c r="C39" s="775">
        <f>INDEX('Operating Model'!$K434:$AL434,MATCH(C$5,'Operating Model'!$K$5:$AL$5))</f>
        <v>0</v>
      </c>
      <c r="D39" s="775">
        <f>INDEX('Operating Model'!$K434:$AL434,MATCH(D$5,'Operating Model'!$K$5:$AL$5))</f>
        <v>0</v>
      </c>
      <c r="E39" s="775">
        <f ca="1">INDEX('Operating Model'!$K434:$AL434,MATCH(E$5,'Operating Model'!$K$5:$AL$5))</f>
        <v>0</v>
      </c>
      <c r="F39" s="775">
        <f ca="1">INDEX('Operating Model'!$K434:$AL434,MATCH(F$5,'Operating Model'!$K$5:$AL$5))</f>
        <v>0</v>
      </c>
      <c r="G39" s="775">
        <f ca="1">INDEX('Operating Model'!$K434:$AL434,MATCH(G$5,'Operating Model'!$K$5:$AL$5))</f>
        <v>3.0556071948279313</v>
      </c>
      <c r="H39" s="775">
        <f ca="1">INDEX('Operating Model'!$K434:$AL434,MATCH(H$5,'Operating Model'!$K$5:$AL$5))</f>
        <v>3.4800035631469139</v>
      </c>
      <c r="I39" s="775">
        <f ca="1">INDEX('Operating Model'!$K434:$AL434,MATCH(I$5,'Operating Model'!$K$5:$AL$5))</f>
        <v>1.9038088518891838</v>
      </c>
      <c r="J39" s="775">
        <f ca="1">INDEX('Operating Model'!$K434:$AL434,MATCH(J$5,'Operating Model'!$K$5:$AL$5))</f>
        <v>2.0820723177364582</v>
      </c>
      <c r="K39" s="775">
        <f ca="1">INDEX('Operating Model'!$K434:$AL434,MATCH(K$5,'Operating Model'!$K$5:$AL$5))</f>
        <v>2.0081311006269624</v>
      </c>
      <c r="L39" s="775">
        <f ca="1">INDEX('Operating Model'!$K434:$AL434,MATCH(L$5,'Operating Model'!$K$5:$AL$5))</f>
        <v>2.0968593414163847</v>
      </c>
      <c r="M39" s="775">
        <f ca="1">INDEX('Operating Model'!$K434:$AL434,MATCH(M$5,'Operating Model'!$K$5:$AL$5))</f>
        <v>2.1897272585632899</v>
      </c>
      <c r="N39" s="775">
        <f ca="1">INDEX('Operating Model'!$K434:$AL434,MATCH(N$5,'Operating Model'!$K$5:$AL$5))</f>
        <v>2.2731879728030693</v>
      </c>
      <c r="O39" s="775">
        <f ca="1">INDEX('Operating Model'!$K434:$AL434,MATCH(O$5,'Operating Model'!$K$5:$AL$5))</f>
        <v>2.2800306033169662</v>
      </c>
      <c r="P39" s="775">
        <f ca="1">INDEX('Operating Model'!$K434:$AL434,MATCH(P$5,'Operating Model'!$K$5:$AL$5))</f>
        <v>2.3428463544815572</v>
      </c>
      <c r="Q39" s="775">
        <f ca="1">INDEX('Operating Model'!$K434:$AL434,MATCH(Q$5,'Operating Model'!$K$5:$AL$5))</f>
        <v>2.4126660053335458</v>
      </c>
      <c r="R39" s="775">
        <f ca="1">INDEX('Operating Model'!$K434:$AL434,MATCH(R$5,'Operating Model'!$K$5:$AL$5))</f>
        <v>2.4671743172809051</v>
      </c>
      <c r="S39" s="775">
        <f ca="1">INDEX('Operating Model'!$K434:$AL434,MATCH(S$5,'Operating Model'!$K$5:$AL$5))</f>
        <v>2.4626122708210478</v>
      </c>
      <c r="T39" s="775">
        <f ca="1">INDEX('Operating Model'!$K434:$AL434,MATCH(T$5,'Operating Model'!$K$5:$AL$5))</f>
        <v>2.4801236649100629</v>
      </c>
      <c r="U39" s="775">
        <f ca="1">INDEX('Operating Model'!$K434:$AL434,MATCH(U$5,'Operating Model'!$K$5:$AL$5))</f>
        <v>2.5147999254982305</v>
      </c>
      <c r="V39" s="775">
        <f ca="1">INDEX('Operating Model'!$K434:$AL434,MATCH(V$5,'Operating Model'!$K$5:$AL$5))</f>
        <v>2.5458074639837962</v>
      </c>
    </row>
    <row r="40" spans="2:22" outlineLevel="1" x14ac:dyDescent="0.25">
      <c r="B40" s="161" t="s">
        <v>30</v>
      </c>
      <c r="C40" s="773">
        <f>INDEX('Operating Model'!$K435:$AL435,MATCH(C$5,'Operating Model'!$K$5:$AL$5))</f>
        <v>0</v>
      </c>
      <c r="D40" s="773">
        <f>INDEX('Operating Model'!$K435:$AL435,MATCH(D$5,'Operating Model'!$K$5:$AL$5))</f>
        <v>0</v>
      </c>
      <c r="E40" s="773">
        <f ca="1">INDEX('Operating Model'!$K435:$AL435,MATCH(E$5,'Operating Model'!$K$5:$AL$5))</f>
        <v>0</v>
      </c>
      <c r="F40" s="773">
        <f ca="1">INDEX('Operating Model'!$K435:$AL435,MATCH(F$5,'Operating Model'!$K$5:$AL$5))</f>
        <v>0</v>
      </c>
      <c r="G40" s="773" t="str">
        <f ca="1">INDEX('Operating Model'!$K435:$AL435,MATCH(G$5,'Operating Model'!$K$5:$AL$5))</f>
        <v>PASS</v>
      </c>
      <c r="H40" s="773" t="str">
        <f ca="1">INDEX('Operating Model'!$K435:$AL435,MATCH(H$5,'Operating Model'!$K$5:$AL$5))</f>
        <v>PASS</v>
      </c>
      <c r="I40" s="773" t="str">
        <f ca="1">INDEX('Operating Model'!$K435:$AL435,MATCH(I$5,'Operating Model'!$K$5:$AL$5))</f>
        <v>PASS</v>
      </c>
      <c r="J40" s="773" t="str">
        <f ca="1">INDEX('Operating Model'!$K435:$AL435,MATCH(J$5,'Operating Model'!$K$5:$AL$5))</f>
        <v>PASS</v>
      </c>
      <c r="K40" s="773" t="str">
        <f ca="1">INDEX('Operating Model'!$K435:$AL435,MATCH(K$5,'Operating Model'!$K$5:$AL$5))</f>
        <v>PASS</v>
      </c>
      <c r="L40" s="773" t="str">
        <f ca="1">INDEX('Operating Model'!$K435:$AL435,MATCH(L$5,'Operating Model'!$K$5:$AL$5))</f>
        <v>PASS</v>
      </c>
      <c r="M40" s="773" t="str">
        <f ca="1">INDEX('Operating Model'!$K435:$AL435,MATCH(M$5,'Operating Model'!$K$5:$AL$5))</f>
        <v>PASS</v>
      </c>
      <c r="N40" s="773" t="str">
        <f ca="1">INDEX('Operating Model'!$K435:$AL435,MATCH(N$5,'Operating Model'!$K$5:$AL$5))</f>
        <v>PASS</v>
      </c>
      <c r="O40" s="773" t="str">
        <f ca="1">INDEX('Operating Model'!$K435:$AL435,MATCH(O$5,'Operating Model'!$K$5:$AL$5))</f>
        <v>PASS</v>
      </c>
      <c r="P40" s="773" t="str">
        <f ca="1">INDEX('Operating Model'!$K435:$AL435,MATCH(P$5,'Operating Model'!$K$5:$AL$5))</f>
        <v>PASS</v>
      </c>
      <c r="Q40" s="773" t="str">
        <f ca="1">INDEX('Operating Model'!$K435:$AL435,MATCH(Q$5,'Operating Model'!$K$5:$AL$5))</f>
        <v>PASS</v>
      </c>
      <c r="R40" s="773" t="str">
        <f ca="1">INDEX('Operating Model'!$K435:$AL435,MATCH(R$5,'Operating Model'!$K$5:$AL$5))</f>
        <v>PASS</v>
      </c>
      <c r="S40" s="773" t="str">
        <f ca="1">INDEX('Operating Model'!$K435:$AL435,MATCH(S$5,'Operating Model'!$K$5:$AL$5))</f>
        <v>PASS</v>
      </c>
      <c r="T40" s="773" t="str">
        <f ca="1">INDEX('Operating Model'!$K435:$AL435,MATCH(T$5,'Operating Model'!$K$5:$AL$5))</f>
        <v>PASS</v>
      </c>
      <c r="U40" s="773" t="str">
        <f ca="1">INDEX('Operating Model'!$K435:$AL435,MATCH(U$5,'Operating Model'!$K$5:$AL$5))</f>
        <v>PASS</v>
      </c>
      <c r="V40" s="773" t="str">
        <f ca="1">INDEX('Operating Model'!$K435:$AL435,MATCH(V$5,'Operating Model'!$K$5:$AL$5))</f>
        <v>PASS</v>
      </c>
    </row>
    <row r="41" spans="2:22" outlineLevel="1" x14ac:dyDescent="0.25">
      <c r="B41" s="159" t="s">
        <v>33</v>
      </c>
      <c r="C41" s="774">
        <f>INDEX('Operating Model'!$K447:$AL447,MATCH(C$5,'Operating Model'!$K$5:$AL$5))</f>
        <v>3.5</v>
      </c>
      <c r="D41" s="774">
        <f>INDEX('Operating Model'!$K447:$AL447,MATCH(D$5,'Operating Model'!$K$5:$AL$5))</f>
        <v>3.5</v>
      </c>
      <c r="E41" s="774">
        <f>INDEX('Operating Model'!$K447:$AL447,MATCH(E$5,'Operating Model'!$K$5:$AL$5))</f>
        <v>3.5</v>
      </c>
      <c r="F41" s="774">
        <f>INDEX('Operating Model'!$K447:$AL447,MATCH(F$5,'Operating Model'!$K$5:$AL$5))</f>
        <v>3.5</v>
      </c>
      <c r="G41" s="774">
        <f>INDEX('Operating Model'!$K447:$AL447,MATCH(G$5,'Operating Model'!$K$5:$AL$5))</f>
        <v>3.5</v>
      </c>
      <c r="H41" s="774">
        <f>INDEX('Operating Model'!$K447:$AL447,MATCH(H$5,'Operating Model'!$K$5:$AL$5))</f>
        <v>3.5</v>
      </c>
      <c r="I41" s="774">
        <f>INDEX('Operating Model'!$K447:$AL447,MATCH(I$5,'Operating Model'!$K$5:$AL$5))</f>
        <v>3.5</v>
      </c>
      <c r="J41" s="774">
        <f>INDEX('Operating Model'!$K447:$AL447,MATCH(J$5,'Operating Model'!$K$5:$AL$5))</f>
        <v>3.5</v>
      </c>
      <c r="K41" s="774">
        <f>INDEX('Operating Model'!$K447:$AL447,MATCH(K$5,'Operating Model'!$K$5:$AL$5))</f>
        <v>3.5</v>
      </c>
      <c r="L41" s="774">
        <f>INDEX('Operating Model'!$K447:$AL447,MATCH(L$5,'Operating Model'!$K$5:$AL$5))</f>
        <v>3.5</v>
      </c>
      <c r="M41" s="774">
        <f>INDEX('Operating Model'!$K447:$AL447,MATCH(M$5,'Operating Model'!$K$5:$AL$5))</f>
        <v>3.5</v>
      </c>
      <c r="N41" s="774">
        <f>INDEX('Operating Model'!$K447:$AL447,MATCH(N$5,'Operating Model'!$K$5:$AL$5))</f>
        <v>3.5</v>
      </c>
      <c r="O41" s="774">
        <f>INDEX('Operating Model'!$K447:$AL447,MATCH(O$5,'Operating Model'!$K$5:$AL$5))</f>
        <v>3.5</v>
      </c>
      <c r="P41" s="774">
        <f>INDEX('Operating Model'!$K447:$AL447,MATCH(P$5,'Operating Model'!$K$5:$AL$5))</f>
        <v>3.5</v>
      </c>
      <c r="Q41" s="774">
        <f>INDEX('Operating Model'!$K447:$AL447,MATCH(Q$5,'Operating Model'!$K$5:$AL$5))</f>
        <v>3.5</v>
      </c>
      <c r="R41" s="774">
        <f>INDEX('Operating Model'!$K447:$AL447,MATCH(R$5,'Operating Model'!$K$5:$AL$5))</f>
        <v>3.5</v>
      </c>
      <c r="S41" s="774">
        <f>INDEX('Operating Model'!$K447:$AL447,MATCH(S$5,'Operating Model'!$K$5:$AL$5))</f>
        <v>3.5</v>
      </c>
      <c r="T41" s="774">
        <f>INDEX('Operating Model'!$K447:$AL447,MATCH(T$5,'Operating Model'!$K$5:$AL$5))</f>
        <v>3.5</v>
      </c>
      <c r="U41" s="774">
        <f>INDEX('Operating Model'!$K447:$AL447,MATCH(U$5,'Operating Model'!$K$5:$AL$5))</f>
        <v>3.5</v>
      </c>
      <c r="V41" s="774">
        <f>INDEX('Operating Model'!$K447:$AL447,MATCH(V$5,'Operating Model'!$K$5:$AL$5))</f>
        <v>3.5</v>
      </c>
    </row>
    <row r="42" spans="2:22" outlineLevel="1" x14ac:dyDescent="0.25">
      <c r="B42" s="160" t="s">
        <v>34</v>
      </c>
      <c r="C42" s="775">
        <f>INDEX('Operating Model'!$K448:$AL448,MATCH(C$5,'Operating Model'!$K$5:$AL$5))</f>
        <v>0</v>
      </c>
      <c r="D42" s="775">
        <f>INDEX('Operating Model'!$K448:$AL448,MATCH(D$5,'Operating Model'!$K$5:$AL$5))</f>
        <v>0</v>
      </c>
      <c r="E42" s="775">
        <f ca="1">INDEX('Operating Model'!$K448:$AL448,MATCH(E$5,'Operating Model'!$K$5:$AL$5))</f>
        <v>0</v>
      </c>
      <c r="F42" s="775">
        <f ca="1">INDEX('Operating Model'!$K448:$AL448,MATCH(F$5,'Operating Model'!$K$5:$AL$5))</f>
        <v>0</v>
      </c>
      <c r="G42" s="775">
        <f ca="1">INDEX('Operating Model'!$K448:$AL448,MATCH(G$5,'Operating Model'!$K$5:$AL$5))</f>
        <v>0</v>
      </c>
      <c r="H42" s="775">
        <f ca="1">INDEX('Operating Model'!$K448:$AL448,MATCH(H$5,'Operating Model'!$K$5:$AL$5))</f>
        <v>0</v>
      </c>
      <c r="I42" s="775">
        <f ca="1">INDEX('Operating Model'!$K448:$AL448,MATCH(I$5,'Operating Model'!$K$5:$AL$5))</f>
        <v>0</v>
      </c>
      <c r="J42" s="775">
        <f ca="1">INDEX('Operating Model'!$K448:$AL448,MATCH(J$5,'Operating Model'!$K$5:$AL$5))</f>
        <v>0</v>
      </c>
      <c r="K42" s="775">
        <f ca="1">INDEX('Operating Model'!$K448:$AL448,MATCH(K$5,'Operating Model'!$K$5:$AL$5))</f>
        <v>0</v>
      </c>
      <c r="L42" s="775">
        <f ca="1">INDEX('Operating Model'!$K448:$AL448,MATCH(L$5,'Operating Model'!$K$5:$AL$5))</f>
        <v>0</v>
      </c>
      <c r="M42" s="775">
        <f ca="1">INDEX('Operating Model'!$K448:$AL448,MATCH(M$5,'Operating Model'!$K$5:$AL$5))</f>
        <v>0</v>
      </c>
      <c r="N42" s="775">
        <f ca="1">INDEX('Operating Model'!$K448:$AL448,MATCH(N$5,'Operating Model'!$K$5:$AL$5))</f>
        <v>0</v>
      </c>
      <c r="O42" s="775">
        <f ca="1">INDEX('Operating Model'!$K448:$AL448,MATCH(O$5,'Operating Model'!$K$5:$AL$5))</f>
        <v>0</v>
      </c>
      <c r="P42" s="775">
        <f ca="1">INDEX('Operating Model'!$K448:$AL448,MATCH(P$5,'Operating Model'!$K$5:$AL$5))</f>
        <v>0</v>
      </c>
      <c r="Q42" s="775">
        <f ca="1">INDEX('Operating Model'!$K448:$AL448,MATCH(Q$5,'Operating Model'!$K$5:$AL$5))</f>
        <v>0</v>
      </c>
      <c r="R42" s="775">
        <f ca="1">INDEX('Operating Model'!$K448:$AL448,MATCH(R$5,'Operating Model'!$K$5:$AL$5))</f>
        <v>0</v>
      </c>
      <c r="S42" s="775">
        <f ca="1">INDEX('Operating Model'!$K448:$AL448,MATCH(S$5,'Operating Model'!$K$5:$AL$5))</f>
        <v>9.0445672208032082E-2</v>
      </c>
      <c r="T42" s="775">
        <f ca="1">INDEX('Operating Model'!$K448:$AL448,MATCH(T$5,'Operating Model'!$K$5:$AL$5))</f>
        <v>1.3088409939767377E-2</v>
      </c>
      <c r="U42" s="775">
        <f ca="1">INDEX('Operating Model'!$K448:$AL448,MATCH(U$5,'Operating Model'!$K$5:$AL$5))</f>
        <v>0</v>
      </c>
      <c r="V42" s="775">
        <f ca="1">INDEX('Operating Model'!$K448:$AL448,MATCH(V$5,'Operating Model'!$K$5:$AL$5))</f>
        <v>0</v>
      </c>
    </row>
    <row r="43" spans="2:22" outlineLevel="1" x14ac:dyDescent="0.25">
      <c r="B43" s="161" t="s">
        <v>30</v>
      </c>
      <c r="C43" s="773">
        <f>INDEX('Operating Model'!$K449:$AL449,MATCH(C$5,'Operating Model'!$K$5:$AL$5))</f>
        <v>0</v>
      </c>
      <c r="D43" s="773">
        <f>INDEX('Operating Model'!$K449:$AL449,MATCH(D$5,'Operating Model'!$K$5:$AL$5))</f>
        <v>0</v>
      </c>
      <c r="E43" s="773">
        <f ca="1">INDEX('Operating Model'!$K449:$AL449,MATCH(E$5,'Operating Model'!$K$5:$AL$5))</f>
        <v>0</v>
      </c>
      <c r="F43" s="773">
        <f ca="1">INDEX('Operating Model'!$K449:$AL449,MATCH(F$5,'Operating Model'!$K$5:$AL$5))</f>
        <v>0</v>
      </c>
      <c r="G43" s="773">
        <f ca="1">INDEX('Operating Model'!$K449:$AL449,MATCH(G$5,'Operating Model'!$K$5:$AL$5))</f>
        <v>0</v>
      </c>
      <c r="H43" s="773">
        <f ca="1">INDEX('Operating Model'!$K449:$AL449,MATCH(H$5,'Operating Model'!$K$5:$AL$5))</f>
        <v>0</v>
      </c>
      <c r="I43" s="773">
        <f ca="1">INDEX('Operating Model'!$K449:$AL449,MATCH(I$5,'Operating Model'!$K$5:$AL$5))</f>
        <v>0</v>
      </c>
      <c r="J43" s="773">
        <f ca="1">INDEX('Operating Model'!$K449:$AL449,MATCH(J$5,'Operating Model'!$K$5:$AL$5))</f>
        <v>0</v>
      </c>
      <c r="K43" s="773">
        <f ca="1">INDEX('Operating Model'!$K449:$AL449,MATCH(K$5,'Operating Model'!$K$5:$AL$5))</f>
        <v>0</v>
      </c>
      <c r="L43" s="773">
        <f ca="1">INDEX('Operating Model'!$K449:$AL449,MATCH(L$5,'Operating Model'!$K$5:$AL$5))</f>
        <v>0</v>
      </c>
      <c r="M43" s="773">
        <f ca="1">INDEX('Operating Model'!$K449:$AL449,MATCH(M$5,'Operating Model'!$K$5:$AL$5))</f>
        <v>0</v>
      </c>
      <c r="N43" s="773">
        <f ca="1">INDEX('Operating Model'!$K449:$AL449,MATCH(N$5,'Operating Model'!$K$5:$AL$5))</f>
        <v>0</v>
      </c>
      <c r="O43" s="773">
        <f ca="1">INDEX('Operating Model'!$K449:$AL449,MATCH(O$5,'Operating Model'!$K$5:$AL$5))</f>
        <v>0</v>
      </c>
      <c r="P43" s="773">
        <f ca="1">INDEX('Operating Model'!$K449:$AL449,MATCH(P$5,'Operating Model'!$K$5:$AL$5))</f>
        <v>0</v>
      </c>
      <c r="Q43" s="773">
        <f ca="1">INDEX('Operating Model'!$K449:$AL449,MATCH(Q$5,'Operating Model'!$K$5:$AL$5))</f>
        <v>0</v>
      </c>
      <c r="R43" s="773">
        <f ca="1">INDEX('Operating Model'!$K449:$AL449,MATCH(R$5,'Operating Model'!$K$5:$AL$5))</f>
        <v>0</v>
      </c>
      <c r="S43" s="773" t="str">
        <f ca="1">INDEX('Operating Model'!$K449:$AL449,MATCH(S$5,'Operating Model'!$K$5:$AL$5))</f>
        <v>PASS</v>
      </c>
      <c r="T43" s="773" t="str">
        <f ca="1">INDEX('Operating Model'!$K449:$AL449,MATCH(T$5,'Operating Model'!$K$5:$AL$5))</f>
        <v>PASS</v>
      </c>
      <c r="U43" s="773">
        <f ca="1">INDEX('Operating Model'!$K449:$AL449,MATCH(U$5,'Operating Model'!$K$5:$AL$5))</f>
        <v>0</v>
      </c>
      <c r="V43" s="773">
        <f ca="1">INDEX('Operating Model'!$K449:$AL449,MATCH(V$5,'Operating Model'!$K$5:$AL$5))</f>
        <v>0</v>
      </c>
    </row>
    <row r="44" spans="2:22" outlineLevel="1" x14ac:dyDescent="0.25">
      <c r="B44" s="159" t="s">
        <v>35</v>
      </c>
      <c r="C44" s="774">
        <f>INDEX('Operating Model'!$K451:$AL451,MATCH(C$5,'Operating Model'!$K$5:$AL$5))</f>
        <v>4.5</v>
      </c>
      <c r="D44" s="774">
        <f>INDEX('Operating Model'!$K451:$AL451,MATCH(D$5,'Operating Model'!$K$5:$AL$5))</f>
        <v>4.5</v>
      </c>
      <c r="E44" s="774">
        <f>INDEX('Operating Model'!$K451:$AL451,MATCH(E$5,'Operating Model'!$K$5:$AL$5))</f>
        <v>4.5</v>
      </c>
      <c r="F44" s="774">
        <f>INDEX('Operating Model'!$K451:$AL451,MATCH(F$5,'Operating Model'!$K$5:$AL$5))</f>
        <v>4.5</v>
      </c>
      <c r="G44" s="774">
        <f>INDEX('Operating Model'!$K451:$AL451,MATCH(G$5,'Operating Model'!$K$5:$AL$5))</f>
        <v>4.5</v>
      </c>
      <c r="H44" s="774">
        <f>INDEX('Operating Model'!$K451:$AL451,MATCH(H$5,'Operating Model'!$K$5:$AL$5))</f>
        <v>4.5</v>
      </c>
      <c r="I44" s="774">
        <f>INDEX('Operating Model'!$K451:$AL451,MATCH(I$5,'Operating Model'!$K$5:$AL$5))</f>
        <v>4.5</v>
      </c>
      <c r="J44" s="774">
        <f>INDEX('Operating Model'!$K451:$AL451,MATCH(J$5,'Operating Model'!$K$5:$AL$5))</f>
        <v>4.5</v>
      </c>
      <c r="K44" s="774">
        <f>INDEX('Operating Model'!$K451:$AL451,MATCH(K$5,'Operating Model'!$K$5:$AL$5))</f>
        <v>4.5</v>
      </c>
      <c r="L44" s="774">
        <f>INDEX('Operating Model'!$K451:$AL451,MATCH(L$5,'Operating Model'!$K$5:$AL$5))</f>
        <v>4.5</v>
      </c>
      <c r="M44" s="774">
        <f>INDEX('Operating Model'!$K451:$AL451,MATCH(M$5,'Operating Model'!$K$5:$AL$5))</f>
        <v>4.5</v>
      </c>
      <c r="N44" s="774">
        <f>INDEX('Operating Model'!$K451:$AL451,MATCH(N$5,'Operating Model'!$K$5:$AL$5))</f>
        <v>4.5</v>
      </c>
      <c r="O44" s="774">
        <f>INDEX('Operating Model'!$K451:$AL451,MATCH(O$5,'Operating Model'!$K$5:$AL$5))</f>
        <v>4.5</v>
      </c>
      <c r="P44" s="774">
        <f>INDEX('Operating Model'!$K451:$AL451,MATCH(P$5,'Operating Model'!$K$5:$AL$5))</f>
        <v>4.5</v>
      </c>
      <c r="Q44" s="774">
        <f>INDEX('Operating Model'!$K451:$AL451,MATCH(Q$5,'Operating Model'!$K$5:$AL$5))</f>
        <v>4.5</v>
      </c>
      <c r="R44" s="774">
        <f>INDEX('Operating Model'!$K451:$AL451,MATCH(R$5,'Operating Model'!$K$5:$AL$5))</f>
        <v>4.5</v>
      </c>
      <c r="S44" s="774">
        <f>INDEX('Operating Model'!$K451:$AL451,MATCH(S$5,'Operating Model'!$K$5:$AL$5))</f>
        <v>4.5</v>
      </c>
      <c r="T44" s="774">
        <f>INDEX('Operating Model'!$K451:$AL451,MATCH(T$5,'Operating Model'!$K$5:$AL$5))</f>
        <v>4.5</v>
      </c>
      <c r="U44" s="774">
        <f>INDEX('Operating Model'!$K451:$AL451,MATCH(U$5,'Operating Model'!$K$5:$AL$5))</f>
        <v>4.5</v>
      </c>
      <c r="V44" s="774">
        <f>INDEX('Operating Model'!$K451:$AL451,MATCH(V$5,'Operating Model'!$K$5:$AL$5))</f>
        <v>4.5</v>
      </c>
    </row>
    <row r="45" spans="2:22" outlineLevel="1" x14ac:dyDescent="0.25">
      <c r="B45" s="160" t="s">
        <v>36</v>
      </c>
      <c r="C45" s="775">
        <f>INDEX('Operating Model'!$K452:$AL452,MATCH(C$5,'Operating Model'!$K$5:$AL$5))</f>
        <v>0</v>
      </c>
      <c r="D45" s="775">
        <f>INDEX('Operating Model'!$K452:$AL452,MATCH(D$5,'Operating Model'!$K$5:$AL$5))</f>
        <v>0</v>
      </c>
      <c r="E45" s="775">
        <f ca="1">INDEX('Operating Model'!$K452:$AL452,MATCH(E$5,'Operating Model'!$K$5:$AL$5))</f>
        <v>12.769110413135325</v>
      </c>
      <c r="F45" s="775">
        <f ca="1">INDEX('Operating Model'!$K452:$AL452,MATCH(F$5,'Operating Model'!$K$5:$AL$5))</f>
        <v>12.100334815001428</v>
      </c>
      <c r="G45" s="775">
        <f ca="1">INDEX('Operating Model'!$K452:$AL452,MATCH(G$5,'Operating Model'!$K$5:$AL$5))</f>
        <v>10.506113352473397</v>
      </c>
      <c r="H45" s="775">
        <f ca="1">INDEX('Operating Model'!$K452:$AL452,MATCH(H$5,'Operating Model'!$K$5:$AL$5))</f>
        <v>9.1393048721774939</v>
      </c>
      <c r="I45" s="775">
        <f ca="1">INDEX('Operating Model'!$K452:$AL452,MATCH(I$5,'Operating Model'!$K$5:$AL$5))</f>
        <v>8.3536391814888447</v>
      </c>
      <c r="J45" s="775">
        <f ca="1">INDEX('Operating Model'!$K452:$AL452,MATCH(J$5,'Operating Model'!$K$5:$AL$5))</f>
        <v>7.5341709058000683</v>
      </c>
      <c r="K45" s="775">
        <f ca="1">INDEX('Operating Model'!$K452:$AL452,MATCH(K$5,'Operating Model'!$K$5:$AL$5))</f>
        <v>7.2713146244592775</v>
      </c>
      <c r="L45" s="775">
        <f ca="1">INDEX('Operating Model'!$K452:$AL452,MATCH(L$5,'Operating Model'!$K$5:$AL$5))</f>
        <v>6.9893598304006579</v>
      </c>
      <c r="M45" s="775">
        <f ca="1">INDEX('Operating Model'!$K452:$AL452,MATCH(M$5,'Operating Model'!$K$5:$AL$5))</f>
        <v>6.7206711659613187</v>
      </c>
      <c r="N45" s="775">
        <f ca="1">INDEX('Operating Model'!$K452:$AL452,MATCH(N$5,'Operating Model'!$K$5:$AL$5))</f>
        <v>6.474987624768441</v>
      </c>
      <c r="O45" s="775">
        <f ca="1">INDEX('Operating Model'!$K452:$AL452,MATCH(O$5,'Operating Model'!$K$5:$AL$5))</f>
        <v>6.338726705809747</v>
      </c>
      <c r="P45" s="775">
        <f ca="1">INDEX('Operating Model'!$K452:$AL452,MATCH(P$5,'Operating Model'!$K$5:$AL$5))</f>
        <v>6.1875378818888302</v>
      </c>
      <c r="Q45" s="775">
        <f ca="1">INDEX('Operating Model'!$K452:$AL452,MATCH(Q$5,'Operating Model'!$K$5:$AL$5))</f>
        <v>6.0348413334357485</v>
      </c>
      <c r="R45" s="775">
        <f ca="1">INDEX('Operating Model'!$K452:$AL452,MATCH(R$5,'Operating Model'!$K$5:$AL$5))</f>
        <v>5.8956421129838992</v>
      </c>
      <c r="S45" s="775">
        <f ca="1">INDEX('Operating Model'!$K452:$AL452,MATCH(S$5,'Operating Model'!$K$5:$AL$5))</f>
        <v>5.923751647265548</v>
      </c>
      <c r="T45" s="775">
        <f ca="1">INDEX('Operating Model'!$K452:$AL452,MATCH(T$5,'Operating Model'!$K$5:$AL$5))</f>
        <v>5.7754647323235035</v>
      </c>
      <c r="U45" s="775">
        <f ca="1">INDEX('Operating Model'!$K452:$AL452,MATCH(U$5,'Operating Model'!$K$5:$AL$5))</f>
        <v>5.6876647976996235</v>
      </c>
      <c r="V45" s="775">
        <f ca="1">INDEX('Operating Model'!$K452:$AL452,MATCH(V$5,'Operating Model'!$K$5:$AL$5))</f>
        <v>5.6193307328961062</v>
      </c>
    </row>
    <row r="46" spans="2:22" outlineLevel="1" x14ac:dyDescent="0.25">
      <c r="B46" s="161" t="s">
        <v>30</v>
      </c>
      <c r="C46" s="773">
        <f>INDEX('Operating Model'!$K453:$AL453,MATCH(C$5,'Operating Model'!$K$5:$AL$5))</f>
        <v>0</v>
      </c>
      <c r="D46" s="773">
        <f>INDEX('Operating Model'!$K453:$AL453,MATCH(D$5,'Operating Model'!$K$5:$AL$5))</f>
        <v>0</v>
      </c>
      <c r="E46" s="773" t="str">
        <f ca="1">INDEX('Operating Model'!$K453:$AL453,MATCH(E$5,'Operating Model'!$K$5:$AL$5))</f>
        <v>FAIL</v>
      </c>
      <c r="F46" s="773" t="str">
        <f ca="1">INDEX('Operating Model'!$K453:$AL453,MATCH(F$5,'Operating Model'!$K$5:$AL$5))</f>
        <v>FAIL</v>
      </c>
      <c r="G46" s="773" t="str">
        <f ca="1">INDEX('Operating Model'!$K453:$AL453,MATCH(G$5,'Operating Model'!$K$5:$AL$5))</f>
        <v>FAIL</v>
      </c>
      <c r="H46" s="773" t="str">
        <f ca="1">INDEX('Operating Model'!$K453:$AL453,MATCH(H$5,'Operating Model'!$K$5:$AL$5))</f>
        <v>FAIL</v>
      </c>
      <c r="I46" s="773" t="str">
        <f ca="1">INDEX('Operating Model'!$K453:$AL453,MATCH(I$5,'Operating Model'!$K$5:$AL$5))</f>
        <v>FAIL</v>
      </c>
      <c r="J46" s="773" t="str">
        <f ca="1">INDEX('Operating Model'!$K453:$AL453,MATCH(J$5,'Operating Model'!$K$5:$AL$5))</f>
        <v>FAIL</v>
      </c>
      <c r="K46" s="773" t="str">
        <f ca="1">INDEX('Operating Model'!$K453:$AL453,MATCH(K$5,'Operating Model'!$K$5:$AL$5))</f>
        <v>FAIL</v>
      </c>
      <c r="L46" s="773" t="str">
        <f ca="1">INDEX('Operating Model'!$K453:$AL453,MATCH(L$5,'Operating Model'!$K$5:$AL$5))</f>
        <v>FAIL</v>
      </c>
      <c r="M46" s="773" t="str">
        <f ca="1">INDEX('Operating Model'!$K453:$AL453,MATCH(M$5,'Operating Model'!$K$5:$AL$5))</f>
        <v>FAIL</v>
      </c>
      <c r="N46" s="773" t="str">
        <f ca="1">INDEX('Operating Model'!$K453:$AL453,MATCH(N$5,'Operating Model'!$K$5:$AL$5))</f>
        <v>FAIL</v>
      </c>
      <c r="O46" s="773" t="str">
        <f ca="1">INDEX('Operating Model'!$K453:$AL453,MATCH(O$5,'Operating Model'!$K$5:$AL$5))</f>
        <v>FAIL</v>
      </c>
      <c r="P46" s="773" t="str">
        <f ca="1">INDEX('Operating Model'!$K453:$AL453,MATCH(P$5,'Operating Model'!$K$5:$AL$5))</f>
        <v>FAIL</v>
      </c>
      <c r="Q46" s="773" t="str">
        <f ca="1">INDEX('Operating Model'!$K453:$AL453,MATCH(Q$5,'Operating Model'!$K$5:$AL$5))</f>
        <v>FAIL</v>
      </c>
      <c r="R46" s="773" t="str">
        <f ca="1">INDEX('Operating Model'!$K453:$AL453,MATCH(R$5,'Operating Model'!$K$5:$AL$5))</f>
        <v>FAIL</v>
      </c>
      <c r="S46" s="773" t="str">
        <f ca="1">INDEX('Operating Model'!$K453:$AL453,MATCH(S$5,'Operating Model'!$K$5:$AL$5))</f>
        <v>FAIL</v>
      </c>
      <c r="T46" s="773" t="str">
        <f ca="1">INDEX('Operating Model'!$K453:$AL453,MATCH(T$5,'Operating Model'!$K$5:$AL$5))</f>
        <v>FAIL</v>
      </c>
      <c r="U46" s="773" t="str">
        <f ca="1">INDEX('Operating Model'!$K453:$AL453,MATCH(U$5,'Operating Model'!$K$5:$AL$5))</f>
        <v>FAIL</v>
      </c>
      <c r="V46" s="773" t="str">
        <f ca="1">INDEX('Operating Model'!$K453:$AL453,MATCH(V$5,'Operating Model'!$K$5:$AL$5))</f>
        <v>FAIL</v>
      </c>
    </row>
    <row r="48" spans="2:22" x14ac:dyDescent="0.25">
      <c r="B48" s="1401" t="s">
        <v>37</v>
      </c>
      <c r="C48" s="1403"/>
      <c r="D48" s="1403"/>
      <c r="E48" s="1403"/>
      <c r="F48" s="1403"/>
      <c r="G48" s="1403"/>
      <c r="H48" s="1403"/>
      <c r="I48" s="1403"/>
      <c r="J48" s="1403"/>
      <c r="K48" s="1403"/>
      <c r="L48" s="1403"/>
      <c r="M48" s="1403"/>
      <c r="N48" s="1403"/>
      <c r="O48" s="1403"/>
      <c r="P48" s="1403"/>
      <c r="Q48" s="1403"/>
      <c r="R48" s="1403"/>
      <c r="S48" s="1403"/>
      <c r="T48" s="1403"/>
      <c r="U48" s="1403"/>
      <c r="V48" s="1403"/>
    </row>
    <row r="49" spans="2:22" x14ac:dyDescent="0.25">
      <c r="B49" s="153" t="s">
        <v>38</v>
      </c>
      <c r="C49" s="182">
        <f ca="1">INDEX('Operating Model'!$K490:$AL490,MATCH('Quarterly Summary'!C$5,'Operating Model'!$K$5:$AL$5))</f>
        <v>0</v>
      </c>
      <c r="D49" s="182">
        <f ca="1">INDEX('Operating Model'!$K490:$AL490,MATCH('Quarterly Summary'!D$5,'Operating Model'!$K$5:$AL$5))</f>
        <v>0</v>
      </c>
      <c r="E49" s="182">
        <f ca="1">INDEX('Operating Model'!$K490:$AL490,MATCH('Quarterly Summary'!E$5,'Operating Model'!$K$5:$AL$5))</f>
        <v>0</v>
      </c>
      <c r="F49" s="182">
        <f ca="1">INDEX('Operating Model'!$K490:$AL490,MATCH('Quarterly Summary'!F$5,'Operating Model'!$K$5:$AL$5))</f>
        <v>6127230.2655016035</v>
      </c>
      <c r="G49" s="182">
        <f ca="1">INDEX('Operating Model'!$K490:$AL490,MATCH('Quarterly Summary'!G$5,'Operating Model'!$K$5:$AL$5))</f>
        <v>6360180.4661552124</v>
      </c>
      <c r="H49" s="182">
        <f ca="1">INDEX('Operating Model'!$K490:$AL490,MATCH('Quarterly Summary'!H$5,'Operating Model'!$K$5:$AL$5))</f>
        <v>6622545.1864321213</v>
      </c>
      <c r="I49" s="182">
        <f ca="1">INDEX('Operating Model'!$K490:$AL490,MATCH('Quarterly Summary'!I$5,'Operating Model'!$K$5:$AL$5))</f>
        <v>6932364.5069294721</v>
      </c>
      <c r="J49" s="182">
        <f ca="1">INDEX('Operating Model'!$K490:$AL490,MATCH('Quarterly Summary'!J$5,'Operating Model'!$K$5:$AL$5))</f>
        <v>7225956.7329398505</v>
      </c>
      <c r="K49" s="182">
        <f ca="1">INDEX('Operating Model'!$K490:$AL490,MATCH('Quarterly Summary'!K$5,'Operating Model'!$K$5:$AL$5))</f>
        <v>7437399.2909321673</v>
      </c>
      <c r="L49" s="182">
        <f ca="1">INDEX('Operating Model'!$K490:$AL490,MATCH('Quarterly Summary'!L$5,'Operating Model'!$K$5:$AL$5))</f>
        <v>7678577.6178686731</v>
      </c>
      <c r="M49" s="182">
        <f ca="1">INDEX('Operating Model'!$K490:$AL490,MATCH('Quarterly Summary'!M$5,'Operating Model'!$K$5:$AL$5))</f>
        <v>7977784.3994504195</v>
      </c>
      <c r="N49" s="182">
        <f ca="1">INDEX('Operating Model'!$K490:$AL490,MATCH('Quarterly Summary'!N$5,'Operating Model'!$K$5:$AL$5))</f>
        <v>8247221.5550078955</v>
      </c>
      <c r="O49" s="182">
        <f ca="1">INDEX('Operating Model'!$K490:$AL490,MATCH('Quarterly Summary'!O$5,'Operating Model'!$K$5:$AL$5))</f>
        <v>8394947.4705503732</v>
      </c>
      <c r="P49" s="182">
        <f ca="1">INDEX('Operating Model'!$K490:$AL490,MATCH('Quarterly Summary'!P$5,'Operating Model'!$K$5:$AL$5))</f>
        <v>8573478.4004612863</v>
      </c>
      <c r="Q49" s="182">
        <f ca="1">INDEX('Operating Model'!$K490:$AL490,MATCH('Quarterly Summary'!Q$5,'Operating Model'!$K$5:$AL$5))</f>
        <v>8800063.8872772697</v>
      </c>
      <c r="R49" s="182">
        <f ca="1">INDEX('Operating Model'!$K490:$AL490,MATCH('Quarterly Summary'!R$5,'Operating Model'!$K$5:$AL$5))</f>
        <v>8998073.222975852</v>
      </c>
      <c r="S49" s="182">
        <f ca="1">INDEX('Operating Model'!$K490:$AL490,MATCH('Quarterly Summary'!S$5,'Operating Model'!$K$5:$AL$5))</f>
        <v>9081058.2774530519</v>
      </c>
      <c r="T49" s="182">
        <f ca="1">INDEX('Operating Model'!$K490:$AL490,MATCH('Quarterly Summary'!T$5,'Operating Model'!$K$5:$AL$5))</f>
        <v>9194877.9387253691</v>
      </c>
      <c r="U49" s="182">
        <f ca="1">INDEX('Operating Model'!$K490:$AL490,MATCH('Quarterly Summary'!U$5,'Operating Model'!$K$5:$AL$5))</f>
        <v>9338852.5420831032</v>
      </c>
      <c r="V49" s="182">
        <f ca="1">INDEX('Operating Model'!$K490:$AL490,MATCH('Quarterly Summary'!V$5,'Operating Model'!$K$5:$AL$5))</f>
        <v>9464083.9207209423</v>
      </c>
    </row>
    <row r="50" spans="2:22" x14ac:dyDescent="0.25">
      <c r="B50" s="149" t="s">
        <v>39</v>
      </c>
      <c r="C50" s="181">
        <f>INDEX('Operating Model'!$K491:$AL491,MATCH('Quarterly Summary'!C$5,'Operating Model'!$K$5:$AL$5))</f>
        <v>0</v>
      </c>
      <c r="D50" s="181">
        <f>INDEX('Operating Model'!$K491:$AL491,MATCH('Quarterly Summary'!D$5,'Operating Model'!$K$5:$AL$5))</f>
        <v>0</v>
      </c>
      <c r="E50" s="181">
        <f>INDEX('Operating Model'!$K491:$AL491,MATCH('Quarterly Summary'!E$5,'Operating Model'!$K$5:$AL$5))</f>
        <v>0</v>
      </c>
      <c r="F50" s="181">
        <f ca="1">INDEX('Operating Model'!$K491:$AL491,MATCH('Quarterly Summary'!F$5,'Operating Model'!$K$5:$AL$5))</f>
        <v>4581670.2123345677</v>
      </c>
      <c r="G50" s="181">
        <f ca="1">INDEX('Operating Model'!$K491:$AL491,MATCH('Quarterly Summary'!G$5,'Operating Model'!$K$5:$AL$5))</f>
        <v>4581670.2123345677</v>
      </c>
      <c r="H50" s="181">
        <f ca="1">INDEX('Operating Model'!$K491:$AL491,MATCH('Quarterly Summary'!H$5,'Operating Model'!$K$5:$AL$5))</f>
        <v>4581670.2123345677</v>
      </c>
      <c r="I50" s="181">
        <f ca="1">INDEX('Operating Model'!$K491:$AL491,MATCH('Quarterly Summary'!I$5,'Operating Model'!$K$5:$AL$5))</f>
        <v>4581670.2123345677</v>
      </c>
      <c r="J50" s="181">
        <f ca="1">INDEX('Operating Model'!$K491:$AL491,MATCH('Quarterly Summary'!J$5,'Operating Model'!$K$5:$AL$5))</f>
        <v>4581670.2123345677</v>
      </c>
      <c r="K50" s="181">
        <f ca="1">INDEX('Operating Model'!$K491:$AL491,MATCH('Quarterly Summary'!K$5,'Operating Model'!$K$5:$AL$5))</f>
        <v>4581670.2123345677</v>
      </c>
      <c r="L50" s="181">
        <f ca="1">INDEX('Operating Model'!$K491:$AL491,MATCH('Quarterly Summary'!L$5,'Operating Model'!$K$5:$AL$5))</f>
        <v>4581670.2123345677</v>
      </c>
      <c r="M50" s="181">
        <f ca="1">INDEX('Operating Model'!$K491:$AL491,MATCH('Quarterly Summary'!M$5,'Operating Model'!$K$5:$AL$5))</f>
        <v>4581670.2123345677</v>
      </c>
      <c r="N50" s="181">
        <f ca="1">INDEX('Operating Model'!$K491:$AL491,MATCH('Quarterly Summary'!N$5,'Operating Model'!$K$5:$AL$5))</f>
        <v>4581670.2123345677</v>
      </c>
      <c r="O50" s="181">
        <f ca="1">INDEX('Operating Model'!$K491:$AL491,MATCH('Quarterly Summary'!O$5,'Operating Model'!$K$5:$AL$5))</f>
        <v>4581670.2123345677</v>
      </c>
      <c r="P50" s="181">
        <f ca="1">INDEX('Operating Model'!$K491:$AL491,MATCH('Quarterly Summary'!P$5,'Operating Model'!$K$5:$AL$5))</f>
        <v>4581670.2123345677</v>
      </c>
      <c r="Q50" s="181">
        <f ca="1">INDEX('Operating Model'!$K491:$AL491,MATCH('Quarterly Summary'!Q$5,'Operating Model'!$K$5:$AL$5))</f>
        <v>4581670.2123345677</v>
      </c>
      <c r="R50" s="181">
        <f ca="1">INDEX('Operating Model'!$K491:$AL491,MATCH('Quarterly Summary'!R$5,'Operating Model'!$K$5:$AL$5))</f>
        <v>4581670.2123345677</v>
      </c>
      <c r="S50" s="181">
        <f ca="1">INDEX('Operating Model'!$K491:$AL491,MATCH('Quarterly Summary'!S$5,'Operating Model'!$K$5:$AL$5))</f>
        <v>4581670.2123345677</v>
      </c>
      <c r="T50" s="181">
        <f ca="1">INDEX('Operating Model'!$K491:$AL491,MATCH('Quarterly Summary'!T$5,'Operating Model'!$K$5:$AL$5))</f>
        <v>4581670.2123345677</v>
      </c>
      <c r="U50" s="181">
        <f ca="1">INDEX('Operating Model'!$K491:$AL491,MATCH('Quarterly Summary'!U$5,'Operating Model'!$K$5:$AL$5))</f>
        <v>4581670.2123345677</v>
      </c>
      <c r="V50" s="181">
        <f ca="1">INDEX('Operating Model'!$K491:$AL491,MATCH('Quarterly Summary'!V$5,'Operating Model'!$K$5:$AL$5))</f>
        <v>4581670.2123345677</v>
      </c>
    </row>
    <row r="51" spans="2:22" x14ac:dyDescent="0.25">
      <c r="B51" s="160" t="s">
        <v>40</v>
      </c>
      <c r="C51" s="162" t="str">
        <f ca="1">INDEX('Operating Model'!$K492:$AL492,MATCH('Quarterly Summary'!C$5,'Operating Model'!$K$5:$AL$5))</f>
        <v>NA</v>
      </c>
      <c r="D51" s="162" t="str">
        <f ca="1">INDEX('Operating Model'!$K492:$AL492,MATCH('Quarterly Summary'!D$5,'Operating Model'!$K$5:$AL$5))</f>
        <v>NA</v>
      </c>
      <c r="E51" s="162" t="str">
        <f ca="1">INDEX('Operating Model'!$K492:$AL492,MATCH('Quarterly Summary'!E$5,'Operating Model'!$K$5:$AL$5))</f>
        <v>NA</v>
      </c>
      <c r="F51" s="162">
        <f ca="1">INDEX('Operating Model'!$K492:$AL492,MATCH('Quarterly Summary'!F$5,'Operating Model'!$K$5:$AL$5))</f>
        <v>1.3373355090041505</v>
      </c>
      <c r="G51" s="162">
        <f ca="1">INDEX('Operating Model'!$K492:$AL492,MATCH('Quarterly Summary'!G$5,'Operating Model'!$K$5:$AL$5))</f>
        <v>1.3881794567039372</v>
      </c>
      <c r="H51" s="162">
        <f ca="1">INDEX('Operating Model'!$K492:$AL492,MATCH('Quarterly Summary'!H$5,'Operating Model'!$K$5:$AL$5))</f>
        <v>1.4454434473706119</v>
      </c>
      <c r="I51" s="162">
        <f ca="1">INDEX('Operating Model'!$K492:$AL492,MATCH('Quarterly Summary'!I$5,'Operating Model'!$K$5:$AL$5))</f>
        <v>1.5130649273416648</v>
      </c>
      <c r="J51" s="162">
        <f ca="1">INDEX('Operating Model'!$K492:$AL492,MATCH('Quarterly Summary'!J$5,'Operating Model'!$K$5:$AL$5))</f>
        <v>1.5771446651673997</v>
      </c>
      <c r="K51" s="162">
        <f ca="1">INDEX('Operating Model'!$K492:$AL492,MATCH('Quarterly Summary'!K$5,'Operating Model'!$K$5:$AL$5))</f>
        <v>1.6232943329071423</v>
      </c>
      <c r="L51" s="162">
        <f ca="1">INDEX('Operating Model'!$K492:$AL492,MATCH('Quarterly Summary'!L$5,'Operating Model'!$K$5:$AL$5))</f>
        <v>1.6759341598172539</v>
      </c>
      <c r="M51" s="162">
        <f ca="1">INDEX('Operating Model'!$K492:$AL492,MATCH('Quarterly Summary'!M$5,'Operating Model'!$K$5:$AL$5))</f>
        <v>1.7412393362518728</v>
      </c>
      <c r="N51" s="162">
        <f ca="1">INDEX('Operating Model'!$K492:$AL492,MATCH('Quarterly Summary'!N$5,'Operating Model'!$K$5:$AL$5))</f>
        <v>1.8000469638353922</v>
      </c>
      <c r="O51" s="162">
        <f ca="1">INDEX('Operating Model'!$K492:$AL492,MATCH('Quarterly Summary'!O$5,'Operating Model'!$K$5:$AL$5))</f>
        <v>1.8322897723956366</v>
      </c>
      <c r="P51" s="162">
        <f ca="1">INDEX('Operating Model'!$K492:$AL492,MATCH('Quarterly Summary'!P$5,'Operating Model'!$K$5:$AL$5))</f>
        <v>1.8712561147199445</v>
      </c>
      <c r="Q51" s="162">
        <f ca="1">INDEX('Operating Model'!$K492:$AL492,MATCH('Quarterly Summary'!Q$5,'Operating Model'!$K$5:$AL$5))</f>
        <v>1.9207108935047597</v>
      </c>
      <c r="R51" s="162">
        <f ca="1">INDEX('Operating Model'!$K492:$AL492,MATCH('Quarterly Summary'!R$5,'Operating Model'!$K$5:$AL$5))</f>
        <v>1.9639286124853861</v>
      </c>
      <c r="S51" s="162">
        <f ca="1">INDEX('Operating Model'!$K492:$AL492,MATCH('Quarterly Summary'!S$5,'Operating Model'!$K$5:$AL$5))</f>
        <v>1.9820410148695191</v>
      </c>
      <c r="T51" s="162">
        <f ca="1">INDEX('Operating Model'!$K492:$AL492,MATCH('Quarterly Summary'!T$5,'Operating Model'!$K$5:$AL$5))</f>
        <v>2.0068834098908579</v>
      </c>
      <c r="U51" s="162">
        <f ca="1">INDEX('Operating Model'!$K492:$AL492,MATCH('Quarterly Summary'!U$5,'Operating Model'!$K$5:$AL$5))</f>
        <v>2.03830745323866</v>
      </c>
      <c r="V51" s="162">
        <f ca="1">INDEX('Operating Model'!$K492:$AL492,MATCH('Quarterly Summary'!V$5,'Operating Model'!$K$5:$AL$5))</f>
        <v>2.0656405812976586</v>
      </c>
    </row>
    <row r="52" spans="2:22" x14ac:dyDescent="0.25">
      <c r="B52" s="161" t="s">
        <v>41</v>
      </c>
      <c r="C52" s="163">
        <f ca="1">INDEX('Operating Model'!$K493:$AL493,MATCH('Quarterly Summary'!C$5,'Operating Model'!$K$5:$AL$5))</f>
        <v>-1</v>
      </c>
      <c r="D52" s="163">
        <f ca="1">INDEX('Operating Model'!$K493:$AL493,MATCH('Quarterly Summary'!D$5,'Operating Model'!$K$5:$AL$5))</f>
        <v>-1</v>
      </c>
      <c r="E52" s="163">
        <f ca="1">INDEX('Operating Model'!$K493:$AL493,MATCH('Quarterly Summary'!E$5,'Operating Model'!$K$5:$AL$5))</f>
        <v>0</v>
      </c>
      <c r="F52" s="163">
        <f ca="1">INDEX('Operating Model'!$K493:$AL493,MATCH('Quarterly Summary'!F$5,'Operating Model'!$K$5:$AL$5))</f>
        <v>2.1986115761905491</v>
      </c>
      <c r="G52" s="163">
        <f ca="1">INDEX('Operating Model'!$K493:$AL493,MATCH('Quarterly Summary'!G$5,'Operating Model'!$K$5:$AL$5))</f>
        <v>0.92704220401483806</v>
      </c>
      <c r="H52" s="163">
        <f ca="1">INDEX('Operating Model'!$K493:$AL493,MATCH('Quarterly Summary'!H$5,'Operating Model'!$K$5:$AL$5))</f>
        <v>0.63431138542543208</v>
      </c>
      <c r="I52" s="163">
        <f ca="1">INDEX('Operating Model'!$K493:$AL493,MATCH('Quarterly Summary'!I$5,'Operating Model'!$K$5:$AL$5))</f>
        <v>0.51306492734166476</v>
      </c>
      <c r="J52" s="163">
        <f ca="1">INDEX('Operating Model'!$K493:$AL493,MATCH('Quarterly Summary'!J$5,'Operating Model'!$K$5:$AL$5))</f>
        <v>0.43978360868331579</v>
      </c>
      <c r="K52" s="163">
        <f ca="1">INDEX('Operating Model'!$K493:$AL493,MATCH('Quarterly Summary'!K$5,'Operating Model'!$K$5:$AL$5))</f>
        <v>0.38122632908500775</v>
      </c>
      <c r="L52" s="163">
        <f ca="1">INDEX('Operating Model'!$K493:$AL493,MATCH('Quarterly Summary'!L$5,'Operating Model'!$K$5:$AL$5))</f>
        <v>0.34321901240336716</v>
      </c>
      <c r="M52" s="163">
        <f ca="1">INDEX('Operating Model'!$K493:$AL493,MATCH('Quarterly Summary'!M$5,'Operating Model'!$K$5:$AL$5))</f>
        <v>0.31956028140129811</v>
      </c>
      <c r="N52" s="163">
        <f ca="1">INDEX('Operating Model'!$K493:$AL493,MATCH('Quarterly Summary'!N$5,'Operating Model'!$K$5:$AL$5))</f>
        <v>0.29855241042786429</v>
      </c>
      <c r="O52" s="163">
        <f ca="1">INDEX('Operating Model'!$K493:$AL493,MATCH('Quarterly Summary'!O$5,'Operating Model'!$K$5:$AL$5))</f>
        <v>0.27408282980184051</v>
      </c>
      <c r="P52" s="163">
        <f ca="1">INDEX('Operating Model'!$K493:$AL493,MATCH('Quarterly Summary'!P$5,'Operating Model'!$K$5:$AL$5))</f>
        <v>0.2559071678301359</v>
      </c>
      <c r="Q52" s="163">
        <f ca="1">INDEX('Operating Model'!$K493:$AL493,MATCH('Quarterly Summary'!Q$5,'Operating Model'!$K$5:$AL$5))</f>
        <v>0.24304638007881185</v>
      </c>
      <c r="R52" s="163">
        <f ca="1">INDEX('Operating Model'!$K493:$AL493,MATCH('Quarterly Summary'!R$5,'Operating Model'!$K$5:$AL$5))</f>
        <v>0.23081426855255849</v>
      </c>
      <c r="S52" s="163">
        <f ca="1">INDEX('Operating Model'!$K493:$AL493,MATCH('Quarterly Summary'!S$5,'Operating Model'!$K$5:$AL$5))</f>
        <v>0.21587610875532337</v>
      </c>
      <c r="T52" s="163">
        <f ca="1">INDEX('Operating Model'!$K493:$AL493,MATCH('Quarterly Summary'!T$5,'Operating Model'!$K$5:$AL$5))</f>
        <v>0.20412776741464578</v>
      </c>
      <c r="U52" s="163">
        <f ca="1">INDEX('Operating Model'!$K493:$AL493,MATCH('Quarterly Summary'!U$5,'Operating Model'!$K$5:$AL$5))</f>
        <v>0.1948611019189197</v>
      </c>
      <c r="V52" s="163">
        <f ca="1">INDEX('Operating Model'!$K493:$AL493,MATCH('Quarterly Summary'!V$5,'Operating Model'!$K$5:$AL$5))</f>
        <v>0.18612519510890957</v>
      </c>
    </row>
    <row r="53" spans="2:22" x14ac:dyDescent="0.25">
      <c r="B53" s="153" t="s">
        <v>42</v>
      </c>
      <c r="C53" s="182">
        <f ca="1">INDEX('Operating Model'!$K496:$AL496,MATCH('Quarterly Summary'!C$5,'Operating Model'!$K$5:$AL$5))</f>
        <v>0</v>
      </c>
      <c r="D53" s="182">
        <f ca="1">INDEX('Operating Model'!$K496:$AL496,MATCH('Quarterly Summary'!D$5,'Operating Model'!$K$5:$AL$5))</f>
        <v>0</v>
      </c>
      <c r="E53" s="182">
        <f ca="1">INDEX('Operating Model'!$K496:$AL496,MATCH('Quarterly Summary'!E$5,'Operating Model'!$K$5:$AL$5))</f>
        <v>0</v>
      </c>
      <c r="F53" s="182">
        <f ca="1">INDEX('Operating Model'!$K496:$AL496,MATCH('Quarterly Summary'!F$5,'Operating Model'!$K$5:$AL$5))</f>
        <v>818627.74982158025</v>
      </c>
      <c r="G53" s="182">
        <f ca="1">INDEX('Operating Model'!$K496:$AL496,MATCH('Quarterly Summary'!G$5,'Operating Model'!$K$5:$AL$5))</f>
        <v>924070.93751915055</v>
      </c>
      <c r="H53" s="182">
        <f ca="1">INDEX('Operating Model'!$K496:$AL496,MATCH('Quarterly Summary'!H$5,'Operating Model'!$K$5:$AL$5))</f>
        <v>1045027.5286540409</v>
      </c>
      <c r="I53" s="182">
        <f ca="1">INDEX('Operating Model'!$K496:$AL496,MATCH('Quarterly Summary'!I$5,'Operating Model'!$K$5:$AL$5))</f>
        <v>1191104.5697640881</v>
      </c>
      <c r="J53" s="182">
        <f ca="1">INDEX('Operating Model'!$K496:$AL496,MATCH('Quarterly Summary'!J$5,'Operating Model'!$K$5:$AL$5))</f>
        <v>1327775.1545174215</v>
      </c>
      <c r="K53" s="182">
        <f ca="1">INDEX('Operating Model'!$K496:$AL496,MATCH('Quarterly Summary'!K$5,'Operating Model'!$K$5:$AL$5))</f>
        <v>1419937.4369408924</v>
      </c>
      <c r="L53" s="182">
        <f ca="1">INDEX('Operating Model'!$K496:$AL496,MATCH('Quarterly Summary'!L$5,'Operating Model'!$K$5:$AL$5))</f>
        <v>1527614.1185780736</v>
      </c>
      <c r="M53" s="182">
        <f ca="1">INDEX('Operating Model'!$K496:$AL496,MATCH('Quarterly Summary'!M$5,'Operating Model'!$K$5:$AL$5))</f>
        <v>1666100.8544126288</v>
      </c>
      <c r="N53" s="182">
        <f ca="1">INDEX('Operating Model'!$K496:$AL496,MATCH('Quarterly Summary'!N$5,'Operating Model'!$K$5:$AL$5))</f>
        <v>1787943.0828614263</v>
      </c>
      <c r="O53" s="182">
        <f ca="1">INDEX('Operating Model'!$K496:$AL496,MATCH('Quarterly Summary'!O$5,'Operating Model'!$K$5:$AL$5))</f>
        <v>1843672.6966946428</v>
      </c>
      <c r="P53" s="182">
        <f ca="1">INDEX('Operating Model'!$K496:$AL496,MATCH('Quarterly Summary'!P$5,'Operating Model'!$K$5:$AL$5))</f>
        <v>1915440.4255923629</v>
      </c>
      <c r="Q53" s="182">
        <f ca="1">INDEX('Operating Model'!$K496:$AL496,MATCH('Quarterly Summary'!Q$5,'Operating Model'!$K$5:$AL$5))</f>
        <v>2012541.9453678962</v>
      </c>
      <c r="R53" s="182">
        <f ca="1">INDEX('Operating Model'!$K496:$AL496,MATCH('Quarterly Summary'!R$5,'Operating Model'!$K$5:$AL$5))</f>
        <v>2093609.4538420115</v>
      </c>
      <c r="S53" s="182">
        <f ca="1">INDEX('Operating Model'!$K496:$AL496,MATCH('Quarterly Summary'!S$5,'Operating Model'!$K$5:$AL$5))</f>
        <v>2112207.9978296966</v>
      </c>
      <c r="T53" s="182">
        <f ca="1">INDEX('Operating Model'!$K496:$AL496,MATCH('Quarterly Summary'!T$5,'Operating Model'!$K$5:$AL$5))</f>
        <v>2146797.4381419965</v>
      </c>
      <c r="U53" s="182">
        <f ca="1">INDEX('Operating Model'!$K496:$AL496,MATCH('Quarterly Summary'!U$5,'Operating Model'!$K$5:$AL$5))</f>
        <v>2196933.9478638452</v>
      </c>
      <c r="V53" s="182">
        <f ca="1">INDEX('Operating Model'!$K496:$AL496,MATCH('Quarterly Summary'!V$5,'Operating Model'!$K$5:$AL$5))</f>
        <v>2236337.7008940205</v>
      </c>
    </row>
    <row r="54" spans="2:22" x14ac:dyDescent="0.25">
      <c r="B54" s="149" t="s">
        <v>43</v>
      </c>
      <c r="C54" s="181">
        <f>INDEX('Operating Model'!$K497:$AL497,MATCH('Quarterly Summary'!C$5,'Operating Model'!$K$5:$AL$5))</f>
        <v>0</v>
      </c>
      <c r="D54" s="181">
        <f>INDEX('Operating Model'!$K497:$AL497,MATCH('Quarterly Summary'!D$5,'Operating Model'!$K$5:$AL$5))</f>
        <v>0</v>
      </c>
      <c r="E54" s="181">
        <f>INDEX('Operating Model'!$K497:$AL497,MATCH('Quarterly Summary'!E$5,'Operating Model'!$K$5:$AL$5))</f>
        <v>0</v>
      </c>
      <c r="F54" s="181">
        <f>INDEX('Operating Model'!$K497:$AL497,MATCH('Quarterly Summary'!F$5,'Operating Model'!$K$5:$AL$5))</f>
        <v>1075000</v>
      </c>
      <c r="G54" s="181">
        <f>INDEX('Operating Model'!$K497:$AL497,MATCH('Quarterly Summary'!G$5,'Operating Model'!$K$5:$AL$5))</f>
        <v>1075000</v>
      </c>
      <c r="H54" s="181">
        <f>INDEX('Operating Model'!$K497:$AL497,MATCH('Quarterly Summary'!H$5,'Operating Model'!$K$5:$AL$5))</f>
        <v>1075000</v>
      </c>
      <c r="I54" s="181">
        <f>INDEX('Operating Model'!$K497:$AL497,MATCH('Quarterly Summary'!I$5,'Operating Model'!$K$5:$AL$5))</f>
        <v>1075000</v>
      </c>
      <c r="J54" s="181">
        <f>INDEX('Operating Model'!$K497:$AL497,MATCH('Quarterly Summary'!J$5,'Operating Model'!$K$5:$AL$5))</f>
        <v>1075000</v>
      </c>
      <c r="K54" s="181">
        <f>INDEX('Operating Model'!$K497:$AL497,MATCH('Quarterly Summary'!K$5,'Operating Model'!$K$5:$AL$5))</f>
        <v>1075000</v>
      </c>
      <c r="L54" s="181">
        <f>INDEX('Operating Model'!$K497:$AL497,MATCH('Quarterly Summary'!L$5,'Operating Model'!$K$5:$AL$5))</f>
        <v>1075000</v>
      </c>
      <c r="M54" s="181">
        <f>INDEX('Operating Model'!$K497:$AL497,MATCH('Quarterly Summary'!M$5,'Operating Model'!$K$5:$AL$5))</f>
        <v>1075000</v>
      </c>
      <c r="N54" s="181">
        <f>INDEX('Operating Model'!$K497:$AL497,MATCH('Quarterly Summary'!N$5,'Operating Model'!$K$5:$AL$5))</f>
        <v>1075000</v>
      </c>
      <c r="O54" s="181">
        <f>INDEX('Operating Model'!$K497:$AL497,MATCH('Quarterly Summary'!O$5,'Operating Model'!$K$5:$AL$5))</f>
        <v>1075000</v>
      </c>
      <c r="P54" s="181">
        <f>INDEX('Operating Model'!$K497:$AL497,MATCH('Quarterly Summary'!P$5,'Operating Model'!$K$5:$AL$5))</f>
        <v>1075000</v>
      </c>
      <c r="Q54" s="181">
        <f>INDEX('Operating Model'!$K497:$AL497,MATCH('Quarterly Summary'!Q$5,'Operating Model'!$K$5:$AL$5))</f>
        <v>1075000</v>
      </c>
      <c r="R54" s="181">
        <f>INDEX('Operating Model'!$K497:$AL497,MATCH('Quarterly Summary'!R$5,'Operating Model'!$K$5:$AL$5))</f>
        <v>1075000</v>
      </c>
      <c r="S54" s="181">
        <f>INDEX('Operating Model'!$K497:$AL497,MATCH('Quarterly Summary'!S$5,'Operating Model'!$K$5:$AL$5))</f>
        <v>1075000</v>
      </c>
      <c r="T54" s="181">
        <f>INDEX('Operating Model'!$K497:$AL497,MATCH('Quarterly Summary'!T$5,'Operating Model'!$K$5:$AL$5))</f>
        <v>1075000</v>
      </c>
      <c r="U54" s="181">
        <f>INDEX('Operating Model'!$K497:$AL497,MATCH('Quarterly Summary'!U$5,'Operating Model'!$K$5:$AL$5))</f>
        <v>1075000</v>
      </c>
      <c r="V54" s="181">
        <f>INDEX('Operating Model'!$K497:$AL497,MATCH('Quarterly Summary'!V$5,'Operating Model'!$K$5:$AL$5))</f>
        <v>1075000</v>
      </c>
    </row>
    <row r="55" spans="2:22" x14ac:dyDescent="0.25">
      <c r="B55" s="160" t="s">
        <v>40</v>
      </c>
      <c r="C55" s="162" t="str">
        <f ca="1">INDEX('Operating Model'!$K498:$AL498,MATCH('Quarterly Summary'!C$5,'Operating Model'!$K$5:$AL$5))</f>
        <v>NA</v>
      </c>
      <c r="D55" s="162" t="str">
        <f ca="1">INDEX('Operating Model'!$K498:$AL498,MATCH('Quarterly Summary'!D$5,'Operating Model'!$K$5:$AL$5))</f>
        <v>NA</v>
      </c>
      <c r="E55" s="162" t="str">
        <f ca="1">INDEX('Operating Model'!$K498:$AL498,MATCH('Quarterly Summary'!E$5,'Operating Model'!$K$5:$AL$5))</f>
        <v>NA</v>
      </c>
      <c r="F55" s="162">
        <f ca="1">INDEX('Operating Model'!$K498:$AL498,MATCH('Quarterly Summary'!F$5,'Operating Model'!$K$5:$AL$5))</f>
        <v>0.76151418588053976</v>
      </c>
      <c r="G55" s="162">
        <f ca="1">INDEX('Operating Model'!$K498:$AL498,MATCH('Quarterly Summary'!G$5,'Operating Model'!$K$5:$AL$5))</f>
        <v>0.85960087211083769</v>
      </c>
      <c r="H55" s="162">
        <f ca="1">INDEX('Operating Model'!$K498:$AL498,MATCH('Quarterly Summary'!H$5,'Operating Model'!$K$5:$AL$5))</f>
        <v>0.97211863130608456</v>
      </c>
      <c r="I55" s="162">
        <f ca="1">INDEX('Operating Model'!$K498:$AL498,MATCH('Quarterly Summary'!I$5,'Operating Model'!$K$5:$AL$5))</f>
        <v>1.1080042509433379</v>
      </c>
      <c r="J55" s="162">
        <f ca="1">INDEX('Operating Model'!$K498:$AL498,MATCH('Quarterly Summary'!J$5,'Operating Model'!$K$5:$AL$5))</f>
        <v>1.2351396786208573</v>
      </c>
      <c r="K55" s="162">
        <f ca="1">INDEX('Operating Model'!$K498:$AL498,MATCH('Quarterly Summary'!K$5,'Operating Model'!$K$5:$AL$5))</f>
        <v>1.3208720343636209</v>
      </c>
      <c r="L55" s="162">
        <f ca="1">INDEX('Operating Model'!$K498:$AL498,MATCH('Quarterly Summary'!L$5,'Operating Model'!$K$5:$AL$5))</f>
        <v>1.4210363893749522</v>
      </c>
      <c r="M55" s="162">
        <f ca="1">INDEX('Operating Model'!$K498:$AL498,MATCH('Quarterly Summary'!M$5,'Operating Model'!$K$5:$AL$5))</f>
        <v>1.5498612599187245</v>
      </c>
      <c r="N55" s="162">
        <f ca="1">INDEX('Operating Model'!$K498:$AL498,MATCH('Quarterly Summary'!N$5,'Operating Model'!$K$5:$AL$5))</f>
        <v>1.663202867778071</v>
      </c>
      <c r="O55" s="162">
        <f ca="1">INDEX('Operating Model'!$K498:$AL498,MATCH('Quarterly Summary'!O$5,'Operating Model'!$K$5:$AL$5))</f>
        <v>1.7150443690182724</v>
      </c>
      <c r="P55" s="162">
        <f ca="1">INDEX('Operating Model'!$K498:$AL498,MATCH('Quarterly Summary'!P$5,'Operating Model'!$K$5:$AL$5))</f>
        <v>1.7818050470626632</v>
      </c>
      <c r="Q55" s="162">
        <f ca="1">INDEX('Operating Model'!$K498:$AL498,MATCH('Quarterly Summary'!Q$5,'Operating Model'!$K$5:$AL$5))</f>
        <v>1.8721320422026941</v>
      </c>
      <c r="R55" s="162">
        <f ca="1">INDEX('Operating Model'!$K498:$AL498,MATCH('Quarterly Summary'!R$5,'Operating Model'!$K$5:$AL$5))</f>
        <v>1.9475436779925688</v>
      </c>
      <c r="S55" s="162">
        <f ca="1">INDEX('Operating Model'!$K498:$AL498,MATCH('Quarterly Summary'!S$5,'Operating Model'!$K$5:$AL$5))</f>
        <v>1.9648446491439038</v>
      </c>
      <c r="T55" s="162">
        <f ca="1">INDEX('Operating Model'!$K498:$AL498,MATCH('Quarterly Summary'!T$5,'Operating Model'!$K$5:$AL$5))</f>
        <v>1.9970208726902292</v>
      </c>
      <c r="U55" s="162">
        <f ca="1">INDEX('Operating Model'!$K498:$AL498,MATCH('Quarterly Summary'!U$5,'Operating Model'!$K$5:$AL$5))</f>
        <v>2.0436594863849722</v>
      </c>
      <c r="V55" s="162">
        <f ca="1">INDEX('Operating Model'!$K498:$AL498,MATCH('Quarterly Summary'!V$5,'Operating Model'!$K$5:$AL$5))</f>
        <v>2.0803141403665308</v>
      </c>
    </row>
    <row r="56" spans="2:22" x14ac:dyDescent="0.25">
      <c r="B56" s="161" t="s">
        <v>41</v>
      </c>
      <c r="C56" s="163">
        <f ca="1">INDEX('Operating Model'!$K499:$AL499,MATCH('Quarterly Summary'!C$5,'Operating Model'!$K$5:$AL$5))</f>
        <v>-1</v>
      </c>
      <c r="D56" s="163">
        <f ca="1">INDEX('Operating Model'!$K499:$AL499,MATCH('Quarterly Summary'!D$5,'Operating Model'!$K$5:$AL$5))</f>
        <v>-1</v>
      </c>
      <c r="E56" s="163">
        <f ca="1">INDEX('Operating Model'!$K499:$AL499,MATCH('Quarterly Summary'!E$5,'Operating Model'!$K$5:$AL$5))</f>
        <v>0</v>
      </c>
      <c r="F56" s="163">
        <f ca="1">INDEX('Operating Model'!$K499:$AL499,MATCH('Quarterly Summary'!F$5,'Operating Model'!$K$5:$AL$5))</f>
        <v>-0.66371151861132671</v>
      </c>
      <c r="G56" s="163">
        <f ca="1">INDEX('Operating Model'!$K499:$AL499,MATCH('Quarterly Summary'!G$5,'Operating Model'!$K$5:$AL$5))</f>
        <v>-0.26108634066628722</v>
      </c>
      <c r="H56" s="163">
        <f ca="1">INDEX('Operating Model'!$K499:$AL499,MATCH('Quarterly Summary'!H$5,'Operating Model'!$K$5:$AL$5))</f>
        <v>-3.7001326258365497E-2</v>
      </c>
      <c r="I56" s="163">
        <f ca="1">INDEX('Operating Model'!$K499:$AL499,MATCH('Quarterly Summary'!I$5,'Operating Model'!$K$5:$AL$5))</f>
        <v>0.10800425094333788</v>
      </c>
      <c r="J56" s="163">
        <f ca="1">INDEX('Operating Model'!$K499:$AL499,MATCH('Quarterly Summary'!J$5,'Operating Model'!$K$5:$AL$5))</f>
        <v>0.18405767944886797</v>
      </c>
      <c r="K56" s="163">
        <f ca="1">INDEX('Operating Model'!$K499:$AL499,MATCH('Quarterly Summary'!K$5,'Operating Model'!$K$5:$AL$5))</f>
        <v>0.20385402805598085</v>
      </c>
      <c r="L56" s="163">
        <f ca="1">INDEX('Operating Model'!$K499:$AL499,MATCH('Quarterly Summary'!L$5,'Operating Model'!$K$5:$AL$5))</f>
        <v>0.22237081158145044</v>
      </c>
      <c r="M56" s="163">
        <f ca="1">INDEX('Operating Model'!$K499:$AL499,MATCH('Quarterly Summary'!M$5,'Operating Model'!$K$5:$AL$5))</f>
        <v>0.24493423919447421</v>
      </c>
      <c r="N56" s="163">
        <f ca="1">INDEX('Operating Model'!$K499:$AL499,MATCH('Quarterly Summary'!N$5,'Operating Model'!$K$5:$AL$5))</f>
        <v>0.25371227447893152</v>
      </c>
      <c r="O56" s="163">
        <f ca="1">INDEX('Operating Model'!$K499:$AL499,MATCH('Quarterly Summary'!O$5,'Operating Model'!$K$5:$AL$5))</f>
        <v>0.24082388276630096</v>
      </c>
      <c r="P56" s="163">
        <f ca="1">INDEX('Operating Model'!$K499:$AL499,MATCH('Quarterly Summary'!P$5,'Operating Model'!$K$5:$AL$5))</f>
        <v>0.23373499971417733</v>
      </c>
      <c r="Q56" s="163">
        <f ca="1">INDEX('Operating Model'!$K499:$AL499,MATCH('Quarterly Summary'!Q$5,'Operating Model'!$K$5:$AL$5))</f>
        <v>0.23247700592560605</v>
      </c>
      <c r="R56" s="163">
        <f ca="1">INDEX('Operating Model'!$K499:$AL499,MATCH('Quarterly Summary'!R$5,'Operating Model'!$K$5:$AL$5))</f>
        <v>0.22764552931918502</v>
      </c>
      <c r="S56" s="163">
        <f ca="1">INDEX('Operating Model'!$K499:$AL499,MATCH('Quarterly Summary'!S$5,'Operating Model'!$K$5:$AL$5))</f>
        <v>0.21285270858962391</v>
      </c>
      <c r="T56" s="163">
        <f ca="1">INDEX('Operating Model'!$K499:$AL499,MATCH('Quarterly Summary'!T$5,'Operating Model'!$K$5:$AL$5))</f>
        <v>0.2025469128965558</v>
      </c>
      <c r="U56" s="163">
        <f ca="1">INDEX('Operating Model'!$K499:$AL499,MATCH('Quarterly Summary'!U$5,'Operating Model'!$K$5:$AL$5))</f>
        <v>0.19564467471699865</v>
      </c>
      <c r="V56" s="163">
        <f ca="1">INDEX('Operating Model'!$K499:$AL499,MATCH('Quarterly Summary'!V$5,'Operating Model'!$K$5:$AL$5))</f>
        <v>0.18810237432459243</v>
      </c>
    </row>
  </sheetData>
  <conditionalFormatting sqref="C3:V3">
    <cfRule type="cellIs" dxfId="69" priority="3" operator="equal">
      <formula>"Forecast"</formula>
    </cfRule>
    <cfRule type="cellIs" dxfId="68" priority="4" operator="equal">
      <formula>"Closing"</formula>
    </cfRule>
    <cfRule type="cellIs" dxfId="67" priority="5" operator="equal">
      <formula>"Actual"</formula>
    </cfRule>
    <cfRule type="cellIs" dxfId="66" priority="6" operator="equal">
      <formula>"""Actual"""</formula>
    </cfRule>
    <cfRule type="cellIs" dxfId="65" priority="7" operator="equal">
      <formula>"""Forecast"""</formula>
    </cfRule>
  </conditionalFormatting>
  <conditionalFormatting sqref="C37:V37 C40:V40 C43:V43 C46:V46">
    <cfRule type="cellIs" dxfId="64" priority="1" operator="equal">
      <formula>"fail"</formula>
    </cfRule>
    <cfRule type="cellIs" dxfId="63" priority="2" operator="equal">
      <formula>"PASS"</formula>
    </cfRule>
  </conditionalFormatting>
  <pageMargins left="0.25" right="0.25" top="0.25" bottom="0.25" header="0.25" footer="0.25"/>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34"/>
  <sheetViews>
    <sheetView showGridLines="0" tabSelected="1" topLeftCell="C1" zoomScaleNormal="100" zoomScaleSheetLayoutView="100" workbookViewId="0">
      <selection activeCell="M15" sqref="M15"/>
    </sheetView>
  </sheetViews>
  <sheetFormatPr defaultColWidth="9.140625" defaultRowHeight="15" outlineLevelRow="1" x14ac:dyDescent="0.25"/>
  <cols>
    <col min="1" max="1" width="9.140625" style="149"/>
    <col min="2" max="2" width="28.7109375" style="149" customWidth="1"/>
    <col min="3" max="5" width="9.7109375" style="149" bestFit="1" customWidth="1"/>
    <col min="6" max="6" width="10.7109375" style="149" bestFit="1" customWidth="1"/>
    <col min="7" max="9" width="9.7109375" style="149" bestFit="1" customWidth="1"/>
    <col min="10" max="10" width="10.7109375" style="149" bestFit="1" customWidth="1"/>
    <col min="11" max="11" width="11.28515625" style="149" bestFit="1" customWidth="1"/>
    <col min="12" max="13" width="9.140625" style="149"/>
    <col min="14" max="14" width="15.85546875" style="149" bestFit="1" customWidth="1"/>
    <col min="15" max="17" width="9.7109375" style="149" bestFit="1" customWidth="1"/>
    <col min="18" max="18" width="10.7109375" style="149" bestFit="1" customWidth="1"/>
    <col min="19" max="21" width="9.7109375" style="149" bestFit="1" customWidth="1"/>
    <col min="22" max="22" width="10.7109375" style="149" bestFit="1" customWidth="1"/>
    <col min="23" max="16384" width="9.140625" style="149"/>
  </cols>
  <sheetData>
    <row r="2" spans="2:22" x14ac:dyDescent="0.25">
      <c r="B2" s="1400" t="str">
        <f>'Transaction Structure'!U4&amp;" | Quarterly Summary"</f>
        <v>Project Owl | Quarterly Summary</v>
      </c>
      <c r="C2" s="1400"/>
      <c r="D2" s="1400"/>
      <c r="E2" s="1400"/>
      <c r="F2" s="1400"/>
      <c r="G2" s="1400"/>
      <c r="H2" s="1400"/>
      <c r="I2" s="1400"/>
      <c r="J2" s="1400"/>
      <c r="K2" s="1403"/>
    </row>
    <row r="3" spans="2:22" x14ac:dyDescent="0.25">
      <c r="B3" s="1401" t="s">
        <v>0</v>
      </c>
      <c r="C3" s="148" t="str">
        <f>IF(C5=Closing_Date,"Closing",IF(C5&lt;='Transaction Structure'!$K$23,"Actual","Forecast"))</f>
        <v>Actual</v>
      </c>
      <c r="D3" s="148" t="str">
        <f>IF(D5=Closing_Date,"Closing",IF(D5&lt;='Transaction Structure'!$K$23,"Actual","Forecast"))</f>
        <v>Actual</v>
      </c>
      <c r="E3" s="148" t="str">
        <f>IF(E5=Closing_Date,"Closing",IF(E5&lt;='Transaction Structure'!$K$23,"Actual","Forecast"))</f>
        <v>Actual</v>
      </c>
      <c r="F3" s="148" t="str">
        <f>IF(F5=Closing_Date,"Closing",IF(F5&lt;='Transaction Structure'!$K$23,"Actual","Forecast"))</f>
        <v>Actual</v>
      </c>
      <c r="G3" s="148" t="str">
        <f>IF(G5=Closing_Date,"Closing",IF(G5&lt;='Transaction Structure'!$K$23,"Actual","Forecast"))</f>
        <v>Actual</v>
      </c>
      <c r="H3" s="148" t="str">
        <f>IF(H5=Closing_Date,"Closing",IF(H5&lt;='Transaction Structure'!$K$23,"Actual","Forecast"))</f>
        <v>Actual</v>
      </c>
      <c r="I3" s="148" t="str">
        <f>IF(I5=Closing_Date,"Closing",IF(I5&lt;='Transaction Structure'!$K$23,"Actual","Forecast"))</f>
        <v>Actual</v>
      </c>
      <c r="J3" s="148" t="str">
        <f>IF(J5=Closing_Date,"Closing",IF(J5&lt;='Transaction Structure'!$K$23,"Actual","Forecast"))</f>
        <v>Actual</v>
      </c>
      <c r="K3" s="1411" t="s">
        <v>1</v>
      </c>
    </row>
    <row r="4" spans="2:22" x14ac:dyDescent="0.25">
      <c r="B4" s="1401" t="s">
        <v>44</v>
      </c>
      <c r="C4" s="1402">
        <f t="shared" ref="C4:E4" si="0">YEAR(C5)</f>
        <v>2021</v>
      </c>
      <c r="D4" s="1402">
        <f t="shared" si="0"/>
        <v>2021</v>
      </c>
      <c r="E4" s="1402">
        <f t="shared" si="0"/>
        <v>2021</v>
      </c>
      <c r="F4" s="1402">
        <f t="shared" ref="F4:H4" si="1">YEAR(F5)</f>
        <v>2021</v>
      </c>
      <c r="G4" s="1402">
        <f t="shared" si="1"/>
        <v>2022</v>
      </c>
      <c r="H4" s="1402">
        <f t="shared" si="1"/>
        <v>2022</v>
      </c>
      <c r="I4" s="1402">
        <f t="shared" ref="I4" si="2">YEAR(I5)</f>
        <v>2022</v>
      </c>
      <c r="J4" s="1402">
        <f t="shared" ref="J4" si="3">YEAR(J5)</f>
        <v>2022</v>
      </c>
      <c r="K4" s="1403"/>
    </row>
    <row r="5" spans="2:22" x14ac:dyDescent="0.25">
      <c r="B5" s="1401" t="s">
        <v>3</v>
      </c>
      <c r="C5" s="1403">
        <f>'Operating Model'!K5</f>
        <v>44286</v>
      </c>
      <c r="D5" s="1403">
        <f>'Operating Model'!L5</f>
        <v>44377</v>
      </c>
      <c r="E5" s="1403">
        <f>'Operating Model'!M5</f>
        <v>44469</v>
      </c>
      <c r="F5" s="1403">
        <f>'Operating Model'!N5</f>
        <v>44561</v>
      </c>
      <c r="G5" s="1403">
        <f>'Operating Model'!O5</f>
        <v>44651</v>
      </c>
      <c r="H5" s="1403">
        <f>'Operating Model'!P5</f>
        <v>44742</v>
      </c>
      <c r="I5" s="1403">
        <f>'Operating Model'!Q5</f>
        <v>44834</v>
      </c>
      <c r="J5" s="1403">
        <f>'Operating Model'!R5</f>
        <v>44926</v>
      </c>
      <c r="K5" s="1501" t="s">
        <v>1033</v>
      </c>
    </row>
    <row r="6" spans="2:22" x14ac:dyDescent="0.25">
      <c r="B6" s="1401" t="s">
        <v>5</v>
      </c>
      <c r="C6" s="1403"/>
      <c r="D6" s="1403"/>
      <c r="E6" s="1403"/>
      <c r="F6" s="1403"/>
      <c r="G6" s="1403"/>
      <c r="H6" s="1403"/>
      <c r="I6" s="1403"/>
      <c r="J6" s="1403"/>
      <c r="K6" s="1411"/>
      <c r="O6" s="1502">
        <v>44286</v>
      </c>
      <c r="P6" s="1502">
        <v>44377</v>
      </c>
      <c r="Q6" s="1502">
        <v>44469</v>
      </c>
      <c r="R6" s="1502">
        <v>44561</v>
      </c>
      <c r="S6" s="1502">
        <v>44651</v>
      </c>
      <c r="T6" s="1502">
        <v>44742</v>
      </c>
      <c r="U6" s="1502">
        <v>44834</v>
      </c>
      <c r="V6" s="1502">
        <v>44926</v>
      </c>
    </row>
    <row r="7" spans="2:22" x14ac:dyDescent="0.25">
      <c r="B7" s="149" t="s">
        <v>6</v>
      </c>
      <c r="C7" s="181">
        <f>INDEX('Operating Model'!$K7:$AL7,MATCH('Quarterly Summary Historical'!C$5,'Operating Model'!$K$5:$AL$5))</f>
        <v>55360</v>
      </c>
      <c r="D7" s="181">
        <f>INDEX('Operating Model'!$K7:$AL7,MATCH('Quarterly Summary Historical'!D$5,'Operating Model'!$K$5:$AL$5))</f>
        <v>58803</v>
      </c>
      <c r="E7" s="181">
        <f>INDEX('Operating Model'!$K7:$AL7,MATCH('Quarterly Summary Historical'!E$5,'Operating Model'!$K$5:$AL$5))</f>
        <v>63595</v>
      </c>
      <c r="F7" s="181">
        <f>INDEX('Operating Model'!$K7:$AL7,MATCH('Quarterly Summary Historical'!F$5,'Operating Model'!$K$5:$AL$5))</f>
        <v>73014</v>
      </c>
      <c r="G7" s="181">
        <f>INDEX('Operating Model'!$K7:$AL7,MATCH('Quarterly Summary Historical'!G$5,'Operating Model'!$K$5:$AL$5))</f>
        <v>81220</v>
      </c>
      <c r="H7" s="181">
        <f>INDEX('Operating Model'!$K7:$AL7,MATCH('Quarterly Summary Historical'!H$5,'Operating Model'!$K$5:$AL$5))</f>
        <v>88386</v>
      </c>
      <c r="I7" s="181">
        <f>INDEX('Operating Model'!$K7:$AL7,MATCH('Quarterly Summary Historical'!I$5,'Operating Model'!$K$5:$AL$5))</f>
        <v>96065</v>
      </c>
      <c r="J7" s="181">
        <f>INDEX('Operating Model'!$K7:$AL7,MATCH('Quarterly Summary Historical'!J$5,'Operating Model'!$K$5:$AL$5))</f>
        <v>103824</v>
      </c>
      <c r="K7" s="1412"/>
      <c r="N7" s="149" t="s">
        <v>6</v>
      </c>
      <c r="O7" s="149">
        <v>55360</v>
      </c>
      <c r="P7" s="149">
        <v>58803</v>
      </c>
      <c r="Q7" s="149">
        <v>63595</v>
      </c>
      <c r="R7" s="149">
        <v>73014</v>
      </c>
      <c r="S7" s="149">
        <v>81220</v>
      </c>
      <c r="T7" s="149">
        <v>88386</v>
      </c>
      <c r="U7" s="149">
        <v>96065</v>
      </c>
      <c r="V7" s="149">
        <v>103824</v>
      </c>
    </row>
    <row r="8" spans="2:22" x14ac:dyDescent="0.25">
      <c r="B8" s="150" t="s">
        <v>45</v>
      </c>
      <c r="C8" s="151"/>
      <c r="D8" s="151">
        <f>+D7/C7-1</f>
        <v>6.2192919075144459E-2</v>
      </c>
      <c r="E8" s="151">
        <f t="shared" ref="E8:J8" si="4">+E7/D7-1</f>
        <v>8.1492440861860693E-2</v>
      </c>
      <c r="F8" s="151">
        <f t="shared" si="4"/>
        <v>0.14810912807610666</v>
      </c>
      <c r="G8" s="151">
        <f t="shared" si="4"/>
        <v>0.11238940477168757</v>
      </c>
      <c r="H8" s="151">
        <f t="shared" si="4"/>
        <v>8.8229500123122362E-2</v>
      </c>
      <c r="I8" s="151">
        <f t="shared" si="4"/>
        <v>8.6880275156699049E-2</v>
      </c>
      <c r="J8" s="151">
        <f t="shared" si="4"/>
        <v>8.0768229844376149E-2</v>
      </c>
      <c r="K8" s="1445">
        <f>+(J7/C7)^(1/COLUMNS(D8:J8))-1</f>
        <v>9.3992954439335197E-2</v>
      </c>
      <c r="N8" s="149" t="s">
        <v>8</v>
      </c>
      <c r="O8" s="149">
        <v>40341</v>
      </c>
      <c r="P8" s="149">
        <v>42666</v>
      </c>
      <c r="Q8" s="149">
        <v>45517</v>
      </c>
      <c r="R8" s="149">
        <v>53062</v>
      </c>
      <c r="S8" s="149">
        <v>59730</v>
      </c>
      <c r="T8" s="149">
        <v>64517</v>
      </c>
      <c r="U8" s="149">
        <v>69763</v>
      </c>
      <c r="V8" s="149">
        <v>76054</v>
      </c>
    </row>
    <row r="9" spans="2:22" x14ac:dyDescent="0.25">
      <c r="B9" s="153" t="s">
        <v>8</v>
      </c>
      <c r="C9" s="182">
        <f>INDEX('Operating Model'!$K15:$AL15,MATCH('Quarterly Summary Historical'!C$5,'Operating Model'!$K$5:$AL$5))</f>
        <v>40341</v>
      </c>
      <c r="D9" s="182">
        <f>INDEX('Operating Model'!$K15:$AL15,MATCH('Quarterly Summary Historical'!D$5,'Operating Model'!$K$5:$AL$5))</f>
        <v>42666</v>
      </c>
      <c r="E9" s="182">
        <f>INDEX('Operating Model'!$K15:$AL15,MATCH('Quarterly Summary Historical'!E$5,'Operating Model'!$K$5:$AL$5))</f>
        <v>45517</v>
      </c>
      <c r="F9" s="182">
        <f>INDEX('Operating Model'!$K15:$AL15,MATCH('Quarterly Summary Historical'!F$5,'Operating Model'!$K$5:$AL$5))</f>
        <v>53062</v>
      </c>
      <c r="G9" s="182">
        <f>INDEX('Operating Model'!$K15:$AL15,MATCH('Quarterly Summary Historical'!G$5,'Operating Model'!$K$5:$AL$5))</f>
        <v>59730</v>
      </c>
      <c r="H9" s="182">
        <f>INDEX('Operating Model'!$K15:$AL15,MATCH('Quarterly Summary Historical'!H$5,'Operating Model'!$K$5:$AL$5))</f>
        <v>64517</v>
      </c>
      <c r="I9" s="182">
        <f>INDEX('Operating Model'!$K15:$AL15,MATCH('Quarterly Summary Historical'!I$5,'Operating Model'!$K$5:$AL$5))</f>
        <v>69763</v>
      </c>
      <c r="J9" s="182">
        <f>INDEX('Operating Model'!$K15:$AL15,MATCH('Quarterly Summary Historical'!J$5,'Operating Model'!$K$5:$AL$5))</f>
        <v>76054</v>
      </c>
      <c r="K9" s="1412"/>
      <c r="N9" s="149" t="s">
        <v>12</v>
      </c>
      <c r="O9" s="149">
        <v>914</v>
      </c>
      <c r="P9" s="149">
        <v>3400</v>
      </c>
      <c r="Q9" s="149">
        <v>-5745</v>
      </c>
      <c r="R9" s="149">
        <v>335</v>
      </c>
      <c r="S9" s="149">
        <v>4258</v>
      </c>
      <c r="T9" s="149">
        <v>4737</v>
      </c>
      <c r="U9" s="149">
        <v>2620</v>
      </c>
      <c r="V9" s="149">
        <v>4518</v>
      </c>
    </row>
    <row r="10" spans="2:22" x14ac:dyDescent="0.25">
      <c r="B10" s="150" t="s">
        <v>9</v>
      </c>
      <c r="C10" s="152">
        <f t="shared" ref="C10:J10" si="5">+C9/C7</f>
        <v>0.72870303468208097</v>
      </c>
      <c r="D10" s="152">
        <f t="shared" si="5"/>
        <v>0.72557522575378808</v>
      </c>
      <c r="E10" s="152">
        <f t="shared" si="5"/>
        <v>0.71573236889692582</v>
      </c>
      <c r="F10" s="152">
        <f t="shared" si="5"/>
        <v>0.72673733804475849</v>
      </c>
      <c r="G10" s="152">
        <f t="shared" si="5"/>
        <v>0.73540999753755232</v>
      </c>
      <c r="H10" s="152">
        <f t="shared" si="5"/>
        <v>0.72994591903695161</v>
      </c>
      <c r="I10" s="152">
        <f t="shared" si="5"/>
        <v>0.72620621454223699</v>
      </c>
      <c r="J10" s="152">
        <f t="shared" si="5"/>
        <v>0.73252812451841576</v>
      </c>
      <c r="K10" s="1412"/>
    </row>
    <row r="11" spans="2:22" x14ac:dyDescent="0.25">
      <c r="B11" s="149" t="s">
        <v>10</v>
      </c>
      <c r="C11" s="181">
        <f>INDEX('Operating Model'!$K28:$AL28,MATCH('Quarterly Summary Historical'!C$5,'Operating Model'!$K$5:$AL$5))</f>
        <v>-13414</v>
      </c>
      <c r="D11" s="181">
        <f>INDEX('Operating Model'!$K28:$AL28,MATCH('Quarterly Summary Historical'!D$5,'Operating Model'!$K$5:$AL$5))</f>
        <v>-478</v>
      </c>
      <c r="E11" s="181">
        <f>INDEX('Operating Model'!$K28:$AL28,MATCH('Quarterly Summary Historical'!E$5,'Operating Model'!$K$5:$AL$5))</f>
        <v>-28700</v>
      </c>
      <c r="F11" s="181">
        <f>INDEX('Operating Model'!$K28:$AL28,MATCH('Quarterly Summary Historical'!F$5,'Operating Model'!$K$5:$AL$5))</f>
        <v>-17415</v>
      </c>
      <c r="G11" s="181">
        <f>INDEX('Operating Model'!$K28:$AL28,MATCH('Quarterly Summary Historical'!G$5,'Operating Model'!$K$5:$AL$5))</f>
        <v>-11847</v>
      </c>
      <c r="H11" s="181">
        <f>INDEX('Operating Model'!$K28:$AL28,MATCH('Quarterly Summary Historical'!H$5,'Operating Model'!$K$5:$AL$5))</f>
        <v>-15034</v>
      </c>
      <c r="I11" s="181">
        <f>INDEX('Operating Model'!$K28:$AL28,MATCH('Quarterly Summary Historical'!I$5,'Operating Model'!$K$5:$AL$5))</f>
        <v>-20162</v>
      </c>
      <c r="J11" s="181">
        <f>INDEX('Operating Model'!$K28:$AL28,MATCH('Quarterly Summary Historical'!J$5,'Operating Model'!$K$5:$AL$5))</f>
        <v>-18152</v>
      </c>
      <c r="K11" s="1445"/>
    </row>
    <row r="12" spans="2:22" x14ac:dyDescent="0.25">
      <c r="B12" s="150" t="s">
        <v>11</v>
      </c>
      <c r="C12" s="152">
        <f t="shared" ref="C12:J12" si="6">+C11/C7</f>
        <v>-0.2423049132947977</v>
      </c>
      <c r="D12" s="152">
        <f t="shared" si="6"/>
        <v>-8.1288369641004717E-3</v>
      </c>
      <c r="E12" s="152">
        <f t="shared" si="6"/>
        <v>-0.45129334067143645</v>
      </c>
      <c r="F12" s="152">
        <f t="shared" si="6"/>
        <v>-0.23851590106007067</v>
      </c>
      <c r="G12" s="152">
        <f t="shared" si="6"/>
        <v>-0.14586308790938193</v>
      </c>
      <c r="H12" s="152">
        <f t="shared" si="6"/>
        <v>-0.17009481139546986</v>
      </c>
      <c r="I12" s="152">
        <f t="shared" si="6"/>
        <v>-0.20987872794462084</v>
      </c>
      <c r="J12" s="152">
        <f t="shared" si="6"/>
        <v>-0.17483433502850979</v>
      </c>
      <c r="K12" s="1412"/>
    </row>
    <row r="13" spans="2:22" x14ac:dyDescent="0.25">
      <c r="B13" s="154" t="s">
        <v>12</v>
      </c>
      <c r="C13" s="182">
        <f>INDEX('Operating Model'!$K84:$AL84,MATCH('Quarterly Summary Historical'!C$5,'Operating Model'!$K$5:$AL$5))</f>
        <v>914</v>
      </c>
      <c r="D13" s="182">
        <f>INDEX('Operating Model'!$K84:$AL84,MATCH('Quarterly Summary Historical'!D$5,'Operating Model'!$K$5:$AL$5))</f>
        <v>3400</v>
      </c>
      <c r="E13" s="182">
        <f>INDEX('Operating Model'!$K84:$AL84,MATCH('Quarterly Summary Historical'!E$5,'Operating Model'!$K$5:$AL$5))</f>
        <v>-5745</v>
      </c>
      <c r="F13" s="182">
        <f>INDEX('Operating Model'!$K84:$AL84,MATCH('Quarterly Summary Historical'!F$5,'Operating Model'!$K$5:$AL$5))</f>
        <v>335</v>
      </c>
      <c r="G13" s="182">
        <f>INDEX('Operating Model'!$K84:$AL84,MATCH('Quarterly Summary Historical'!G$5,'Operating Model'!$K$5:$AL$5))</f>
        <v>4258</v>
      </c>
      <c r="H13" s="182">
        <f>INDEX('Operating Model'!$K84:$AL84,MATCH('Quarterly Summary Historical'!H$5,'Operating Model'!$K$5:$AL$5))</f>
        <v>4737</v>
      </c>
      <c r="I13" s="182">
        <f>INDEX('Operating Model'!$K84:$AL84,MATCH('Quarterly Summary Historical'!I$5,'Operating Model'!$K$5:$AL$5))</f>
        <v>2620</v>
      </c>
      <c r="J13" s="182">
        <f>INDEX('Operating Model'!$K84:$AL84,MATCH('Quarterly Summary Historical'!J$5,'Operating Model'!$K$5:$AL$5))</f>
        <v>4518</v>
      </c>
      <c r="K13" s="1445"/>
    </row>
    <row r="14" spans="2:22" x14ac:dyDescent="0.25">
      <c r="B14" s="155" t="s">
        <v>13</v>
      </c>
      <c r="C14" s="156">
        <f t="shared" ref="C14:J14" si="7">+C13/C7</f>
        <v>1.6510115606936417E-2</v>
      </c>
      <c r="D14" s="156">
        <f t="shared" si="7"/>
        <v>5.7820179242555649E-2</v>
      </c>
      <c r="E14" s="156">
        <f t="shared" si="7"/>
        <v>-9.0337290667505302E-2</v>
      </c>
      <c r="F14" s="156">
        <f t="shared" si="7"/>
        <v>4.5881611745692604E-3</v>
      </c>
      <c r="G14" s="156">
        <f t="shared" si="7"/>
        <v>5.2425510957892142E-2</v>
      </c>
      <c r="H14" s="156">
        <f t="shared" si="7"/>
        <v>5.3594460661190689E-2</v>
      </c>
      <c r="I14" s="156">
        <f t="shared" si="7"/>
        <v>2.7273200437203975E-2</v>
      </c>
      <c r="J14" s="156">
        <f t="shared" si="7"/>
        <v>4.3515950069348129E-2</v>
      </c>
      <c r="K14" s="1412"/>
    </row>
    <row r="15" spans="2:22" x14ac:dyDescent="0.25">
      <c r="B15" s="1401" t="s">
        <v>14</v>
      </c>
      <c r="C15" s="1403"/>
      <c r="D15" s="1403"/>
      <c r="E15" s="1403"/>
      <c r="F15" s="1403"/>
      <c r="G15" s="1403"/>
      <c r="H15" s="1403"/>
      <c r="I15" s="1403"/>
      <c r="J15" s="1403"/>
      <c r="K15" s="1412"/>
    </row>
    <row r="16" spans="2:22" x14ac:dyDescent="0.25">
      <c r="B16" s="157" t="s">
        <v>15</v>
      </c>
      <c r="C16" s="181">
        <f>INDEX('Operating Model'!$K99:$AL99,MATCH('Quarterly Summary Historical'!C$5,'Operating Model'!$K$5:$AL$5))+INDEX('Operating Model'!$K100:$AL100,MATCH('Quarterly Summary Historical'!C$5,'Operating Model'!$K$5:$AL$5))</f>
        <v>0</v>
      </c>
      <c r="D16" s="181">
        <f>INDEX('Operating Model'!$K99:$AL99,MATCH('Quarterly Summary Historical'!D$5,'Operating Model'!$K$5:$AL$5))+INDEX('Operating Model'!$K100:$AL100,MATCH('Quarterly Summary Historical'!D$5,'Operating Model'!$K$5:$AL$5))</f>
        <v>114636</v>
      </c>
      <c r="E16" s="181">
        <f>INDEX('Operating Model'!$K99:$AL99,MATCH('Quarterly Summary Historical'!E$5,'Operating Model'!$K$5:$AL$5))+INDEX('Operating Model'!$K100:$AL100,MATCH('Quarterly Summary Historical'!E$5,'Operating Model'!$K$5:$AL$5))</f>
        <v>549440</v>
      </c>
      <c r="F16" s="181">
        <f>INDEX('Operating Model'!$K99:$AL99,MATCH('Quarterly Summary Historical'!F$5,'Operating Model'!$K$5:$AL$5))+INDEX('Operating Model'!$K100:$AL100,MATCH('Quarterly Summary Historical'!F$5,'Operating Model'!$K$5:$AL$5))</f>
        <v>553922</v>
      </c>
      <c r="G16" s="181">
        <f>INDEX('Operating Model'!$K99:$AL99,MATCH('Quarterly Summary Historical'!G$5,'Operating Model'!$K$5:$AL$5))+INDEX('Operating Model'!$K100:$AL100,MATCH('Quarterly Summary Historical'!G$5,'Operating Model'!$K$5:$AL$5))</f>
        <v>577331</v>
      </c>
      <c r="H16" s="181">
        <f>INDEX('Operating Model'!$K99:$AL99,MATCH('Quarterly Summary Historical'!H$5,'Operating Model'!$K$5:$AL$5))+INDEX('Operating Model'!$K100:$AL100,MATCH('Quarterly Summary Historical'!H$5,'Operating Model'!$K$5:$AL$5))</f>
        <v>591160</v>
      </c>
      <c r="I16" s="181">
        <f>INDEX('Operating Model'!$K99:$AL99,MATCH('Quarterly Summary Historical'!I$5,'Operating Model'!$K$5:$AL$5))+INDEX('Operating Model'!$K100:$AL100,MATCH('Quarterly Summary Historical'!I$5,'Operating Model'!$K$5:$AL$5))</f>
        <v>599967</v>
      </c>
      <c r="J16" s="181">
        <f>INDEX('Operating Model'!$K99:$AL99,MATCH('Quarterly Summary Historical'!J$5,'Operating Model'!$K$5:$AL$5))+INDEX('Operating Model'!$K100:$AL100,MATCH('Quarterly Summary Historical'!J$5,'Operating Model'!$K$5:$AL$5))</f>
        <v>608180</v>
      </c>
      <c r="K16" s="1412"/>
    </row>
    <row r="17" spans="2:10" x14ac:dyDescent="0.25">
      <c r="B17" s="157" t="s">
        <v>16</v>
      </c>
      <c r="C17" s="181">
        <f t="shared" ref="C17:E17" si="8">C18-C16</f>
        <v>0</v>
      </c>
      <c r="D17" s="181">
        <f t="shared" si="8"/>
        <v>67057</v>
      </c>
      <c r="E17" s="181">
        <f t="shared" si="8"/>
        <v>68337</v>
      </c>
      <c r="F17" s="181">
        <f t="shared" ref="F17:H17" si="9">F18-F16</f>
        <v>107389</v>
      </c>
      <c r="G17" s="181">
        <f t="shared" si="9"/>
        <v>107180</v>
      </c>
      <c r="H17" s="181">
        <f t="shared" si="9"/>
        <v>109890</v>
      </c>
      <c r="I17" s="181">
        <f t="shared" ref="I17" si="10">I18-I16</f>
        <v>113732</v>
      </c>
      <c r="J17" s="181">
        <f t="shared" ref="J17" si="11">J18-J16</f>
        <v>139167</v>
      </c>
    </row>
    <row r="18" spans="2:10" x14ac:dyDescent="0.25">
      <c r="B18" s="154" t="s">
        <v>17</v>
      </c>
      <c r="C18" s="183">
        <f>INDEX('Operating Model'!$K114:$AL114,MATCH('Quarterly Summary Historical'!C$5,'Operating Model'!$K$5:$AL$5))</f>
        <v>0</v>
      </c>
      <c r="D18" s="183">
        <f>INDEX('Operating Model'!$K114:$AL114,MATCH('Quarterly Summary Historical'!D$5,'Operating Model'!$K$5:$AL$5))</f>
        <v>181693</v>
      </c>
      <c r="E18" s="183">
        <f>INDEX('Operating Model'!$K114:$AL114,MATCH('Quarterly Summary Historical'!E$5,'Operating Model'!$K$5:$AL$5))</f>
        <v>617777</v>
      </c>
      <c r="F18" s="183">
        <f>INDEX('Operating Model'!$K114:$AL114,MATCH('Quarterly Summary Historical'!F$5,'Operating Model'!$K$5:$AL$5))</f>
        <v>661311</v>
      </c>
      <c r="G18" s="183">
        <f>INDEX('Operating Model'!$K114:$AL114,MATCH('Quarterly Summary Historical'!G$5,'Operating Model'!$K$5:$AL$5))</f>
        <v>684511</v>
      </c>
      <c r="H18" s="183">
        <f>INDEX('Operating Model'!$K114:$AL114,MATCH('Quarterly Summary Historical'!H$5,'Operating Model'!$K$5:$AL$5))</f>
        <v>701050</v>
      </c>
      <c r="I18" s="183">
        <f>INDEX('Operating Model'!$K114:$AL114,MATCH('Quarterly Summary Historical'!I$5,'Operating Model'!$K$5:$AL$5))</f>
        <v>713699</v>
      </c>
      <c r="J18" s="183">
        <f>INDEX('Operating Model'!$K114:$AL114,MATCH('Quarterly Summary Historical'!J$5,'Operating Model'!$K$5:$AL$5))</f>
        <v>747347</v>
      </c>
    </row>
    <row r="19" spans="2:10" hidden="1" outlineLevel="1" x14ac:dyDescent="0.25">
      <c r="C19" s="181"/>
      <c r="D19" s="181"/>
      <c r="E19" s="181"/>
      <c r="F19" s="181"/>
      <c r="G19" s="181"/>
      <c r="H19" s="181"/>
      <c r="I19" s="181"/>
      <c r="J19" s="181"/>
    </row>
    <row r="20" spans="2:10" hidden="1" outlineLevel="1" x14ac:dyDescent="0.25">
      <c r="B20" s="157" t="s">
        <v>18</v>
      </c>
      <c r="C20" s="181">
        <f t="shared" ref="C20:E20" si="12">C25-SUM(C21:C24)</f>
        <v>0</v>
      </c>
      <c r="D20" s="181">
        <f t="shared" si="12"/>
        <v>92861</v>
      </c>
      <c r="E20" s="181">
        <f t="shared" si="12"/>
        <v>107046</v>
      </c>
      <c r="F20" s="181">
        <f t="shared" ref="F20:H20" si="13">F25-SUM(F21:F24)</f>
        <v>148255</v>
      </c>
      <c r="G20" s="181">
        <f t="shared" si="13"/>
        <v>163797</v>
      </c>
      <c r="H20" s="181">
        <f t="shared" si="13"/>
        <v>172831</v>
      </c>
      <c r="I20" s="181">
        <f t="shared" ref="I20" si="14">I25-SUM(I21:I24)</f>
        <v>179873</v>
      </c>
      <c r="J20" s="181">
        <f t="shared" ref="J20" si="15">J25-SUM(J21:J24)</f>
        <v>205269</v>
      </c>
    </row>
    <row r="21" spans="2:10" hidden="1" outlineLevel="1" x14ac:dyDescent="0.25">
      <c r="B21" s="9" t="s">
        <v>19</v>
      </c>
      <c r="C21" s="181">
        <f>INDEX('Operating Model'!$K127:$AL127,MATCH('Quarterly Summary Historical'!C$5,'Operating Model'!$K$5:$AL$5))</f>
        <v>0</v>
      </c>
      <c r="D21" s="181">
        <f>INDEX('Operating Model'!$K127:$AL127,MATCH('Quarterly Summary Historical'!D$5,'Operating Model'!$K$5:$AL$5))</f>
        <v>0</v>
      </c>
      <c r="E21" s="181">
        <f>INDEX('Operating Model'!$K127:$AL127,MATCH('Quarterly Summary Historical'!E$5,'Operating Model'!$K$5:$AL$5))</f>
        <v>0</v>
      </c>
      <c r="F21" s="181">
        <f>INDEX('Operating Model'!$K127:$AL127,MATCH('Quarterly Summary Historical'!F$5,'Operating Model'!$K$5:$AL$5))</f>
        <v>0</v>
      </c>
      <c r="G21" s="181">
        <f>INDEX('Operating Model'!$K127:$AL127,MATCH('Quarterly Summary Historical'!G$5,'Operating Model'!$K$5:$AL$5))</f>
        <v>0</v>
      </c>
      <c r="H21" s="181">
        <f>INDEX('Operating Model'!$K127:$AL127,MATCH('Quarterly Summary Historical'!H$5,'Operating Model'!$K$5:$AL$5))</f>
        <v>0</v>
      </c>
      <c r="I21" s="181">
        <f>INDEX('Operating Model'!$K127:$AL127,MATCH('Quarterly Summary Historical'!I$5,'Operating Model'!$K$5:$AL$5))</f>
        <v>0</v>
      </c>
      <c r="J21" s="181">
        <f>INDEX('Operating Model'!$K127:$AL127,MATCH('Quarterly Summary Historical'!J$5,'Operating Model'!$K$5:$AL$5))</f>
        <v>0</v>
      </c>
    </row>
    <row r="22" spans="2:10" hidden="1" outlineLevel="1" x14ac:dyDescent="0.25">
      <c r="B22" s="19" t="s">
        <v>20</v>
      </c>
      <c r="C22" s="181">
        <f>INDEX('Operating Model'!$K128:$AL128,MATCH('Quarterly Summary Historical'!C$5,'Operating Model'!$K$5:$AL$5))</f>
        <v>0</v>
      </c>
      <c r="D22" s="181">
        <f>INDEX('Operating Model'!$K128:$AL128,MATCH('Quarterly Summary Historical'!D$5,'Operating Model'!$K$5:$AL$5))</f>
        <v>0</v>
      </c>
      <c r="E22" s="181">
        <f>INDEX('Operating Model'!$K128:$AL128,MATCH('Quarterly Summary Historical'!E$5,'Operating Model'!$K$5:$AL$5))</f>
        <v>0</v>
      </c>
      <c r="F22" s="181">
        <f>INDEX('Operating Model'!$K128:$AL128,MATCH('Quarterly Summary Historical'!F$5,'Operating Model'!$K$5:$AL$5))</f>
        <v>0</v>
      </c>
      <c r="G22" s="181">
        <f>INDEX('Operating Model'!$K128:$AL128,MATCH('Quarterly Summary Historical'!G$5,'Operating Model'!$K$5:$AL$5))</f>
        <v>0</v>
      </c>
      <c r="H22" s="181">
        <f>INDEX('Operating Model'!$K128:$AL128,MATCH('Quarterly Summary Historical'!H$5,'Operating Model'!$K$5:$AL$5))</f>
        <v>0</v>
      </c>
      <c r="I22" s="181">
        <f>INDEX('Operating Model'!$K128:$AL128,MATCH('Quarterly Summary Historical'!I$5,'Operating Model'!$K$5:$AL$5))</f>
        <v>0</v>
      </c>
      <c r="J22" s="181">
        <f>INDEX('Operating Model'!$K128:$AL128,MATCH('Quarterly Summary Historical'!J$5,'Operating Model'!$K$5:$AL$5))</f>
        <v>0</v>
      </c>
    </row>
    <row r="23" spans="2:10" hidden="1" outlineLevel="1" x14ac:dyDescent="0.25">
      <c r="B23" s="19" t="s">
        <v>21</v>
      </c>
      <c r="C23" s="181">
        <f>INDEX('Operating Model'!$K129:$AL129,MATCH('Quarterly Summary Historical'!C$5,'Operating Model'!$K$5:$AL$5))</f>
        <v>0</v>
      </c>
      <c r="D23" s="181">
        <f>INDEX('Operating Model'!$K129:$AL129,MATCH('Quarterly Summary Historical'!D$5,'Operating Model'!$K$5:$AL$5))</f>
        <v>0</v>
      </c>
      <c r="E23" s="181">
        <f>INDEX('Operating Model'!$K129:$AL129,MATCH('Quarterly Summary Historical'!E$5,'Operating Model'!$K$5:$AL$5))</f>
        <v>0</v>
      </c>
      <c r="F23" s="181">
        <f>INDEX('Operating Model'!$K129:$AL129,MATCH('Quarterly Summary Historical'!F$5,'Operating Model'!$K$5:$AL$5))</f>
        <v>0</v>
      </c>
      <c r="G23" s="181">
        <f>INDEX('Operating Model'!$K129:$AL129,MATCH('Quarterly Summary Historical'!G$5,'Operating Model'!$K$5:$AL$5))</f>
        <v>0</v>
      </c>
      <c r="H23" s="181">
        <f>INDEX('Operating Model'!$K129:$AL129,MATCH('Quarterly Summary Historical'!H$5,'Operating Model'!$K$5:$AL$5))</f>
        <v>0</v>
      </c>
      <c r="I23" s="181">
        <f>INDEX('Operating Model'!$K129:$AL129,MATCH('Quarterly Summary Historical'!I$5,'Operating Model'!$K$5:$AL$5))</f>
        <v>0</v>
      </c>
      <c r="J23" s="181">
        <f>INDEX('Operating Model'!$K129:$AL129,MATCH('Quarterly Summary Historical'!J$5,'Operating Model'!$K$5:$AL$5))</f>
        <v>0</v>
      </c>
    </row>
    <row r="24" spans="2:10" hidden="1" outlineLevel="1" x14ac:dyDescent="0.25">
      <c r="B24" s="19" t="s">
        <v>22</v>
      </c>
      <c r="C24" s="181">
        <f>INDEX('Operating Model'!$K130:$AL130,MATCH('Quarterly Summary Historical'!C$5,'Operating Model'!$K$5:$AL$5))</f>
        <v>0</v>
      </c>
      <c r="D24" s="181">
        <f>INDEX('Operating Model'!$K130:$AL130,MATCH('Quarterly Summary Historical'!D$5,'Operating Model'!$K$5:$AL$5))</f>
        <v>0</v>
      </c>
      <c r="E24" s="181">
        <f>INDEX('Operating Model'!$K130:$AL130,MATCH('Quarterly Summary Historical'!E$5,'Operating Model'!$K$5:$AL$5))</f>
        <v>0</v>
      </c>
      <c r="F24" s="181">
        <f>INDEX('Operating Model'!$K130:$AL130,MATCH('Quarterly Summary Historical'!F$5,'Operating Model'!$K$5:$AL$5))</f>
        <v>0</v>
      </c>
      <c r="G24" s="181">
        <f>INDEX('Operating Model'!$K130:$AL130,MATCH('Quarterly Summary Historical'!G$5,'Operating Model'!$K$5:$AL$5))</f>
        <v>0</v>
      </c>
      <c r="H24" s="181">
        <f>INDEX('Operating Model'!$K130:$AL130,MATCH('Quarterly Summary Historical'!H$5,'Operating Model'!$K$5:$AL$5))</f>
        <v>0</v>
      </c>
      <c r="I24" s="181">
        <f>INDEX('Operating Model'!$K130:$AL130,MATCH('Quarterly Summary Historical'!I$5,'Operating Model'!$K$5:$AL$5))</f>
        <v>0</v>
      </c>
      <c r="J24" s="181">
        <f>INDEX('Operating Model'!$K130:$AL130,MATCH('Quarterly Summary Historical'!J$5,'Operating Model'!$K$5:$AL$5))</f>
        <v>0</v>
      </c>
    </row>
    <row r="25" spans="2:10" collapsed="1" x14ac:dyDescent="0.25">
      <c r="B25" s="153" t="s">
        <v>23</v>
      </c>
      <c r="C25" s="182">
        <f>INDEX('Operating Model'!$K131:$AL131,MATCH('Quarterly Summary Historical'!C$5,'Operating Model'!$K$5:$AL$5))</f>
        <v>0</v>
      </c>
      <c r="D25" s="182">
        <f>INDEX('Operating Model'!$K131:$AL131,MATCH('Quarterly Summary Historical'!D$5,'Operating Model'!$K$5:$AL$5))</f>
        <v>92861</v>
      </c>
      <c r="E25" s="182">
        <f>INDEX('Operating Model'!$K131:$AL131,MATCH('Quarterly Summary Historical'!E$5,'Operating Model'!$K$5:$AL$5))</f>
        <v>107046</v>
      </c>
      <c r="F25" s="182">
        <f>INDEX('Operating Model'!$K131:$AL131,MATCH('Quarterly Summary Historical'!F$5,'Operating Model'!$K$5:$AL$5))</f>
        <v>148255</v>
      </c>
      <c r="G25" s="182">
        <f>INDEX('Operating Model'!$K131:$AL131,MATCH('Quarterly Summary Historical'!G$5,'Operating Model'!$K$5:$AL$5))</f>
        <v>163797</v>
      </c>
      <c r="H25" s="182">
        <f>INDEX('Operating Model'!$K131:$AL131,MATCH('Quarterly Summary Historical'!H$5,'Operating Model'!$K$5:$AL$5))</f>
        <v>172831</v>
      </c>
      <c r="I25" s="182">
        <f>INDEX('Operating Model'!$K131:$AL131,MATCH('Quarterly Summary Historical'!I$5,'Operating Model'!$K$5:$AL$5))</f>
        <v>179873</v>
      </c>
      <c r="J25" s="182">
        <f>INDEX('Operating Model'!$K131:$AL131,MATCH('Quarterly Summary Historical'!J$5,'Operating Model'!$K$5:$AL$5))</f>
        <v>205269</v>
      </c>
    </row>
    <row r="26" spans="2:10" x14ac:dyDescent="0.25">
      <c r="C26" s="181"/>
      <c r="D26" s="181"/>
      <c r="E26" s="181"/>
      <c r="F26" s="181"/>
      <c r="G26" s="181"/>
      <c r="H26" s="181"/>
      <c r="I26" s="181"/>
      <c r="J26" s="181"/>
    </row>
    <row r="27" spans="2:10" x14ac:dyDescent="0.25">
      <c r="B27" s="157" t="s">
        <v>24</v>
      </c>
      <c r="C27" s="181">
        <f>INDEX('Operating Model'!$K143:$AL143,MATCH('Quarterly Summary Historical'!C$5,'Operating Model'!$K$5:$AL$5))</f>
        <v>0</v>
      </c>
      <c r="D27" s="181">
        <f>INDEX('Operating Model'!$K143:$AL143,MATCH('Quarterly Summary Historical'!D$5,'Operating Model'!$K$5:$AL$5))</f>
        <v>88832</v>
      </c>
      <c r="E27" s="181">
        <f>INDEX('Operating Model'!$K143:$AL143,MATCH('Quarterly Summary Historical'!E$5,'Operating Model'!$K$5:$AL$5))</f>
        <v>510731</v>
      </c>
      <c r="F27" s="181">
        <f>INDEX('Operating Model'!$K143:$AL143,MATCH('Quarterly Summary Historical'!F$5,'Operating Model'!$K$5:$AL$5))</f>
        <v>513056</v>
      </c>
      <c r="G27" s="181">
        <f>INDEX('Operating Model'!$K143:$AL143,MATCH('Quarterly Summary Historical'!G$5,'Operating Model'!$K$5:$AL$5))</f>
        <v>520714</v>
      </c>
      <c r="H27" s="181">
        <f>INDEX('Operating Model'!$K143:$AL143,MATCH('Quarterly Summary Historical'!H$5,'Operating Model'!$K$5:$AL$5))</f>
        <v>528219</v>
      </c>
      <c r="I27" s="181">
        <f>INDEX('Operating Model'!$K143:$AL143,MATCH('Quarterly Summary Historical'!I$5,'Operating Model'!$K$5:$AL$5))</f>
        <v>533826</v>
      </c>
      <c r="J27" s="181">
        <f>INDEX('Operating Model'!$K143:$AL143,MATCH('Quarterly Summary Historical'!J$5,'Operating Model'!$K$5:$AL$5))</f>
        <v>542078</v>
      </c>
    </row>
    <row r="28" spans="2:10" x14ac:dyDescent="0.25">
      <c r="B28" s="154" t="s">
        <v>25</v>
      </c>
      <c r="C28" s="183">
        <f t="shared" ref="C28:E28" si="16">SUM(C25,C27)</f>
        <v>0</v>
      </c>
      <c r="D28" s="183">
        <f t="shared" si="16"/>
        <v>181693</v>
      </c>
      <c r="E28" s="183">
        <f t="shared" si="16"/>
        <v>617777</v>
      </c>
      <c r="F28" s="183">
        <f t="shared" ref="F28:H28" si="17">SUM(F25,F27)</f>
        <v>661311</v>
      </c>
      <c r="G28" s="183">
        <f t="shared" si="17"/>
        <v>684511</v>
      </c>
      <c r="H28" s="183">
        <f t="shared" si="17"/>
        <v>701050</v>
      </c>
      <c r="I28" s="183">
        <f t="shared" ref="I28" si="18">SUM(I25,I27)</f>
        <v>713699</v>
      </c>
      <c r="J28" s="183">
        <f t="shared" ref="J28" si="19">SUM(J25,J27)</f>
        <v>747347</v>
      </c>
    </row>
    <row r="34" spans="5:5" x14ac:dyDescent="0.25">
      <c r="E34" s="149" t="s">
        <v>46</v>
      </c>
    </row>
  </sheetData>
  <conditionalFormatting sqref="C3:E3">
    <cfRule type="cellIs" dxfId="79" priority="17" operator="equal">
      <formula>"Forecast"</formula>
    </cfRule>
    <cfRule type="cellIs" dxfId="78" priority="18" operator="equal">
      <formula>"Closing"</formula>
    </cfRule>
    <cfRule type="cellIs" dxfId="77" priority="19" operator="equal">
      <formula>"Actual"</formula>
    </cfRule>
    <cfRule type="cellIs" dxfId="76" priority="20" operator="equal">
      <formula>"""Actual"""</formula>
    </cfRule>
    <cfRule type="cellIs" dxfId="75" priority="21" operator="equal">
      <formula>"""Forecast"""</formula>
    </cfRule>
  </conditionalFormatting>
  <conditionalFormatting sqref="F3:J3">
    <cfRule type="cellIs" dxfId="74" priority="10" operator="equal">
      <formula>"Forecast"</formula>
    </cfRule>
    <cfRule type="cellIs" dxfId="73" priority="11" operator="equal">
      <formula>"Closing"</formula>
    </cfRule>
    <cfRule type="cellIs" dxfId="72" priority="12" operator="equal">
      <formula>"Actual"</formula>
    </cfRule>
    <cfRule type="cellIs" dxfId="71" priority="13" operator="equal">
      <formula>"""Actual"""</formula>
    </cfRule>
    <cfRule type="cellIs" dxfId="70" priority="14" operator="equal">
      <formula>"""Forecast"""</formula>
    </cfRule>
  </conditionalFormatting>
  <pageMargins left="0.25" right="0.25" top="0.25" bottom="0.25" header="0.25" footer="0.25"/>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121"/>
  <sheetViews>
    <sheetView showGridLines="0" topLeftCell="A25" zoomScale="85" zoomScaleNormal="85" workbookViewId="0">
      <selection activeCell="U5" sqref="U5"/>
    </sheetView>
  </sheetViews>
  <sheetFormatPr defaultColWidth="9.140625" defaultRowHeight="15.75" x14ac:dyDescent="0.25"/>
  <cols>
    <col min="1" max="1" width="9.140625" style="30"/>
    <col min="2" max="2" width="53.85546875" style="30" bestFit="1" customWidth="1"/>
    <col min="3" max="3" width="21" style="30" bestFit="1" customWidth="1"/>
    <col min="4" max="4" width="17.42578125" style="30" bestFit="1" customWidth="1"/>
    <col min="5" max="5" width="17.42578125" style="30" customWidth="1"/>
    <col min="6" max="7" width="14" style="30" bestFit="1" customWidth="1"/>
    <col min="8" max="8" width="15.85546875" style="30" customWidth="1"/>
    <col min="9" max="9" width="15.85546875" style="30" bestFit="1" customWidth="1"/>
    <col min="10" max="10" width="16.7109375" style="30" bestFit="1" customWidth="1"/>
    <col min="11" max="11" width="19.85546875" style="30" bestFit="1" customWidth="1"/>
    <col min="12" max="12" width="12" style="30" bestFit="1" customWidth="1"/>
    <col min="13" max="13" width="38.140625" style="30" bestFit="1" customWidth="1"/>
    <col min="14" max="14" width="14" style="30" customWidth="1"/>
    <col min="15" max="15" width="19.140625" style="30" customWidth="1"/>
    <col min="16" max="16" width="14" style="30" customWidth="1"/>
    <col min="17" max="17" width="17.140625" style="30" bestFit="1" customWidth="1"/>
    <col min="18" max="18" width="9.140625" style="30"/>
    <col min="19" max="19" width="40.5703125" style="30" bestFit="1" customWidth="1"/>
    <col min="20" max="20" width="25.85546875" style="30" bestFit="1" customWidth="1"/>
    <col min="21" max="21" width="19.7109375" style="30" bestFit="1" customWidth="1"/>
    <col min="22" max="16384" width="9.140625" style="30"/>
  </cols>
  <sheetData>
    <row r="1" spans="2:24" x14ac:dyDescent="0.25">
      <c r="W1" s="31"/>
      <c r="X1" s="31" t="s">
        <v>47</v>
      </c>
    </row>
    <row r="2" spans="2:24" x14ac:dyDescent="0.25">
      <c r="B2" s="32" t="s">
        <v>48</v>
      </c>
      <c r="C2" s="32"/>
      <c r="D2" s="32"/>
      <c r="E2" s="32"/>
      <c r="F2" s="32"/>
      <c r="G2" s="32"/>
      <c r="H2" s="32"/>
      <c r="I2" s="32"/>
      <c r="J2" s="32"/>
      <c r="K2" s="32"/>
      <c r="M2" s="32" t="s">
        <v>49</v>
      </c>
      <c r="N2" s="32"/>
      <c r="O2" s="32"/>
      <c r="S2" s="32" t="s">
        <v>50</v>
      </c>
      <c r="T2" s="32"/>
      <c r="U2" s="32"/>
      <c r="W2" s="31"/>
      <c r="X2" s="31" t="s">
        <v>51</v>
      </c>
    </row>
    <row r="3" spans="2:24" x14ac:dyDescent="0.25">
      <c r="B3" s="33" t="s">
        <v>52</v>
      </c>
      <c r="C3" s="34"/>
      <c r="D3" s="34"/>
      <c r="E3" s="34"/>
      <c r="F3" s="34"/>
      <c r="G3" s="34"/>
      <c r="H3" s="34"/>
      <c r="I3" s="34"/>
      <c r="J3" s="34"/>
      <c r="K3" s="34"/>
      <c r="M3" s="30" t="s">
        <v>53</v>
      </c>
      <c r="S3" s="30" t="s">
        <v>54</v>
      </c>
      <c r="T3" s="30" t="s">
        <v>55</v>
      </c>
      <c r="U3" s="35">
        <v>1</v>
      </c>
      <c r="W3" s="31"/>
      <c r="X3" s="31"/>
    </row>
    <row r="4" spans="2:24" x14ac:dyDescent="0.25">
      <c r="B4" s="36" t="s">
        <v>56</v>
      </c>
      <c r="C4" s="37"/>
      <c r="D4" s="37"/>
      <c r="E4" s="37"/>
      <c r="F4" s="37"/>
      <c r="G4" s="37"/>
      <c r="H4" s="37"/>
      <c r="I4" s="37"/>
      <c r="J4" s="37"/>
      <c r="K4" s="38" t="s">
        <v>57</v>
      </c>
      <c r="M4" s="30" t="s">
        <v>51</v>
      </c>
      <c r="S4" s="30" t="s">
        <v>58</v>
      </c>
      <c r="U4" s="35" t="s">
        <v>59</v>
      </c>
      <c r="W4" s="31"/>
      <c r="X4" s="31"/>
    </row>
    <row r="5" spans="2:24" x14ac:dyDescent="0.25">
      <c r="B5" s="36" t="s">
        <v>60</v>
      </c>
      <c r="C5" s="37"/>
      <c r="D5" s="37"/>
      <c r="E5" s="37"/>
      <c r="F5" s="37"/>
      <c r="G5" s="37"/>
      <c r="H5" s="37"/>
      <c r="I5" s="37"/>
      <c r="J5" s="37"/>
      <c r="K5" s="38" t="s">
        <v>61</v>
      </c>
      <c r="M5" s="30" t="s">
        <v>62</v>
      </c>
      <c r="O5" s="39">
        <f ca="1">INDEX('Operating Model'!$K$86:$V$86,MATCH(Closing_Date,'Operating Model'!$K$5:$V$5,0))</f>
        <v>34131.517779925431</v>
      </c>
      <c r="S5" s="30" t="s">
        <v>63</v>
      </c>
      <c r="U5" s="35" t="s">
        <v>64</v>
      </c>
      <c r="X5" s="31" t="s">
        <v>65</v>
      </c>
    </row>
    <row r="6" spans="2:24" x14ac:dyDescent="0.25">
      <c r="B6" s="36" t="s">
        <v>66</v>
      </c>
      <c r="C6" s="37"/>
      <c r="D6" s="37"/>
      <c r="E6" s="37"/>
      <c r="F6" s="37"/>
      <c r="G6" s="37"/>
      <c r="H6" s="37"/>
      <c r="I6" s="37"/>
      <c r="J6" s="37"/>
      <c r="K6" s="38" t="s">
        <v>67</v>
      </c>
      <c r="X6" s="31" t="s">
        <v>64</v>
      </c>
    </row>
    <row r="7" spans="2:24" x14ac:dyDescent="0.25">
      <c r="B7" s="36" t="s">
        <v>68</v>
      </c>
      <c r="C7" s="37"/>
      <c r="D7" s="37"/>
      <c r="E7" s="37"/>
      <c r="F7" s="37"/>
      <c r="G7" s="37"/>
      <c r="H7" s="37"/>
      <c r="I7" s="37"/>
      <c r="J7" s="37"/>
      <c r="K7" s="40">
        <v>117.78</v>
      </c>
      <c r="M7" s="30" t="s">
        <v>69</v>
      </c>
      <c r="O7" s="41">
        <f>+K7</f>
        <v>117.78</v>
      </c>
      <c r="S7" s="30" t="s">
        <v>70</v>
      </c>
      <c r="U7" s="42">
        <f ca="1">+SUM('Operating Model'!K146:AL146)</f>
        <v>0</v>
      </c>
      <c r="X7" s="31" t="s">
        <v>71</v>
      </c>
    </row>
    <row r="8" spans="2:24" x14ac:dyDescent="0.25">
      <c r="B8" s="36" t="s">
        <v>72</v>
      </c>
      <c r="C8" s="37"/>
      <c r="D8" s="37"/>
      <c r="E8" s="37"/>
      <c r="F8" s="37"/>
      <c r="G8" s="37"/>
      <c r="H8" s="37"/>
      <c r="I8" s="37"/>
      <c r="J8" s="37"/>
      <c r="K8" s="43">
        <v>44995</v>
      </c>
      <c r="M8" s="30" t="s">
        <v>73</v>
      </c>
      <c r="O8" s="44">
        <v>142.5</v>
      </c>
      <c r="S8" s="30" t="s">
        <v>74</v>
      </c>
      <c r="U8" s="42">
        <f ca="1">SUM('Operating Model'!S194:AL194)</f>
        <v>0</v>
      </c>
    </row>
    <row r="9" spans="2:24" x14ac:dyDescent="0.25">
      <c r="B9" s="36" t="s">
        <v>75</v>
      </c>
      <c r="C9" s="37"/>
      <c r="D9" s="37"/>
      <c r="E9" s="37"/>
      <c r="F9" s="37"/>
      <c r="G9" s="37"/>
      <c r="H9" s="37"/>
      <c r="I9" s="37"/>
      <c r="J9" s="37"/>
      <c r="K9" s="43">
        <v>44986</v>
      </c>
      <c r="M9" s="30" t="s">
        <v>76</v>
      </c>
      <c r="O9" s="45">
        <f>+O8/O7-1</f>
        <v>0.20988283239938865</v>
      </c>
      <c r="S9" s="30" t="s">
        <v>77</v>
      </c>
      <c r="U9" s="46">
        <f ca="1">SUM(C120:J120)</f>
        <v>0</v>
      </c>
    </row>
    <row r="10" spans="2:24" x14ac:dyDescent="0.25">
      <c r="B10" s="47" t="s">
        <v>78</v>
      </c>
      <c r="C10" s="37"/>
      <c r="D10" s="37"/>
      <c r="E10" s="37"/>
      <c r="F10" s="37"/>
      <c r="G10" s="37"/>
      <c r="H10" s="37"/>
      <c r="I10" s="37"/>
      <c r="J10" s="37"/>
      <c r="K10" s="43">
        <v>32207.681</v>
      </c>
      <c r="O10" s="41"/>
      <c r="S10" s="30" t="s">
        <v>79</v>
      </c>
      <c r="T10" s="48"/>
      <c r="U10" s="42">
        <f ca="1">+SUM('Annual Summary'!C33:I33)</f>
        <v>0</v>
      </c>
    </row>
    <row r="11" spans="2:24" x14ac:dyDescent="0.25">
      <c r="B11" s="47" t="s">
        <v>80</v>
      </c>
      <c r="C11" s="37"/>
      <c r="D11" s="37"/>
      <c r="E11" s="37"/>
      <c r="F11" s="37"/>
      <c r="G11" s="37"/>
      <c r="H11" s="37"/>
      <c r="I11" s="37"/>
      <c r="J11" s="37"/>
      <c r="K11" s="43">
        <v>8434.2379999999994</v>
      </c>
      <c r="L11" s="49"/>
      <c r="M11" s="30" t="s">
        <v>81</v>
      </c>
      <c r="O11" s="50">
        <f>+K12</f>
        <v>40641.919000000002</v>
      </c>
    </row>
    <row r="12" spans="2:24" x14ac:dyDescent="0.25">
      <c r="B12" s="47" t="s">
        <v>82</v>
      </c>
      <c r="C12" s="37"/>
      <c r="D12" s="37"/>
      <c r="E12" s="37"/>
      <c r="F12" s="37"/>
      <c r="G12" s="37"/>
      <c r="H12" s="37"/>
      <c r="I12" s="37"/>
      <c r="J12" s="37"/>
      <c r="K12" s="51">
        <f>+K10+K11</f>
        <v>40641.919000000002</v>
      </c>
      <c r="M12" s="30" t="s">
        <v>83</v>
      </c>
      <c r="O12" s="50">
        <f>+(O7*O11)</f>
        <v>4786805.2198200002</v>
      </c>
      <c r="S12" s="32" t="s">
        <v>84</v>
      </c>
      <c r="T12" s="32" t="s">
        <v>85</v>
      </c>
      <c r="U12" s="32" t="s">
        <v>86</v>
      </c>
    </row>
    <row r="13" spans="2:24" x14ac:dyDescent="0.25">
      <c r="B13" s="52" t="s">
        <v>87</v>
      </c>
      <c r="C13" s="37"/>
      <c r="D13" s="37"/>
      <c r="E13" s="37"/>
      <c r="F13" s="37"/>
      <c r="G13" s="37"/>
      <c r="H13" s="37"/>
      <c r="I13" s="37"/>
      <c r="J13" s="37"/>
      <c r="K13" s="53">
        <f>+'Share Conversion'!F11+'Share Conversion'!F12</f>
        <v>5920.3046357615895</v>
      </c>
      <c r="M13" s="30" t="s">
        <v>87</v>
      </c>
      <c r="O13" s="54">
        <f>+K14</f>
        <v>46562.223635761591</v>
      </c>
      <c r="S13" s="30" t="s">
        <v>88</v>
      </c>
      <c r="T13" s="55" t="s">
        <v>89</v>
      </c>
      <c r="U13" s="55" t="s">
        <v>90</v>
      </c>
    </row>
    <row r="14" spans="2:24" ht="16.5" thickBot="1" x14ac:dyDescent="0.3">
      <c r="B14" s="52" t="s">
        <v>91</v>
      </c>
      <c r="C14" s="37"/>
      <c r="D14" s="37"/>
      <c r="E14" s="37"/>
      <c r="F14" s="37"/>
      <c r="G14" s="37"/>
      <c r="H14" s="37"/>
      <c r="I14" s="37"/>
      <c r="J14" s="37"/>
      <c r="K14" s="56">
        <f>+K12+K13</f>
        <v>46562.223635761591</v>
      </c>
      <c r="M14" s="30" t="s">
        <v>92</v>
      </c>
      <c r="O14" s="54">
        <f>+O7*O13</f>
        <v>5484098.6998200007</v>
      </c>
      <c r="S14" s="30" t="s">
        <v>93</v>
      </c>
      <c r="T14" s="30" t="s">
        <v>94</v>
      </c>
      <c r="U14" s="57" t="s">
        <v>90</v>
      </c>
    </row>
    <row r="15" spans="2:24" ht="16.5" thickTop="1" x14ac:dyDescent="0.25">
      <c r="B15" s="52"/>
      <c r="C15" s="37"/>
      <c r="D15" s="37"/>
      <c r="E15" s="37"/>
      <c r="F15" s="37"/>
      <c r="G15" s="37"/>
      <c r="H15" s="37"/>
      <c r="I15" s="37"/>
      <c r="J15" s="37"/>
      <c r="K15" s="37"/>
      <c r="O15" s="50"/>
      <c r="S15" s="30" t="s">
        <v>95</v>
      </c>
      <c r="T15" s="55" t="s">
        <v>96</v>
      </c>
      <c r="U15" s="35" t="s">
        <v>90</v>
      </c>
    </row>
    <row r="16" spans="2:24" x14ac:dyDescent="0.25">
      <c r="B16" s="52" t="str">
        <f>"Cash on Hand on"&amp;" "&amp; TEXT(Closing_Date,"MM/DD/YYYY")</f>
        <v>Cash on Hand on 09/30/2023</v>
      </c>
      <c r="C16" s="37"/>
      <c r="D16" s="37"/>
      <c r="E16" s="37"/>
      <c r="F16" s="37"/>
      <c r="G16" s="37"/>
      <c r="H16" s="37"/>
      <c r="I16" s="37"/>
      <c r="J16" s="37"/>
      <c r="K16" s="58">
        <f ca="1">INDEX('Operating Model'!$K99:$AL99,MATCH(Closing_Date,'Operating Model'!$K$5:$AL$5,0))</f>
        <v>641148.99312337965</v>
      </c>
      <c r="M16" s="30" t="s">
        <v>87</v>
      </c>
      <c r="O16" s="54">
        <f>+K14</f>
        <v>46562.223635761591</v>
      </c>
      <c r="S16" s="30" t="s">
        <v>97</v>
      </c>
      <c r="T16" s="55" t="s">
        <v>98</v>
      </c>
      <c r="U16" s="74" t="s">
        <v>90</v>
      </c>
    </row>
    <row r="17" spans="2:21" x14ac:dyDescent="0.25">
      <c r="B17" s="52" t="s">
        <v>99</v>
      </c>
      <c r="C17" s="37"/>
      <c r="D17" s="37"/>
      <c r="E17" s="37"/>
      <c r="F17" s="37"/>
      <c r="G17" s="37"/>
      <c r="H17" s="37"/>
      <c r="I17" s="37"/>
      <c r="J17" s="37"/>
      <c r="K17" s="59">
        <v>25000</v>
      </c>
      <c r="M17" s="30" t="s">
        <v>100</v>
      </c>
      <c r="O17" s="54">
        <f>+O16*O8</f>
        <v>6635116.8680960266</v>
      </c>
      <c r="S17" s="30" t="s">
        <v>101</v>
      </c>
      <c r="T17" s="55" t="s">
        <v>102</v>
      </c>
      <c r="U17" s="80" t="s">
        <v>90</v>
      </c>
    </row>
    <row r="18" spans="2:21" x14ac:dyDescent="0.25">
      <c r="B18" s="60" t="str">
        <f xml:space="preserve"> "Excess Cash on Balance Sheet on"&amp;" "&amp; TEXT(Closing_Date,"MM/DD/YYYY")</f>
        <v>Excess Cash on Balance Sheet on 09/30/2023</v>
      </c>
      <c r="C18" s="61"/>
      <c r="D18" s="61"/>
      <c r="E18" s="61"/>
      <c r="F18" s="62"/>
      <c r="G18" s="62"/>
      <c r="H18" s="62"/>
      <c r="I18" s="62"/>
      <c r="J18" s="62"/>
      <c r="K18" s="63">
        <f ca="1">+K16-K17</f>
        <v>616148.99312337965</v>
      </c>
    </row>
    <row r="19" spans="2:21" x14ac:dyDescent="0.25">
      <c r="B19" s="52"/>
      <c r="C19" s="37"/>
      <c r="D19" s="37"/>
      <c r="E19" s="37"/>
      <c r="F19" s="37"/>
      <c r="G19" s="37"/>
      <c r="H19" s="37"/>
      <c r="I19" s="37"/>
      <c r="J19" s="37"/>
      <c r="K19" s="37"/>
      <c r="U19" s="57"/>
    </row>
    <row r="20" spans="2:21" x14ac:dyDescent="0.25">
      <c r="B20" s="64"/>
      <c r="C20" s="37"/>
      <c r="D20" s="37"/>
      <c r="E20" s="37"/>
      <c r="F20" s="37"/>
      <c r="G20" s="37"/>
      <c r="H20" s="37"/>
      <c r="I20" s="37"/>
      <c r="J20" s="37"/>
      <c r="K20" s="37"/>
      <c r="U20" s="57"/>
    </row>
    <row r="21" spans="2:21" x14ac:dyDescent="0.25">
      <c r="B21" s="65" t="s">
        <v>103</v>
      </c>
      <c r="C21" s="66"/>
      <c r="D21" s="66"/>
      <c r="E21" s="66"/>
      <c r="F21" s="67"/>
      <c r="G21" s="67"/>
      <c r="H21" s="68"/>
      <c r="I21" s="68"/>
      <c r="J21" s="68"/>
      <c r="K21" s="68"/>
      <c r="M21" s="65" t="s">
        <v>104</v>
      </c>
      <c r="N21" s="65"/>
      <c r="O21" s="65"/>
      <c r="P21" s="65"/>
      <c r="Q21" s="1231"/>
      <c r="R21" s="69"/>
      <c r="U21" s="57"/>
    </row>
    <row r="22" spans="2:21" ht="18" x14ac:dyDescent="0.4">
      <c r="B22" s="30" t="s">
        <v>105</v>
      </c>
      <c r="J22" s="70" t="s">
        <v>106</v>
      </c>
      <c r="K22" s="71">
        <v>45199</v>
      </c>
      <c r="M22" s="69"/>
      <c r="N22" s="72" t="s">
        <v>107</v>
      </c>
      <c r="O22" s="72" t="s">
        <v>108</v>
      </c>
      <c r="P22" s="72" t="s">
        <v>109</v>
      </c>
      <c r="Q22" s="72"/>
      <c r="R22" s="72"/>
    </row>
    <row r="23" spans="2:21" x14ac:dyDescent="0.25">
      <c r="B23" s="30" t="s">
        <v>110</v>
      </c>
      <c r="K23" s="780">
        <v>44926</v>
      </c>
      <c r="M23" s="73" t="s">
        <v>111</v>
      </c>
      <c r="N23" s="69"/>
      <c r="O23" s="69"/>
      <c r="P23" s="69"/>
      <c r="Q23" s="69"/>
      <c r="R23" s="69"/>
    </row>
    <row r="24" spans="2:21" x14ac:dyDescent="0.25">
      <c r="K24" s="75"/>
      <c r="M24" s="76" t="str">
        <f>+B52</f>
        <v>Revolver</v>
      </c>
      <c r="N24" s="77">
        <v>0.01</v>
      </c>
      <c r="O24" s="1232">
        <f>K52*N24</f>
        <v>0</v>
      </c>
      <c r="P24" s="1228">
        <f>+H52</f>
        <v>7</v>
      </c>
      <c r="Q24" s="79"/>
      <c r="R24" s="79"/>
    </row>
    <row r="25" spans="2:21" x14ac:dyDescent="0.25">
      <c r="B25" s="81" t="s">
        <v>112</v>
      </c>
      <c r="K25" s="75"/>
      <c r="M25" s="76" t="str">
        <f>+B53</f>
        <v>Term Loan A</v>
      </c>
      <c r="N25" s="77">
        <v>0.01</v>
      </c>
      <c r="O25" s="1232">
        <f t="shared" ref="O25:O27" si="0">K53*N25</f>
        <v>0</v>
      </c>
      <c r="P25" s="1228">
        <f t="shared" ref="P25:P27" si="1">+H53</f>
        <v>7</v>
      </c>
      <c r="Q25" s="79"/>
      <c r="R25" s="79"/>
    </row>
    <row r="26" spans="2:21" x14ac:dyDescent="0.25">
      <c r="B26" s="30" t="str">
        <f>"Adjusted EBITDA, Estimated Closing Date on"&amp;" "&amp; TEXT(Closing_Date,"MM/DD/YYYY")</f>
        <v>Adjusted EBITDA, Estimated Closing Date on 09/30/2023</v>
      </c>
      <c r="K26" s="39">
        <f ca="1">INDEX('Operating Model'!$K$86:$AL$86,MATCH(Closing_Date,'Operating Model'!$K$5:$AL$5,0))</f>
        <v>34131.517779925431</v>
      </c>
      <c r="M26" s="76" t="str">
        <f t="shared" ref="M26:M27" si="2">+B54</f>
        <v>Mezzanine Debt</v>
      </c>
      <c r="N26" s="77">
        <v>0.01</v>
      </c>
      <c r="O26" s="1232">
        <f t="shared" si="0"/>
        <v>0</v>
      </c>
      <c r="P26" s="1228">
        <f t="shared" si="1"/>
        <v>7</v>
      </c>
      <c r="Q26" s="79"/>
      <c r="R26" s="79"/>
    </row>
    <row r="27" spans="2:21" x14ac:dyDescent="0.25">
      <c r="B27" s="30" t="s">
        <v>113</v>
      </c>
      <c r="K27" s="82">
        <f ca="1">+O17/K26</f>
        <v>194.39852956080651</v>
      </c>
      <c r="M27" s="76" t="str">
        <f t="shared" si="2"/>
        <v>Bond</v>
      </c>
      <c r="N27" s="77">
        <v>0.01</v>
      </c>
      <c r="O27" s="1232">
        <f t="shared" si="0"/>
        <v>5000</v>
      </c>
      <c r="P27" s="1228">
        <f t="shared" si="1"/>
        <v>10</v>
      </c>
      <c r="Q27" s="79"/>
      <c r="R27" s="79"/>
    </row>
    <row r="28" spans="2:21" x14ac:dyDescent="0.25">
      <c r="B28" s="30" t="s">
        <v>114</v>
      </c>
      <c r="G28" s="1397" t="s">
        <v>115</v>
      </c>
      <c r="K28" s="1399">
        <f>+'Public-Comps'!O35</f>
        <v>9.1471370989067324</v>
      </c>
      <c r="M28" s="83" t="s">
        <v>111</v>
      </c>
      <c r="N28" s="69"/>
      <c r="O28" s="1233">
        <f>SUM(O24:O27)</f>
        <v>5000</v>
      </c>
      <c r="P28" s="84"/>
      <c r="Q28" s="78"/>
      <c r="R28" s="79"/>
    </row>
    <row r="29" spans="2:21" ht="18" x14ac:dyDescent="0.4">
      <c r="M29" s="76"/>
      <c r="N29" s="72" t="s">
        <v>116</v>
      </c>
      <c r="O29" s="72" t="s">
        <v>108</v>
      </c>
      <c r="P29" s="69"/>
      <c r="Q29" s="69"/>
      <c r="R29" s="78"/>
    </row>
    <row r="30" spans="2:21" x14ac:dyDescent="0.25">
      <c r="B30" s="81" t="s">
        <v>117</v>
      </c>
      <c r="N30" s="1229">
        <f>+O30/K43</f>
        <v>7.5356622941213848E-4</v>
      </c>
      <c r="O30" s="50">
        <f>+SUM(O28)</f>
        <v>5000</v>
      </c>
      <c r="R30" s="69"/>
    </row>
    <row r="31" spans="2:21" x14ac:dyDescent="0.25">
      <c r="B31" s="30" t="str">
        <f>"Revenue, Estimated Closing Date on"&amp;" "&amp; TEXT(Closing_Date,"MM/DD/YYYY")</f>
        <v>Revenue, Estimated Closing Date on 09/30/2023</v>
      </c>
      <c r="K31" s="39">
        <f ca="1">INDEX('Operating Model'!$K$9:$AL$9,MATCH(Closing_Date,'Operating Model'!$K$5:$AL$5,0))</f>
        <v>469212.08887245454</v>
      </c>
      <c r="R31" s="69"/>
    </row>
    <row r="32" spans="2:21" ht="18" x14ac:dyDescent="0.4">
      <c r="B32" s="30" t="s">
        <v>118</v>
      </c>
      <c r="K32" s="82">
        <f ca="1">+O17/K31</f>
        <v>14.140975958314757</v>
      </c>
      <c r="M32" s="69"/>
      <c r="N32" s="72" t="s">
        <v>107</v>
      </c>
      <c r="O32" s="72" t="s">
        <v>108</v>
      </c>
      <c r="P32" s="72"/>
      <c r="Q32" s="72"/>
    </row>
    <row r="33" spans="2:15" x14ac:dyDescent="0.25">
      <c r="B33" s="30" t="s">
        <v>119</v>
      </c>
      <c r="H33" s="1396" t="s">
        <v>120</v>
      </c>
      <c r="K33" s="1398">
        <f>+'M&amp;A Comps'!F8</f>
        <v>15.000790712965987</v>
      </c>
      <c r="M33" s="73" t="s">
        <v>121</v>
      </c>
      <c r="N33" s="69"/>
      <c r="O33" s="69"/>
    </row>
    <row r="34" spans="2:15" x14ac:dyDescent="0.25">
      <c r="M34" s="76" t="s">
        <v>122</v>
      </c>
      <c r="N34" s="77">
        <v>0.01</v>
      </c>
      <c r="O34" s="1232">
        <f>$K$40*N34</f>
        <v>66351.168680960269</v>
      </c>
    </row>
    <row r="35" spans="2:15" x14ac:dyDescent="0.25">
      <c r="M35" s="76" t="s">
        <v>123</v>
      </c>
      <c r="N35" s="77">
        <v>5.0000000000000001E-3</v>
      </c>
      <c r="O35" s="1232">
        <f t="shared" ref="O35:O36" si="3">$K$40*N35</f>
        <v>33175.584340480134</v>
      </c>
    </row>
    <row r="36" spans="2:15" x14ac:dyDescent="0.25">
      <c r="B36" s="30" t="s">
        <v>124</v>
      </c>
      <c r="J36" s="70" t="s">
        <v>106</v>
      </c>
      <c r="K36" s="85" t="s">
        <v>47</v>
      </c>
      <c r="M36" s="76" t="s">
        <v>125</v>
      </c>
      <c r="N36" s="77">
        <v>5.0000000000000001E-3</v>
      </c>
      <c r="O36" s="1232">
        <f t="shared" si="3"/>
        <v>33175.584340480134</v>
      </c>
    </row>
    <row r="37" spans="2:15" x14ac:dyDescent="0.25">
      <c r="M37" s="83" t="s">
        <v>121</v>
      </c>
      <c r="N37" s="69"/>
      <c r="O37" s="1233">
        <f>SUM(O34:O36)</f>
        <v>132702.33736192054</v>
      </c>
    </row>
    <row r="38" spans="2:15" ht="18" x14ac:dyDescent="0.4">
      <c r="B38" s="30" t="s">
        <v>126</v>
      </c>
      <c r="K38" s="86">
        <f>+O17</f>
        <v>6635116.8680960266</v>
      </c>
      <c r="M38" s="76"/>
      <c r="N38" s="72" t="s">
        <v>116</v>
      </c>
      <c r="O38" s="72" t="s">
        <v>108</v>
      </c>
    </row>
    <row r="39" spans="2:15" x14ac:dyDescent="0.25">
      <c r="B39" s="87" t="str">
        <f>"Less: Existing Debt on"&amp;" "&amp; TEXT(Closing_Date,"MM/DD/YYYY")</f>
        <v>Less: Existing Debt on 09/30/2023</v>
      </c>
      <c r="K39" s="88">
        <v>0</v>
      </c>
      <c r="N39" s="1229">
        <f>+O39/K40</f>
        <v>0.02</v>
      </c>
      <c r="O39" s="50">
        <f>+SUM(O37)</f>
        <v>132702.33736192054</v>
      </c>
    </row>
    <row r="40" spans="2:15" ht="16.5" thickBot="1" x14ac:dyDescent="0.3">
      <c r="B40" s="89" t="s">
        <v>83</v>
      </c>
      <c r="C40" s="89"/>
      <c r="D40" s="89"/>
      <c r="E40" s="89"/>
      <c r="F40" s="89"/>
      <c r="G40" s="89"/>
      <c r="H40" s="89"/>
      <c r="I40" s="89"/>
      <c r="J40" s="89"/>
      <c r="K40" s="90">
        <f>+K38+K39</f>
        <v>6635116.8680960266</v>
      </c>
    </row>
    <row r="41" spans="2:15" ht="16.5" thickTop="1" x14ac:dyDescent="0.25"/>
    <row r="42" spans="2:15" x14ac:dyDescent="0.25">
      <c r="B42" s="65" t="s">
        <v>127</v>
      </c>
      <c r="C42" s="66"/>
      <c r="D42" s="66"/>
      <c r="E42" s="66"/>
      <c r="F42" s="68"/>
      <c r="G42" s="68"/>
      <c r="H42" s="68"/>
      <c r="I42" s="68"/>
      <c r="J42" s="68"/>
      <c r="K42" s="68"/>
    </row>
    <row r="43" spans="2:15" x14ac:dyDescent="0.25">
      <c r="B43" s="91" t="s">
        <v>128</v>
      </c>
      <c r="K43" s="88">
        <f>+O17</f>
        <v>6635116.8680960266</v>
      </c>
    </row>
    <row r="44" spans="2:15" x14ac:dyDescent="0.25">
      <c r="B44" s="91" t="s">
        <v>129</v>
      </c>
      <c r="J44" s="92" t="s">
        <v>130</v>
      </c>
      <c r="K44" s="88">
        <f>-K39</f>
        <v>0</v>
      </c>
    </row>
    <row r="45" spans="2:15" x14ac:dyDescent="0.25">
      <c r="B45" s="91" t="s">
        <v>121</v>
      </c>
      <c r="K45" s="88">
        <f>+O30</f>
        <v>5000</v>
      </c>
    </row>
    <row r="46" spans="2:15" x14ac:dyDescent="0.25">
      <c r="B46" s="91" t="s">
        <v>131</v>
      </c>
      <c r="K46" s="88">
        <f>+O39</f>
        <v>132702.33736192054</v>
      </c>
      <c r="L46" s="94"/>
    </row>
    <row r="47" spans="2:15" x14ac:dyDescent="0.25">
      <c r="B47" s="95" t="s">
        <v>132</v>
      </c>
      <c r="C47" s="95"/>
      <c r="D47" s="95"/>
      <c r="E47" s="95"/>
      <c r="F47" s="95"/>
      <c r="G47" s="95"/>
      <c r="H47" s="95"/>
      <c r="I47" s="95"/>
      <c r="J47" s="95"/>
      <c r="K47" s="96">
        <f>SUM(K43:K46)</f>
        <v>6772819.2054579472</v>
      </c>
      <c r="L47" s="97"/>
    </row>
    <row r="50" spans="2:13" ht="31.5" x14ac:dyDescent="0.25">
      <c r="B50" s="65" t="s">
        <v>133</v>
      </c>
      <c r="C50" s="68" t="s">
        <v>134</v>
      </c>
      <c r="D50" s="68"/>
      <c r="E50" s="68" t="s">
        <v>135</v>
      </c>
      <c r="F50" s="178" t="s">
        <v>136</v>
      </c>
      <c r="G50" s="179" t="s">
        <v>137</v>
      </c>
      <c r="H50" s="180" t="s">
        <v>109</v>
      </c>
      <c r="I50" s="178" t="s">
        <v>138</v>
      </c>
      <c r="J50" s="178" t="s">
        <v>139</v>
      </c>
      <c r="K50" s="178" t="s">
        <v>140</v>
      </c>
    </row>
    <row r="51" spans="2:13" x14ac:dyDescent="0.25">
      <c r="B51" s="98" t="s">
        <v>141</v>
      </c>
      <c r="G51" s="1234">
        <v>2.5000000000000001E-2</v>
      </c>
      <c r="I51" s="99">
        <f ca="1">+K51/$K$31</f>
        <v>1.3131566891296931</v>
      </c>
      <c r="J51" s="100">
        <f ca="1">+K51/$K$58</f>
        <v>9.0973784244358619E-2</v>
      </c>
      <c r="K51" s="101">
        <f ca="1">+K18</f>
        <v>616148.99312337965</v>
      </c>
    </row>
    <row r="52" spans="2:13" x14ac:dyDescent="0.25">
      <c r="B52" s="98" t="s">
        <v>19</v>
      </c>
      <c r="C52" s="115">
        <v>1E-3</v>
      </c>
      <c r="D52" s="1224"/>
      <c r="E52" s="1223"/>
      <c r="F52" s="102">
        <v>100000</v>
      </c>
      <c r="G52" s="1234">
        <v>8.5500000000000007E-2</v>
      </c>
      <c r="H52" s="103">
        <v>7</v>
      </c>
      <c r="I52" s="99">
        <f t="shared" ref="I52:I57" ca="1" si="4">+K52/$K$31</f>
        <v>0</v>
      </c>
      <c r="J52" s="100">
        <f>+K52/$K$58</f>
        <v>0</v>
      </c>
      <c r="K52" s="1230">
        <v>0</v>
      </c>
    </row>
    <row r="53" spans="2:13" x14ac:dyDescent="0.25">
      <c r="B53" s="91" t="s">
        <v>20</v>
      </c>
      <c r="C53" s="1223"/>
      <c r="D53" s="1223"/>
      <c r="E53" s="1223"/>
      <c r="F53" s="1225"/>
      <c r="G53" s="1234">
        <v>8.5500000000000007E-2</v>
      </c>
      <c r="H53" s="103">
        <v>7</v>
      </c>
      <c r="I53" s="99">
        <f t="shared" ca="1" si="4"/>
        <v>0</v>
      </c>
      <c r="J53" s="100">
        <f>+K53/$K$58</f>
        <v>0</v>
      </c>
      <c r="K53" s="1230">
        <v>0</v>
      </c>
    </row>
    <row r="54" spans="2:13" x14ac:dyDescent="0.25">
      <c r="B54" s="91" t="s">
        <v>21</v>
      </c>
      <c r="C54" s="1223"/>
      <c r="D54" s="1223"/>
      <c r="E54" s="115">
        <v>3.5000000000000003E-2</v>
      </c>
      <c r="F54" s="1225"/>
      <c r="G54" s="1234">
        <v>0.1</v>
      </c>
      <c r="H54" s="103">
        <v>7</v>
      </c>
      <c r="I54" s="99">
        <f t="shared" ca="1" si="4"/>
        <v>0</v>
      </c>
      <c r="J54" s="100">
        <f t="shared" ref="J54:J56" si="5">+K54/$K$58</f>
        <v>0</v>
      </c>
      <c r="K54" s="1230">
        <v>0</v>
      </c>
      <c r="M54" s="30" t="s">
        <v>142</v>
      </c>
    </row>
    <row r="55" spans="2:13" x14ac:dyDescent="0.25">
      <c r="B55" s="91" t="s">
        <v>22</v>
      </c>
      <c r="C55" s="1223"/>
      <c r="D55" s="1223"/>
      <c r="E55" s="1223"/>
      <c r="F55" s="1223"/>
      <c r="G55" s="1234">
        <v>7.2599999999999998E-2</v>
      </c>
      <c r="H55" s="103">
        <v>10</v>
      </c>
      <c r="I55" s="99">
        <f t="shared" ca="1" si="4"/>
        <v>1.0656161933114952</v>
      </c>
      <c r="J55" s="100">
        <f t="shared" si="5"/>
        <v>7.3824501264860246E-2</v>
      </c>
      <c r="K55" s="1230">
        <v>500000</v>
      </c>
      <c r="M55" s="30" t="s">
        <v>143</v>
      </c>
    </row>
    <row r="56" spans="2:13" x14ac:dyDescent="0.25">
      <c r="B56" s="91" t="s">
        <v>144</v>
      </c>
      <c r="C56" s="1223"/>
      <c r="D56" s="1223"/>
      <c r="E56" s="1223"/>
      <c r="F56" s="1223"/>
      <c r="G56" s="1223"/>
      <c r="H56" s="1223"/>
      <c r="I56" s="99">
        <f t="shared" ca="1" si="4"/>
        <v>2.2910748156197149</v>
      </c>
      <c r="J56" s="100">
        <f t="shared" si="5"/>
        <v>0.15872267771944953</v>
      </c>
      <c r="K56" s="1230">
        <v>1075000</v>
      </c>
    </row>
    <row r="57" spans="2:13" x14ac:dyDescent="0.25">
      <c r="B57" s="91" t="s">
        <v>145</v>
      </c>
      <c r="C57" s="1223"/>
      <c r="D57" s="1223"/>
      <c r="E57" s="1223"/>
      <c r="F57" s="1223"/>
      <c r="G57" s="1223"/>
      <c r="H57" s="1223"/>
      <c r="I57" s="99">
        <f t="shared" ca="1" si="4"/>
        <v>9.7646039413532648</v>
      </c>
      <c r="J57" s="100">
        <f ca="1">+K57/$K$58</f>
        <v>0.67647903677133159</v>
      </c>
      <c r="K57" s="104">
        <f ca="1">+K58-SUM(K51:K56)</f>
        <v>4581670.2123345677</v>
      </c>
    </row>
    <row r="58" spans="2:13" x14ac:dyDescent="0.25">
      <c r="B58" s="95" t="s">
        <v>146</v>
      </c>
      <c r="C58" s="105"/>
      <c r="D58" s="105"/>
      <c r="E58" s="105"/>
      <c r="F58" s="105"/>
      <c r="G58" s="1235" t="str">
        <f>+K36</f>
        <v>Offer / LTM Revenue</v>
      </c>
      <c r="H58" s="105"/>
      <c r="I58" s="106">
        <f ca="1">SUM(I51:I57)</f>
        <v>14.434451639414167</v>
      </c>
      <c r="J58" s="107">
        <f ca="1">SUM(J51:J57)</f>
        <v>1</v>
      </c>
      <c r="K58" s="108">
        <f>+K47</f>
        <v>6772819.2054579472</v>
      </c>
    </row>
    <row r="60" spans="2:13" x14ac:dyDescent="0.25">
      <c r="B60" s="109"/>
      <c r="C60" s="109"/>
      <c r="D60" s="109"/>
      <c r="E60" s="109"/>
      <c r="F60" s="109"/>
      <c r="G60" s="109"/>
      <c r="H60" s="109"/>
      <c r="I60" s="109"/>
      <c r="J60" s="109"/>
      <c r="K60" s="110"/>
    </row>
    <row r="61" spans="2:13" x14ac:dyDescent="0.25">
      <c r="B61" s="111" t="s">
        <v>147</v>
      </c>
      <c r="C61" s="112"/>
      <c r="D61" s="112"/>
      <c r="E61" s="112" t="s">
        <v>148</v>
      </c>
      <c r="F61" s="113" t="s">
        <v>149</v>
      </c>
      <c r="G61" s="113" t="s">
        <v>150</v>
      </c>
      <c r="H61" s="113"/>
      <c r="I61" s="113" t="s">
        <v>140</v>
      </c>
      <c r="J61" s="113" t="s">
        <v>151</v>
      </c>
      <c r="K61" s="114" t="s">
        <v>152</v>
      </c>
    </row>
    <row r="62" spans="2:13" x14ac:dyDescent="0.25">
      <c r="B62" s="76" t="s">
        <v>144</v>
      </c>
      <c r="C62" s="69"/>
      <c r="D62" s="69"/>
      <c r="E62" s="1226">
        <v>0.2</v>
      </c>
      <c r="F62" s="1226">
        <v>0.2</v>
      </c>
      <c r="G62" s="1227"/>
      <c r="H62" s="116"/>
      <c r="I62" s="117">
        <f ca="1">+K57</f>
        <v>4581670.2123345677</v>
      </c>
      <c r="J62" s="118">
        <f ca="1">+I62/$I$66</f>
        <v>0.8099588698567004</v>
      </c>
      <c r="K62" s="115">
        <f ca="1">(1-SUM($K$64:$K$65))*J62</f>
        <v>0.75326174896673137</v>
      </c>
      <c r="M62" s="86"/>
    </row>
    <row r="63" spans="2:13" x14ac:dyDescent="0.25">
      <c r="B63" s="76" t="s">
        <v>145</v>
      </c>
      <c r="C63" s="69"/>
      <c r="D63" s="69"/>
      <c r="E63" s="1227"/>
      <c r="F63" s="1227"/>
      <c r="G63" s="1226">
        <v>0.08</v>
      </c>
      <c r="H63" s="119"/>
      <c r="I63" s="117">
        <f>+K56</f>
        <v>1075000</v>
      </c>
      <c r="J63" s="118">
        <f ca="1">+I63/$I$66</f>
        <v>0.19004113014329965</v>
      </c>
      <c r="K63" s="115">
        <f ca="1">(1-SUM($K$64:$K$65))*J63</f>
        <v>0.17673825103326868</v>
      </c>
      <c r="M63" s="86"/>
    </row>
    <row r="64" spans="2:13" x14ac:dyDescent="0.25">
      <c r="B64" s="76" t="s">
        <v>153</v>
      </c>
      <c r="C64" s="69"/>
      <c r="D64" s="69"/>
      <c r="E64" s="116"/>
      <c r="F64" s="116"/>
      <c r="G64" s="116"/>
      <c r="H64" s="116"/>
      <c r="I64" s="120"/>
      <c r="J64" s="177"/>
      <c r="K64" s="115">
        <v>0.05</v>
      </c>
    </row>
    <row r="65" spans="2:11" x14ac:dyDescent="0.25">
      <c r="B65" s="76" t="s">
        <v>154</v>
      </c>
      <c r="C65" s="69"/>
      <c r="D65" s="69"/>
      <c r="E65" s="116"/>
      <c r="F65" s="116"/>
      <c r="G65" s="116"/>
      <c r="H65" s="116"/>
      <c r="I65" s="120"/>
      <c r="J65" s="177"/>
      <c r="K65" s="115">
        <v>0.02</v>
      </c>
    </row>
    <row r="66" spans="2:11" x14ac:dyDescent="0.25">
      <c r="B66" s="121" t="s">
        <v>155</v>
      </c>
      <c r="C66" s="122"/>
      <c r="D66" s="122"/>
      <c r="E66" s="122"/>
      <c r="F66" s="122"/>
      <c r="G66" s="122"/>
      <c r="H66" s="122"/>
      <c r="I66" s="123">
        <f ca="1">SUM(I62:I65)</f>
        <v>5656670.2123345677</v>
      </c>
      <c r="J66" s="124">
        <f ca="1">SUM(J62:J65)</f>
        <v>1</v>
      </c>
      <c r="K66" s="124">
        <f ca="1">SUM(K62:K65)</f>
        <v>1</v>
      </c>
    </row>
    <row r="70" spans="2:11" x14ac:dyDescent="0.25">
      <c r="B70" s="65" t="s">
        <v>156</v>
      </c>
      <c r="C70" s="66"/>
      <c r="D70" s="66"/>
      <c r="E70" s="66"/>
      <c r="F70" s="68"/>
      <c r="G70" s="68"/>
      <c r="H70" s="68"/>
      <c r="I70" s="68"/>
      <c r="J70" s="68"/>
    </row>
    <row r="71" spans="2:11" x14ac:dyDescent="0.25">
      <c r="C71" s="126" t="s">
        <v>157</v>
      </c>
      <c r="D71" s="127" t="s">
        <v>158</v>
      </c>
      <c r="E71" s="127" t="s">
        <v>158</v>
      </c>
      <c r="F71" s="128" t="s">
        <v>159</v>
      </c>
      <c r="G71" s="128" t="s">
        <v>159</v>
      </c>
      <c r="H71" s="128" t="s">
        <v>159</v>
      </c>
      <c r="I71" s="128" t="s">
        <v>159</v>
      </c>
      <c r="J71" s="129" t="s">
        <v>160</v>
      </c>
    </row>
    <row r="72" spans="2:11" x14ac:dyDescent="0.25">
      <c r="C72" s="130" t="s">
        <v>161</v>
      </c>
      <c r="D72" s="55" t="s">
        <v>162</v>
      </c>
      <c r="E72" s="55" t="s">
        <v>162</v>
      </c>
      <c r="F72" s="55" t="s">
        <v>163</v>
      </c>
      <c r="G72" s="55" t="s">
        <v>163</v>
      </c>
      <c r="H72" s="55" t="s">
        <v>164</v>
      </c>
      <c r="I72" s="55" t="s">
        <v>165</v>
      </c>
      <c r="J72" s="130" t="s">
        <v>166</v>
      </c>
    </row>
    <row r="73" spans="2:11" x14ac:dyDescent="0.25">
      <c r="B73" s="131" t="s">
        <v>167</v>
      </c>
      <c r="C73" s="132">
        <f>+K22</f>
        <v>45199</v>
      </c>
      <c r="D73" s="133" t="s">
        <v>168</v>
      </c>
      <c r="E73" s="133" t="s">
        <v>169</v>
      </c>
      <c r="F73" s="133" t="s">
        <v>168</v>
      </c>
      <c r="G73" s="133" t="s">
        <v>169</v>
      </c>
      <c r="H73" s="133" t="s">
        <v>108</v>
      </c>
      <c r="I73" s="133" t="s">
        <v>108</v>
      </c>
      <c r="J73" s="132">
        <f>+Closing_Date</f>
        <v>45199</v>
      </c>
    </row>
    <row r="74" spans="2:11" x14ac:dyDescent="0.25">
      <c r="B74" s="134" t="s">
        <v>170</v>
      </c>
      <c r="C74" s="164"/>
      <c r="J74" s="173"/>
    </row>
    <row r="75" spans="2:11" x14ac:dyDescent="0.25">
      <c r="B75" s="69" t="s">
        <v>171</v>
      </c>
      <c r="C75" s="165"/>
      <c r="J75" s="174"/>
    </row>
    <row r="76" spans="2:11" x14ac:dyDescent="0.25">
      <c r="B76" s="76" t="s">
        <v>172</v>
      </c>
      <c r="C76" s="166">
        <f ca="1">INDEX('Operating Model'!$K99:$AL99,MATCH('Transaction Structure'!C$73,'Operating Model'!$K$5:$AL$5,0))</f>
        <v>641148.99312337965</v>
      </c>
      <c r="D76" s="104">
        <f ca="1">SUM(D109:D116)</f>
        <v>5656670.2123345677</v>
      </c>
      <c r="E76" s="104">
        <f>+SUM(E102:E105)</f>
        <v>500000</v>
      </c>
      <c r="F76" s="104">
        <f ca="1">-F84+SUM(F109:F113)</f>
        <v>-6635116.8680960266</v>
      </c>
      <c r="H76" s="104">
        <f>-K46</f>
        <v>-132702.33736192054</v>
      </c>
      <c r="I76" s="104">
        <f>-K45</f>
        <v>-5000</v>
      </c>
      <c r="J76" s="175">
        <f ca="1">SUM(C76:I76)</f>
        <v>25000.000000000087</v>
      </c>
    </row>
    <row r="77" spans="2:11" x14ac:dyDescent="0.25">
      <c r="B77" s="76" t="s">
        <v>173</v>
      </c>
      <c r="C77" s="166">
        <f ca="1">INDEX('Operating Model'!$K101:$AL101,MATCH('Transaction Structure'!C$73,'Operating Model'!$K$5:$AL$5,0))</f>
        <v>43178.43761389469</v>
      </c>
      <c r="J77" s="175">
        <f ca="1">SUM(C77:I77)</f>
        <v>43178.43761389469</v>
      </c>
    </row>
    <row r="78" spans="2:11" x14ac:dyDescent="0.25">
      <c r="B78" s="76" t="s">
        <v>174</v>
      </c>
      <c r="C78" s="166">
        <f ca="1">INDEX('Operating Model'!$K102:$AL102,MATCH('Transaction Structure'!C$73,'Operating Model'!$K$5:$AL$5,0))</f>
        <v>41156.935437406566</v>
      </c>
      <c r="J78" s="175">
        <f ca="1">SUM(C78:I78)</f>
        <v>41156.935437406566</v>
      </c>
    </row>
    <row r="79" spans="2:11" x14ac:dyDescent="0.25">
      <c r="B79" s="76" t="s">
        <v>175</v>
      </c>
      <c r="C79" s="166">
        <f ca="1">INDEX('Operating Model'!$K103:$AL103,MATCH('Transaction Structure'!C$73,'Operating Model'!$K$5:$AL$5,0))</f>
        <v>10927.345946603886</v>
      </c>
      <c r="J79" s="175">
        <f ca="1">SUM(C79:I79)</f>
        <v>10927.345946603886</v>
      </c>
    </row>
    <row r="80" spans="2:11" x14ac:dyDescent="0.25">
      <c r="B80" s="83" t="s">
        <v>176</v>
      </c>
      <c r="C80" s="167">
        <f ca="1">SUM(C76:C79)</f>
        <v>736411.7121212848</v>
      </c>
      <c r="D80" s="135">
        <f t="shared" ref="D80:J80" ca="1" si="6">SUM(D76:D79)</f>
        <v>5656670.2123345677</v>
      </c>
      <c r="E80" s="135">
        <f t="shared" si="6"/>
        <v>500000</v>
      </c>
      <c r="F80" s="135">
        <f t="shared" ca="1" si="6"/>
        <v>-6635116.8680960266</v>
      </c>
      <c r="G80" s="135">
        <f t="shared" si="6"/>
        <v>0</v>
      </c>
      <c r="H80" s="135">
        <f t="shared" ref="H80:I80" si="7">SUM(H76:H79)</f>
        <v>-132702.33736192054</v>
      </c>
      <c r="I80" s="135">
        <f t="shared" si="7"/>
        <v>-5000</v>
      </c>
      <c r="J80" s="167">
        <f t="shared" ca="1" si="6"/>
        <v>120262.71899790523</v>
      </c>
    </row>
    <row r="82" spans="2:10" x14ac:dyDescent="0.25">
      <c r="B82" s="69" t="s">
        <v>177</v>
      </c>
      <c r="C82" s="166">
        <f ca="1">INDEX('Operating Model'!$K106:$AL106,MATCH('Transaction Structure'!C$73,'Operating Model'!$K$5:$AL$5,0))</f>
        <v>17653.291852261038</v>
      </c>
      <c r="J82" s="175">
        <f t="shared" ref="J82:J89" ca="1" si="8">SUM(C82:I82)</f>
        <v>17653.291852261038</v>
      </c>
    </row>
    <row r="83" spans="2:10" x14ac:dyDescent="0.25">
      <c r="B83" s="69" t="s">
        <v>178</v>
      </c>
      <c r="C83" s="166">
        <f>INDEX('Operating Model'!$K107:$AL107,MATCH('Transaction Structure'!C$73,'Operating Model'!$K$5:$AL$5,0))</f>
        <v>4050</v>
      </c>
      <c r="F83" s="104">
        <f>-C83</f>
        <v>-4050</v>
      </c>
      <c r="J83" s="175">
        <f t="shared" si="8"/>
        <v>0</v>
      </c>
    </row>
    <row r="84" spans="2:10" x14ac:dyDescent="0.25">
      <c r="B84" s="134" t="s">
        <v>179</v>
      </c>
      <c r="C84" s="172">
        <v>0</v>
      </c>
      <c r="F84" s="104">
        <f ca="1">+O17+SUM(F110:F113)</f>
        <v>6068487.6100214934</v>
      </c>
      <c r="J84" s="175">
        <f t="shared" ca="1" si="8"/>
        <v>6068487.6100214934</v>
      </c>
    </row>
    <row r="85" spans="2:10" x14ac:dyDescent="0.25">
      <c r="B85" s="69" t="s">
        <v>180</v>
      </c>
      <c r="C85" s="166">
        <f ca="1">INDEX('Operating Model'!$K109:$AL109,MATCH('Transaction Structure'!C$73,'Operating Model'!$K$5:$AL$5,0))</f>
        <v>12404.456008900788</v>
      </c>
      <c r="I85" s="522"/>
      <c r="J85" s="175">
        <f t="shared" ca="1" si="8"/>
        <v>12404.456008900788</v>
      </c>
    </row>
    <row r="86" spans="2:10" x14ac:dyDescent="0.25">
      <c r="B86" s="134" t="s">
        <v>181</v>
      </c>
      <c r="C86" s="172">
        <v>0</v>
      </c>
      <c r="I86" s="522">
        <f>-I76</f>
        <v>5000</v>
      </c>
      <c r="J86" s="175">
        <f t="shared" si="8"/>
        <v>5000</v>
      </c>
    </row>
    <row r="87" spans="2:10" x14ac:dyDescent="0.25">
      <c r="B87" s="69" t="s">
        <v>182</v>
      </c>
      <c r="C87" s="166">
        <f ca="1">INDEX('Operating Model'!$K111:$AL111,MATCH('Transaction Structure'!C$73,'Operating Model'!$K$5:$AL$5,0))</f>
        <v>25495.309147362244</v>
      </c>
      <c r="J87" s="175">
        <f t="shared" ca="1" si="8"/>
        <v>25495.309147362244</v>
      </c>
    </row>
    <row r="88" spans="2:10" x14ac:dyDescent="0.25">
      <c r="B88" s="69" t="s">
        <v>183</v>
      </c>
      <c r="C88" s="166">
        <f ca="1">INDEX('Operating Model'!$K112:$AL112,MATCH('Transaction Structure'!C$73,'Operating Model'!$K$5:$AL$5,0))</f>
        <v>317.5709451357601</v>
      </c>
      <c r="J88" s="175">
        <f t="shared" ca="1" si="8"/>
        <v>317.5709451357601</v>
      </c>
    </row>
    <row r="89" spans="2:10" x14ac:dyDescent="0.25">
      <c r="B89" s="69" t="s">
        <v>184</v>
      </c>
      <c r="C89" s="166">
        <f>INDEX('Operating Model'!$K113:$AL113,MATCH('Transaction Structure'!C$73,'Operating Model'!$K$5:$AL$5,0))</f>
        <v>1507</v>
      </c>
      <c r="J89" s="175">
        <f t="shared" si="8"/>
        <v>1507</v>
      </c>
    </row>
    <row r="90" spans="2:10" x14ac:dyDescent="0.25">
      <c r="B90" s="134" t="s">
        <v>185</v>
      </c>
      <c r="C90" s="168">
        <f t="shared" ref="C90:J90" ca="1" si="9">SUM(C82:C89)+C80</f>
        <v>797839.34007494466</v>
      </c>
      <c r="D90" s="135">
        <f t="shared" ca="1" si="9"/>
        <v>5656670.2123345677</v>
      </c>
      <c r="E90" s="135">
        <f t="shared" si="9"/>
        <v>500000</v>
      </c>
      <c r="F90" s="135">
        <f t="shared" ca="1" si="9"/>
        <v>-570679.25807453319</v>
      </c>
      <c r="G90" s="135">
        <f t="shared" si="9"/>
        <v>0</v>
      </c>
      <c r="H90" s="135">
        <f t="shared" si="9"/>
        <v>-132702.33736192054</v>
      </c>
      <c r="I90" s="135">
        <f t="shared" si="9"/>
        <v>0</v>
      </c>
      <c r="J90" s="136">
        <f t="shared" ca="1" si="9"/>
        <v>6251127.9569730582</v>
      </c>
    </row>
    <row r="91" spans="2:10" x14ac:dyDescent="0.25">
      <c r="B91" s="134"/>
      <c r="C91" s="169"/>
      <c r="J91" s="174"/>
    </row>
    <row r="92" spans="2:10" x14ac:dyDescent="0.25">
      <c r="B92" s="69" t="s">
        <v>186</v>
      </c>
      <c r="C92" s="170"/>
      <c r="J92" s="174"/>
    </row>
    <row r="93" spans="2:10" x14ac:dyDescent="0.25">
      <c r="B93" s="69" t="s">
        <v>187</v>
      </c>
      <c r="C93" s="170"/>
      <c r="J93" s="174"/>
    </row>
    <row r="94" spans="2:10" x14ac:dyDescent="0.25">
      <c r="B94" s="76" t="s">
        <v>188</v>
      </c>
      <c r="C94" s="166">
        <f ca="1">INDEX('Operating Model'!$K118:$AL118,MATCH('Transaction Structure'!C$73,'Operating Model'!$K$5:$AL$5,0))</f>
        <v>3833.1596879259596</v>
      </c>
      <c r="J94" s="175">
        <f ca="1">SUM(C94:I94)</f>
        <v>3833.1596879259596</v>
      </c>
    </row>
    <row r="95" spans="2:10" x14ac:dyDescent="0.25">
      <c r="B95" s="76" t="s">
        <v>189</v>
      </c>
      <c r="C95" s="166">
        <f ca="1">INDEX('Operating Model'!$K119:$AL119,MATCH('Transaction Structure'!C$73,'Operating Model'!$K$5:$AL$5,0))</f>
        <v>176808.76428463508</v>
      </c>
      <c r="J95" s="175">
        <f ca="1">SUM(C95:I95)</f>
        <v>176808.76428463508</v>
      </c>
    </row>
    <row r="96" spans="2:10" s="551" customFormat="1" x14ac:dyDescent="0.25">
      <c r="B96" s="98" t="s">
        <v>190</v>
      </c>
      <c r="C96" s="166">
        <f>INDEX('Operating Model'!$K120:$AL120,MATCH('Transaction Structure'!C$73,'Operating Model'!$K$5:$AL$5,0))</f>
        <v>1069</v>
      </c>
      <c r="J96" s="175">
        <f>SUM(C96:I96)</f>
        <v>1069</v>
      </c>
    </row>
    <row r="97" spans="2:10" x14ac:dyDescent="0.25">
      <c r="B97" s="137" t="s">
        <v>191</v>
      </c>
      <c r="C97" s="166">
        <f ca="1">INDEX('Operating Model'!$K122:$AL122,MATCH('Transaction Structure'!C$73,'Operating Model'!$K$5:$AL$5,0))</f>
        <v>17323.053903095628</v>
      </c>
      <c r="J97" s="175">
        <f ca="1">SUM(C97:I97)</f>
        <v>17323.053903095628</v>
      </c>
    </row>
    <row r="98" spans="2:10" x14ac:dyDescent="0.25">
      <c r="B98" s="138" t="s">
        <v>192</v>
      </c>
      <c r="C98" s="167">
        <f t="shared" ref="C98:J98" ca="1" si="10">SUM(C94:C97)</f>
        <v>199033.97787565665</v>
      </c>
      <c r="D98" s="135">
        <f t="shared" si="10"/>
        <v>0</v>
      </c>
      <c r="E98" s="135">
        <f t="shared" si="10"/>
        <v>0</v>
      </c>
      <c r="F98" s="135">
        <f t="shared" si="10"/>
        <v>0</v>
      </c>
      <c r="G98" s="135">
        <f t="shared" si="10"/>
        <v>0</v>
      </c>
      <c r="H98" s="135">
        <f t="shared" si="10"/>
        <v>0</v>
      </c>
      <c r="I98" s="135">
        <f t="shared" si="10"/>
        <v>0</v>
      </c>
      <c r="J98" s="167">
        <f t="shared" ca="1" si="10"/>
        <v>199033.97787565665</v>
      </c>
    </row>
    <row r="99" spans="2:10" x14ac:dyDescent="0.25">
      <c r="B99" s="138"/>
      <c r="C99" s="171"/>
      <c r="J99" s="174"/>
    </row>
    <row r="100" spans="2:10" x14ac:dyDescent="0.25">
      <c r="B100" s="134" t="s">
        <v>193</v>
      </c>
      <c r="C100" s="169"/>
      <c r="J100" s="175"/>
    </row>
    <row r="101" spans="2:10" x14ac:dyDescent="0.25">
      <c r="B101" s="76" t="s">
        <v>194</v>
      </c>
      <c r="C101" s="166">
        <f ca="1">INDEX('Operating Model'!$K126:$AL126,MATCH('Transaction Structure'!C$73,'Operating Model'!$K$5:$AL$5,0))</f>
        <v>32176.104124754394</v>
      </c>
      <c r="J101" s="175">
        <f ca="1">SUM(C101:I101)</f>
        <v>32176.104124754394</v>
      </c>
    </row>
    <row r="102" spans="2:10" x14ac:dyDescent="0.25">
      <c r="B102" s="60" t="s">
        <v>19</v>
      </c>
      <c r="C102" s="172"/>
      <c r="E102" s="104">
        <f>+K52</f>
        <v>0</v>
      </c>
      <c r="J102" s="175">
        <f>SUM(C102:I102)</f>
        <v>0</v>
      </c>
    </row>
    <row r="103" spans="2:10" x14ac:dyDescent="0.25">
      <c r="B103" s="139" t="s">
        <v>20</v>
      </c>
      <c r="C103" s="172"/>
      <c r="E103" s="104">
        <f>+K53</f>
        <v>0</v>
      </c>
      <c r="J103" s="175">
        <f>SUM(C103:I103)</f>
        <v>0</v>
      </c>
    </row>
    <row r="104" spans="2:10" x14ac:dyDescent="0.25">
      <c r="B104" s="139" t="s">
        <v>21</v>
      </c>
      <c r="C104" s="172"/>
      <c r="E104" s="104">
        <f>+K54</f>
        <v>0</v>
      </c>
      <c r="J104" s="175">
        <f>SUM(C104:I104)</f>
        <v>0</v>
      </c>
    </row>
    <row r="105" spans="2:10" x14ac:dyDescent="0.25">
      <c r="B105" s="139" t="s">
        <v>22</v>
      </c>
      <c r="C105" s="172"/>
      <c r="E105" s="104">
        <f>+K55</f>
        <v>500000</v>
      </c>
      <c r="J105" s="175">
        <f>SUM(C105:I105)</f>
        <v>500000</v>
      </c>
    </row>
    <row r="106" spans="2:10" x14ac:dyDescent="0.25">
      <c r="B106" s="134" t="s">
        <v>195</v>
      </c>
      <c r="C106" s="168">
        <f t="shared" ref="C106:I106" ca="1" si="11">SUM(C101:C105)+C98</f>
        <v>231210.08200041106</v>
      </c>
      <c r="D106" s="135">
        <f t="shared" si="11"/>
        <v>0</v>
      </c>
      <c r="E106" s="135">
        <f t="shared" si="11"/>
        <v>500000</v>
      </c>
      <c r="F106" s="135">
        <f t="shared" si="11"/>
        <v>0</v>
      </c>
      <c r="G106" s="135">
        <f t="shared" si="11"/>
        <v>0</v>
      </c>
      <c r="H106" s="135">
        <f t="shared" si="11"/>
        <v>0</v>
      </c>
      <c r="I106" s="135">
        <f t="shared" si="11"/>
        <v>0</v>
      </c>
      <c r="J106" s="168">
        <f ca="1">SUM(J101:J105)+J98</f>
        <v>731210.08200041112</v>
      </c>
    </row>
    <row r="107" spans="2:10" x14ac:dyDescent="0.25">
      <c r="B107" s="134"/>
      <c r="C107" s="169"/>
      <c r="J107" s="174"/>
    </row>
    <row r="108" spans="2:10" x14ac:dyDescent="0.25">
      <c r="B108" s="134" t="s">
        <v>196</v>
      </c>
      <c r="C108" s="169"/>
      <c r="J108" s="174"/>
    </row>
    <row r="109" spans="2:10" x14ac:dyDescent="0.25">
      <c r="B109" s="76" t="s">
        <v>197</v>
      </c>
      <c r="C109" s="166">
        <f>INDEX('Operating Model'!$K134:$AL134,MATCH('Transaction Structure'!C$73,'Operating Model'!$K$5:$AL$5,0))</f>
        <v>0</v>
      </c>
      <c r="D109" s="104"/>
      <c r="E109" s="104"/>
      <c r="F109" s="104">
        <f>-C109</f>
        <v>0</v>
      </c>
      <c r="G109" s="104"/>
      <c r="H109" s="104"/>
      <c r="I109" s="104"/>
      <c r="J109" s="175">
        <f t="shared" ref="J109:J116" si="12">SUM(C109:I109)</f>
        <v>0</v>
      </c>
    </row>
    <row r="110" spans="2:10" x14ac:dyDescent="0.25">
      <c r="B110" s="140" t="s">
        <v>198</v>
      </c>
      <c r="C110" s="166">
        <f>INDEX('Operating Model'!$K135:$AL135,MATCH('Transaction Structure'!C$73,'Operating Model'!$K$5:$AL$5,0))</f>
        <v>4</v>
      </c>
      <c r="D110" s="104"/>
      <c r="E110" s="104"/>
      <c r="F110" s="104">
        <f>-C110</f>
        <v>-4</v>
      </c>
      <c r="G110" s="104"/>
      <c r="H110" s="104"/>
      <c r="I110" s="104"/>
      <c r="J110" s="175">
        <f t="shared" si="12"/>
        <v>0</v>
      </c>
    </row>
    <row r="111" spans="2:10" x14ac:dyDescent="0.25">
      <c r="B111" s="76" t="s">
        <v>199</v>
      </c>
      <c r="C111" s="166">
        <f>INDEX('Operating Model'!$K136:$AL136,MATCH('Transaction Structure'!C$73,'Operating Model'!$K$5:$AL$5,0))</f>
        <v>780765</v>
      </c>
      <c r="D111" s="104"/>
      <c r="E111" s="104"/>
      <c r="F111" s="104">
        <f>-C111</f>
        <v>-780765</v>
      </c>
      <c r="G111" s="104"/>
      <c r="H111" s="104"/>
      <c r="I111" s="104"/>
      <c r="J111" s="175">
        <f t="shared" si="12"/>
        <v>0</v>
      </c>
    </row>
    <row r="112" spans="2:10" x14ac:dyDescent="0.25">
      <c r="B112" s="76" t="s">
        <v>200</v>
      </c>
      <c r="C112" s="166">
        <f>INDEX('Operating Model'!$K137:$AL137,MATCH('Transaction Structure'!C$73,'Operating Model'!$K$5:$AL$5,0))</f>
        <v>-8203</v>
      </c>
      <c r="D112" s="104"/>
      <c r="E112" s="104"/>
      <c r="F112" s="104">
        <f>-C112</f>
        <v>8203</v>
      </c>
      <c r="G112" s="104"/>
      <c r="H112" s="104"/>
      <c r="I112" s="104"/>
      <c r="J112" s="175">
        <f t="shared" si="12"/>
        <v>0</v>
      </c>
    </row>
    <row r="113" spans="2:10" x14ac:dyDescent="0.25">
      <c r="B113" s="76" t="s">
        <v>201</v>
      </c>
      <c r="C113" s="166">
        <f ca="1">INDEX('Operating Model'!$K141:$AL141,MATCH('Transaction Structure'!C$73,'Operating Model'!$K$5:$AL$5,0))</f>
        <v>-205936.74192546649</v>
      </c>
      <c r="D113" s="104"/>
      <c r="E113" s="104"/>
      <c r="F113" s="104">
        <f ca="1">-C113</f>
        <v>205936.74192546649</v>
      </c>
      <c r="G113" s="104"/>
      <c r="H113" s="104">
        <f>H76</f>
        <v>-132702.33736192054</v>
      </c>
      <c r="I113" s="104"/>
      <c r="J113" s="175">
        <f t="shared" ca="1" si="12"/>
        <v>-132702.33736192054</v>
      </c>
    </row>
    <row r="114" spans="2:10" x14ac:dyDescent="0.25">
      <c r="B114" s="76" t="s">
        <v>202</v>
      </c>
      <c r="C114" s="166"/>
      <c r="D114" s="104"/>
      <c r="E114" s="104"/>
      <c r="F114" s="104">
        <f>+F83</f>
        <v>-4050</v>
      </c>
      <c r="G114" s="104"/>
      <c r="H114" s="104"/>
      <c r="I114" s="104"/>
      <c r="J114" s="175">
        <f t="shared" si="12"/>
        <v>-4050</v>
      </c>
    </row>
    <row r="115" spans="2:10" x14ac:dyDescent="0.25">
      <c r="B115" s="139" t="s">
        <v>144</v>
      </c>
      <c r="C115" s="172">
        <v>0</v>
      </c>
      <c r="D115" s="104">
        <f ca="1">+K57</f>
        <v>4581670.2123345677</v>
      </c>
      <c r="E115" s="104"/>
      <c r="F115" s="104"/>
      <c r="G115" s="104"/>
      <c r="H115" s="104"/>
      <c r="I115" s="104"/>
      <c r="J115" s="175">
        <f t="shared" ca="1" si="12"/>
        <v>4581670.2123345677</v>
      </c>
    </row>
    <row r="116" spans="2:10" x14ac:dyDescent="0.25">
      <c r="B116" s="139" t="s">
        <v>145</v>
      </c>
      <c r="C116" s="172">
        <v>0</v>
      </c>
      <c r="D116" s="104">
        <f>+K56</f>
        <v>1075000</v>
      </c>
      <c r="E116" s="104"/>
      <c r="F116" s="104"/>
      <c r="G116" s="104"/>
      <c r="H116" s="104"/>
      <c r="I116" s="104"/>
      <c r="J116" s="175">
        <f t="shared" si="12"/>
        <v>1075000</v>
      </c>
    </row>
    <row r="117" spans="2:10" x14ac:dyDescent="0.25">
      <c r="B117" s="134" t="s">
        <v>203</v>
      </c>
      <c r="C117" s="168">
        <f t="shared" ref="C117:I117" ca="1" si="13">SUM(C109:C116)</f>
        <v>566629.25807453354</v>
      </c>
      <c r="D117" s="141">
        <f t="shared" ca="1" si="13"/>
        <v>5656670.2123345677</v>
      </c>
      <c r="E117" s="141">
        <f t="shared" si="13"/>
        <v>0</v>
      </c>
      <c r="F117" s="141">
        <f t="shared" ca="1" si="13"/>
        <v>-570679.25807453354</v>
      </c>
      <c r="G117" s="141">
        <f t="shared" si="13"/>
        <v>0</v>
      </c>
      <c r="H117" s="141">
        <f t="shared" si="13"/>
        <v>-132702.33736192054</v>
      </c>
      <c r="I117" s="141">
        <f t="shared" si="13"/>
        <v>0</v>
      </c>
      <c r="J117" s="168">
        <f ca="1">SUM(J109:J116)</f>
        <v>5519917.8749726471</v>
      </c>
    </row>
    <row r="118" spans="2:10" x14ac:dyDescent="0.25">
      <c r="B118" s="134"/>
      <c r="C118" s="169"/>
      <c r="D118" s="142"/>
      <c r="E118" s="142"/>
      <c r="F118" s="143"/>
      <c r="G118" s="142"/>
      <c r="H118" s="144"/>
      <c r="I118" s="145"/>
      <c r="J118" s="174"/>
    </row>
    <row r="119" spans="2:10" x14ac:dyDescent="0.25">
      <c r="B119" s="146" t="s">
        <v>204</v>
      </c>
      <c r="C119" s="168">
        <f t="shared" ref="C119:I119" ca="1" si="14">+C117+C106</f>
        <v>797839.34007494454</v>
      </c>
      <c r="D119" s="144">
        <f t="shared" ca="1" si="14"/>
        <v>5656670.2123345677</v>
      </c>
      <c r="E119" s="144">
        <f t="shared" si="14"/>
        <v>500000</v>
      </c>
      <c r="F119" s="144">
        <f t="shared" ca="1" si="14"/>
        <v>-570679.25807453354</v>
      </c>
      <c r="G119" s="144">
        <f t="shared" si="14"/>
        <v>0</v>
      </c>
      <c r="H119" s="144">
        <f t="shared" si="14"/>
        <v>-132702.33736192054</v>
      </c>
      <c r="I119" s="144">
        <f t="shared" si="14"/>
        <v>0</v>
      </c>
      <c r="J119" s="176">
        <f ca="1">+J117+J106</f>
        <v>6251127.9569730582</v>
      </c>
    </row>
    <row r="120" spans="2:10" x14ac:dyDescent="0.25">
      <c r="B120" s="134" t="s">
        <v>205</v>
      </c>
      <c r="C120" s="147">
        <f ca="1">+ROUND(C90-C119,0)</f>
        <v>0</v>
      </c>
      <c r="D120" s="147">
        <f t="shared" ref="D120:J120" ca="1" si="15">+D90-D119</f>
        <v>0</v>
      </c>
      <c r="E120" s="147">
        <f t="shared" si="15"/>
        <v>0</v>
      </c>
      <c r="F120" s="147">
        <f t="shared" ca="1" si="15"/>
        <v>0</v>
      </c>
      <c r="G120" s="147">
        <f t="shared" si="15"/>
        <v>0</v>
      </c>
      <c r="H120" s="147">
        <f t="shared" si="15"/>
        <v>0</v>
      </c>
      <c r="I120" s="147">
        <f t="shared" si="15"/>
        <v>0</v>
      </c>
      <c r="J120" s="147">
        <f t="shared" ca="1" si="15"/>
        <v>0</v>
      </c>
    </row>
    <row r="121" spans="2:10" x14ac:dyDescent="0.25">
      <c r="B121" s="30" t="s">
        <v>206</v>
      </c>
      <c r="C121" s="86"/>
    </row>
  </sheetData>
  <conditionalFormatting sqref="K121">
    <cfRule type="cellIs" dxfId="62" priority="1" operator="greaterThan">
      <formula>0</formula>
    </cfRule>
  </conditionalFormatting>
  <dataValidations count="3">
    <dataValidation type="list" allowBlank="1" showInputMessage="1" showErrorMessage="1" sqref="U3">
      <formula1>"0,1"</formula1>
    </dataValidation>
    <dataValidation type="list" allowBlank="1" showInputMessage="1" showErrorMessage="1" sqref="K36">
      <formula1>$X$1:$X$2</formula1>
    </dataValidation>
    <dataValidation type="list" allowBlank="1" showInputMessage="1" showErrorMessage="1" sqref="U5">
      <formula1>$X$5:$X$7</formula1>
    </dataValidation>
  </dataValidations>
  <pageMargins left="0.7" right="0.7" top="0.75" bottom="0.75" header="0.3" footer="0.3"/>
  <pageSetup orientation="portrait" r:id="rId1"/>
  <ignoredErrors>
    <ignoredError sqref="K13 O12"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'Operating Model'!S$5:AL$5</xm:f>
          </x14:formula1>
          <xm:sqref>K22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517"/>
  <sheetViews>
    <sheetView showGridLines="0" zoomScale="85" zoomScaleNormal="85" workbookViewId="0">
      <pane xSplit="10" ySplit="5" topLeftCell="K6" activePane="bottomRight" state="frozen"/>
      <selection pane="topRight" activeCell="K1" sqref="K1"/>
      <selection pane="bottomLeft" activeCell="A6" sqref="A6"/>
      <selection pane="bottomRight" activeCell="M7" sqref="M7"/>
    </sheetView>
  </sheetViews>
  <sheetFormatPr defaultColWidth="9.140625" defaultRowHeight="15.75" outlineLevelRow="1" x14ac:dyDescent="0.25"/>
  <cols>
    <col min="1" max="1" width="9.140625" style="69" customWidth="1"/>
    <col min="2" max="2" width="11" style="551" customWidth="1"/>
    <col min="3" max="3" width="33.7109375" style="69" bestFit="1" customWidth="1"/>
    <col min="4" max="4" width="19.7109375" style="69" customWidth="1"/>
    <col min="5" max="5" width="4.7109375" style="69" customWidth="1"/>
    <col min="6" max="6" width="5.140625" style="69" customWidth="1"/>
    <col min="7" max="7" width="10.140625" style="69" customWidth="1"/>
    <col min="8" max="8" width="9.42578125" style="69" customWidth="1"/>
    <col min="9" max="9" width="22.7109375" style="69" customWidth="1"/>
    <col min="10" max="10" width="11.7109375" style="69" customWidth="1"/>
    <col min="11" max="46" width="13.28515625" style="69" customWidth="1"/>
    <col min="47" max="47" width="10.85546875" style="69" bestFit="1" customWidth="1"/>
    <col min="48" max="48" width="14.28515625" style="69" bestFit="1" customWidth="1"/>
    <col min="49" max="16384" width="9.140625" style="69"/>
  </cols>
  <sheetData>
    <row r="2" spans="1:47" x14ac:dyDescent="0.25">
      <c r="A2" s="69" t="s">
        <v>207</v>
      </c>
      <c r="B2" s="1187" t="s">
        <v>208</v>
      </c>
      <c r="C2" s="32"/>
      <c r="D2" s="32"/>
      <c r="E2" s="32"/>
      <c r="F2" s="32"/>
      <c r="G2" s="32"/>
      <c r="H2" s="32"/>
      <c r="I2" s="32"/>
      <c r="J2" s="32"/>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69" t="s">
        <v>207</v>
      </c>
      <c r="AN2" s="34"/>
      <c r="AO2" s="34"/>
      <c r="AP2" s="34"/>
      <c r="AQ2" s="34"/>
      <c r="AR2" s="34"/>
      <c r="AS2" s="34"/>
      <c r="AT2" s="34"/>
      <c r="AU2" s="34"/>
    </row>
    <row r="3" spans="1:47" ht="16.5" thickBot="1" x14ac:dyDescent="0.3">
      <c r="B3" s="523" t="s">
        <v>0</v>
      </c>
      <c r="C3" s="524"/>
      <c r="D3" s="524"/>
      <c r="E3" s="524"/>
      <c r="F3" s="524"/>
      <c r="G3" s="524"/>
      <c r="H3" s="524"/>
      <c r="I3" s="524"/>
      <c r="J3" s="524"/>
      <c r="K3" s="525" t="str">
        <f>IF(K5=Closing_Date,"Closing",IF(K5&lt;='Transaction Structure'!$K$23,"Actual","Forecast"))</f>
        <v>Actual</v>
      </c>
      <c r="L3" s="525" t="str">
        <f>IF(L5=Closing_Date,"Closing",IF(L5&lt;='Transaction Structure'!$K$23,"Actual","Forecast"))</f>
        <v>Actual</v>
      </c>
      <c r="M3" s="525" t="str">
        <f>IF(M5=Closing_Date,"Closing",IF(M5&lt;='Transaction Structure'!$K$23,"Actual","Forecast"))</f>
        <v>Actual</v>
      </c>
      <c r="N3" s="525" t="str">
        <f>IF(N5=Closing_Date,"Closing",IF(N5&lt;='Transaction Structure'!$K$23,"Actual","Forecast"))</f>
        <v>Actual</v>
      </c>
      <c r="O3" s="525" t="str">
        <f>IF(O5=Closing_Date,"Closing",IF(O5&lt;='Transaction Structure'!$K$23,"Actual","Forecast"))</f>
        <v>Actual</v>
      </c>
      <c r="P3" s="525" t="str">
        <f>IF(P5=Closing_Date,"Closing",IF(P5&lt;='Transaction Structure'!$K$23,"Actual","Forecast"))</f>
        <v>Actual</v>
      </c>
      <c r="Q3" s="525" t="str">
        <f>IF(Q5=Closing_Date,"Closing",IF(Q5&lt;='Transaction Structure'!$K$23,"Actual","Forecast"))</f>
        <v>Actual</v>
      </c>
      <c r="R3" s="525" t="str">
        <f>IF(R5=Closing_Date,"Closing",IF(R5&lt;='Transaction Structure'!$K$23,"Actual","Forecast"))</f>
        <v>Actual</v>
      </c>
      <c r="S3" s="525" t="str">
        <f>IF(S5=Closing_Date,"Closing",IF(S5&lt;='Transaction Structure'!$K$23,"Actual","Forecast"))</f>
        <v>Forecast</v>
      </c>
      <c r="T3" s="525" t="str">
        <f>IF(T5=Closing_Date,"Closing",IF(T5&lt;='Transaction Structure'!$K$23,"Actual","Forecast"))</f>
        <v>Forecast</v>
      </c>
      <c r="U3" s="525" t="str">
        <f>IF(U5=Closing_Date,"Closing",IF(U5&lt;='Transaction Structure'!$K$23,"Actual","Forecast"))</f>
        <v>Closing</v>
      </c>
      <c r="V3" s="525" t="str">
        <f>IF(V5=Closing_Date,"Closing",IF(V5&lt;='Transaction Structure'!$K$23,"Actual","Forecast"))</f>
        <v>Forecast</v>
      </c>
      <c r="W3" s="525" t="str">
        <f>IF(W5=Closing_Date,"Closing",IF(W5&lt;='Transaction Structure'!$K$23,"Actual","Forecast"))</f>
        <v>Forecast</v>
      </c>
      <c r="X3" s="525" t="str">
        <f>IF(X5=Closing_Date,"Closing",IF(X5&lt;='Transaction Structure'!$K$23,"Actual","Forecast"))</f>
        <v>Forecast</v>
      </c>
      <c r="Y3" s="525" t="str">
        <f>IF(Y5=Closing_Date,"Closing",IF(Y5&lt;='Transaction Structure'!$K$23,"Actual","Forecast"))</f>
        <v>Forecast</v>
      </c>
      <c r="Z3" s="525" t="str">
        <f>IF(Z5=Closing_Date,"Closing",IF(Z5&lt;='Transaction Structure'!$K$23,"Actual","Forecast"))</f>
        <v>Forecast</v>
      </c>
      <c r="AA3" s="525" t="str">
        <f>IF(AA5=Closing_Date,"Closing",IF(AA5&lt;='Transaction Structure'!$K$23,"Actual","Forecast"))</f>
        <v>Forecast</v>
      </c>
      <c r="AB3" s="525" t="str">
        <f>IF(AB5=Closing_Date,"Closing",IF(AB5&lt;='Transaction Structure'!$K$23,"Actual","Forecast"))</f>
        <v>Forecast</v>
      </c>
      <c r="AC3" s="525" t="str">
        <f>IF(AC5=Closing_Date,"Closing",IF(AC5&lt;='Transaction Structure'!$K$23,"Actual","Forecast"))</f>
        <v>Forecast</v>
      </c>
      <c r="AD3" s="525" t="str">
        <f>IF(AD5=Closing_Date,"Closing",IF(AD5&lt;='Transaction Structure'!$K$23,"Actual","Forecast"))</f>
        <v>Forecast</v>
      </c>
      <c r="AE3" s="525" t="str">
        <f>IF(AE5=Closing_Date,"Closing",IF(AE5&lt;='Transaction Structure'!$K$23,"Actual","Forecast"))</f>
        <v>Forecast</v>
      </c>
      <c r="AF3" s="525" t="str">
        <f>IF(AF5=Closing_Date,"Closing",IF(AF5&lt;='Transaction Structure'!$K$23,"Actual","Forecast"))</f>
        <v>Forecast</v>
      </c>
      <c r="AG3" s="525" t="str">
        <f>IF(AG5=Closing_Date,"Closing",IF(AG5&lt;='Transaction Structure'!$K$23,"Actual","Forecast"))</f>
        <v>Forecast</v>
      </c>
      <c r="AH3" s="525" t="str">
        <f>IF(AH5=Closing_Date,"Closing",IF(AH5&lt;='Transaction Structure'!$K$23,"Actual","Forecast"))</f>
        <v>Forecast</v>
      </c>
      <c r="AI3" s="525" t="str">
        <f>IF(AI5=Closing_Date,"Closing",IF(AI5&lt;='Transaction Structure'!$K$23,"Actual","Forecast"))</f>
        <v>Forecast</v>
      </c>
      <c r="AJ3" s="525" t="str">
        <f>IF(AJ5=Closing_Date,"Closing",IF(AJ5&lt;='Transaction Structure'!$K$23,"Actual","Forecast"))</f>
        <v>Forecast</v>
      </c>
      <c r="AK3" s="525" t="str">
        <f>IF(AK5=Closing_Date,"Closing",IF(AK5&lt;='Transaction Structure'!$K$23,"Actual","Forecast"))</f>
        <v>Forecast</v>
      </c>
      <c r="AL3" s="525" t="str">
        <f>IF(AL5=Closing_Date,"Closing",IF(AL5&lt;='Transaction Structure'!$K$23,"Actual","Forecast"))</f>
        <v>Forecast</v>
      </c>
      <c r="AN3" s="525" t="str">
        <f>IF(AN5=Closing_Date,"Closing",IF(AN5&lt;='Transaction Structure'!$K$23,"Actual","Forecast"))</f>
        <v>Actual</v>
      </c>
      <c r="AO3" s="525" t="str">
        <f>IF(AO5=Closing_Date,"Closing",IF(AO5&lt;='Transaction Structure'!$K$23,"Actual","Forecast"))</f>
        <v>Actual</v>
      </c>
      <c r="AP3" s="525" t="str">
        <f>IF(AP5=Closing_Date,"Closing",IF(AP5&lt;='Transaction Structure'!$K$23,"Actual","Forecast"))</f>
        <v>Forecast</v>
      </c>
      <c r="AQ3" s="525" t="str">
        <f>IF(AQ5=Closing_Date,"Closing",IF(AQ5&lt;='Transaction Structure'!$K$23,"Actual","Forecast"))</f>
        <v>Forecast</v>
      </c>
      <c r="AR3" s="525" t="str">
        <f>IF(AR5=Closing_Date,"Closing",IF(AR5&lt;='Transaction Structure'!$K$23,"Actual","Forecast"))</f>
        <v>Forecast</v>
      </c>
      <c r="AS3" s="525" t="str">
        <f>IF(AS5=Closing_Date,"Closing",IF(AS5&lt;='Transaction Structure'!$K$23,"Actual","Forecast"))</f>
        <v>Forecast</v>
      </c>
      <c r="AT3" s="525" t="str">
        <f>IF(AT5=Closing_Date,"Closing",IF(AT5&lt;='Transaction Structure'!$K$23,"Actual","Forecast"))</f>
        <v>Forecast</v>
      </c>
      <c r="AU3" s="525" t="s">
        <v>209</v>
      </c>
    </row>
    <row r="4" spans="1:47" ht="16.5" thickBot="1" x14ac:dyDescent="0.3">
      <c r="B4" s="523" t="s">
        <v>44</v>
      </c>
      <c r="C4" s="526"/>
      <c r="D4" s="69" t="s">
        <v>210</v>
      </c>
      <c r="E4" s="526"/>
      <c r="F4" s="526"/>
      <c r="G4" s="1188" t="str">
        <f>+'Transaction Structure'!U5</f>
        <v>Base Case</v>
      </c>
      <c r="H4" s="526"/>
      <c r="I4" s="526"/>
      <c r="J4" s="526"/>
      <c r="K4" s="527">
        <f t="shared" ref="K4:AL4" si="0">YEAR(K5)</f>
        <v>2021</v>
      </c>
      <c r="L4" s="527">
        <f t="shared" si="0"/>
        <v>2021</v>
      </c>
      <c r="M4" s="527">
        <f t="shared" si="0"/>
        <v>2021</v>
      </c>
      <c r="N4" s="527">
        <f t="shared" si="0"/>
        <v>2021</v>
      </c>
      <c r="O4" s="527">
        <f t="shared" si="0"/>
        <v>2022</v>
      </c>
      <c r="P4" s="527">
        <f t="shared" si="0"/>
        <v>2022</v>
      </c>
      <c r="Q4" s="527">
        <f t="shared" si="0"/>
        <v>2022</v>
      </c>
      <c r="R4" s="528">
        <f t="shared" si="0"/>
        <v>2022</v>
      </c>
      <c r="S4" s="529">
        <f t="shared" si="0"/>
        <v>2023</v>
      </c>
      <c r="T4" s="529">
        <f t="shared" si="0"/>
        <v>2023</v>
      </c>
      <c r="U4" s="529">
        <f t="shared" si="0"/>
        <v>2023</v>
      </c>
      <c r="V4" s="529">
        <f t="shared" si="0"/>
        <v>2023</v>
      </c>
      <c r="W4" s="529">
        <f t="shared" si="0"/>
        <v>2024</v>
      </c>
      <c r="X4" s="529">
        <f t="shared" si="0"/>
        <v>2024</v>
      </c>
      <c r="Y4" s="529">
        <f t="shared" si="0"/>
        <v>2024</v>
      </c>
      <c r="Z4" s="529">
        <f t="shared" si="0"/>
        <v>2024</v>
      </c>
      <c r="AA4" s="529">
        <f t="shared" si="0"/>
        <v>2025</v>
      </c>
      <c r="AB4" s="529">
        <f t="shared" si="0"/>
        <v>2025</v>
      </c>
      <c r="AC4" s="529">
        <f t="shared" si="0"/>
        <v>2025</v>
      </c>
      <c r="AD4" s="529">
        <f t="shared" si="0"/>
        <v>2025</v>
      </c>
      <c r="AE4" s="529">
        <f t="shared" si="0"/>
        <v>2026</v>
      </c>
      <c r="AF4" s="529">
        <f t="shared" si="0"/>
        <v>2026</v>
      </c>
      <c r="AG4" s="529">
        <f t="shared" si="0"/>
        <v>2026</v>
      </c>
      <c r="AH4" s="529">
        <f t="shared" si="0"/>
        <v>2026</v>
      </c>
      <c r="AI4" s="529">
        <f t="shared" si="0"/>
        <v>2027</v>
      </c>
      <c r="AJ4" s="529">
        <f t="shared" si="0"/>
        <v>2027</v>
      </c>
      <c r="AK4" s="529">
        <f t="shared" si="0"/>
        <v>2027</v>
      </c>
      <c r="AL4" s="529">
        <f t="shared" si="0"/>
        <v>2027</v>
      </c>
      <c r="AN4" s="527">
        <f>+YEAR(AN5)</f>
        <v>2021</v>
      </c>
      <c r="AO4" s="527">
        <f>+YEAR(AO5)</f>
        <v>2022</v>
      </c>
      <c r="AP4" s="530">
        <f t="shared" ref="AP4:AT4" si="1">+YEAR(AP5)</f>
        <v>2023</v>
      </c>
      <c r="AQ4" s="530">
        <f t="shared" si="1"/>
        <v>2024</v>
      </c>
      <c r="AR4" s="530">
        <f t="shared" si="1"/>
        <v>2025</v>
      </c>
      <c r="AS4" s="530">
        <f t="shared" si="1"/>
        <v>2026</v>
      </c>
      <c r="AT4" s="530">
        <f t="shared" si="1"/>
        <v>2027</v>
      </c>
      <c r="AU4" s="530"/>
    </row>
    <row r="5" spans="1:47" x14ac:dyDescent="0.25">
      <c r="B5" s="551" t="s">
        <v>3</v>
      </c>
      <c r="C5" s="526"/>
      <c r="D5" s="526"/>
      <c r="E5" s="526"/>
      <c r="F5" s="526"/>
      <c r="G5" s="526"/>
      <c r="H5" s="526"/>
      <c r="I5" s="531" t="s">
        <v>211</v>
      </c>
      <c r="J5" s="532"/>
      <c r="K5" s="533">
        <f>EOMONTH(L5,-3)</f>
        <v>44286</v>
      </c>
      <c r="L5" s="533">
        <f>EOMONTH(M5,-3)</f>
        <v>44377</v>
      </c>
      <c r="M5" s="533">
        <f>EOMONTH(N5,-3)</f>
        <v>44469</v>
      </c>
      <c r="N5" s="533">
        <f>EOMONTH(O5,-3)</f>
        <v>44561</v>
      </c>
      <c r="O5" s="533">
        <f t="shared" ref="O5:P5" si="2">EOMONTH(P5,-3)</f>
        <v>44651</v>
      </c>
      <c r="P5" s="533">
        <f t="shared" si="2"/>
        <v>44742</v>
      </c>
      <c r="Q5" s="533">
        <f>EOMONTH(R5,-3)</f>
        <v>44834</v>
      </c>
      <c r="R5" s="534">
        <v>44926</v>
      </c>
      <c r="S5" s="535">
        <f>+EOMONTH(R5,3)</f>
        <v>45016</v>
      </c>
      <c r="T5" s="535">
        <f>+EOMONTH(S5,3)</f>
        <v>45107</v>
      </c>
      <c r="U5" s="535">
        <f>+EOMONTH(T5,3)</f>
        <v>45199</v>
      </c>
      <c r="V5" s="535">
        <f t="shared" ref="V5" si="3">+EOMONTH(U5,3)</f>
        <v>45291</v>
      </c>
      <c r="W5" s="535">
        <f t="shared" ref="W5" si="4">+EOMONTH(V5,3)</f>
        <v>45382</v>
      </c>
      <c r="X5" s="535">
        <f t="shared" ref="X5" si="5">+EOMONTH(W5,3)</f>
        <v>45473</v>
      </c>
      <c r="Y5" s="535">
        <f t="shared" ref="Y5" si="6">+EOMONTH(X5,3)</f>
        <v>45565</v>
      </c>
      <c r="Z5" s="535">
        <f t="shared" ref="Z5" si="7">+EOMONTH(Y5,3)</f>
        <v>45657</v>
      </c>
      <c r="AA5" s="535">
        <f t="shared" ref="AA5" si="8">+EOMONTH(Z5,3)</f>
        <v>45747</v>
      </c>
      <c r="AB5" s="535">
        <f t="shared" ref="AB5" si="9">+EOMONTH(AA5,3)</f>
        <v>45838</v>
      </c>
      <c r="AC5" s="535">
        <f t="shared" ref="AC5" si="10">+EOMONTH(AB5,3)</f>
        <v>45930</v>
      </c>
      <c r="AD5" s="535">
        <f t="shared" ref="AD5" si="11">+EOMONTH(AC5,3)</f>
        <v>46022</v>
      </c>
      <c r="AE5" s="535">
        <f t="shared" ref="AE5" si="12">+EOMONTH(AD5,3)</f>
        <v>46112</v>
      </c>
      <c r="AF5" s="535">
        <f t="shared" ref="AF5" si="13">+EOMONTH(AE5,3)</f>
        <v>46203</v>
      </c>
      <c r="AG5" s="535">
        <f t="shared" ref="AG5" si="14">+EOMONTH(AF5,3)</f>
        <v>46295</v>
      </c>
      <c r="AH5" s="535">
        <f t="shared" ref="AH5" si="15">+EOMONTH(AG5,3)</f>
        <v>46387</v>
      </c>
      <c r="AI5" s="535">
        <f t="shared" ref="AI5" si="16">+EOMONTH(AH5,3)</f>
        <v>46477</v>
      </c>
      <c r="AJ5" s="535">
        <f t="shared" ref="AJ5" si="17">+EOMONTH(AI5,3)</f>
        <v>46568</v>
      </c>
      <c r="AK5" s="535">
        <f t="shared" ref="AK5" si="18">+EOMONTH(AJ5,3)</f>
        <v>46660</v>
      </c>
      <c r="AL5" s="535">
        <f t="shared" ref="AL5" si="19">+EOMONTH(AK5,3)</f>
        <v>46752</v>
      </c>
      <c r="AN5" s="534">
        <v>44561</v>
      </c>
      <c r="AO5" s="533">
        <f>EOMONTH(AN5,12)</f>
        <v>44926</v>
      </c>
      <c r="AP5" s="533">
        <f t="shared" ref="AP5:AS5" si="20">EOMONTH(AO5,12)</f>
        <v>45291</v>
      </c>
      <c r="AQ5" s="533">
        <f t="shared" si="20"/>
        <v>45657</v>
      </c>
      <c r="AR5" s="533">
        <f t="shared" si="20"/>
        <v>46022</v>
      </c>
      <c r="AS5" s="533">
        <f t="shared" si="20"/>
        <v>46387</v>
      </c>
      <c r="AT5" s="533">
        <f t="shared" ref="AT5" si="21">EOMONTH(AS5,12)</f>
        <v>46752</v>
      </c>
      <c r="AU5" s="533"/>
    </row>
    <row r="6" spans="1:47" x14ac:dyDescent="0.25">
      <c r="K6" s="526"/>
      <c r="Q6" s="177"/>
      <c r="R6" s="543"/>
    </row>
    <row r="7" spans="1:47" x14ac:dyDescent="0.25">
      <c r="B7" s="551" t="s">
        <v>212</v>
      </c>
      <c r="I7" s="73" t="s">
        <v>213</v>
      </c>
      <c r="K7" s="536">
        <v>55360</v>
      </c>
      <c r="L7" s="536">
        <v>58803</v>
      </c>
      <c r="M7" s="536">
        <v>63595</v>
      </c>
      <c r="N7" s="537">
        <f>250772-M7-L7-K7</f>
        <v>73014</v>
      </c>
      <c r="O7" s="536">
        <v>81220</v>
      </c>
      <c r="P7" s="536">
        <v>88386</v>
      </c>
      <c r="Q7" s="536">
        <v>96065</v>
      </c>
      <c r="R7" s="537">
        <f>369495-SUM(O7:Q7)</f>
        <v>103824</v>
      </c>
      <c r="S7" s="537">
        <f t="shared" ref="S7:AL7" ca="1" si="22">+O7*(1+S89)</f>
        <v>117455.30093506495</v>
      </c>
      <c r="T7" s="537">
        <f t="shared" ca="1" si="22"/>
        <v>122388.61411764707</v>
      </c>
      <c r="U7" s="537">
        <f t="shared" ca="1" si="22"/>
        <v>125544.1738197425</v>
      </c>
      <c r="V7" s="537">
        <f t="shared" ca="1" si="22"/>
        <v>139021.90249303763</v>
      </c>
      <c r="W7" s="537">
        <f t="shared" ca="1" si="22"/>
        <v>141449.37662337665</v>
      </c>
      <c r="X7" s="537">
        <f t="shared" ca="1" si="22"/>
        <v>148176.52941176473</v>
      </c>
      <c r="Y7" s="537">
        <f t="shared" ca="1" si="22"/>
        <v>157600.19849785409</v>
      </c>
      <c r="Z7" s="537">
        <f t="shared" ca="1" si="22"/>
        <v>167744.28443750326</v>
      </c>
      <c r="AA7" s="537">
        <f t="shared" ca="1" si="22"/>
        <v>163121.11273328293</v>
      </c>
      <c r="AB7" s="537">
        <f t="shared" ca="1" si="22"/>
        <v>171592.70143435456</v>
      </c>
      <c r="AC7" s="537">
        <f t="shared" ca="1" si="22"/>
        <v>187781.02468802198</v>
      </c>
      <c r="AD7" s="537">
        <f t="shared" ca="1" si="22"/>
        <v>193736.67477428674</v>
      </c>
      <c r="AE7" s="537">
        <f t="shared" ca="1" si="22"/>
        <v>178116.37588748935</v>
      </c>
      <c r="AF7" s="537">
        <f t="shared" ca="1" si="22"/>
        <v>187862.66360943863</v>
      </c>
      <c r="AG7" s="537">
        <f t="shared" ca="1" si="22"/>
        <v>209357.34193357918</v>
      </c>
      <c r="AH7" s="537">
        <f t="shared" ca="1" si="22"/>
        <v>211748.6599462521</v>
      </c>
      <c r="AI7" s="537">
        <f t="shared" ca="1" si="22"/>
        <v>186303.24355824146</v>
      </c>
      <c r="AJ7" s="537">
        <f t="shared" ca="1" si="22"/>
        <v>196768.98190120302</v>
      </c>
      <c r="AK7" s="537">
        <f t="shared" ca="1" si="22"/>
        <v>221385.07592520662</v>
      </c>
      <c r="AL7" s="537">
        <f t="shared" ca="1" si="22"/>
        <v>221591.95298196396</v>
      </c>
      <c r="AN7" s="537">
        <f t="shared" ref="AN7:AT7" si="23">SUMIF($K$4:$AL$4,AN$4,$K7:$AL7)</f>
        <v>250772</v>
      </c>
      <c r="AO7" s="537">
        <f t="shared" si="23"/>
        <v>369495</v>
      </c>
      <c r="AP7" s="537">
        <f t="shared" ca="1" si="23"/>
        <v>504409.99136549217</v>
      </c>
      <c r="AQ7" s="537">
        <f t="shared" ca="1" si="23"/>
        <v>614970.38897049869</v>
      </c>
      <c r="AR7" s="537">
        <f t="shared" ca="1" si="23"/>
        <v>716231.51362994616</v>
      </c>
      <c r="AS7" s="537">
        <f t="shared" ca="1" si="23"/>
        <v>787085.0413767593</v>
      </c>
      <c r="AT7" s="537">
        <f t="shared" ca="1" si="23"/>
        <v>826049.25436661509</v>
      </c>
      <c r="AU7" s="1222">
        <f ca="1">+(AT7/AO7)^(1/COLUMNS(AP8:AT8))-1</f>
        <v>0.17457154511902173</v>
      </c>
    </row>
    <row r="8" spans="1:47" x14ac:dyDescent="0.25">
      <c r="B8" s="47" t="s">
        <v>214</v>
      </c>
      <c r="C8" s="84"/>
      <c r="D8" s="84"/>
      <c r="E8" s="84"/>
      <c r="F8" s="84"/>
      <c r="G8" s="84"/>
      <c r="K8" s="538"/>
      <c r="L8" s="539">
        <f>+L7/K7-1</f>
        <v>6.2192919075144459E-2</v>
      </c>
      <c r="M8" s="539">
        <f t="shared" ref="M8:S8" si="24">+M7/L7-1</f>
        <v>8.1492440861860693E-2</v>
      </c>
      <c r="N8" s="539">
        <f t="shared" si="24"/>
        <v>0.14810912807610666</v>
      </c>
      <c r="O8" s="539">
        <f t="shared" si="24"/>
        <v>0.11238940477168757</v>
      </c>
      <c r="P8" s="539">
        <f t="shared" si="24"/>
        <v>8.8229500123122362E-2</v>
      </c>
      <c r="Q8" s="539">
        <f t="shared" si="24"/>
        <v>8.6880275156699049E-2</v>
      </c>
      <c r="R8" s="539">
        <f t="shared" si="24"/>
        <v>8.0768229844376149E-2</v>
      </c>
      <c r="S8" s="539">
        <f t="shared" ca="1" si="24"/>
        <v>0.13129238841756186</v>
      </c>
      <c r="T8" s="539">
        <f ca="1">+T7/S7-1</f>
        <v>4.2001622262323401E-2</v>
      </c>
      <c r="U8" s="539">
        <f ca="1">+U7/T7-1</f>
        <v>2.5783114915102434E-2</v>
      </c>
      <c r="V8" s="539">
        <f t="shared" ref="V8" ca="1" si="25">+V7/U7-1</f>
        <v>0.10735447343535487</v>
      </c>
      <c r="W8" s="539">
        <f t="shared" ref="W8" ca="1" si="26">+W7/V7-1</f>
        <v>1.7461091287112707E-2</v>
      </c>
      <c r="X8" s="539">
        <f t="shared" ref="X8" ca="1" si="27">+X7/W7-1</f>
        <v>4.7558730543576733E-2</v>
      </c>
      <c r="Y8" s="539">
        <f t="shared" ref="Y8" ca="1" si="28">+Y7/X7-1</f>
        <v>6.3597582717719758E-2</v>
      </c>
      <c r="Z8" s="539">
        <f t="shared" ref="Z8" ca="1" si="29">+Z7/Y7-1</f>
        <v>6.4365946466668378E-2</v>
      </c>
      <c r="AA8" s="539">
        <f t="shared" ref="AA8" ca="1" si="30">+AA7/Z7-1</f>
        <v>-2.7560829984301427E-2</v>
      </c>
      <c r="AB8" s="539">
        <f t="shared" ref="AB8" ca="1" si="31">+AB7/AA7-1</f>
        <v>5.1934348406042385E-2</v>
      </c>
      <c r="AC8" s="539">
        <f t="shared" ref="AC8" ca="1" si="32">+AC7/AB7-1</f>
        <v>9.4341560674481961E-2</v>
      </c>
      <c r="AD8" s="539">
        <f t="shared" ref="AD8" ca="1" si="33">+AD7/AC7-1</f>
        <v>3.1715931341622206E-2</v>
      </c>
      <c r="AE8" s="539">
        <f t="shared" ref="AE8" ca="1" si="34">+AE7/AD7-1</f>
        <v>-8.06264425927401E-2</v>
      </c>
      <c r="AF8" s="539">
        <f t="shared" ref="AF8" ca="1" si="35">+AF7/AE7-1</f>
        <v>5.4718650508057243E-2</v>
      </c>
      <c r="AG8" s="539">
        <f t="shared" ref="AG8" ca="1" si="36">+AG7/AF7-1</f>
        <v>0.11441697839879139</v>
      </c>
      <c r="AH8" s="539">
        <f t="shared" ref="AH8" ca="1" si="37">+AH7/AG7-1</f>
        <v>1.1422183672123554E-2</v>
      </c>
      <c r="AI8" s="539">
        <f t="shared" ref="AI8" ca="1" si="38">+AI7/AH7-1</f>
        <v>-0.12016801614928474</v>
      </c>
      <c r="AJ8" s="539">
        <f t="shared" ref="AJ8" ca="1" si="39">+AJ7/AI7-1</f>
        <v>5.617582465594495E-2</v>
      </c>
      <c r="AK8" s="539">
        <f t="shared" ref="AK8" ca="1" si="40">+AK7/AJ7-1</f>
        <v>0.12510149611061783</v>
      </c>
      <c r="AL8" s="539">
        <f t="shared" ref="AL8" ca="1" si="41">+AL7/AK7-1</f>
        <v>9.3446704071076248E-4</v>
      </c>
      <c r="AN8" s="539"/>
      <c r="AO8" s="539">
        <f t="shared" ref="AO8" si="42">+AO7/AN7-1</f>
        <v>0.47343004801173971</v>
      </c>
      <c r="AP8" s="539">
        <f t="shared" ref="AP8" ca="1" si="43">+AP7/AO7-1</f>
        <v>0.36513346964232851</v>
      </c>
      <c r="AQ8" s="539">
        <f t="shared" ref="AQ8" ca="1" si="44">+AQ7/AP7-1</f>
        <v>0.21918756467473544</v>
      </c>
      <c r="AR8" s="539">
        <f t="shared" ref="AR8" ca="1" si="45">+AR7/AQ7-1</f>
        <v>0.16466016327869926</v>
      </c>
      <c r="AS8" s="539">
        <f t="shared" ref="AS8:AT8" ca="1" si="46">+AS7/AR7-1</f>
        <v>9.8925454128259593E-2</v>
      </c>
      <c r="AT8" s="539">
        <f t="shared" ca="1" si="46"/>
        <v>4.9504451160321983E-2</v>
      </c>
      <c r="AU8" s="539"/>
    </row>
    <row r="9" spans="1:47" x14ac:dyDescent="0.25">
      <c r="B9" s="551" t="s">
        <v>215</v>
      </c>
      <c r="K9" s="541"/>
      <c r="L9" s="541"/>
      <c r="M9" s="541"/>
      <c r="N9" s="541">
        <f>SUM(K7:N7)</f>
        <v>250772</v>
      </c>
      <c r="O9" s="541">
        <f t="shared" ref="O9:AL9" si="47">SUM(L7:O7)</f>
        <v>276632</v>
      </c>
      <c r="P9" s="541">
        <f t="shared" si="47"/>
        <v>306215</v>
      </c>
      <c r="Q9" s="541">
        <f t="shared" si="47"/>
        <v>338685</v>
      </c>
      <c r="R9" s="541">
        <f t="shared" si="47"/>
        <v>369495</v>
      </c>
      <c r="S9" s="541">
        <f t="shared" ca="1" si="47"/>
        <v>405730.30093506497</v>
      </c>
      <c r="T9" s="541">
        <f t="shared" ca="1" si="47"/>
        <v>439732.91505271202</v>
      </c>
      <c r="U9" s="541">
        <f t="shared" ca="1" si="47"/>
        <v>469212.08887245454</v>
      </c>
      <c r="V9" s="541">
        <f t="shared" ca="1" si="47"/>
        <v>504409.99136549217</v>
      </c>
      <c r="W9" s="541">
        <f t="shared" ca="1" si="47"/>
        <v>528404.06705380382</v>
      </c>
      <c r="X9" s="541">
        <f t="shared" ca="1" si="47"/>
        <v>554191.98234792147</v>
      </c>
      <c r="Y9" s="541">
        <f t="shared" ca="1" si="47"/>
        <v>586248.00702603301</v>
      </c>
      <c r="Z9" s="541">
        <f t="shared" ca="1" si="47"/>
        <v>614970.38897049869</v>
      </c>
      <c r="AA9" s="541">
        <f t="shared" ca="1" si="47"/>
        <v>636642.12508040504</v>
      </c>
      <c r="AB9" s="541">
        <f t="shared" ca="1" si="47"/>
        <v>660058.29710299487</v>
      </c>
      <c r="AC9" s="541">
        <f t="shared" ca="1" si="47"/>
        <v>690239.12329316267</v>
      </c>
      <c r="AD9" s="541">
        <f t="shared" ca="1" si="47"/>
        <v>716231.51362994616</v>
      </c>
      <c r="AE9" s="541">
        <f t="shared" ca="1" si="47"/>
        <v>731226.77678415272</v>
      </c>
      <c r="AF9" s="541">
        <f t="shared" ca="1" si="47"/>
        <v>747496.73895923677</v>
      </c>
      <c r="AG9" s="541">
        <f t="shared" ca="1" si="47"/>
        <v>769073.05620479397</v>
      </c>
      <c r="AH9" s="541">
        <f t="shared" ca="1" si="47"/>
        <v>787085.0413767593</v>
      </c>
      <c r="AI9" s="541">
        <f t="shared" ca="1" si="47"/>
        <v>795271.90904751141</v>
      </c>
      <c r="AJ9" s="541">
        <f t="shared" ca="1" si="47"/>
        <v>804178.22733927588</v>
      </c>
      <c r="AK9" s="541">
        <f t="shared" ca="1" si="47"/>
        <v>816205.96133090323</v>
      </c>
      <c r="AL9" s="541">
        <f t="shared" ca="1" si="47"/>
        <v>826049.25436661509</v>
      </c>
      <c r="AN9" s="539"/>
      <c r="AO9" s="539"/>
      <c r="AP9" s="539"/>
      <c r="AQ9" s="539"/>
      <c r="AR9" s="539"/>
      <c r="AS9" s="539"/>
      <c r="AT9" s="539"/>
      <c r="AU9" s="540"/>
    </row>
    <row r="10" spans="1:47" x14ac:dyDescent="0.25">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N10" s="541"/>
      <c r="AO10" s="541"/>
      <c r="AP10" s="541"/>
      <c r="AQ10" s="541"/>
      <c r="AR10" s="541"/>
      <c r="AS10" s="541"/>
      <c r="AT10" s="541"/>
      <c r="AU10" s="541"/>
    </row>
    <row r="11" spans="1:47" x14ac:dyDescent="0.25">
      <c r="B11" s="551" t="s">
        <v>216</v>
      </c>
      <c r="I11" s="73" t="s">
        <v>213</v>
      </c>
      <c r="K11" s="541">
        <f>-15019+K58+K68</f>
        <v>-15017</v>
      </c>
      <c r="L11" s="541">
        <f>-16137+L68+L58</f>
        <v>-16137</v>
      </c>
      <c r="M11" s="541">
        <f>-18078+M58+M68</f>
        <v>-18072</v>
      </c>
      <c r="N11" s="541">
        <f>-(69186+M11+L11+K11)+SUM(K58:N58)+SUM(K68:N68)</f>
        <v>-19952</v>
      </c>
      <c r="O11" s="541">
        <f>-21490+O58+O68</f>
        <v>-21484</v>
      </c>
      <c r="P11" s="541">
        <f>-23869+P58+P68</f>
        <v>-23586</v>
      </c>
      <c r="Q11" s="541">
        <f>-26302+Q58+Q68</f>
        <v>-26017</v>
      </c>
      <c r="R11" s="541">
        <f>+(-99431-SUM(O11:Q11))+SUM(O58:R58)+SUM(O68:R68)</f>
        <v>-27436</v>
      </c>
      <c r="S11" s="541">
        <f ca="1">+S15-S7</f>
        <v>-31910.599636363637</v>
      </c>
      <c r="T11" s="541">
        <f t="shared" ref="T11:AL11" ca="1" si="48">+T15-T7</f>
        <v>-33274.729411764696</v>
      </c>
      <c r="U11" s="541">
        <f t="shared" ca="1" si="48"/>
        <v>-31952.950643776829</v>
      </c>
      <c r="V11" s="541">
        <f t="shared" ca="1" si="48"/>
        <v>-36145.779100944696</v>
      </c>
      <c r="W11" s="541">
        <f t="shared" ca="1" si="48"/>
        <v>-39027.792207792212</v>
      </c>
      <c r="X11" s="541">
        <f t="shared" ca="1" si="48"/>
        <v>-40553.576470588232</v>
      </c>
      <c r="Y11" s="541">
        <f t="shared" ca="1" si="48"/>
        <v>-42981.872317596572</v>
      </c>
      <c r="Z11" s="541">
        <f t="shared" ca="1" si="48"/>
        <v>-45393.355763452739</v>
      </c>
      <c r="AA11" s="541">
        <f t="shared" ca="1" si="48"/>
        <v>-45007.316712389773</v>
      </c>
      <c r="AB11" s="541">
        <f t="shared" ca="1" si="48"/>
        <v>-46962.213024139142</v>
      </c>
      <c r="AC11" s="541">
        <f t="shared" ca="1" si="48"/>
        <v>-51213.006733096903</v>
      </c>
      <c r="AD11" s="541">
        <f t="shared" ca="1" si="48"/>
        <v>-52427.168126458972</v>
      </c>
      <c r="AE11" s="541">
        <f t="shared" ca="1" si="48"/>
        <v>-49144.712213550389</v>
      </c>
      <c r="AF11" s="541">
        <f t="shared" ca="1" si="48"/>
        <v>-51415.044777320029</v>
      </c>
      <c r="AG11" s="541">
        <f t="shared" ca="1" si="48"/>
        <v>-57097.456890976144</v>
      </c>
      <c r="AH11" s="541">
        <f t="shared" ca="1" si="48"/>
        <v>-57301.399481993954</v>
      </c>
      <c r="AI11" s="541">
        <f t="shared" ca="1" si="48"/>
        <v>-51403.579505256785</v>
      </c>
      <c r="AJ11" s="541">
        <f t="shared" ca="1" si="48"/>
        <v>-53852.563467697648</v>
      </c>
      <c r="AK11" s="541">
        <f t="shared" ca="1" si="48"/>
        <v>-60377.747979601787</v>
      </c>
      <c r="AL11" s="541">
        <f t="shared" ca="1" si="48"/>
        <v>-59965.097408586851</v>
      </c>
      <c r="AN11" s="541">
        <f t="shared" ref="AN11:AT14" si="49">SUMIF($K$4:$AL$4,AN$4,$K11:$AL11)</f>
        <v>-69178</v>
      </c>
      <c r="AO11" s="541">
        <f t="shared" si="49"/>
        <v>-98523</v>
      </c>
      <c r="AP11" s="541">
        <f t="shared" ca="1" si="49"/>
        <v>-133284.05879284986</v>
      </c>
      <c r="AQ11" s="541">
        <f t="shared" ca="1" si="49"/>
        <v>-167956.59675942975</v>
      </c>
      <c r="AR11" s="541">
        <f t="shared" ca="1" si="49"/>
        <v>-195609.7045960848</v>
      </c>
      <c r="AS11" s="541">
        <f t="shared" ca="1" si="49"/>
        <v>-214958.61336384053</v>
      </c>
      <c r="AT11" s="541">
        <f t="shared" ca="1" si="49"/>
        <v>-225598.98836114307</v>
      </c>
      <c r="AU11" s="541"/>
    </row>
    <row r="12" spans="1:47" x14ac:dyDescent="0.25">
      <c r="B12" s="551" t="s">
        <v>217</v>
      </c>
      <c r="I12" s="69" t="s">
        <v>218</v>
      </c>
      <c r="K12" s="541">
        <f t="shared" ref="K12:R12" si="50">-K58</f>
        <v>0</v>
      </c>
      <c r="L12" s="541">
        <f t="shared" si="50"/>
        <v>0</v>
      </c>
      <c r="M12" s="541">
        <f t="shared" si="50"/>
        <v>0</v>
      </c>
      <c r="N12" s="541">
        <f>+N68+N58</f>
        <v>0</v>
      </c>
      <c r="O12" s="541">
        <f t="shared" si="50"/>
        <v>0</v>
      </c>
      <c r="P12" s="541">
        <f t="shared" si="50"/>
        <v>-273</v>
      </c>
      <c r="Q12" s="541">
        <f t="shared" si="50"/>
        <v>-274</v>
      </c>
      <c r="R12" s="541">
        <f t="shared" si="50"/>
        <v>-323</v>
      </c>
      <c r="S12" s="541"/>
      <c r="T12" s="541"/>
      <c r="U12" s="541"/>
      <c r="V12" s="541"/>
      <c r="W12" s="541"/>
      <c r="X12" s="541"/>
      <c r="Y12" s="541"/>
      <c r="Z12" s="541"/>
      <c r="AA12" s="541"/>
      <c r="AB12" s="541"/>
      <c r="AC12" s="541"/>
      <c r="AD12" s="541"/>
      <c r="AE12" s="541"/>
      <c r="AF12" s="541"/>
      <c r="AG12" s="541"/>
      <c r="AH12" s="541"/>
      <c r="AI12" s="541"/>
      <c r="AJ12" s="541"/>
      <c r="AK12" s="541"/>
      <c r="AL12" s="541"/>
      <c r="AN12" s="541">
        <f t="shared" si="49"/>
        <v>0</v>
      </c>
      <c r="AO12" s="541">
        <f t="shared" si="49"/>
        <v>-870</v>
      </c>
      <c r="AP12" s="541">
        <f t="shared" si="49"/>
        <v>0</v>
      </c>
      <c r="AQ12" s="541">
        <f t="shared" si="49"/>
        <v>0</v>
      </c>
      <c r="AR12" s="541">
        <f t="shared" si="49"/>
        <v>0</v>
      </c>
      <c r="AS12" s="541">
        <f t="shared" si="49"/>
        <v>0</v>
      </c>
      <c r="AT12" s="541">
        <f t="shared" si="49"/>
        <v>0</v>
      </c>
      <c r="AU12" s="541"/>
    </row>
    <row r="13" spans="1:47" x14ac:dyDescent="0.25">
      <c r="B13" s="551" t="s">
        <v>219</v>
      </c>
      <c r="I13" s="69" t="s">
        <v>220</v>
      </c>
      <c r="K13" s="541">
        <f>-K68</f>
        <v>-2</v>
      </c>
      <c r="L13" s="541">
        <f t="shared" ref="L13:R13" si="51">-L68</f>
        <v>0</v>
      </c>
      <c r="M13" s="541">
        <f t="shared" si="51"/>
        <v>-6</v>
      </c>
      <c r="N13" s="541">
        <f t="shared" si="51"/>
        <v>0</v>
      </c>
      <c r="O13" s="541">
        <f t="shared" si="51"/>
        <v>-6</v>
      </c>
      <c r="P13" s="541">
        <f t="shared" si="51"/>
        <v>-10</v>
      </c>
      <c r="Q13" s="541">
        <f t="shared" si="51"/>
        <v>-11</v>
      </c>
      <c r="R13" s="541">
        <f t="shared" si="51"/>
        <v>-11</v>
      </c>
      <c r="S13" s="541"/>
      <c r="T13" s="541"/>
      <c r="U13" s="541"/>
      <c r="V13" s="541"/>
      <c r="W13" s="541"/>
      <c r="X13" s="541"/>
      <c r="Y13" s="541"/>
      <c r="Z13" s="541"/>
      <c r="AA13" s="541"/>
      <c r="AB13" s="541"/>
      <c r="AC13" s="541"/>
      <c r="AD13" s="541"/>
      <c r="AE13" s="541"/>
      <c r="AF13" s="541"/>
      <c r="AG13" s="541"/>
      <c r="AH13" s="541"/>
      <c r="AI13" s="541"/>
      <c r="AJ13" s="541"/>
      <c r="AK13" s="541"/>
      <c r="AL13" s="541"/>
      <c r="AN13" s="541">
        <f t="shared" si="49"/>
        <v>-8</v>
      </c>
      <c r="AO13" s="541">
        <f t="shared" si="49"/>
        <v>-38</v>
      </c>
      <c r="AP13" s="541">
        <f t="shared" si="49"/>
        <v>0</v>
      </c>
      <c r="AQ13" s="541">
        <f t="shared" si="49"/>
        <v>0</v>
      </c>
      <c r="AR13" s="541">
        <f t="shared" si="49"/>
        <v>0</v>
      </c>
      <c r="AS13" s="541">
        <f t="shared" si="49"/>
        <v>0</v>
      </c>
      <c r="AT13" s="541">
        <f t="shared" si="49"/>
        <v>0</v>
      </c>
      <c r="AU13" s="541"/>
    </row>
    <row r="14" spans="1:47" x14ac:dyDescent="0.25">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N14" s="541">
        <f t="shared" si="49"/>
        <v>0</v>
      </c>
      <c r="AO14" s="541">
        <f t="shared" si="49"/>
        <v>0</v>
      </c>
      <c r="AP14" s="541">
        <f t="shared" si="49"/>
        <v>0</v>
      </c>
      <c r="AQ14" s="541">
        <f t="shared" si="49"/>
        <v>0</v>
      </c>
      <c r="AR14" s="541">
        <f t="shared" si="49"/>
        <v>0</v>
      </c>
      <c r="AS14" s="541">
        <f t="shared" si="49"/>
        <v>0</v>
      </c>
      <c r="AT14" s="541">
        <f t="shared" si="49"/>
        <v>0</v>
      </c>
      <c r="AU14" s="541"/>
    </row>
    <row r="15" spans="1:47" x14ac:dyDescent="0.25">
      <c r="B15" s="551" t="s">
        <v>221</v>
      </c>
      <c r="I15" s="140" t="s">
        <v>89</v>
      </c>
      <c r="K15" s="542">
        <f t="shared" ref="K15:R15" si="52">+SUM(K7,K11:K13)</f>
        <v>40341</v>
      </c>
      <c r="L15" s="542">
        <f t="shared" si="52"/>
        <v>42666</v>
      </c>
      <c r="M15" s="542">
        <f t="shared" si="52"/>
        <v>45517</v>
      </c>
      <c r="N15" s="542">
        <f t="shared" si="52"/>
        <v>53062</v>
      </c>
      <c r="O15" s="542">
        <f t="shared" si="52"/>
        <v>59730</v>
      </c>
      <c r="P15" s="542">
        <f t="shared" si="52"/>
        <v>64517</v>
      </c>
      <c r="Q15" s="542">
        <f t="shared" si="52"/>
        <v>69763</v>
      </c>
      <c r="R15" s="542">
        <f t="shared" si="52"/>
        <v>76054</v>
      </c>
      <c r="S15" s="542">
        <f t="shared" ref="S15:AL15" ca="1" si="53">+S7*S90</f>
        <v>85544.701298701315</v>
      </c>
      <c r="T15" s="542">
        <f t="shared" ca="1" si="53"/>
        <v>89113.884705882374</v>
      </c>
      <c r="U15" s="542">
        <f t="shared" ca="1" si="53"/>
        <v>93591.223175965672</v>
      </c>
      <c r="V15" s="542">
        <f t="shared" ca="1" si="53"/>
        <v>102876.12339209294</v>
      </c>
      <c r="W15" s="542">
        <f t="shared" ca="1" si="53"/>
        <v>102421.58441558444</v>
      </c>
      <c r="X15" s="542">
        <f t="shared" ca="1" si="53"/>
        <v>107622.9529411765</v>
      </c>
      <c r="Y15" s="542">
        <f t="shared" ca="1" si="53"/>
        <v>114618.32618025751</v>
      </c>
      <c r="Z15" s="542">
        <f t="shared" ca="1" si="53"/>
        <v>122350.92867405052</v>
      </c>
      <c r="AA15" s="542">
        <f t="shared" ca="1" si="53"/>
        <v>118113.79602089316</v>
      </c>
      <c r="AB15" s="542">
        <f t="shared" ca="1" si="53"/>
        <v>124630.48841021542</v>
      </c>
      <c r="AC15" s="542">
        <f t="shared" ca="1" si="53"/>
        <v>136568.01795492508</v>
      </c>
      <c r="AD15" s="542">
        <f t="shared" ca="1" si="53"/>
        <v>141309.50664782777</v>
      </c>
      <c r="AE15" s="542">
        <f t="shared" ca="1" si="53"/>
        <v>128971.66367393897</v>
      </c>
      <c r="AF15" s="542">
        <f t="shared" ca="1" si="53"/>
        <v>136447.61883211861</v>
      </c>
      <c r="AG15" s="542">
        <f t="shared" ca="1" si="53"/>
        <v>152259.88504260304</v>
      </c>
      <c r="AH15" s="542">
        <f t="shared" ca="1" si="53"/>
        <v>154447.26046425814</v>
      </c>
      <c r="AI15" s="542">
        <f t="shared" ca="1" si="53"/>
        <v>134899.66405298468</v>
      </c>
      <c r="AJ15" s="542">
        <f t="shared" ca="1" si="53"/>
        <v>142916.41843350537</v>
      </c>
      <c r="AK15" s="542">
        <f t="shared" ca="1" si="53"/>
        <v>161007.32794560483</v>
      </c>
      <c r="AL15" s="542">
        <f t="shared" ca="1" si="53"/>
        <v>161626.85557337711</v>
      </c>
      <c r="AN15" s="542">
        <f t="shared" ref="AN15:AT15" si="54">SUM(AN7:AN14)</f>
        <v>181586</v>
      </c>
      <c r="AO15" s="542">
        <f t="shared" si="54"/>
        <v>270064.47343004803</v>
      </c>
      <c r="AP15" s="542">
        <f t="shared" ca="1" si="54"/>
        <v>371126.29770611192</v>
      </c>
      <c r="AQ15" s="542">
        <f t="shared" ca="1" si="54"/>
        <v>447014.01139863359</v>
      </c>
      <c r="AR15" s="542">
        <f t="shared" ca="1" si="54"/>
        <v>520621.97369402461</v>
      </c>
      <c r="AS15" s="542">
        <f t="shared" ca="1" si="54"/>
        <v>572126.52693837287</v>
      </c>
      <c r="AT15" s="542">
        <f t="shared" ca="1" si="54"/>
        <v>600450.31550992315</v>
      </c>
      <c r="AU15" s="1221">
        <f ca="1">+(AT15/AO15)^(1/COLUMNS(AP16:AT16))-1</f>
        <v>0.17328069265108526</v>
      </c>
    </row>
    <row r="16" spans="1:47" x14ac:dyDescent="0.25">
      <c r="B16" s="98" t="s">
        <v>222</v>
      </c>
      <c r="C16" s="76"/>
      <c r="D16" s="76"/>
      <c r="E16" s="76"/>
      <c r="F16" s="76"/>
      <c r="G16" s="76"/>
      <c r="H16" s="76"/>
      <c r="I16" s="76"/>
      <c r="J16" s="76"/>
      <c r="K16" s="543">
        <f t="shared" ref="K16:AL16" si="55">+K15/K7</f>
        <v>0.72870303468208097</v>
      </c>
      <c r="L16" s="543">
        <f t="shared" si="55"/>
        <v>0.72557522575378808</v>
      </c>
      <c r="M16" s="543">
        <f t="shared" si="55"/>
        <v>0.71573236889692582</v>
      </c>
      <c r="N16" s="543">
        <f t="shared" si="55"/>
        <v>0.72673733804475849</v>
      </c>
      <c r="O16" s="543">
        <f t="shared" si="55"/>
        <v>0.73540999753755232</v>
      </c>
      <c r="P16" s="543">
        <f t="shared" si="55"/>
        <v>0.72994591903695161</v>
      </c>
      <c r="Q16" s="543">
        <f t="shared" si="55"/>
        <v>0.72620621454223699</v>
      </c>
      <c r="R16" s="543">
        <f t="shared" si="55"/>
        <v>0.73252812451841576</v>
      </c>
      <c r="S16" s="543">
        <f t="shared" ca="1" si="55"/>
        <v>0.72831707566774373</v>
      </c>
      <c r="T16" s="543">
        <f t="shared" ca="1" si="55"/>
        <v>0.7281223449447749</v>
      </c>
      <c r="U16" s="543">
        <f t="shared" ca="1" si="55"/>
        <v>0.74548440065681443</v>
      </c>
      <c r="V16" s="543">
        <f t="shared" ca="1" si="55"/>
        <v>0.73999939252194513</v>
      </c>
      <c r="W16" s="543">
        <f t="shared" ca="1" si="55"/>
        <v>0.72408650260999252</v>
      </c>
      <c r="X16" s="543">
        <f t="shared" ca="1" si="55"/>
        <v>0.72631578947368425</v>
      </c>
      <c r="Y16" s="543">
        <f t="shared" ca="1" si="55"/>
        <v>0.72727272727272729</v>
      </c>
      <c r="Z16" s="543">
        <f t="shared" ca="1" si="55"/>
        <v>0.72938955317809939</v>
      </c>
      <c r="AA16" s="543">
        <f t="shared" ca="1" si="55"/>
        <v>0.72408650260999252</v>
      </c>
      <c r="AB16" s="543">
        <f t="shared" ca="1" si="55"/>
        <v>0.72631578947368425</v>
      </c>
      <c r="AC16" s="543">
        <f t="shared" ca="1" si="55"/>
        <v>0.72727272727272729</v>
      </c>
      <c r="AD16" s="543">
        <f t="shared" ca="1" si="55"/>
        <v>0.72938955317809939</v>
      </c>
      <c r="AE16" s="543">
        <f t="shared" ca="1" si="55"/>
        <v>0.72408650260999252</v>
      </c>
      <c r="AF16" s="543">
        <f t="shared" ca="1" si="55"/>
        <v>0.72631578947368436</v>
      </c>
      <c r="AG16" s="543">
        <f t="shared" ca="1" si="55"/>
        <v>0.72727272727272729</v>
      </c>
      <c r="AH16" s="543">
        <f t="shared" ca="1" si="55"/>
        <v>0.7293895531780995</v>
      </c>
      <c r="AI16" s="543">
        <f t="shared" ca="1" si="55"/>
        <v>0.72408650260999252</v>
      </c>
      <c r="AJ16" s="543">
        <f t="shared" ca="1" si="55"/>
        <v>0.72631578947368436</v>
      </c>
      <c r="AK16" s="543">
        <f t="shared" ca="1" si="55"/>
        <v>0.7272727272727274</v>
      </c>
      <c r="AL16" s="543">
        <f t="shared" ca="1" si="55"/>
        <v>0.72938955317809939</v>
      </c>
      <c r="AN16" s="543">
        <f t="shared" ref="AN16:AT16" si="56">+AN15/AN7</f>
        <v>0.72410795463608379</v>
      </c>
      <c r="AO16" s="543">
        <f t="shared" si="56"/>
        <v>0.73090156410789875</v>
      </c>
      <c r="AP16" s="543">
        <f t="shared" ca="1" si="56"/>
        <v>0.73576317689789028</v>
      </c>
      <c r="AQ16" s="543">
        <f t="shared" ca="1" si="56"/>
        <v>0.72688704922356462</v>
      </c>
      <c r="AR16" s="543">
        <f t="shared" ca="1" si="56"/>
        <v>0.72689062654539005</v>
      </c>
      <c r="AS16" s="543">
        <f t="shared" ca="1" si="56"/>
        <v>0.72689289830437676</v>
      </c>
      <c r="AT16" s="543">
        <f t="shared" ca="1" si="56"/>
        <v>0.72689408329570726</v>
      </c>
      <c r="AU16" s="543"/>
    </row>
    <row r="18" spans="2:46" x14ac:dyDescent="0.25">
      <c r="B18" s="60" t="s">
        <v>223</v>
      </c>
      <c r="C18" s="134"/>
      <c r="D18" s="134"/>
      <c r="E18" s="134"/>
      <c r="F18" s="134"/>
      <c r="G18" s="134"/>
      <c r="H18" s="134"/>
      <c r="I18" s="134"/>
      <c r="J18" s="134"/>
      <c r="K18" s="541"/>
      <c r="L18" s="541"/>
      <c r="M18" s="541"/>
      <c r="N18" s="544"/>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N18" s="541"/>
      <c r="AO18" s="541"/>
      <c r="AP18" s="541"/>
      <c r="AQ18" s="541"/>
      <c r="AR18" s="541"/>
      <c r="AS18" s="541"/>
      <c r="AT18" s="541"/>
    </row>
    <row r="19" spans="2:46" x14ac:dyDescent="0.25">
      <c r="B19" s="638" t="s">
        <v>224</v>
      </c>
      <c r="C19" s="138"/>
      <c r="D19" s="138"/>
      <c r="E19" s="138"/>
      <c r="F19" s="138"/>
      <c r="G19" s="138"/>
      <c r="H19" s="138"/>
      <c r="I19" s="69" t="s">
        <v>225</v>
      </c>
      <c r="J19" s="138"/>
      <c r="K19" s="541">
        <f>-22529+K50+K69</f>
        <v>-21418</v>
      </c>
      <c r="L19" s="541">
        <f>-21940+L50+L69</f>
        <v>-20801</v>
      </c>
      <c r="M19" s="541">
        <f>-29345+M50+M69</f>
        <v>-25713</v>
      </c>
      <c r="N19" s="544">
        <f>(-(103833+M19+L19+K19))+SUM(K50:N50)+SUM(K69:N69)</f>
        <v>-26343</v>
      </c>
      <c r="O19" s="541">
        <f>-29781+O50+O69</f>
        <v>-26015</v>
      </c>
      <c r="P19" s="541">
        <f>-34217+P50+P69</f>
        <v>-27981</v>
      </c>
      <c r="Q19" s="541">
        <f>-41976+Q50+Q69</f>
        <v>-33319</v>
      </c>
      <c r="R19" s="544">
        <f>(-(150444+Q19+P19+O19))+SUM(O50:R50)+SUM(O69:R69)</f>
        <v>-35256</v>
      </c>
      <c r="S19" s="544">
        <f t="shared" ref="S19:AL19" ca="1" si="57">+-S$7*S91</f>
        <v>-35859.441771688318</v>
      </c>
      <c r="T19" s="544">
        <f t="shared" ca="1" si="57"/>
        <v>-36909.626082352945</v>
      </c>
      <c r="U19" s="544">
        <f t="shared" ca="1" si="57"/>
        <v>-41660.337392703863</v>
      </c>
      <c r="V19" s="544">
        <f t="shared" ca="1" si="57"/>
        <v>-45122.987403952626</v>
      </c>
      <c r="W19" s="544">
        <f t="shared" ca="1" si="57"/>
        <v>-41770.408441558451</v>
      </c>
      <c r="X19" s="544">
        <f t="shared" ca="1" si="57"/>
        <v>-43204.910294117653</v>
      </c>
      <c r="Y19" s="544">
        <f t="shared" ca="1" si="57"/>
        <v>-50721.74503755365</v>
      </c>
      <c r="Z19" s="544">
        <f t="shared" ca="1" si="57"/>
        <v>-52768.10205195938</v>
      </c>
      <c r="AA19" s="544">
        <f t="shared" ca="1" si="57"/>
        <v>-48170.134552467673</v>
      </c>
      <c r="AB19" s="544">
        <f t="shared" ca="1" si="57"/>
        <v>-50032.534180868613</v>
      </c>
      <c r="AC19" s="544">
        <f t="shared" ca="1" si="57"/>
        <v>-60435.084142651671</v>
      </c>
      <c r="AD19" s="544">
        <f t="shared" ca="1" si="57"/>
        <v>-60944.649529955634</v>
      </c>
      <c r="AE19" s="544">
        <f t="shared" ca="1" si="57"/>
        <v>-52598.278964214333</v>
      </c>
      <c r="AF19" s="544">
        <f t="shared" ca="1" si="57"/>
        <v>-54776.485595129387</v>
      </c>
      <c r="AG19" s="544">
        <f t="shared" ca="1" si="57"/>
        <v>-67379.164623574587</v>
      </c>
      <c r="AH19" s="544">
        <f t="shared" ca="1" si="57"/>
        <v>-66610.763728122314</v>
      </c>
      <c r="AI19" s="544">
        <f t="shared" ca="1" si="57"/>
        <v>-55015.884574275333</v>
      </c>
      <c r="AJ19" s="544">
        <f t="shared" ca="1" si="57"/>
        <v>-57373.365710854298</v>
      </c>
      <c r="AK19" s="544">
        <f t="shared" ca="1" si="57"/>
        <v>-71250.147418759007</v>
      </c>
      <c r="AL19" s="544">
        <f t="shared" ca="1" si="57"/>
        <v>-69707.214335530647</v>
      </c>
      <c r="AN19" s="541">
        <f t="shared" ref="AN19:AT25" si="58">SUMIF($K$4:$AL$4,AN$4,$K19:$AL19)</f>
        <v>-94275</v>
      </c>
      <c r="AO19" s="541">
        <f t="shared" si="58"/>
        <v>-122571</v>
      </c>
      <c r="AP19" s="541">
        <f t="shared" ca="1" si="58"/>
        <v>-159552.39265069776</v>
      </c>
      <c r="AQ19" s="541">
        <f t="shared" ca="1" si="58"/>
        <v>-188465.16582518912</v>
      </c>
      <c r="AR19" s="541">
        <f t="shared" ca="1" si="58"/>
        <v>-219582.40240594361</v>
      </c>
      <c r="AS19" s="541">
        <f t="shared" ca="1" si="58"/>
        <v>-241364.69291104062</v>
      </c>
      <c r="AT19" s="541">
        <f t="shared" ca="1" si="58"/>
        <v>-253346.6120394193</v>
      </c>
    </row>
    <row r="20" spans="2:46" x14ac:dyDescent="0.25">
      <c r="B20" s="638" t="s">
        <v>226</v>
      </c>
      <c r="C20" s="138"/>
      <c r="D20" s="138"/>
      <c r="E20" s="138"/>
      <c r="F20" s="138"/>
      <c r="G20" s="138"/>
      <c r="H20" s="138"/>
      <c r="I20" s="69" t="s">
        <v>225</v>
      </c>
      <c r="J20" s="138"/>
      <c r="K20" s="541">
        <f>-19773+K51+K59+K70</f>
        <v>-19557</v>
      </c>
      <c r="L20" s="541">
        <f>-9619+L51+L59+L70</f>
        <v>-9395</v>
      </c>
      <c r="M20" s="541">
        <f>-15267+M59+M51+M70</f>
        <v>-14658</v>
      </c>
      <c r="N20" s="544">
        <f>(-(59170+M20+L20+K20))+SUM(K51:N51,K59:N59)+SUM(K70:N70)</f>
        <v>-13954</v>
      </c>
      <c r="O20" s="541">
        <f>-14940+O51+O59+O70</f>
        <v>-14364</v>
      </c>
      <c r="P20" s="541">
        <f>-15277+P51+P59+P70</f>
        <v>-14414</v>
      </c>
      <c r="Q20" s="541">
        <f>-17721+Q51+Q59+Q70</f>
        <v>-16649</v>
      </c>
      <c r="R20" s="544">
        <f>(-(66967+Q20+P20+O20))+SUM(O51:R51,O59:R59,O70:R70)</f>
        <v>-17928</v>
      </c>
      <c r="S20" s="544">
        <f t="shared" ref="S20:AL20" ca="1" si="59">+-S$7*S92</f>
        <v>-18951.764217324675</v>
      </c>
      <c r="T20" s="544">
        <f t="shared" ca="1" si="59"/>
        <v>-18062.127069411767</v>
      </c>
      <c r="U20" s="544">
        <f t="shared" ca="1" si="59"/>
        <v>-19812.0932027897</v>
      </c>
      <c r="V20" s="544">
        <f t="shared" ca="1" si="59"/>
        <v>-21851.023008421977</v>
      </c>
      <c r="W20" s="544">
        <f t="shared" ca="1" si="59"/>
        <v>-20701.539467532468</v>
      </c>
      <c r="X20" s="544">
        <f t="shared" ca="1" si="59"/>
        <v>-19645.262911764708</v>
      </c>
      <c r="Y20" s="544">
        <f t="shared" ca="1" si="59"/>
        <v>-22506.843087446348</v>
      </c>
      <c r="Z20" s="544">
        <f t="shared" ca="1" si="59"/>
        <v>-23849.351907831126</v>
      </c>
      <c r="AA20" s="544">
        <f t="shared" ca="1" si="59"/>
        <v>-23873.262886319379</v>
      </c>
      <c r="AB20" s="544">
        <f t="shared" ca="1" si="59"/>
        <v>-22749.781944549952</v>
      </c>
      <c r="AC20" s="544">
        <f t="shared" ca="1" si="59"/>
        <v>-26816.958974266432</v>
      </c>
      <c r="AD20" s="544">
        <f t="shared" ca="1" si="59"/>
        <v>-27544.867770838762</v>
      </c>
      <c r="AE20" s="544">
        <f t="shared" ca="1" si="59"/>
        <v>-26067.864512874279</v>
      </c>
      <c r="AF20" s="544">
        <f t="shared" ca="1" si="59"/>
        <v>-24906.855576675505</v>
      </c>
      <c r="AG20" s="544">
        <f t="shared" ca="1" si="59"/>
        <v>-29898.2671913835</v>
      </c>
      <c r="AH20" s="544">
        <f t="shared" ca="1" si="59"/>
        <v>-30105.754863745256</v>
      </c>
      <c r="AI20" s="544">
        <f t="shared" ca="1" si="59"/>
        <v>-27266.037090564743</v>
      </c>
      <c r="AJ20" s="544">
        <f t="shared" ca="1" si="59"/>
        <v>-26087.656376317384</v>
      </c>
      <c r="AK20" s="544">
        <f t="shared" ca="1" si="59"/>
        <v>-31615.944733844142</v>
      </c>
      <c r="AL20" s="544">
        <f t="shared" ca="1" si="59"/>
        <v>-31505.243140367038</v>
      </c>
      <c r="AN20" s="541">
        <f t="shared" si="58"/>
        <v>-57564</v>
      </c>
      <c r="AO20" s="541">
        <f t="shared" si="58"/>
        <v>-63355</v>
      </c>
      <c r="AP20" s="541">
        <f t="shared" ca="1" si="58"/>
        <v>-78677.007497948114</v>
      </c>
      <c r="AQ20" s="541">
        <f t="shared" ca="1" si="58"/>
        <v>-86702.997374574654</v>
      </c>
      <c r="AR20" s="541">
        <f t="shared" ca="1" si="58"/>
        <v>-100984.87157597451</v>
      </c>
      <c r="AS20" s="541">
        <f t="shared" ca="1" si="58"/>
        <v>-110978.74214467853</v>
      </c>
      <c r="AT20" s="541">
        <f t="shared" ca="1" si="58"/>
        <v>-116474.88134109331</v>
      </c>
    </row>
    <row r="21" spans="2:46" x14ac:dyDescent="0.25">
      <c r="B21" s="638" t="s">
        <v>227</v>
      </c>
      <c r="C21" s="138"/>
      <c r="D21" s="138"/>
      <c r="E21" s="138"/>
      <c r="F21" s="138"/>
      <c r="G21" s="138"/>
      <c r="H21" s="138"/>
      <c r="I21" s="69" t="s">
        <v>225</v>
      </c>
      <c r="J21" s="138"/>
      <c r="K21" s="541">
        <f>-11453+K52+K71+K76</f>
        <v>-9151</v>
      </c>
      <c r="L21" s="541">
        <f>-11585+L52+L71+L76+L77</f>
        <v>-9070</v>
      </c>
      <c r="M21" s="541">
        <f>-29605+M52+M71+M76</f>
        <v>-10897</v>
      </c>
      <c r="N21" s="544">
        <f>(-(78590+M21+L21+K21)+SUM(K52:N52))+SUM(K71:N71)+SUM(K76:N76)+SUM(L77:N77)</f>
        <v>-14083</v>
      </c>
      <c r="O21" s="541">
        <f>-26856+O52+O71+O76+O80</f>
        <v>-15613</v>
      </c>
      <c r="P21" s="541">
        <f>-30057+P52+P71+P76+P80</f>
        <v>-18048</v>
      </c>
      <c r="Q21" s="541">
        <f>-30228+Q52+Q71+Q76+Q80</f>
        <v>-18095</v>
      </c>
      <c r="R21" s="544">
        <f>(-(117848+Q21+P21+O21)+SUM(O52:R52,O71:R71))+SUM(O76:R76)+SUM(O80:R80)</f>
        <v>-19159</v>
      </c>
      <c r="S21" s="544">
        <f t="shared" ref="S21:AL21" ca="1" si="60">+-S$7*S93</f>
        <v>-20757.99015758442</v>
      </c>
      <c r="T21" s="544">
        <f t="shared" ca="1" si="60"/>
        <v>-23094.148245882352</v>
      </c>
      <c r="U21" s="544">
        <f t="shared" ca="1" si="60"/>
        <v>-21701.822816523607</v>
      </c>
      <c r="V21" s="544">
        <f t="shared" ca="1" si="60"/>
        <v>-23499.350581708775</v>
      </c>
      <c r="W21" s="544">
        <f t="shared" ca="1" si="60"/>
        <v>-23583.992844155848</v>
      </c>
      <c r="X21" s="544">
        <f t="shared" ca="1" si="60"/>
        <v>-26478.439676470589</v>
      </c>
      <c r="Y21" s="544">
        <f t="shared" ca="1" si="60"/>
        <v>-25667.0908610515</v>
      </c>
      <c r="Z21" s="544">
        <f t="shared" ca="1" si="60"/>
        <v>-26676.950797102993</v>
      </c>
      <c r="AA21" s="544">
        <f t="shared" ca="1" si="60"/>
        <v>-27197.342591870434</v>
      </c>
      <c r="AB21" s="544">
        <f t="shared" ca="1" si="60"/>
        <v>-30662.798028062371</v>
      </c>
      <c r="AC21" s="544">
        <f t="shared" ca="1" si="60"/>
        <v>-30582.401980378483</v>
      </c>
      <c r="AD21" s="544">
        <f t="shared" ca="1" si="60"/>
        <v>-30810.610077588397</v>
      </c>
      <c r="AE21" s="544">
        <f t="shared" ca="1" si="60"/>
        <v>-29697.517476816462</v>
      </c>
      <c r="AF21" s="544">
        <f t="shared" ca="1" si="60"/>
        <v>-33570.162734886297</v>
      </c>
      <c r="AG21" s="544">
        <f t="shared" ca="1" si="60"/>
        <v>-34096.365163591923</v>
      </c>
      <c r="AH21" s="544">
        <f t="shared" ca="1" si="60"/>
        <v>-33675.118062477093</v>
      </c>
      <c r="AI21" s="544">
        <f t="shared" ca="1" si="60"/>
        <v>-31062.52192697506</v>
      </c>
      <c r="AJ21" s="544">
        <f t="shared" ca="1" si="60"/>
        <v>-35161.679370915743</v>
      </c>
      <c r="AK21" s="544">
        <f t="shared" ca="1" si="60"/>
        <v>-36055.226536598777</v>
      </c>
      <c r="AL21" s="544">
        <f t="shared" ca="1" si="60"/>
        <v>-35240.530826767041</v>
      </c>
      <c r="AN21" s="541">
        <f t="shared" si="58"/>
        <v>-43201</v>
      </c>
      <c r="AO21" s="541">
        <f t="shared" si="58"/>
        <v>-70915</v>
      </c>
      <c r="AP21" s="541">
        <f t="shared" ca="1" si="58"/>
        <v>-89053.31180169915</v>
      </c>
      <c r="AQ21" s="541">
        <f t="shared" ca="1" si="58"/>
        <v>-102406.47417878093</v>
      </c>
      <c r="AR21" s="541">
        <f t="shared" ca="1" si="58"/>
        <v>-119253.15267789968</v>
      </c>
      <c r="AS21" s="541">
        <f t="shared" ca="1" si="58"/>
        <v>-131039.16343777177</v>
      </c>
      <c r="AT21" s="541">
        <f t="shared" ca="1" si="58"/>
        <v>-137519.95866125662</v>
      </c>
    </row>
    <row r="22" spans="2:46" x14ac:dyDescent="0.25">
      <c r="B22" s="743" t="s">
        <v>228</v>
      </c>
      <c r="C22" s="545"/>
      <c r="D22" s="545"/>
      <c r="E22" s="545"/>
      <c r="F22" s="545"/>
      <c r="G22" s="545"/>
      <c r="H22" s="545"/>
      <c r="I22" s="69" t="s">
        <v>229</v>
      </c>
      <c r="J22" s="545"/>
      <c r="K22" s="544">
        <f>-K54</f>
        <v>-452</v>
      </c>
      <c r="L22" s="544">
        <f>+-L54</f>
        <v>-488</v>
      </c>
      <c r="M22" s="544">
        <f>+-M54</f>
        <v>-545</v>
      </c>
      <c r="N22" s="544">
        <f>-N54</f>
        <v>-548</v>
      </c>
      <c r="O22" s="544">
        <f>+-O54</f>
        <v>-565</v>
      </c>
      <c r="P22" s="544">
        <f>+-P54</f>
        <v>-688</v>
      </c>
      <c r="Q22" s="544">
        <f>+-Q54</f>
        <v>-1000</v>
      </c>
      <c r="R22" s="544">
        <f>-R54</f>
        <v>-865</v>
      </c>
      <c r="S22" s="544">
        <f ca="1">+-S274</f>
        <v>-591.27139774980344</v>
      </c>
      <c r="T22" s="544">
        <f t="shared" ref="T22:AL22" ca="1" si="61">+-T274</f>
        <v>-690.81262874814558</v>
      </c>
      <c r="U22" s="544">
        <f t="shared" ca="1" si="61"/>
        <v>-788.48770066009945</v>
      </c>
      <c r="V22" s="544">
        <f t="shared" ca="1" si="61"/>
        <v>-816.36574445071983</v>
      </c>
      <c r="W22" s="544">
        <f t="shared" ca="1" si="61"/>
        <v>-907.59867690051567</v>
      </c>
      <c r="X22" s="544">
        <f t="shared" ca="1" si="61"/>
        <v>-1030.6747694689363</v>
      </c>
      <c r="Y22" s="544">
        <f t="shared" ca="1" si="61"/>
        <v>-1160.5456820331833</v>
      </c>
      <c r="Z22" s="544">
        <f t="shared" ca="1" si="61"/>
        <v>-1186.8482753032433</v>
      </c>
      <c r="AA22" s="544">
        <f t="shared" ca="1" si="61"/>
        <v>-1291.0893920587714</v>
      </c>
      <c r="AB22" s="544">
        <f t="shared" ca="1" si="61"/>
        <v>-1432.1322017510129</v>
      </c>
      <c r="AC22" s="544">
        <f t="shared" ca="1" si="61"/>
        <v>-1582.5510513306908</v>
      </c>
      <c r="AD22" s="544">
        <f t="shared" ca="1" si="61"/>
        <v>-1617.16516872891</v>
      </c>
      <c r="AE22" s="544">
        <f t="shared" ca="1" si="61"/>
        <v>-1731.518348042498</v>
      </c>
      <c r="AF22" s="544">
        <f t="shared" ca="1" si="61"/>
        <v>-1886.7461915290082</v>
      </c>
      <c r="AG22" s="544">
        <f t="shared" ca="1" si="61"/>
        <v>-2056.8580606907049</v>
      </c>
      <c r="AH22" s="544">
        <f t="shared" ca="1" si="61"/>
        <v>-2092.3754598758692</v>
      </c>
      <c r="AI22" s="544">
        <f t="shared" ca="1" si="61"/>
        <v>-2211.7078178206343</v>
      </c>
      <c r="AJ22" s="544">
        <f t="shared" ca="1" si="61"/>
        <v>-2373.8696993433755</v>
      </c>
      <c r="AK22" s="544">
        <f t="shared" ca="1" si="61"/>
        <v>-2552.4805666478233</v>
      </c>
      <c r="AL22" s="544">
        <f t="shared" ca="1" si="61"/>
        <v>-2590.8602439620017</v>
      </c>
      <c r="AN22" s="541">
        <f t="shared" si="58"/>
        <v>-2033</v>
      </c>
      <c r="AO22" s="541">
        <f t="shared" si="58"/>
        <v>-3118</v>
      </c>
      <c r="AP22" s="541">
        <f t="shared" ca="1" si="58"/>
        <v>-2886.9374716087682</v>
      </c>
      <c r="AQ22" s="541">
        <f t="shared" ca="1" si="58"/>
        <v>-4285.6674037058783</v>
      </c>
      <c r="AR22" s="541">
        <f t="shared" ca="1" si="58"/>
        <v>-5922.9378138693846</v>
      </c>
      <c r="AS22" s="541">
        <f t="shared" ca="1" si="58"/>
        <v>-7767.4980601380812</v>
      </c>
      <c r="AT22" s="541">
        <f t="shared" ca="1" si="58"/>
        <v>-9728.9183277738339</v>
      </c>
    </row>
    <row r="23" spans="2:46" x14ac:dyDescent="0.25">
      <c r="B23" s="638" t="s">
        <v>230</v>
      </c>
      <c r="C23" s="138"/>
      <c r="D23" s="138"/>
      <c r="E23" s="138"/>
      <c r="F23" s="138"/>
      <c r="G23" s="138"/>
      <c r="H23" s="138"/>
      <c r="I23" s="69" t="s">
        <v>231</v>
      </c>
      <c r="J23" s="138"/>
      <c r="K23" s="541">
        <f t="shared" ref="K23:Q23" si="62">-K59</f>
        <v>-148</v>
      </c>
      <c r="L23" s="541">
        <f t="shared" si="62"/>
        <v>-148</v>
      </c>
      <c r="M23" s="541">
        <f t="shared" si="62"/>
        <v>-188</v>
      </c>
      <c r="N23" s="541">
        <f t="shared" si="62"/>
        <v>-209</v>
      </c>
      <c r="O23" s="541">
        <f t="shared" si="62"/>
        <v>-209</v>
      </c>
      <c r="P23" s="541">
        <f t="shared" si="62"/>
        <v>-209</v>
      </c>
      <c r="Q23" s="541">
        <f t="shared" si="62"/>
        <v>-208</v>
      </c>
      <c r="R23" s="541">
        <f>-R59</f>
        <v>-256</v>
      </c>
      <c r="S23" s="541">
        <f ca="1">+S279+S404</f>
        <v>-308.12449751332485</v>
      </c>
      <c r="T23" s="541">
        <f t="shared" ref="T23:AL23" ca="1" si="63">+T279+T404</f>
        <v>-298.72039376742487</v>
      </c>
      <c r="U23" s="541">
        <f t="shared" ca="1" si="63"/>
        <v>-321.4814614477952</v>
      </c>
      <c r="V23" s="541">
        <f t="shared" ca="1" si="63"/>
        <v>-548.9380063170579</v>
      </c>
      <c r="W23" s="541">
        <f t="shared" ca="1" si="63"/>
        <v>-543.26285229015411</v>
      </c>
      <c r="X23" s="541">
        <f t="shared" ca="1" si="63"/>
        <v>-527.70642511269966</v>
      </c>
      <c r="Y23" s="541">
        <f t="shared" ca="1" si="63"/>
        <v>-563.68140028917992</v>
      </c>
      <c r="Z23" s="541">
        <f t="shared" ca="1" si="63"/>
        <v>-601.28112446397392</v>
      </c>
      <c r="AA23" s="541">
        <f t="shared" ca="1" si="63"/>
        <v>-576.80264551584651</v>
      </c>
      <c r="AB23" s="541">
        <f t="shared" ca="1" si="63"/>
        <v>-562.37969517382635</v>
      </c>
      <c r="AC23" s="541">
        <f t="shared" ca="1" si="63"/>
        <v>-619.28858670011766</v>
      </c>
      <c r="AD23" s="541">
        <f t="shared" ca="1" si="63"/>
        <v>-649.62434213576671</v>
      </c>
      <c r="AE23" s="541">
        <f t="shared" ca="1" si="63"/>
        <v>-595.98396262283109</v>
      </c>
      <c r="AF23" s="541">
        <f t="shared" ca="1" si="63"/>
        <v>-582.65425486890683</v>
      </c>
      <c r="AG23" s="541">
        <f t="shared" ca="1" si="63"/>
        <v>-655.79690312079595</v>
      </c>
      <c r="AH23" s="541">
        <f t="shared" ca="1" si="63"/>
        <v>-679.53697666792709</v>
      </c>
      <c r="AI23" s="541">
        <f t="shared" ca="1" si="63"/>
        <v>-600.03343334641488</v>
      </c>
      <c r="AJ23" s="541">
        <f t="shared" ca="1" si="63"/>
        <v>-587.5873684739862</v>
      </c>
      <c r="AK23" s="541">
        <f t="shared" ca="1" si="63"/>
        <v>-670.39153728320832</v>
      </c>
      <c r="AL23" s="541">
        <f t="shared" ca="1" si="63"/>
        <v>-690.13428745680562</v>
      </c>
      <c r="AN23" s="541">
        <f t="shared" si="58"/>
        <v>-693</v>
      </c>
      <c r="AO23" s="541">
        <f t="shared" si="58"/>
        <v>-882</v>
      </c>
      <c r="AP23" s="541">
        <f t="shared" ca="1" si="58"/>
        <v>-1477.2643590456028</v>
      </c>
      <c r="AQ23" s="541">
        <f t="shared" ca="1" si="58"/>
        <v>-2235.9318021560075</v>
      </c>
      <c r="AR23" s="541">
        <f t="shared" ca="1" si="58"/>
        <v>-2408.0952695255573</v>
      </c>
      <c r="AS23" s="541">
        <f t="shared" ca="1" si="58"/>
        <v>-2513.9720972804607</v>
      </c>
      <c r="AT23" s="541">
        <f t="shared" ca="1" si="58"/>
        <v>-2548.1466265604149</v>
      </c>
    </row>
    <row r="24" spans="2:46" x14ac:dyDescent="0.25">
      <c r="B24" s="638" t="s">
        <v>232</v>
      </c>
      <c r="C24" s="138"/>
      <c r="D24" s="138"/>
      <c r="E24" s="138"/>
      <c r="F24" s="138"/>
      <c r="G24" s="138"/>
      <c r="H24" s="138"/>
      <c r="I24" s="69" t="s">
        <v>233</v>
      </c>
      <c r="J24" s="138"/>
      <c r="K24" s="541">
        <f>-SUM(K69:K71)</f>
        <v>-2549</v>
      </c>
      <c r="L24" s="541">
        <f t="shared" ref="L24:R24" si="64">-SUM(L69:L71)</f>
        <v>-2907</v>
      </c>
      <c r="M24" s="541">
        <f t="shared" si="64"/>
        <v>-20656</v>
      </c>
      <c r="N24" s="541">
        <f t="shared" si="64"/>
        <v>-14684</v>
      </c>
      <c r="O24" s="541">
        <f t="shared" si="64"/>
        <v>-14580</v>
      </c>
      <c r="P24" s="541">
        <f t="shared" si="64"/>
        <v>-18104</v>
      </c>
      <c r="Q24" s="541">
        <f t="shared" si="64"/>
        <v>-20477</v>
      </c>
      <c r="R24" s="541">
        <f t="shared" si="64"/>
        <v>-20621</v>
      </c>
      <c r="S24" s="541">
        <v>0</v>
      </c>
      <c r="T24" s="541">
        <v>0</v>
      </c>
      <c r="U24" s="541">
        <v>0</v>
      </c>
      <c r="V24" s="541">
        <v>0</v>
      </c>
      <c r="W24" s="541">
        <v>0</v>
      </c>
      <c r="X24" s="541">
        <v>0</v>
      </c>
      <c r="Y24" s="541">
        <v>0</v>
      </c>
      <c r="Z24" s="541">
        <v>0</v>
      </c>
      <c r="AA24" s="541">
        <v>0</v>
      </c>
      <c r="AB24" s="541">
        <v>0</v>
      </c>
      <c r="AC24" s="541">
        <v>0</v>
      </c>
      <c r="AD24" s="541">
        <v>0</v>
      </c>
      <c r="AE24" s="541">
        <v>0</v>
      </c>
      <c r="AF24" s="541">
        <v>0</v>
      </c>
      <c r="AG24" s="541">
        <v>0</v>
      </c>
      <c r="AH24" s="541">
        <v>0</v>
      </c>
      <c r="AI24" s="541">
        <v>0</v>
      </c>
      <c r="AJ24" s="541">
        <v>0</v>
      </c>
      <c r="AK24" s="541">
        <v>0</v>
      </c>
      <c r="AL24" s="541">
        <v>0</v>
      </c>
      <c r="AN24" s="541">
        <f t="shared" si="58"/>
        <v>-40796</v>
      </c>
      <c r="AO24" s="541">
        <f t="shared" si="58"/>
        <v>-73782</v>
      </c>
      <c r="AP24" s="541">
        <f t="shared" si="58"/>
        <v>0</v>
      </c>
      <c r="AQ24" s="541">
        <f t="shared" si="58"/>
        <v>0</v>
      </c>
      <c r="AR24" s="541">
        <f t="shared" si="58"/>
        <v>0</v>
      </c>
      <c r="AS24" s="541">
        <f t="shared" si="58"/>
        <v>0</v>
      </c>
      <c r="AT24" s="541">
        <f t="shared" si="58"/>
        <v>0</v>
      </c>
    </row>
    <row r="25" spans="2:46" x14ac:dyDescent="0.25">
      <c r="B25" s="638" t="s">
        <v>234</v>
      </c>
      <c r="C25" s="138"/>
      <c r="D25" s="138"/>
      <c r="E25" s="138"/>
      <c r="F25" s="138"/>
      <c r="G25" s="138"/>
      <c r="H25" s="138"/>
      <c r="I25" s="69" t="s">
        <v>235</v>
      </c>
      <c r="J25" s="138"/>
      <c r="K25" s="541">
        <f>-SUM(K76,K79,K80)</f>
        <v>-480</v>
      </c>
      <c r="L25" s="541">
        <f>-SUM(L76,L79,L80,L77)</f>
        <v>-335</v>
      </c>
      <c r="M25" s="541">
        <f t="shared" ref="M25:Q25" si="65">-SUM(M76,M79,M80)</f>
        <v>-1560</v>
      </c>
      <c r="N25" s="541">
        <f t="shared" si="65"/>
        <v>-656</v>
      </c>
      <c r="O25" s="541">
        <f t="shared" si="65"/>
        <v>-231</v>
      </c>
      <c r="P25" s="541">
        <f t="shared" si="65"/>
        <v>-107</v>
      </c>
      <c r="Q25" s="541">
        <f t="shared" si="65"/>
        <v>-177</v>
      </c>
      <c r="R25" s="541">
        <f>-SUM(R76,R79,R80)</f>
        <v>-121</v>
      </c>
      <c r="S25" s="541"/>
      <c r="T25" s="541"/>
      <c r="U25" s="541"/>
      <c r="V25" s="541"/>
      <c r="W25" s="541"/>
      <c r="X25" s="541"/>
      <c r="Y25" s="541"/>
      <c r="Z25" s="541"/>
      <c r="AA25" s="541"/>
      <c r="AB25" s="541"/>
      <c r="AC25" s="541"/>
      <c r="AD25" s="541"/>
      <c r="AE25" s="541"/>
      <c r="AF25" s="541"/>
      <c r="AG25" s="541"/>
      <c r="AH25" s="541"/>
      <c r="AI25" s="541"/>
      <c r="AJ25" s="541"/>
      <c r="AK25" s="541"/>
      <c r="AL25" s="541"/>
      <c r="AN25" s="541">
        <f t="shared" si="58"/>
        <v>-3031</v>
      </c>
      <c r="AO25" s="541">
        <f t="shared" si="58"/>
        <v>-636</v>
      </c>
      <c r="AP25" s="541">
        <f t="shared" si="58"/>
        <v>0</v>
      </c>
      <c r="AQ25" s="541">
        <f t="shared" si="58"/>
        <v>0</v>
      </c>
      <c r="AR25" s="541">
        <f t="shared" si="58"/>
        <v>0</v>
      </c>
      <c r="AS25" s="541">
        <f t="shared" si="58"/>
        <v>0</v>
      </c>
      <c r="AT25" s="541">
        <f t="shared" si="58"/>
        <v>0</v>
      </c>
    </row>
    <row r="26" spans="2:46" x14ac:dyDescent="0.25">
      <c r="B26" s="636" t="s">
        <v>236</v>
      </c>
      <c r="C26" s="140"/>
      <c r="D26" s="140"/>
      <c r="E26" s="140"/>
      <c r="F26" s="140"/>
      <c r="G26" s="140"/>
      <c r="H26" s="140"/>
      <c r="I26" s="140" t="s">
        <v>89</v>
      </c>
      <c r="J26" s="140"/>
      <c r="K26" s="542">
        <f>SUM(K19:K25)</f>
        <v>-53755</v>
      </c>
      <c r="L26" s="542">
        <f t="shared" ref="L26:R26" si="66">SUM(L19:L25)</f>
        <v>-43144</v>
      </c>
      <c r="M26" s="542">
        <f t="shared" si="66"/>
        <v>-74217</v>
      </c>
      <c r="N26" s="542">
        <f t="shared" si="66"/>
        <v>-70477</v>
      </c>
      <c r="O26" s="542">
        <f t="shared" si="66"/>
        <v>-71577</v>
      </c>
      <c r="P26" s="542">
        <f t="shared" si="66"/>
        <v>-79551</v>
      </c>
      <c r="Q26" s="542">
        <f t="shared" si="66"/>
        <v>-89925</v>
      </c>
      <c r="R26" s="542">
        <f t="shared" si="66"/>
        <v>-94206</v>
      </c>
      <c r="S26" s="542">
        <f t="shared" ref="S26:AL26" ca="1" si="67">SUM(S19:S25)</f>
        <v>-76468.592041860553</v>
      </c>
      <c r="T26" s="542">
        <f t="shared" ca="1" si="67"/>
        <v>-79055.434420162637</v>
      </c>
      <c r="U26" s="542">
        <f t="shared" ca="1" si="67"/>
        <v>-84284.222574125059</v>
      </c>
      <c r="V26" s="542">
        <f t="shared" ca="1" si="67"/>
        <v>-91838.66474485115</v>
      </c>
      <c r="W26" s="542">
        <f t="shared" ca="1" si="67"/>
        <v>-87506.80228243742</v>
      </c>
      <c r="X26" s="542">
        <f t="shared" ca="1" si="67"/>
        <v>-90886.994076934599</v>
      </c>
      <c r="Y26" s="542">
        <f t="shared" ca="1" si="67"/>
        <v>-100619.90606837386</v>
      </c>
      <c r="Z26" s="542">
        <f t="shared" ca="1" si="67"/>
        <v>-105082.53415666072</v>
      </c>
      <c r="AA26" s="542">
        <f t="shared" ca="1" si="67"/>
        <v>-101108.63206823209</v>
      </c>
      <c r="AB26" s="542">
        <f t="shared" ca="1" si="67"/>
        <v>-105439.62605040579</v>
      </c>
      <c r="AC26" s="542">
        <f t="shared" ca="1" si="67"/>
        <v>-120036.2847353274</v>
      </c>
      <c r="AD26" s="542">
        <f t="shared" ca="1" si="67"/>
        <v>-121566.91688924747</v>
      </c>
      <c r="AE26" s="542">
        <f t="shared" ca="1" si="67"/>
        <v>-110691.16326457041</v>
      </c>
      <c r="AF26" s="542">
        <f t="shared" ca="1" si="67"/>
        <v>-115722.90435308909</v>
      </c>
      <c r="AG26" s="542">
        <f t="shared" ca="1" si="67"/>
        <v>-134086.45194236148</v>
      </c>
      <c r="AH26" s="542">
        <f t="shared" ca="1" si="67"/>
        <v>-133163.54909088847</v>
      </c>
      <c r="AI26" s="542">
        <f t="shared" ca="1" si="67"/>
        <v>-116156.18484298217</v>
      </c>
      <c r="AJ26" s="542">
        <f t="shared" ca="1" si="67"/>
        <v>-121584.15852590479</v>
      </c>
      <c r="AK26" s="542">
        <f t="shared" ca="1" si="67"/>
        <v>-142144.19079313296</v>
      </c>
      <c r="AL26" s="542">
        <f t="shared" ca="1" si="67"/>
        <v>-139733.98283408352</v>
      </c>
      <c r="AN26" s="542">
        <f>SUM(AN19:AN25)</f>
        <v>-241593</v>
      </c>
      <c r="AO26" s="542">
        <f t="shared" ref="AO26:AT26" si="68">SUM(AO19:AO25)</f>
        <v>-335259</v>
      </c>
      <c r="AP26" s="542">
        <f t="shared" ca="1" si="68"/>
        <v>-331646.91378099937</v>
      </c>
      <c r="AQ26" s="542">
        <f t="shared" ca="1" si="68"/>
        <v>-384096.23658440658</v>
      </c>
      <c r="AR26" s="542">
        <f t="shared" ca="1" si="68"/>
        <v>-448151.45974321273</v>
      </c>
      <c r="AS26" s="542">
        <f t="shared" ca="1" si="68"/>
        <v>-493664.06865090947</v>
      </c>
      <c r="AT26" s="542">
        <f t="shared" ca="1" si="68"/>
        <v>-519618.5169961034</v>
      </c>
    </row>
    <row r="27" spans="2:46" x14ac:dyDescent="0.25">
      <c r="B27" s="636"/>
      <c r="C27" s="140"/>
      <c r="D27" s="140"/>
      <c r="E27" s="140"/>
      <c r="F27" s="140"/>
      <c r="G27" s="140"/>
      <c r="H27" s="140"/>
      <c r="I27" s="140"/>
      <c r="J27" s="140"/>
      <c r="K27" s="541"/>
      <c r="L27" s="541"/>
      <c r="M27" s="541"/>
      <c r="N27" s="544"/>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N27" s="541"/>
      <c r="AO27" s="541"/>
      <c r="AP27" s="541"/>
      <c r="AQ27" s="541"/>
      <c r="AR27" s="541"/>
      <c r="AS27" s="541"/>
      <c r="AT27" s="541"/>
    </row>
    <row r="28" spans="2:46" x14ac:dyDescent="0.25">
      <c r="B28" s="624" t="s">
        <v>237</v>
      </c>
      <c r="C28" s="546"/>
      <c r="D28" s="546"/>
      <c r="E28" s="546"/>
      <c r="F28" s="546"/>
      <c r="G28" s="546"/>
      <c r="H28" s="546"/>
      <c r="I28" s="546"/>
      <c r="J28" s="546"/>
      <c r="K28" s="547">
        <f>+K15+K26</f>
        <v>-13414</v>
      </c>
      <c r="L28" s="547">
        <f>+L15+L26</f>
        <v>-478</v>
      </c>
      <c r="M28" s="547">
        <f t="shared" ref="M28:S28" si="69">+M15+M26</f>
        <v>-28700</v>
      </c>
      <c r="N28" s="547">
        <f t="shared" si="69"/>
        <v>-17415</v>
      </c>
      <c r="O28" s="547">
        <f t="shared" si="69"/>
        <v>-11847</v>
      </c>
      <c r="P28" s="547">
        <f t="shared" si="69"/>
        <v>-15034</v>
      </c>
      <c r="Q28" s="547">
        <f t="shared" si="69"/>
        <v>-20162</v>
      </c>
      <c r="R28" s="547">
        <f t="shared" si="69"/>
        <v>-18152</v>
      </c>
      <c r="S28" s="547">
        <f t="shared" ca="1" si="69"/>
        <v>9076.1092568407621</v>
      </c>
      <c r="T28" s="547">
        <f t="shared" ref="T28:V28" ca="1" si="70">+T15+T26</f>
        <v>10058.450285719737</v>
      </c>
      <c r="U28" s="547">
        <f t="shared" ca="1" si="70"/>
        <v>9307.0006018406129</v>
      </c>
      <c r="V28" s="547">
        <f t="shared" ca="1" si="70"/>
        <v>11037.458647241787</v>
      </c>
      <c r="W28" s="547">
        <f t="shared" ref="W28:AG28" ca="1" si="71">+W15+W26</f>
        <v>14914.782133147019</v>
      </c>
      <c r="X28" s="547">
        <f t="shared" ca="1" si="71"/>
        <v>16735.958864241897</v>
      </c>
      <c r="Y28" s="547">
        <f t="shared" ca="1" si="71"/>
        <v>13998.42011188365</v>
      </c>
      <c r="Z28" s="547">
        <f t="shared" ca="1" si="71"/>
        <v>17268.394517389796</v>
      </c>
      <c r="AA28" s="547">
        <f t="shared" ca="1" si="71"/>
        <v>17005.163952661067</v>
      </c>
      <c r="AB28" s="547">
        <f t="shared" ca="1" si="71"/>
        <v>19190.862359809631</v>
      </c>
      <c r="AC28" s="547">
        <f t="shared" ca="1" si="71"/>
        <v>16531.733219597678</v>
      </c>
      <c r="AD28" s="547">
        <f t="shared" ca="1" si="71"/>
        <v>19742.589758580303</v>
      </c>
      <c r="AE28" s="547">
        <f t="shared" ca="1" si="71"/>
        <v>18280.500409368557</v>
      </c>
      <c r="AF28" s="547">
        <f t="shared" ca="1" si="71"/>
        <v>20724.714479029513</v>
      </c>
      <c r="AG28" s="547">
        <f t="shared" ca="1" si="71"/>
        <v>18173.433100241557</v>
      </c>
      <c r="AH28" s="547">
        <f t="shared" ref="AH28:AL28" ca="1" si="72">+AH15+AH26</f>
        <v>21283.711373369675</v>
      </c>
      <c r="AI28" s="547">
        <f t="shared" ca="1" si="72"/>
        <v>18743.479210002508</v>
      </c>
      <c r="AJ28" s="547">
        <f t="shared" ca="1" si="72"/>
        <v>21332.259907600586</v>
      </c>
      <c r="AK28" s="547">
        <f t="shared" ca="1" si="72"/>
        <v>18863.137152471871</v>
      </c>
      <c r="AL28" s="547">
        <f t="shared" ca="1" si="72"/>
        <v>21892.872739293583</v>
      </c>
      <c r="AN28" s="547">
        <f t="shared" ref="AN28:AO28" si="73">+AN15+AN26</f>
        <v>-60007</v>
      </c>
      <c r="AO28" s="547">
        <f t="shared" si="73"/>
        <v>-65194.526569951966</v>
      </c>
      <c r="AP28" s="547">
        <f t="shared" ref="AP28:AS28" ca="1" si="74">+AP15+AP26</f>
        <v>39479.383925112546</v>
      </c>
      <c r="AQ28" s="547">
        <f t="shared" ca="1" si="74"/>
        <v>62917.774814227014</v>
      </c>
      <c r="AR28" s="547">
        <f t="shared" ca="1" si="74"/>
        <v>72470.513950811874</v>
      </c>
      <c r="AS28" s="547">
        <f t="shared" ca="1" si="74"/>
        <v>78462.458287463407</v>
      </c>
      <c r="AT28" s="547">
        <f t="shared" ref="AT28" ca="1" si="75">+AT15+AT26</f>
        <v>80831.798513819755</v>
      </c>
    </row>
    <row r="29" spans="2:46" x14ac:dyDescent="0.25">
      <c r="K29" s="542"/>
      <c r="L29" s="542"/>
      <c r="M29" s="542"/>
      <c r="N29" s="548"/>
      <c r="O29" s="542"/>
      <c r="P29" s="542"/>
      <c r="Q29" s="542"/>
      <c r="R29" s="542"/>
      <c r="AN29" s="542"/>
      <c r="AO29" s="542"/>
      <c r="AP29" s="542"/>
      <c r="AQ29" s="542"/>
      <c r="AR29" s="542"/>
      <c r="AS29" s="542"/>
      <c r="AT29" s="542"/>
    </row>
    <row r="30" spans="2:46" x14ac:dyDescent="0.25">
      <c r="B30" s="60" t="s">
        <v>238</v>
      </c>
      <c r="C30" s="134"/>
      <c r="D30" s="134"/>
      <c r="E30" s="134"/>
      <c r="F30" s="134"/>
      <c r="G30" s="134"/>
      <c r="H30" s="134"/>
      <c r="I30" s="134"/>
      <c r="J30" s="134"/>
      <c r="K30" s="541"/>
      <c r="L30" s="541"/>
      <c r="M30" s="541"/>
      <c r="N30" s="544"/>
      <c r="O30" s="541"/>
      <c r="P30" s="541"/>
      <c r="Q30" s="541"/>
      <c r="R30" s="541"/>
      <c r="AN30" s="541"/>
      <c r="AO30" s="541"/>
      <c r="AP30" s="541"/>
      <c r="AQ30" s="541"/>
      <c r="AR30" s="541"/>
      <c r="AS30" s="541"/>
      <c r="AT30" s="541"/>
    </row>
    <row r="31" spans="2:46" x14ac:dyDescent="0.25">
      <c r="B31" s="98" t="s">
        <v>239</v>
      </c>
      <c r="C31" s="76"/>
      <c r="D31" s="76"/>
      <c r="E31" s="76"/>
      <c r="F31" s="76"/>
      <c r="G31" s="76"/>
      <c r="H31" s="76"/>
      <c r="I31" s="76" t="s">
        <v>240</v>
      </c>
      <c r="J31" s="76"/>
      <c r="K31" s="549">
        <v>0</v>
      </c>
      <c r="L31" s="541">
        <f>303-L33</f>
        <v>302</v>
      </c>
      <c r="M31" s="549">
        <v>0</v>
      </c>
      <c r="N31" s="549">
        <v>16</v>
      </c>
      <c r="O31" s="549">
        <v>0</v>
      </c>
      <c r="P31" s="549">
        <v>0</v>
      </c>
      <c r="Q31" s="549">
        <v>0</v>
      </c>
      <c r="R31" s="549">
        <v>665</v>
      </c>
      <c r="S31" s="549">
        <v>0</v>
      </c>
      <c r="T31" s="93"/>
      <c r="U31" s="93"/>
      <c r="V31" s="93"/>
      <c r="W31" s="93"/>
      <c r="X31" s="549"/>
      <c r="Y31" s="549">
        <v>0</v>
      </c>
      <c r="Z31" s="549">
        <v>0</v>
      </c>
      <c r="AA31" s="549">
        <v>0</v>
      </c>
      <c r="AB31" s="549">
        <v>0</v>
      </c>
      <c r="AC31" s="549">
        <v>0</v>
      </c>
      <c r="AD31" s="549">
        <v>0</v>
      </c>
      <c r="AE31" s="549">
        <v>0</v>
      </c>
      <c r="AF31" s="549">
        <v>0</v>
      </c>
      <c r="AG31" s="549">
        <v>0</v>
      </c>
      <c r="AH31" s="549">
        <v>0</v>
      </c>
      <c r="AI31" s="549">
        <v>0</v>
      </c>
      <c r="AJ31" s="549">
        <v>0</v>
      </c>
      <c r="AK31" s="549">
        <v>0</v>
      </c>
      <c r="AL31" s="549">
        <v>0</v>
      </c>
      <c r="AN31" s="541">
        <f t="shared" ref="AN31:AT35" si="76">SUMIF($K$4:$AL$4,AN$4,$K31:$AL31)</f>
        <v>318</v>
      </c>
      <c r="AO31" s="541">
        <f t="shared" si="76"/>
        <v>665</v>
      </c>
      <c r="AP31" s="541">
        <f t="shared" si="76"/>
        <v>0</v>
      </c>
      <c r="AQ31" s="541">
        <f t="shared" si="76"/>
        <v>0</v>
      </c>
      <c r="AR31" s="541">
        <f t="shared" si="76"/>
        <v>0</v>
      </c>
      <c r="AS31" s="541">
        <f t="shared" si="76"/>
        <v>0</v>
      </c>
      <c r="AT31" s="541">
        <f t="shared" si="76"/>
        <v>0</v>
      </c>
    </row>
    <row r="32" spans="2:46" x14ac:dyDescent="0.25">
      <c r="B32" s="98" t="s">
        <v>241</v>
      </c>
      <c r="C32" s="76"/>
      <c r="D32" s="76"/>
      <c r="E32" s="76"/>
      <c r="F32" s="76"/>
      <c r="G32" s="76"/>
      <c r="H32" s="776">
        <v>5.0000000000000001E-3</v>
      </c>
      <c r="I32" s="98" t="s">
        <v>242</v>
      </c>
      <c r="J32" s="76"/>
      <c r="K32" s="541">
        <f>-41-K33</f>
        <v>-43</v>
      </c>
      <c r="L32" s="549">
        <v>0</v>
      </c>
      <c r="M32" s="549">
        <v>-219</v>
      </c>
      <c r="N32" s="549">
        <v>-26</v>
      </c>
      <c r="O32" s="541">
        <f>-279-O33</f>
        <v>-312</v>
      </c>
      <c r="P32" s="541">
        <f>130-P33</f>
        <v>-539</v>
      </c>
      <c r="Q32" s="541">
        <f>1770-Q33</f>
        <v>-490</v>
      </c>
      <c r="R32" s="549">
        <v>0</v>
      </c>
      <c r="S32" s="601">
        <f t="shared" ref="S32:AL32" ca="1" si="77">+-$H$32*S7</f>
        <v>-587.27650467532476</v>
      </c>
      <c r="T32" s="601">
        <f t="shared" ca="1" si="77"/>
        <v>-611.9430705882354</v>
      </c>
      <c r="U32" s="601">
        <f t="shared" ca="1" si="77"/>
        <v>-627.72086909871257</v>
      </c>
      <c r="V32" s="601">
        <f t="shared" ca="1" si="77"/>
        <v>-695.10951246518823</v>
      </c>
      <c r="W32" s="601">
        <f t="shared" ca="1" si="77"/>
        <v>-707.24688311688328</v>
      </c>
      <c r="X32" s="601">
        <f t="shared" ca="1" si="77"/>
        <v>-740.88264705882364</v>
      </c>
      <c r="Y32" s="601">
        <f t="shared" ca="1" si="77"/>
        <v>-788.0009924892704</v>
      </c>
      <c r="Z32" s="601">
        <f t="shared" ca="1" si="77"/>
        <v>-838.72142218751628</v>
      </c>
      <c r="AA32" s="601">
        <f t="shared" ca="1" si="77"/>
        <v>-815.6055636664147</v>
      </c>
      <c r="AB32" s="601">
        <f t="shared" ca="1" si="77"/>
        <v>-857.96350717177279</v>
      </c>
      <c r="AC32" s="601">
        <f t="shared" ca="1" si="77"/>
        <v>-938.90512344010995</v>
      </c>
      <c r="AD32" s="601">
        <f t="shared" ca="1" si="77"/>
        <v>-968.68337387143379</v>
      </c>
      <c r="AE32" s="601">
        <f t="shared" ca="1" si="77"/>
        <v>-890.58187943744679</v>
      </c>
      <c r="AF32" s="601">
        <f t="shared" ca="1" si="77"/>
        <v>-939.31331804719321</v>
      </c>
      <c r="AG32" s="601">
        <f t="shared" ca="1" si="77"/>
        <v>-1046.786709667896</v>
      </c>
      <c r="AH32" s="601">
        <f t="shared" ca="1" si="77"/>
        <v>-1058.7432997312605</v>
      </c>
      <c r="AI32" s="601">
        <f t="shared" ca="1" si="77"/>
        <v>-931.51621779120728</v>
      </c>
      <c r="AJ32" s="601">
        <f t="shared" ca="1" si="77"/>
        <v>-983.84490950601514</v>
      </c>
      <c r="AK32" s="601">
        <f t="shared" ca="1" si="77"/>
        <v>-1106.9253796260332</v>
      </c>
      <c r="AL32" s="601">
        <f t="shared" ca="1" si="77"/>
        <v>-1107.9597649098198</v>
      </c>
      <c r="AN32" s="541">
        <f t="shared" si="76"/>
        <v>-288</v>
      </c>
      <c r="AO32" s="541">
        <f t="shared" si="76"/>
        <v>-1341</v>
      </c>
      <c r="AP32" s="541">
        <f t="shared" ca="1" si="76"/>
        <v>-2522.0499568274613</v>
      </c>
      <c r="AQ32" s="541">
        <f t="shared" ca="1" si="76"/>
        <v>-3074.8519448524939</v>
      </c>
      <c r="AR32" s="541">
        <f t="shared" ca="1" si="76"/>
        <v>-3581.1575681497316</v>
      </c>
      <c r="AS32" s="541">
        <f t="shared" ca="1" si="76"/>
        <v>-3935.4252068837968</v>
      </c>
      <c r="AT32" s="541">
        <f t="shared" ca="1" si="76"/>
        <v>-4130.2462718330753</v>
      </c>
    </row>
    <row r="33" spans="2:46" x14ac:dyDescent="0.25">
      <c r="B33" s="98" t="s">
        <v>243</v>
      </c>
      <c r="C33" s="76"/>
      <c r="D33" s="76"/>
      <c r="E33" s="76"/>
      <c r="F33" s="76"/>
      <c r="G33" s="76"/>
      <c r="H33" s="76"/>
      <c r="I33" s="76" t="s">
        <v>244</v>
      </c>
      <c r="J33" s="76"/>
      <c r="K33" s="549">
        <v>2</v>
      </c>
      <c r="L33" s="549">
        <v>1</v>
      </c>
      <c r="M33" s="549">
        <v>0</v>
      </c>
      <c r="N33" s="549">
        <v>16</v>
      </c>
      <c r="O33" s="549">
        <v>33</v>
      </c>
      <c r="P33" s="549">
        <v>669</v>
      </c>
      <c r="Q33" s="549">
        <v>2260</v>
      </c>
      <c r="R33" s="549">
        <v>4273</v>
      </c>
      <c r="S33" s="541">
        <f>+IF('Transaction Structure'!$U$3=1,-S400,0)</f>
        <v>0</v>
      </c>
      <c r="T33" s="541">
        <f>+IF('Transaction Structure'!$U$3=1,-T400,0)</f>
        <v>0</v>
      </c>
      <c r="U33" s="541">
        <f ca="1">+IF('Transaction Structure'!$U$3=1,-U400,0)</f>
        <v>-2063.3616255053416</v>
      </c>
      <c r="V33" s="541">
        <f ca="1">+IF('Transaction Structure'!$U$3=1,-V400,0)</f>
        <v>-235.94982188167702</v>
      </c>
      <c r="W33" s="541">
        <f ca="1">+IF('Transaction Structure'!$U$3=1,-W400,0)</f>
        <v>-306.77409812121408</v>
      </c>
      <c r="X33" s="541">
        <f ca="1">+IF('Transaction Structure'!$U$3=1,-X400,0)</f>
        <v>-355.43150328887157</v>
      </c>
      <c r="Y33" s="541">
        <f ca="1">+IF('Transaction Structure'!$U$3=1,-Y400,0)</f>
        <v>-419.86934230639019</v>
      </c>
      <c r="Z33" s="541">
        <f ca="1">+IF('Transaction Structure'!$U$3=1,-Z400,0)</f>
        <v>-503.22567822400651</v>
      </c>
      <c r="AA33" s="541">
        <f ca="1">+IF('Transaction Structure'!$U$3=1,-AA400,0)</f>
        <v>-561.16995234996307</v>
      </c>
      <c r="AB33" s="541">
        <f ca="1">+IF('Transaction Structure'!$U$3=1,-AB400,0)</f>
        <v>-593.78886717618195</v>
      </c>
      <c r="AC33" s="541">
        <f ca="1">+IF('Transaction Structure'!$U$3=1,-AC400,0)</f>
        <v>-676.72975260988665</v>
      </c>
      <c r="AD33" s="541">
        <f ca="1">+IF('Transaction Structure'!$U$3=1,-AD400,0)</f>
        <v>-780.26896411328892</v>
      </c>
      <c r="AE33" s="541">
        <f ca="1">+IF('Transaction Structure'!$U$3=1,-AE400,0)</f>
        <v>-808.11845965309294</v>
      </c>
      <c r="AF33" s="541">
        <f ca="1">+IF('Transaction Structure'!$U$3=1,-AF400,0)</f>
        <v>-817.31731865518782</v>
      </c>
      <c r="AG33" s="541">
        <f ca="1">+IF('Transaction Structure'!$U$3=1,-AG400,0)</f>
        <v>-920.54138763814228</v>
      </c>
      <c r="AH33" s="541">
        <f ca="1">+IF('Transaction Structure'!$U$3=1,-AH400,0)</f>
        <v>-1037.5189116134591</v>
      </c>
      <c r="AI33" s="541">
        <f ca="1">+IF('Transaction Structure'!$U$3=1,-AI400,0)</f>
        <v>-1059.5836255277497</v>
      </c>
      <c r="AJ33" s="541">
        <f ca="1">+IF('Transaction Structure'!$U$3=1,-AJ400,0)</f>
        <v>-1048.0089716289124</v>
      </c>
      <c r="AK33" s="541">
        <f ca="1">+IF('Transaction Structure'!$U$3=1,-AK400,0)</f>
        <v>-1137.9200215308099</v>
      </c>
      <c r="AL33" s="541">
        <f ca="1">+IF('Transaction Structure'!$U$3=1,-AL400,0)</f>
        <v>-1257.7196638170801</v>
      </c>
      <c r="AN33" s="541">
        <f t="shared" si="76"/>
        <v>19</v>
      </c>
      <c r="AO33" s="541">
        <f t="shared" si="76"/>
        <v>7235</v>
      </c>
      <c r="AP33" s="541">
        <f t="shared" ca="1" si="76"/>
        <v>-2299.3114473870187</v>
      </c>
      <c r="AQ33" s="541">
        <f t="shared" ca="1" si="76"/>
        <v>-1585.3006219404824</v>
      </c>
      <c r="AR33" s="541">
        <f t="shared" ca="1" si="76"/>
        <v>-2611.9575362493206</v>
      </c>
      <c r="AS33" s="541">
        <f t="shared" ca="1" si="76"/>
        <v>-3583.496077559882</v>
      </c>
      <c r="AT33" s="541">
        <f t="shared" ca="1" si="76"/>
        <v>-4503.2322825045521</v>
      </c>
    </row>
    <row r="34" spans="2:46" x14ac:dyDescent="0.25">
      <c r="B34" s="98" t="s">
        <v>245</v>
      </c>
      <c r="C34" s="76"/>
      <c r="D34" s="76"/>
      <c r="E34" s="76"/>
      <c r="F34" s="76"/>
      <c r="G34" s="76"/>
      <c r="H34" s="76"/>
      <c r="I34" s="76" t="s">
        <v>244</v>
      </c>
      <c r="J34" s="76"/>
      <c r="K34" s="549">
        <v>0</v>
      </c>
      <c r="L34" s="549">
        <v>0</v>
      </c>
      <c r="M34" s="549">
        <v>0</v>
      </c>
      <c r="N34" s="549">
        <v>0</v>
      </c>
      <c r="O34" s="549">
        <v>0</v>
      </c>
      <c r="P34" s="549">
        <v>0</v>
      </c>
      <c r="Q34" s="549">
        <v>0</v>
      </c>
      <c r="R34" s="549">
        <v>0</v>
      </c>
      <c r="S34" s="601">
        <f>+IF('Transaction Structure'!$U$3=1,-S394,0)</f>
        <v>0</v>
      </c>
      <c r="T34" s="601">
        <f>+IF('Transaction Structure'!$U$3=1,-T394,0)</f>
        <v>0</v>
      </c>
      <c r="U34" s="601">
        <f>+IF('Transaction Structure'!$U$3=1,-U394,0)</f>
        <v>0</v>
      </c>
      <c r="V34" s="601">
        <f ca="1">+IF('Transaction Structure'!$U$3=1,-V394,0)</f>
        <v>0</v>
      </c>
      <c r="W34" s="541">
        <f ca="1">+IF('Transaction Structure'!$U$3=1,-W394,0)</f>
        <v>-18150</v>
      </c>
      <c r="X34" s="541">
        <f ca="1">+IF('Transaction Structure'!$U$3=1,-X394,0)</f>
        <v>0</v>
      </c>
      <c r="Y34" s="541">
        <f ca="1">+IF('Transaction Structure'!$U$3=1,-Y394,0)</f>
        <v>-18150</v>
      </c>
      <c r="Z34" s="541">
        <f ca="1">+IF('Transaction Structure'!$U$3=1,-Z394,0)</f>
        <v>0</v>
      </c>
      <c r="AA34" s="541">
        <f ca="1">+IF('Transaction Structure'!$U$3=1,-AA394,0)</f>
        <v>-18150</v>
      </c>
      <c r="AB34" s="541">
        <f ca="1">+IF('Transaction Structure'!$U$3=1,-AB394,0)</f>
        <v>0</v>
      </c>
      <c r="AC34" s="541">
        <f ca="1">+IF('Transaction Structure'!$U$3=1,-AC394,0)</f>
        <v>-18150</v>
      </c>
      <c r="AD34" s="541">
        <f ca="1">+IF('Transaction Structure'!$U$3=1,-AD394,0)</f>
        <v>0</v>
      </c>
      <c r="AE34" s="541">
        <f ca="1">+IF('Transaction Structure'!$U$3=1,-AE394,0)</f>
        <v>-18150</v>
      </c>
      <c r="AF34" s="541">
        <f ca="1">+IF('Transaction Structure'!$U$3=1,-AF394,0)</f>
        <v>0</v>
      </c>
      <c r="AG34" s="541">
        <f ca="1">+IF('Transaction Structure'!$U$3=1,-AG394,0)</f>
        <v>-18150</v>
      </c>
      <c r="AH34" s="541">
        <f ca="1">+IF('Transaction Structure'!$U$3=1,-AH394,0)</f>
        <v>0</v>
      </c>
      <c r="AI34" s="541">
        <f ca="1">+IF('Transaction Structure'!$U$3=1,-AI394,0)</f>
        <v>-18354.472782217061</v>
      </c>
      <c r="AJ34" s="541">
        <f ca="1">+IF('Transaction Structure'!$U$3=1,-AJ394,0)</f>
        <v>-237.20385655135593</v>
      </c>
      <c r="AK34" s="541">
        <f ca="1">+IF('Transaction Structure'!$U$3=1,-AK394,0)</f>
        <v>-18180.663310464555</v>
      </c>
      <c r="AL34" s="541">
        <f ca="1">+IF('Transaction Structure'!$U$3=1,-AL394,0)</f>
        <v>0</v>
      </c>
      <c r="AN34" s="541">
        <f t="shared" si="76"/>
        <v>0</v>
      </c>
      <c r="AO34" s="541">
        <f t="shared" si="76"/>
        <v>0</v>
      </c>
      <c r="AP34" s="541">
        <f t="shared" ca="1" si="76"/>
        <v>0</v>
      </c>
      <c r="AQ34" s="541">
        <f t="shared" ca="1" si="76"/>
        <v>-36300</v>
      </c>
      <c r="AR34" s="541">
        <f t="shared" ca="1" si="76"/>
        <v>-36300</v>
      </c>
      <c r="AS34" s="541">
        <f t="shared" ca="1" si="76"/>
        <v>-36300</v>
      </c>
      <c r="AT34" s="541">
        <f t="shared" ca="1" si="76"/>
        <v>-36772.339949232977</v>
      </c>
    </row>
    <row r="35" spans="2:46" x14ac:dyDescent="0.25">
      <c r="B35" s="98" t="s">
        <v>246</v>
      </c>
      <c r="C35" s="76"/>
      <c r="D35" s="76"/>
      <c r="E35" s="76"/>
      <c r="F35" s="76"/>
      <c r="G35" s="76"/>
      <c r="H35" s="76"/>
      <c r="I35" s="76"/>
      <c r="J35" s="76"/>
      <c r="K35" s="549">
        <f>IF(K$5=Closing_Date,-('Transaction Structure'!$K$45+'Transaction Structure'!$K$46),0)</f>
        <v>0</v>
      </c>
      <c r="L35" s="549">
        <f>IF(L$5=Closing_Date,-('Transaction Structure'!$K$45+'Transaction Structure'!$K$46),0)</f>
        <v>0</v>
      </c>
      <c r="M35" s="549">
        <f>IF(M$5=Closing_Date,-('Transaction Structure'!$K$45+'Transaction Structure'!$K$46),0)</f>
        <v>0</v>
      </c>
      <c r="N35" s="549">
        <f>IF(N$5=Closing_Date,-('Transaction Structure'!$K$45+'Transaction Structure'!$K$46),0)</f>
        <v>0</v>
      </c>
      <c r="O35" s="549">
        <f>IF(O$5=Closing_Date,-('Transaction Structure'!$K$45+'Transaction Structure'!$K$46),0)</f>
        <v>0</v>
      </c>
      <c r="P35" s="549">
        <f>IF(P$5=Closing_Date,-('Transaction Structure'!$K$45+'Transaction Structure'!$K$46),0)</f>
        <v>0</v>
      </c>
      <c r="Q35" s="549">
        <f>IF(Q$5=Closing_Date,-('Transaction Structure'!$K$45+'Transaction Structure'!$K$46),0)</f>
        <v>0</v>
      </c>
      <c r="R35" s="549">
        <f>IF(R$5=Closing_Date,-('Transaction Structure'!$K$45+'Transaction Structure'!$K$46),0)</f>
        <v>0</v>
      </c>
      <c r="S35" s="601">
        <f>IF(S$5=Closing_Date,-('Transaction Structure'!$K$45),0)</f>
        <v>0</v>
      </c>
      <c r="T35" s="601">
        <f>IF(T$5=Closing_Date,-('Transaction Structure'!$K$45),0)</f>
        <v>0</v>
      </c>
      <c r="U35" s="601">
        <f>IF(U$5=Closing_Date,-('Transaction Structure'!$K$45),0)</f>
        <v>-5000</v>
      </c>
      <c r="V35" s="601">
        <f>IF(V$5=Closing_Date,-('Transaction Structure'!$K$45),0)</f>
        <v>0</v>
      </c>
      <c r="W35" s="549">
        <f>IF(W$5=Closing_Date,-('Transaction Structure'!$K$45),0)</f>
        <v>0</v>
      </c>
      <c r="X35" s="549">
        <f>IF(X$5=Closing_Date,-('Transaction Structure'!$K$45),0)</f>
        <v>0</v>
      </c>
      <c r="Y35" s="549">
        <f>IF(Y$5=Closing_Date,-('Transaction Structure'!$K$45),0)</f>
        <v>0</v>
      </c>
      <c r="Z35" s="549">
        <f>IF(Z$5=Closing_Date,-('Transaction Structure'!$K$45),0)</f>
        <v>0</v>
      </c>
      <c r="AA35" s="549">
        <f>IF(AA$5=Closing_Date,-('Transaction Structure'!$K$45),0)</f>
        <v>0</v>
      </c>
      <c r="AB35" s="549">
        <f>IF(AB$5=Closing_Date,-('Transaction Structure'!$K$45),0)</f>
        <v>0</v>
      </c>
      <c r="AC35" s="549">
        <f>IF(AC$5=Closing_Date,-('Transaction Structure'!$K$45),0)</f>
        <v>0</v>
      </c>
      <c r="AD35" s="549">
        <f>IF(AD$5=Closing_Date,-('Transaction Structure'!$K$45),0)</f>
        <v>0</v>
      </c>
      <c r="AE35" s="549">
        <f>IF(AE$5=Closing_Date,-('Transaction Structure'!$K$45),0)</f>
        <v>0</v>
      </c>
      <c r="AF35" s="549">
        <f>IF(AF$5=Closing_Date,-('Transaction Structure'!$K$45),0)</f>
        <v>0</v>
      </c>
      <c r="AG35" s="549">
        <f>IF(AG$5=Closing_Date,-('Transaction Structure'!$K$45),0)</f>
        <v>0</v>
      </c>
      <c r="AH35" s="549">
        <f>IF(AH$5=Closing_Date,-('Transaction Structure'!$K$45),0)</f>
        <v>0</v>
      </c>
      <c r="AI35" s="549">
        <f>IF(AI$5=Closing_Date,-('Transaction Structure'!$K$45),0)</f>
        <v>0</v>
      </c>
      <c r="AJ35" s="549">
        <f>IF(AJ$5=Closing_Date,-('Transaction Structure'!$K$45),0)</f>
        <v>0</v>
      </c>
      <c r="AK35" s="549">
        <f>IF(AK$5=Closing_Date,-('Transaction Structure'!$K$45),0)</f>
        <v>0</v>
      </c>
      <c r="AL35" s="549">
        <f>IF(AL$5=Closing_Date,-('Transaction Structure'!$K$45),0)</f>
        <v>0</v>
      </c>
      <c r="AN35" s="541">
        <f t="shared" si="76"/>
        <v>0</v>
      </c>
      <c r="AO35" s="541">
        <f t="shared" si="76"/>
        <v>0</v>
      </c>
      <c r="AP35" s="541">
        <f t="shared" si="76"/>
        <v>-5000</v>
      </c>
      <c r="AQ35" s="541">
        <f t="shared" si="76"/>
        <v>0</v>
      </c>
      <c r="AR35" s="541">
        <f t="shared" si="76"/>
        <v>0</v>
      </c>
      <c r="AS35" s="541">
        <f t="shared" si="76"/>
        <v>0</v>
      </c>
      <c r="AT35" s="541">
        <f t="shared" si="76"/>
        <v>0</v>
      </c>
    </row>
    <row r="36" spans="2:46" x14ac:dyDescent="0.25">
      <c r="B36" s="60" t="s">
        <v>247</v>
      </c>
      <c r="C36" s="134"/>
      <c r="D36" s="134"/>
      <c r="E36" s="134"/>
      <c r="F36" s="134"/>
      <c r="G36" s="134"/>
      <c r="H36" s="134"/>
      <c r="I36" s="134" t="s">
        <v>89</v>
      </c>
      <c r="J36" s="134"/>
      <c r="K36" s="542">
        <f>SUM(K31:K35)</f>
        <v>-41</v>
      </c>
      <c r="L36" s="542">
        <f t="shared" ref="L36:AL36" si="78">SUM(L31:L35)</f>
        <v>303</v>
      </c>
      <c r="M36" s="542">
        <f t="shared" si="78"/>
        <v>-219</v>
      </c>
      <c r="N36" s="542">
        <f t="shared" si="78"/>
        <v>6</v>
      </c>
      <c r="O36" s="542">
        <f t="shared" si="78"/>
        <v>-279</v>
      </c>
      <c r="P36" s="542">
        <f t="shared" si="78"/>
        <v>130</v>
      </c>
      <c r="Q36" s="542">
        <f t="shared" si="78"/>
        <v>1770</v>
      </c>
      <c r="R36" s="542">
        <f t="shared" si="78"/>
        <v>4938</v>
      </c>
      <c r="S36" s="671">
        <f t="shared" ca="1" si="78"/>
        <v>-587.27650467532476</v>
      </c>
      <c r="T36" s="671">
        <f t="shared" ca="1" si="78"/>
        <v>-611.9430705882354</v>
      </c>
      <c r="U36" s="671">
        <f t="shared" ca="1" si="78"/>
        <v>-7691.0824946040539</v>
      </c>
      <c r="V36" s="671">
        <f t="shared" ca="1" si="78"/>
        <v>-931.05933434686528</v>
      </c>
      <c r="W36" s="542">
        <f t="shared" ca="1" si="78"/>
        <v>-19164.020981238096</v>
      </c>
      <c r="X36" s="542">
        <f t="shared" ca="1" si="78"/>
        <v>-1096.3141503476952</v>
      </c>
      <c r="Y36" s="542">
        <f t="shared" ca="1" si="78"/>
        <v>-19357.870334795662</v>
      </c>
      <c r="Z36" s="542">
        <f t="shared" ca="1" si="78"/>
        <v>-1341.9471004115228</v>
      </c>
      <c r="AA36" s="542">
        <f t="shared" ca="1" si="78"/>
        <v>-19526.77551601638</v>
      </c>
      <c r="AB36" s="542">
        <f t="shared" ca="1" si="78"/>
        <v>-1451.7523743479546</v>
      </c>
      <c r="AC36" s="542">
        <f t="shared" ca="1" si="78"/>
        <v>-19765.634876049997</v>
      </c>
      <c r="AD36" s="542">
        <f t="shared" ca="1" si="78"/>
        <v>-1748.9523379847228</v>
      </c>
      <c r="AE36" s="542">
        <f t="shared" ca="1" si="78"/>
        <v>-19848.700339090541</v>
      </c>
      <c r="AF36" s="542">
        <f t="shared" ca="1" si="78"/>
        <v>-1756.630636702381</v>
      </c>
      <c r="AG36" s="542">
        <f t="shared" ca="1" si="78"/>
        <v>-20117.328097306039</v>
      </c>
      <c r="AH36" s="542">
        <f t="shared" ca="1" si="78"/>
        <v>-2096.2622113447196</v>
      </c>
      <c r="AI36" s="542">
        <f t="shared" ca="1" si="78"/>
        <v>-20345.572625536017</v>
      </c>
      <c r="AJ36" s="542">
        <f t="shared" ca="1" si="78"/>
        <v>-2269.0577376862834</v>
      </c>
      <c r="AK36" s="542">
        <f t="shared" ca="1" si="78"/>
        <v>-20425.508711621398</v>
      </c>
      <c r="AL36" s="542">
        <f t="shared" ca="1" si="78"/>
        <v>-2365.6794287268999</v>
      </c>
      <c r="AN36" s="542">
        <f>SUM(AN31:AN35)</f>
        <v>49</v>
      </c>
      <c r="AO36" s="542">
        <f t="shared" ref="AO36:AT36" si="79">SUM(AO31:AO35)</f>
        <v>6559</v>
      </c>
      <c r="AP36" s="542">
        <f t="shared" ca="1" si="79"/>
        <v>-9821.36140421448</v>
      </c>
      <c r="AQ36" s="542">
        <f t="shared" ca="1" si="79"/>
        <v>-40960.152566792975</v>
      </c>
      <c r="AR36" s="542">
        <f t="shared" ca="1" si="79"/>
        <v>-42493.115104399054</v>
      </c>
      <c r="AS36" s="542">
        <f t="shared" ca="1" si="79"/>
        <v>-43818.921284443677</v>
      </c>
      <c r="AT36" s="542">
        <f t="shared" ca="1" si="79"/>
        <v>-45405.818503570605</v>
      </c>
    </row>
    <row r="37" spans="2:46" x14ac:dyDescent="0.25">
      <c r="B37" s="60"/>
      <c r="C37" s="134"/>
      <c r="D37" s="134"/>
      <c r="E37" s="134"/>
      <c r="F37" s="134"/>
      <c r="G37" s="134"/>
      <c r="H37" s="134"/>
      <c r="I37" s="134"/>
      <c r="J37" s="134"/>
      <c r="K37" s="541"/>
      <c r="L37" s="544"/>
      <c r="M37" s="544"/>
      <c r="N37" s="544"/>
      <c r="O37" s="541"/>
      <c r="P37" s="541"/>
      <c r="Q37" s="541"/>
      <c r="R37" s="541"/>
      <c r="AN37" s="541"/>
      <c r="AO37" s="541"/>
      <c r="AP37" s="541"/>
      <c r="AQ37" s="541"/>
      <c r="AR37" s="541"/>
      <c r="AS37" s="541"/>
      <c r="AT37" s="541"/>
    </row>
    <row r="38" spans="2:46" x14ac:dyDescent="0.25">
      <c r="B38" s="624" t="s">
        <v>248</v>
      </c>
      <c r="C38" s="546"/>
      <c r="D38" s="546"/>
      <c r="E38" s="546"/>
      <c r="F38" s="546"/>
      <c r="G38" s="546"/>
      <c r="H38" s="546"/>
      <c r="I38" s="546"/>
      <c r="J38" s="546"/>
      <c r="K38" s="547">
        <f t="shared" ref="K38:S38" si="80">+K28+K36</f>
        <v>-13455</v>
      </c>
      <c r="L38" s="550">
        <f t="shared" si="80"/>
        <v>-175</v>
      </c>
      <c r="M38" s="550">
        <f t="shared" si="80"/>
        <v>-28919</v>
      </c>
      <c r="N38" s="550">
        <f t="shared" si="80"/>
        <v>-17409</v>
      </c>
      <c r="O38" s="547">
        <f t="shared" si="80"/>
        <v>-12126</v>
      </c>
      <c r="P38" s="547">
        <f t="shared" si="80"/>
        <v>-14904</v>
      </c>
      <c r="Q38" s="547">
        <f t="shared" si="80"/>
        <v>-18392</v>
      </c>
      <c r="R38" s="547">
        <f t="shared" si="80"/>
        <v>-13214</v>
      </c>
      <c r="S38" s="547">
        <f t="shared" ca="1" si="80"/>
        <v>8488.8327521654373</v>
      </c>
      <c r="T38" s="547">
        <f t="shared" ref="T38:V38" ca="1" si="81">+T28+T36</f>
        <v>9446.5072151315017</v>
      </c>
      <c r="U38" s="547">
        <f t="shared" ca="1" si="81"/>
        <v>1615.9181072365591</v>
      </c>
      <c r="V38" s="547">
        <f t="shared" ca="1" si="81"/>
        <v>10106.399312894922</v>
      </c>
      <c r="W38" s="547">
        <f t="shared" ref="W38:AG38" ca="1" si="82">+W28+W36</f>
        <v>-4249.2388480910777</v>
      </c>
      <c r="X38" s="547">
        <f t="shared" ca="1" si="82"/>
        <v>15639.644713894202</v>
      </c>
      <c r="Y38" s="547">
        <f t="shared" ca="1" si="82"/>
        <v>-5359.4502229120117</v>
      </c>
      <c r="Z38" s="547">
        <f t="shared" ca="1" si="82"/>
        <v>15926.447416978273</v>
      </c>
      <c r="AA38" s="547">
        <f t="shared" ca="1" si="82"/>
        <v>-2521.6115633553127</v>
      </c>
      <c r="AB38" s="547">
        <f t="shared" ca="1" si="82"/>
        <v>17739.109985461677</v>
      </c>
      <c r="AC38" s="547">
        <f t="shared" ca="1" si="82"/>
        <v>-3233.901656452319</v>
      </c>
      <c r="AD38" s="547">
        <f t="shared" ca="1" si="82"/>
        <v>17993.63742059558</v>
      </c>
      <c r="AE38" s="547">
        <f t="shared" ca="1" si="82"/>
        <v>-1568.1999297219845</v>
      </c>
      <c r="AF38" s="547">
        <f t="shared" ca="1" si="82"/>
        <v>18968.083842327131</v>
      </c>
      <c r="AG38" s="547">
        <f t="shared" ca="1" si="82"/>
        <v>-1943.8949970644826</v>
      </c>
      <c r="AH38" s="547">
        <f t="shared" ref="AH38:AL38" ca="1" si="83">+AH28+AH36</f>
        <v>19187.449162024954</v>
      </c>
      <c r="AI38" s="547">
        <f t="shared" ca="1" si="83"/>
        <v>-1602.093415533509</v>
      </c>
      <c r="AJ38" s="547">
        <f t="shared" ca="1" si="83"/>
        <v>19063.202169914304</v>
      </c>
      <c r="AK38" s="547">
        <f t="shared" ca="1" si="83"/>
        <v>-1562.3715591495275</v>
      </c>
      <c r="AL38" s="547">
        <f t="shared" ca="1" si="83"/>
        <v>19527.193310566683</v>
      </c>
      <c r="AN38" s="547">
        <f>+AN28+AN36</f>
        <v>-59958</v>
      </c>
      <c r="AO38" s="547">
        <f t="shared" ref="AO38:AT38" si="84">+AO28+AO36</f>
        <v>-58635.526569951966</v>
      </c>
      <c r="AP38" s="547">
        <f t="shared" ca="1" si="84"/>
        <v>29658.022520898066</v>
      </c>
      <c r="AQ38" s="547">
        <f t="shared" ca="1" si="84"/>
        <v>21957.622247434039</v>
      </c>
      <c r="AR38" s="547">
        <f t="shared" ca="1" si="84"/>
        <v>29977.39884641282</v>
      </c>
      <c r="AS38" s="547">
        <f t="shared" ca="1" si="84"/>
        <v>34643.53700301973</v>
      </c>
      <c r="AT38" s="547">
        <f t="shared" ca="1" si="84"/>
        <v>35425.98001024915</v>
      </c>
    </row>
    <row r="39" spans="2:46" x14ac:dyDescent="0.25">
      <c r="K39" s="541"/>
      <c r="L39" s="544"/>
      <c r="M39" s="544"/>
      <c r="N39" s="544"/>
      <c r="O39" s="541"/>
      <c r="P39" s="541"/>
      <c r="Q39" s="541"/>
      <c r="R39" s="541"/>
      <c r="AN39" s="541"/>
      <c r="AO39" s="541"/>
      <c r="AP39" s="541"/>
      <c r="AQ39" s="541"/>
      <c r="AR39" s="541"/>
      <c r="AS39" s="541"/>
      <c r="AT39" s="541"/>
    </row>
    <row r="40" spans="2:46" x14ac:dyDescent="0.25">
      <c r="B40" s="98" t="s">
        <v>249</v>
      </c>
      <c r="H40" s="94"/>
      <c r="I40" s="69" t="s">
        <v>250</v>
      </c>
      <c r="K40" s="549">
        <v>-17</v>
      </c>
      <c r="L40" s="552">
        <v>-1</v>
      </c>
      <c r="M40" s="552">
        <v>-51</v>
      </c>
      <c r="N40" s="552">
        <v>-108</v>
      </c>
      <c r="O40" s="549">
        <v>-28</v>
      </c>
      <c r="P40" s="549">
        <v>-141</v>
      </c>
      <c r="Q40" s="549">
        <v>-53</v>
      </c>
      <c r="R40" s="549">
        <v>-716</v>
      </c>
      <c r="S40" s="601">
        <f t="shared" ref="S40:AL40" si="85">IF(S5&gt;Closing_Date,MIN(-S38*S94,0),0)</f>
        <v>0</v>
      </c>
      <c r="T40" s="601">
        <f t="shared" si="85"/>
        <v>0</v>
      </c>
      <c r="U40" s="601">
        <f t="shared" si="85"/>
        <v>0</v>
      </c>
      <c r="V40" s="601">
        <f t="shared" ca="1" si="85"/>
        <v>-2122.3438557079335</v>
      </c>
      <c r="W40" s="601">
        <f t="shared" ca="1" si="85"/>
        <v>0</v>
      </c>
      <c r="X40" s="601">
        <f t="shared" ca="1" si="85"/>
        <v>-3284.3253899177821</v>
      </c>
      <c r="Y40" s="601">
        <f t="shared" ca="1" si="85"/>
        <v>0</v>
      </c>
      <c r="Z40" s="601">
        <f t="shared" ca="1" si="85"/>
        <v>-3344.5539575654375</v>
      </c>
      <c r="AA40" s="601">
        <f t="shared" ca="1" si="85"/>
        <v>0</v>
      </c>
      <c r="AB40" s="601">
        <f t="shared" ca="1" si="85"/>
        <v>-3725.2130969469522</v>
      </c>
      <c r="AC40" s="601">
        <f t="shared" ca="1" si="85"/>
        <v>0</v>
      </c>
      <c r="AD40" s="601">
        <f t="shared" ca="1" si="85"/>
        <v>-3778.6638583250715</v>
      </c>
      <c r="AE40" s="601">
        <f t="shared" ca="1" si="85"/>
        <v>0</v>
      </c>
      <c r="AF40" s="601">
        <f t="shared" ca="1" si="85"/>
        <v>-3983.2976068886974</v>
      </c>
      <c r="AG40" s="601">
        <f t="shared" ca="1" si="85"/>
        <v>0</v>
      </c>
      <c r="AH40" s="601">
        <f t="shared" ca="1" si="85"/>
        <v>-4029.36432402524</v>
      </c>
      <c r="AI40" s="601">
        <f t="shared" ca="1" si="85"/>
        <v>0</v>
      </c>
      <c r="AJ40" s="601">
        <f t="shared" ca="1" si="85"/>
        <v>-4003.272455682004</v>
      </c>
      <c r="AK40" s="601">
        <f t="shared" ca="1" si="85"/>
        <v>0</v>
      </c>
      <c r="AL40" s="601">
        <f t="shared" ca="1" si="85"/>
        <v>-4100.7105952190032</v>
      </c>
      <c r="AN40" s="541">
        <f>SUMIF($K$4:$R$4,AN$4,$K40:$R40)</f>
        <v>-177</v>
      </c>
      <c r="AO40" s="541">
        <f>SUMIF($K$4:$R$4,AO$4,$K40:$R40)</f>
        <v>-938</v>
      </c>
      <c r="AP40" s="541">
        <f t="shared" ref="AP40:AT40" ca="1" si="86">SUMIF($K$4:$AL$4,AP$4,$K40:$AL40)</f>
        <v>-2122.3438557079335</v>
      </c>
      <c r="AQ40" s="541">
        <f t="shared" ca="1" si="86"/>
        <v>-6628.87934748322</v>
      </c>
      <c r="AR40" s="541">
        <f t="shared" ca="1" si="86"/>
        <v>-7503.8769552720241</v>
      </c>
      <c r="AS40" s="541">
        <f t="shared" ca="1" si="86"/>
        <v>-8012.6619309139369</v>
      </c>
      <c r="AT40" s="541">
        <f t="shared" ca="1" si="86"/>
        <v>-8103.9830509010071</v>
      </c>
    </row>
    <row r="41" spans="2:46" ht="16.5" thickBot="1" x14ac:dyDescent="0.3">
      <c r="B41" s="60" t="s">
        <v>251</v>
      </c>
      <c r="C41" s="134"/>
      <c r="D41" s="134"/>
      <c r="E41" s="134"/>
      <c r="F41" s="134"/>
      <c r="G41" s="134"/>
      <c r="H41" s="134"/>
      <c r="I41" s="134"/>
      <c r="J41" s="134"/>
      <c r="K41" s="641">
        <f>+K38+K40</f>
        <v>-13472</v>
      </c>
      <c r="L41" s="641">
        <f t="shared" ref="L41:R41" si="87">+L38+L40</f>
        <v>-176</v>
      </c>
      <c r="M41" s="641">
        <f t="shared" si="87"/>
        <v>-28970</v>
      </c>
      <c r="N41" s="641">
        <f t="shared" si="87"/>
        <v>-17517</v>
      </c>
      <c r="O41" s="641">
        <f t="shared" si="87"/>
        <v>-12154</v>
      </c>
      <c r="P41" s="641">
        <f t="shared" si="87"/>
        <v>-15045</v>
      </c>
      <c r="Q41" s="641">
        <f t="shared" si="87"/>
        <v>-18445</v>
      </c>
      <c r="R41" s="641">
        <f t="shared" si="87"/>
        <v>-13930</v>
      </c>
      <c r="S41" s="641">
        <f ca="1">+S38+S40</f>
        <v>8488.8327521654373</v>
      </c>
      <c r="T41" s="641">
        <f t="shared" ref="T41:V41" ca="1" si="88">+T38+T40</f>
        <v>9446.5072151315017</v>
      </c>
      <c r="U41" s="641">
        <f t="shared" ca="1" si="88"/>
        <v>1615.9181072365591</v>
      </c>
      <c r="V41" s="641">
        <f t="shared" ca="1" si="88"/>
        <v>7984.0554571869889</v>
      </c>
      <c r="W41" s="641">
        <f t="shared" ref="W41:AG41" ca="1" si="89">+W38+W40</f>
        <v>-4249.2388480910777</v>
      </c>
      <c r="X41" s="641">
        <f t="shared" ca="1" si="89"/>
        <v>12355.31932397642</v>
      </c>
      <c r="Y41" s="641">
        <f t="shared" ca="1" si="89"/>
        <v>-5359.4502229120117</v>
      </c>
      <c r="Z41" s="641">
        <f t="shared" ca="1" si="89"/>
        <v>12581.893459412837</v>
      </c>
      <c r="AA41" s="641">
        <f t="shared" ca="1" si="89"/>
        <v>-2521.6115633553127</v>
      </c>
      <c r="AB41" s="641">
        <f t="shared" ca="1" si="89"/>
        <v>14013.896888514724</v>
      </c>
      <c r="AC41" s="641">
        <f t="shared" ca="1" si="89"/>
        <v>-3233.901656452319</v>
      </c>
      <c r="AD41" s="641">
        <f t="shared" ca="1" si="89"/>
        <v>14214.973562270508</v>
      </c>
      <c r="AE41" s="641">
        <f t="shared" ca="1" si="89"/>
        <v>-1568.1999297219845</v>
      </c>
      <c r="AF41" s="641">
        <f t="shared" ca="1" si="89"/>
        <v>14984.786235438434</v>
      </c>
      <c r="AG41" s="641">
        <f t="shared" ca="1" si="89"/>
        <v>-1943.8949970644826</v>
      </c>
      <c r="AH41" s="641">
        <f t="shared" ref="AH41:AT41" ca="1" si="90">+AH38+AH40</f>
        <v>15158.084837999713</v>
      </c>
      <c r="AI41" s="641">
        <f t="shared" ca="1" si="90"/>
        <v>-1602.093415533509</v>
      </c>
      <c r="AJ41" s="641">
        <f t="shared" ca="1" si="90"/>
        <v>15059.929714232301</v>
      </c>
      <c r="AK41" s="641">
        <f t="shared" ca="1" si="90"/>
        <v>-1562.3715591495275</v>
      </c>
      <c r="AL41" s="641">
        <f t="shared" ca="1" si="90"/>
        <v>15426.48271534768</v>
      </c>
      <c r="AM41" s="134"/>
      <c r="AN41" s="641">
        <f t="shared" si="90"/>
        <v>-60135</v>
      </c>
      <c r="AO41" s="641">
        <f t="shared" si="90"/>
        <v>-59573.526569951966</v>
      </c>
      <c r="AP41" s="641">
        <f t="shared" ca="1" si="90"/>
        <v>27535.678665190135</v>
      </c>
      <c r="AQ41" s="641">
        <f t="shared" ca="1" si="90"/>
        <v>15328.742899950819</v>
      </c>
      <c r="AR41" s="641">
        <f t="shared" ca="1" si="90"/>
        <v>22473.521891140794</v>
      </c>
      <c r="AS41" s="641">
        <f t="shared" ca="1" si="90"/>
        <v>26630.875072105795</v>
      </c>
      <c r="AT41" s="641">
        <f t="shared" ca="1" si="90"/>
        <v>27321.996959348144</v>
      </c>
    </row>
    <row r="42" spans="2:46" ht="16.5" thickTop="1" x14ac:dyDescent="0.25">
      <c r="K42" s="541"/>
      <c r="L42" s="544"/>
      <c r="M42" s="544"/>
      <c r="N42" s="544"/>
      <c r="O42" s="541"/>
      <c r="P42" s="541"/>
      <c r="Q42" s="541"/>
      <c r="R42" s="541"/>
      <c r="AN42" s="541">
        <f t="shared" ref="AN42:AT42" si="91">SUMIF($K$4:$R$4,AN$4,$K42:$R42)</f>
        <v>0</v>
      </c>
      <c r="AO42" s="541">
        <f t="shared" si="91"/>
        <v>0</v>
      </c>
      <c r="AP42" s="541">
        <f t="shared" si="91"/>
        <v>0</v>
      </c>
      <c r="AQ42" s="541">
        <f t="shared" si="91"/>
        <v>0</v>
      </c>
      <c r="AR42" s="541">
        <f t="shared" si="91"/>
        <v>0</v>
      </c>
      <c r="AS42" s="541">
        <f t="shared" si="91"/>
        <v>0</v>
      </c>
      <c r="AT42" s="541">
        <f t="shared" si="91"/>
        <v>0</v>
      </c>
    </row>
    <row r="43" spans="2:46" x14ac:dyDescent="0.25">
      <c r="B43" s="551" t="s">
        <v>252</v>
      </c>
      <c r="K43" s="554">
        <v>-1.04</v>
      </c>
      <c r="L43" s="555">
        <v>-0.01</v>
      </c>
      <c r="M43" s="555">
        <v>-0.98</v>
      </c>
      <c r="N43" s="555">
        <v>-0.46</v>
      </c>
      <c r="O43" s="554">
        <v>-0.31</v>
      </c>
      <c r="P43" s="554">
        <v>-0.38</v>
      </c>
      <c r="Q43" s="554">
        <v>-0.46</v>
      </c>
      <c r="R43" s="555">
        <v>-0.35</v>
      </c>
      <c r="S43" s="555">
        <v>0</v>
      </c>
      <c r="T43" s="555">
        <v>0</v>
      </c>
      <c r="U43" s="555">
        <v>0</v>
      </c>
      <c r="V43" s="555">
        <v>0</v>
      </c>
      <c r="W43" s="555">
        <v>0</v>
      </c>
      <c r="X43" s="555">
        <v>0</v>
      </c>
      <c r="Y43" s="555">
        <v>0</v>
      </c>
      <c r="Z43" s="555">
        <v>0</v>
      </c>
      <c r="AA43" s="555">
        <v>0</v>
      </c>
      <c r="AB43" s="555">
        <v>0</v>
      </c>
      <c r="AC43" s="555">
        <v>0</v>
      </c>
      <c r="AD43" s="555">
        <v>0</v>
      </c>
      <c r="AE43" s="555">
        <v>0</v>
      </c>
      <c r="AF43" s="555">
        <v>0</v>
      </c>
      <c r="AG43" s="555">
        <v>0</v>
      </c>
      <c r="AH43" s="555">
        <v>0</v>
      </c>
      <c r="AI43" s="555">
        <v>0</v>
      </c>
      <c r="AJ43" s="555">
        <v>0</v>
      </c>
      <c r="AK43" s="555">
        <v>0</v>
      </c>
      <c r="AL43" s="555">
        <v>0</v>
      </c>
      <c r="AN43" s="556">
        <v>-2.57</v>
      </c>
      <c r="AO43" s="556">
        <f t="shared" ref="AO43:AT44" si="92">SUMIF($K$4:$R$4,AO$4,$K43:$R43)</f>
        <v>-1.5</v>
      </c>
      <c r="AP43" s="556">
        <f t="shared" si="92"/>
        <v>0</v>
      </c>
      <c r="AQ43" s="556">
        <f t="shared" si="92"/>
        <v>0</v>
      </c>
      <c r="AR43" s="556">
        <f t="shared" si="92"/>
        <v>0</v>
      </c>
      <c r="AS43" s="556">
        <f t="shared" si="92"/>
        <v>0</v>
      </c>
      <c r="AT43" s="556">
        <f t="shared" si="92"/>
        <v>0</v>
      </c>
    </row>
    <row r="44" spans="2:46" x14ac:dyDescent="0.25">
      <c r="B44" s="551" t="s">
        <v>253</v>
      </c>
      <c r="K44" s="557">
        <v>-1.04</v>
      </c>
      <c r="L44" s="558">
        <v>-0.01</v>
      </c>
      <c r="M44" s="558">
        <v>-0.98</v>
      </c>
      <c r="N44" s="558">
        <v>-0.46</v>
      </c>
      <c r="O44" s="557">
        <v>-0.31</v>
      </c>
      <c r="P44" s="557">
        <v>-0.38</v>
      </c>
      <c r="Q44" s="557">
        <v>-0.46</v>
      </c>
      <c r="R44" s="558">
        <v>-0.35</v>
      </c>
      <c r="S44" s="558">
        <v>0</v>
      </c>
      <c r="T44" s="558">
        <v>0</v>
      </c>
      <c r="U44" s="558">
        <v>0</v>
      </c>
      <c r="V44" s="558">
        <v>0</v>
      </c>
      <c r="W44" s="558">
        <v>0</v>
      </c>
      <c r="X44" s="558">
        <v>0</v>
      </c>
      <c r="Y44" s="558">
        <v>0</v>
      </c>
      <c r="Z44" s="558">
        <v>0</v>
      </c>
      <c r="AA44" s="558">
        <v>0</v>
      </c>
      <c r="AB44" s="558">
        <v>0</v>
      </c>
      <c r="AC44" s="558">
        <v>0</v>
      </c>
      <c r="AD44" s="558">
        <v>0</v>
      </c>
      <c r="AE44" s="558">
        <v>0</v>
      </c>
      <c r="AF44" s="558">
        <v>0</v>
      </c>
      <c r="AG44" s="558">
        <v>0</v>
      </c>
      <c r="AH44" s="558">
        <v>0</v>
      </c>
      <c r="AI44" s="558">
        <v>0</v>
      </c>
      <c r="AJ44" s="558">
        <v>0</v>
      </c>
      <c r="AK44" s="558">
        <v>0</v>
      </c>
      <c r="AL44" s="558">
        <v>0</v>
      </c>
      <c r="AN44" s="559">
        <v>-2.57</v>
      </c>
      <c r="AO44" s="559">
        <f t="shared" si="92"/>
        <v>-1.5</v>
      </c>
      <c r="AP44" s="559">
        <f t="shared" si="92"/>
        <v>0</v>
      </c>
      <c r="AQ44" s="559">
        <f t="shared" si="92"/>
        <v>0</v>
      </c>
      <c r="AR44" s="559">
        <f t="shared" si="92"/>
        <v>0</v>
      </c>
      <c r="AS44" s="559">
        <f t="shared" si="92"/>
        <v>0</v>
      </c>
      <c r="AT44" s="559">
        <f t="shared" si="92"/>
        <v>0</v>
      </c>
    </row>
    <row r="47" spans="2:46" x14ac:dyDescent="0.25">
      <c r="B47" s="60" t="s">
        <v>10</v>
      </c>
      <c r="C47" s="134"/>
      <c r="D47" s="134"/>
      <c r="E47" s="134"/>
      <c r="F47" s="134"/>
      <c r="G47" s="134"/>
      <c r="H47" s="134"/>
      <c r="I47" s="134"/>
      <c r="J47" s="134"/>
      <c r="K47" s="560">
        <f t="shared" ref="K47:S47" si="93">+K28</f>
        <v>-13414</v>
      </c>
      <c r="L47" s="560">
        <f t="shared" si="93"/>
        <v>-478</v>
      </c>
      <c r="M47" s="560">
        <f t="shared" si="93"/>
        <v>-28700</v>
      </c>
      <c r="N47" s="560">
        <f t="shared" si="93"/>
        <v>-17415</v>
      </c>
      <c r="O47" s="560">
        <f t="shared" si="93"/>
        <v>-11847</v>
      </c>
      <c r="P47" s="560">
        <f t="shared" si="93"/>
        <v>-15034</v>
      </c>
      <c r="Q47" s="560">
        <f t="shared" si="93"/>
        <v>-20162</v>
      </c>
      <c r="R47" s="560">
        <f t="shared" si="93"/>
        <v>-18152</v>
      </c>
      <c r="S47" s="560">
        <f t="shared" ca="1" si="93"/>
        <v>9076.1092568407621</v>
      </c>
      <c r="T47" s="560">
        <f t="shared" ref="T47:V47" ca="1" si="94">+T28</f>
        <v>10058.450285719737</v>
      </c>
      <c r="U47" s="560">
        <f t="shared" ca="1" si="94"/>
        <v>9307.0006018406129</v>
      </c>
      <c r="V47" s="560">
        <f t="shared" ca="1" si="94"/>
        <v>11037.458647241787</v>
      </c>
      <c r="W47" s="560">
        <f t="shared" ref="W47:AG47" ca="1" si="95">+W28</f>
        <v>14914.782133147019</v>
      </c>
      <c r="X47" s="560">
        <f t="shared" ca="1" si="95"/>
        <v>16735.958864241897</v>
      </c>
      <c r="Y47" s="560">
        <f t="shared" ca="1" si="95"/>
        <v>13998.42011188365</v>
      </c>
      <c r="Z47" s="560">
        <f t="shared" ca="1" si="95"/>
        <v>17268.394517389796</v>
      </c>
      <c r="AA47" s="560">
        <f t="shared" ca="1" si="95"/>
        <v>17005.163952661067</v>
      </c>
      <c r="AB47" s="560">
        <f t="shared" ca="1" si="95"/>
        <v>19190.862359809631</v>
      </c>
      <c r="AC47" s="560">
        <f t="shared" ca="1" si="95"/>
        <v>16531.733219597678</v>
      </c>
      <c r="AD47" s="560">
        <f t="shared" ca="1" si="95"/>
        <v>19742.589758580303</v>
      </c>
      <c r="AE47" s="560">
        <f t="shared" ca="1" si="95"/>
        <v>18280.500409368557</v>
      </c>
      <c r="AF47" s="560">
        <f t="shared" ca="1" si="95"/>
        <v>20724.714479029513</v>
      </c>
      <c r="AG47" s="560">
        <f t="shared" ca="1" si="95"/>
        <v>18173.433100241557</v>
      </c>
      <c r="AH47" s="560">
        <f t="shared" ref="AH47:AL47" ca="1" si="96">+AH28</f>
        <v>21283.711373369675</v>
      </c>
      <c r="AI47" s="560">
        <f t="shared" ca="1" si="96"/>
        <v>18743.479210002508</v>
      </c>
      <c r="AJ47" s="560">
        <f t="shared" ca="1" si="96"/>
        <v>21332.259907600586</v>
      </c>
      <c r="AK47" s="560">
        <f t="shared" ca="1" si="96"/>
        <v>18863.137152471871</v>
      </c>
      <c r="AL47" s="560">
        <f t="shared" ca="1" si="96"/>
        <v>21892.872739293583</v>
      </c>
      <c r="AN47" s="541">
        <f t="shared" ref="AN47:AT47" si="97">SUMIF($K$4:$AL$4,AN$4,$K47:$AL47)</f>
        <v>-60007</v>
      </c>
      <c r="AO47" s="541">
        <f t="shared" si="97"/>
        <v>-65195</v>
      </c>
      <c r="AP47" s="541">
        <f t="shared" ca="1" si="97"/>
        <v>39479.018791642899</v>
      </c>
      <c r="AQ47" s="541">
        <f t="shared" ca="1" si="97"/>
        <v>62917.555626662361</v>
      </c>
      <c r="AR47" s="541">
        <f t="shared" ca="1" si="97"/>
        <v>72470.349290648679</v>
      </c>
      <c r="AS47" s="541">
        <f t="shared" ca="1" si="97"/>
        <v>78462.359362009302</v>
      </c>
      <c r="AT47" s="541">
        <f t="shared" ca="1" si="97"/>
        <v>80831.749009368548</v>
      </c>
    </row>
    <row r="48" spans="2:46" hidden="1" outlineLevel="1" x14ac:dyDescent="0.25">
      <c r="B48" s="551" t="s">
        <v>254</v>
      </c>
    </row>
    <row r="49" spans="2:46" hidden="1" outlineLevel="1" x14ac:dyDescent="0.25">
      <c r="B49" s="551" t="s">
        <v>255</v>
      </c>
    </row>
    <row r="50" spans="2:46" hidden="1" outlineLevel="1" x14ac:dyDescent="0.25">
      <c r="B50" s="98" t="s">
        <v>224</v>
      </c>
      <c r="C50" s="76"/>
      <c r="D50" s="76"/>
      <c r="E50" s="76"/>
      <c r="F50" s="76"/>
      <c r="G50" s="76"/>
      <c r="H50" s="76"/>
      <c r="I50" s="76" t="s">
        <v>256</v>
      </c>
      <c r="J50" s="76"/>
      <c r="K50" s="549">
        <v>0</v>
      </c>
      <c r="L50" s="549">
        <v>34</v>
      </c>
      <c r="M50" s="549">
        <v>99</v>
      </c>
      <c r="N50" s="552">
        <v>127</v>
      </c>
      <c r="O50" s="549">
        <v>134</v>
      </c>
      <c r="P50" s="549">
        <v>463</v>
      </c>
      <c r="Q50" s="549">
        <v>627</v>
      </c>
      <c r="R50" s="549">
        <v>276</v>
      </c>
      <c r="S50" s="541"/>
      <c r="T50" s="541"/>
      <c r="U50" s="541"/>
      <c r="V50" s="541"/>
      <c r="W50" s="541"/>
      <c r="X50" s="541"/>
      <c r="Y50" s="541"/>
      <c r="Z50" s="541"/>
      <c r="AA50" s="541"/>
      <c r="AB50" s="541"/>
      <c r="AC50" s="541"/>
      <c r="AD50" s="541"/>
      <c r="AE50" s="541"/>
      <c r="AF50" s="541"/>
      <c r="AG50" s="541"/>
      <c r="AH50" s="541"/>
      <c r="AI50" s="541"/>
      <c r="AJ50" s="541"/>
      <c r="AK50" s="541"/>
      <c r="AL50" s="541"/>
      <c r="AN50" s="541">
        <f t="shared" ref="AN50:AT52" si="98">SUMIF($K$4:$AL$4,AN$4,$K50:$AL50)</f>
        <v>260</v>
      </c>
      <c r="AO50" s="541">
        <f t="shared" si="98"/>
        <v>1500</v>
      </c>
      <c r="AP50" s="541">
        <f t="shared" si="98"/>
        <v>0</v>
      </c>
      <c r="AQ50" s="541">
        <f t="shared" si="98"/>
        <v>0</v>
      </c>
      <c r="AR50" s="541">
        <f t="shared" si="98"/>
        <v>0</v>
      </c>
      <c r="AS50" s="541">
        <f t="shared" si="98"/>
        <v>0</v>
      </c>
      <c r="AT50" s="541">
        <f t="shared" si="98"/>
        <v>0</v>
      </c>
    </row>
    <row r="51" spans="2:46" hidden="1" outlineLevel="1" x14ac:dyDescent="0.25">
      <c r="B51" s="98" t="s">
        <v>226</v>
      </c>
      <c r="C51" s="76"/>
      <c r="D51" s="76"/>
      <c r="E51" s="76"/>
      <c r="F51" s="76"/>
      <c r="G51" s="76"/>
      <c r="H51" s="76"/>
      <c r="I51" s="76" t="s">
        <v>256</v>
      </c>
      <c r="J51" s="76"/>
      <c r="K51" s="549">
        <v>0</v>
      </c>
      <c r="L51" s="549">
        <v>4</v>
      </c>
      <c r="M51" s="549">
        <v>13</v>
      </c>
      <c r="N51" s="552">
        <v>15</v>
      </c>
      <c r="O51" s="549">
        <v>19</v>
      </c>
      <c r="P51" s="549">
        <v>59</v>
      </c>
      <c r="Q51" s="549">
        <v>78</v>
      </c>
      <c r="R51" s="549">
        <v>34</v>
      </c>
      <c r="S51" s="541"/>
      <c r="T51" s="541"/>
      <c r="U51" s="541"/>
      <c r="V51" s="541"/>
      <c r="W51" s="541"/>
      <c r="X51" s="541"/>
      <c r="Y51" s="541"/>
      <c r="Z51" s="541"/>
      <c r="AA51" s="541"/>
      <c r="AB51" s="541"/>
      <c r="AC51" s="541"/>
      <c r="AD51" s="541"/>
      <c r="AE51" s="541"/>
      <c r="AF51" s="541"/>
      <c r="AG51" s="541"/>
      <c r="AH51" s="541"/>
      <c r="AI51" s="541"/>
      <c r="AJ51" s="541"/>
      <c r="AK51" s="541"/>
      <c r="AL51" s="541"/>
      <c r="AN51" s="541">
        <f t="shared" si="98"/>
        <v>32</v>
      </c>
      <c r="AO51" s="541">
        <f t="shared" si="98"/>
        <v>190</v>
      </c>
      <c r="AP51" s="541">
        <f t="shared" si="98"/>
        <v>0</v>
      </c>
      <c r="AQ51" s="541">
        <f t="shared" si="98"/>
        <v>0</v>
      </c>
      <c r="AR51" s="541">
        <f t="shared" si="98"/>
        <v>0</v>
      </c>
      <c r="AS51" s="541">
        <f t="shared" si="98"/>
        <v>0</v>
      </c>
      <c r="AT51" s="541">
        <f t="shared" si="98"/>
        <v>0</v>
      </c>
    </row>
    <row r="52" spans="2:46" hidden="1" outlineLevel="1" x14ac:dyDescent="0.25">
      <c r="B52" s="98" t="s">
        <v>227</v>
      </c>
      <c r="C52" s="76"/>
      <c r="D52" s="76"/>
      <c r="E52" s="76"/>
      <c r="F52" s="76"/>
      <c r="G52" s="76"/>
      <c r="H52" s="76"/>
      <c r="I52" s="76" t="s">
        <v>256</v>
      </c>
      <c r="J52" s="76"/>
      <c r="K52" s="549">
        <v>452</v>
      </c>
      <c r="L52" s="549">
        <v>450</v>
      </c>
      <c r="M52" s="549">
        <v>433</v>
      </c>
      <c r="N52" s="552">
        <v>406</v>
      </c>
      <c r="O52" s="549">
        <v>412</v>
      </c>
      <c r="P52" s="549">
        <v>166</v>
      </c>
      <c r="Q52" s="549">
        <v>295</v>
      </c>
      <c r="R52" s="549">
        <v>555</v>
      </c>
      <c r="S52" s="541"/>
      <c r="T52" s="541"/>
      <c r="U52" s="541"/>
      <c r="V52" s="541"/>
      <c r="W52" s="541"/>
      <c r="X52" s="541"/>
      <c r="Y52" s="541"/>
      <c r="Z52" s="541"/>
      <c r="AA52" s="541"/>
      <c r="AB52" s="541"/>
      <c r="AC52" s="541"/>
      <c r="AD52" s="541"/>
      <c r="AE52" s="541"/>
      <c r="AF52" s="541"/>
      <c r="AG52" s="541"/>
      <c r="AH52" s="541"/>
      <c r="AI52" s="541"/>
      <c r="AJ52" s="541"/>
      <c r="AK52" s="541"/>
      <c r="AL52" s="541"/>
      <c r="AN52" s="541">
        <f t="shared" si="98"/>
        <v>1741</v>
      </c>
      <c r="AO52" s="541">
        <f t="shared" si="98"/>
        <v>1428</v>
      </c>
      <c r="AP52" s="541">
        <f t="shared" si="98"/>
        <v>0</v>
      </c>
      <c r="AQ52" s="541">
        <f t="shared" si="98"/>
        <v>0</v>
      </c>
      <c r="AR52" s="541">
        <f t="shared" si="98"/>
        <v>0</v>
      </c>
      <c r="AS52" s="541">
        <f t="shared" si="98"/>
        <v>0</v>
      </c>
      <c r="AT52" s="541">
        <f t="shared" si="98"/>
        <v>0</v>
      </c>
    </row>
    <row r="53" spans="2:46" collapsed="1" x14ac:dyDescent="0.25">
      <c r="B53" s="98" t="s">
        <v>257</v>
      </c>
      <c r="C53" s="76"/>
      <c r="D53" s="76"/>
      <c r="E53" s="76"/>
      <c r="F53" s="76"/>
      <c r="G53" s="76"/>
      <c r="H53" s="76"/>
      <c r="I53" s="76" t="s">
        <v>258</v>
      </c>
      <c r="J53" s="76"/>
      <c r="K53" s="541"/>
      <c r="L53" s="541"/>
      <c r="M53" s="541"/>
      <c r="N53" s="544"/>
      <c r="O53" s="541"/>
      <c r="P53" s="541"/>
      <c r="Q53" s="541"/>
      <c r="R53" s="541"/>
      <c r="S53" s="541">
        <f ca="1">+-S22</f>
        <v>591.27139774980344</v>
      </c>
      <c r="T53" s="541">
        <f t="shared" ref="T53:AL53" ca="1" si="99">+-T22</f>
        <v>690.81262874814558</v>
      </c>
      <c r="U53" s="541">
        <f t="shared" ca="1" si="99"/>
        <v>788.48770066009945</v>
      </c>
      <c r="V53" s="541">
        <f t="shared" ca="1" si="99"/>
        <v>816.36574445071983</v>
      </c>
      <c r="W53" s="541">
        <f t="shared" ca="1" si="99"/>
        <v>907.59867690051567</v>
      </c>
      <c r="X53" s="541">
        <f t="shared" ca="1" si="99"/>
        <v>1030.6747694689363</v>
      </c>
      <c r="Y53" s="541">
        <f t="shared" ca="1" si="99"/>
        <v>1160.5456820331833</v>
      </c>
      <c r="Z53" s="541">
        <f t="shared" ca="1" si="99"/>
        <v>1186.8482753032433</v>
      </c>
      <c r="AA53" s="541">
        <f t="shared" ca="1" si="99"/>
        <v>1291.0893920587714</v>
      </c>
      <c r="AB53" s="541">
        <f t="shared" ca="1" si="99"/>
        <v>1432.1322017510129</v>
      </c>
      <c r="AC53" s="541">
        <f t="shared" ca="1" si="99"/>
        <v>1582.5510513306908</v>
      </c>
      <c r="AD53" s="541">
        <f t="shared" ca="1" si="99"/>
        <v>1617.16516872891</v>
      </c>
      <c r="AE53" s="541">
        <f t="shared" ca="1" si="99"/>
        <v>1731.518348042498</v>
      </c>
      <c r="AF53" s="541">
        <f t="shared" ca="1" si="99"/>
        <v>1886.7461915290082</v>
      </c>
      <c r="AG53" s="541">
        <f t="shared" ca="1" si="99"/>
        <v>2056.8580606907049</v>
      </c>
      <c r="AH53" s="541">
        <f t="shared" ca="1" si="99"/>
        <v>2092.3754598758692</v>
      </c>
      <c r="AI53" s="541">
        <f t="shared" ca="1" si="99"/>
        <v>2211.7078178206343</v>
      </c>
      <c r="AJ53" s="541">
        <f t="shared" ca="1" si="99"/>
        <v>2373.8696993433755</v>
      </c>
      <c r="AK53" s="541">
        <f t="shared" ca="1" si="99"/>
        <v>2552.4805666478233</v>
      </c>
      <c r="AL53" s="541">
        <f t="shared" ca="1" si="99"/>
        <v>2590.8602439620017</v>
      </c>
      <c r="AN53" s="541"/>
      <c r="AO53" s="541"/>
      <c r="AP53" s="541"/>
      <c r="AQ53" s="541"/>
      <c r="AR53" s="541"/>
      <c r="AS53" s="541"/>
      <c r="AT53" s="541"/>
    </row>
    <row r="54" spans="2:46" hidden="1" outlineLevel="1" x14ac:dyDescent="0.25">
      <c r="B54" s="60" t="s">
        <v>155</v>
      </c>
      <c r="C54" s="134"/>
      <c r="D54" s="134"/>
      <c r="E54" s="134"/>
      <c r="F54" s="134"/>
      <c r="G54" s="134"/>
      <c r="H54" s="134"/>
      <c r="I54" s="134" t="s">
        <v>89</v>
      </c>
      <c r="J54" s="134"/>
      <c r="K54" s="561">
        <f>SUM(K50:K53)</f>
        <v>452</v>
      </c>
      <c r="L54" s="561">
        <f t="shared" ref="L54:S54" si="100">SUM(L50:L53)</f>
        <v>488</v>
      </c>
      <c r="M54" s="561">
        <f t="shared" si="100"/>
        <v>545</v>
      </c>
      <c r="N54" s="561">
        <f t="shared" si="100"/>
        <v>548</v>
      </c>
      <c r="O54" s="561">
        <f t="shared" si="100"/>
        <v>565</v>
      </c>
      <c r="P54" s="561">
        <f t="shared" si="100"/>
        <v>688</v>
      </c>
      <c r="Q54" s="561">
        <f t="shared" si="100"/>
        <v>1000</v>
      </c>
      <c r="R54" s="561">
        <f t="shared" si="100"/>
        <v>865</v>
      </c>
      <c r="S54" s="561">
        <f t="shared" ca="1" si="100"/>
        <v>591.27139774980344</v>
      </c>
      <c r="T54" s="561">
        <f t="shared" ref="T54:AL54" ca="1" si="101">SUM(T50:T53)</f>
        <v>690.81262874814558</v>
      </c>
      <c r="U54" s="561">
        <f t="shared" ca="1" si="101"/>
        <v>788.48770066009945</v>
      </c>
      <c r="V54" s="561">
        <f t="shared" ca="1" si="101"/>
        <v>816.36574445071983</v>
      </c>
      <c r="W54" s="561">
        <f t="shared" ca="1" si="101"/>
        <v>907.59867690051567</v>
      </c>
      <c r="X54" s="561">
        <f t="shared" ca="1" si="101"/>
        <v>1030.6747694689363</v>
      </c>
      <c r="Y54" s="561">
        <f t="shared" ca="1" si="101"/>
        <v>1160.5456820331833</v>
      </c>
      <c r="Z54" s="561">
        <f t="shared" ca="1" si="101"/>
        <v>1186.8482753032433</v>
      </c>
      <c r="AA54" s="561">
        <f t="shared" ca="1" si="101"/>
        <v>1291.0893920587714</v>
      </c>
      <c r="AB54" s="561">
        <f t="shared" ca="1" si="101"/>
        <v>1432.1322017510129</v>
      </c>
      <c r="AC54" s="561">
        <f t="shared" ca="1" si="101"/>
        <v>1582.5510513306908</v>
      </c>
      <c r="AD54" s="561">
        <f t="shared" ca="1" si="101"/>
        <v>1617.16516872891</v>
      </c>
      <c r="AE54" s="561">
        <f t="shared" ca="1" si="101"/>
        <v>1731.518348042498</v>
      </c>
      <c r="AF54" s="561">
        <f t="shared" ca="1" si="101"/>
        <v>1886.7461915290082</v>
      </c>
      <c r="AG54" s="561">
        <f t="shared" ca="1" si="101"/>
        <v>2056.8580606907049</v>
      </c>
      <c r="AH54" s="561">
        <f t="shared" ca="1" si="101"/>
        <v>2092.3754598758692</v>
      </c>
      <c r="AI54" s="561">
        <f t="shared" ca="1" si="101"/>
        <v>2211.7078178206343</v>
      </c>
      <c r="AJ54" s="561">
        <f t="shared" ca="1" si="101"/>
        <v>2373.8696993433755</v>
      </c>
      <c r="AK54" s="561">
        <f t="shared" ca="1" si="101"/>
        <v>2552.4805666478233</v>
      </c>
      <c r="AL54" s="561">
        <f t="shared" ca="1" si="101"/>
        <v>2590.8602439620017</v>
      </c>
      <c r="AN54" s="561">
        <f t="shared" ref="AN54:AT54" si="102">SUMIF($K$4:$R$4,AN$4,$K54:$R54)</f>
        <v>2033</v>
      </c>
      <c r="AO54" s="561">
        <f t="shared" si="102"/>
        <v>3118</v>
      </c>
      <c r="AP54" s="561">
        <f t="shared" si="102"/>
        <v>0</v>
      </c>
      <c r="AQ54" s="561">
        <f t="shared" si="102"/>
        <v>0</v>
      </c>
      <c r="AR54" s="561">
        <f t="shared" si="102"/>
        <v>0</v>
      </c>
      <c r="AS54" s="561">
        <f t="shared" si="102"/>
        <v>0</v>
      </c>
      <c r="AT54" s="561">
        <f t="shared" si="102"/>
        <v>0</v>
      </c>
    </row>
    <row r="55" spans="2:46" hidden="1" outlineLevel="1" collapsed="1" x14ac:dyDescent="0.25">
      <c r="B55" s="60"/>
      <c r="C55" s="134"/>
      <c r="D55" s="134"/>
      <c r="E55" s="134"/>
      <c r="F55" s="134"/>
      <c r="G55" s="134"/>
      <c r="H55" s="134"/>
      <c r="I55" s="134"/>
      <c r="J55" s="134"/>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N55" s="560"/>
      <c r="AO55" s="560"/>
      <c r="AP55" s="560"/>
      <c r="AQ55" s="560"/>
      <c r="AR55" s="560"/>
      <c r="AS55" s="560"/>
      <c r="AT55" s="560"/>
    </row>
    <row r="56" spans="2:46" hidden="1" outlineLevel="1" x14ac:dyDescent="0.25">
      <c r="B56" s="551" t="s">
        <v>259</v>
      </c>
    </row>
    <row r="57" spans="2:46" hidden="1" outlineLevel="1" x14ac:dyDescent="0.25">
      <c r="B57" s="551" t="s">
        <v>255</v>
      </c>
    </row>
    <row r="58" spans="2:46" hidden="1" outlineLevel="1" x14ac:dyDescent="0.25">
      <c r="B58" s="98" t="s">
        <v>260</v>
      </c>
      <c r="C58" s="76"/>
      <c r="D58" s="76"/>
      <c r="E58" s="76"/>
      <c r="F58" s="76"/>
      <c r="G58" s="76"/>
      <c r="H58" s="76"/>
      <c r="I58" s="76" t="s">
        <v>261</v>
      </c>
      <c r="J58" s="76"/>
      <c r="K58" s="549">
        <v>0</v>
      </c>
      <c r="L58" s="549">
        <v>0</v>
      </c>
      <c r="M58" s="549">
        <v>0</v>
      </c>
      <c r="N58" s="549">
        <v>0</v>
      </c>
      <c r="O58" s="549">
        <v>0</v>
      </c>
      <c r="P58" s="549">
        <v>273</v>
      </c>
      <c r="Q58" s="549">
        <v>274</v>
      </c>
      <c r="R58" s="549">
        <v>323</v>
      </c>
      <c r="S58" s="541">
        <v>0</v>
      </c>
      <c r="T58" s="541">
        <v>0</v>
      </c>
      <c r="U58" s="541">
        <v>0</v>
      </c>
      <c r="V58" s="541">
        <v>0</v>
      </c>
      <c r="W58" s="541">
        <v>0</v>
      </c>
      <c r="X58" s="541">
        <v>0</v>
      </c>
      <c r="Y58" s="541">
        <v>0</v>
      </c>
      <c r="Z58" s="541">
        <v>0</v>
      </c>
      <c r="AA58" s="541">
        <v>0</v>
      </c>
      <c r="AB58" s="541">
        <v>0</v>
      </c>
      <c r="AC58" s="541">
        <v>0</v>
      </c>
      <c r="AD58" s="541">
        <v>0</v>
      </c>
      <c r="AE58" s="541">
        <v>0</v>
      </c>
      <c r="AF58" s="541">
        <v>0</v>
      </c>
      <c r="AG58" s="541">
        <v>0</v>
      </c>
      <c r="AH58" s="541">
        <v>0</v>
      </c>
      <c r="AI58" s="541">
        <v>0</v>
      </c>
      <c r="AJ58" s="541">
        <v>0</v>
      </c>
      <c r="AK58" s="541">
        <v>0</v>
      </c>
      <c r="AL58" s="541">
        <v>0</v>
      </c>
      <c r="AN58" s="541">
        <f t="shared" ref="AN58:AT59" si="103">SUMIF($K$4:$AL$4,AN$4,$K58:$AL58)</f>
        <v>0</v>
      </c>
      <c r="AO58" s="541">
        <f t="shared" si="103"/>
        <v>870</v>
      </c>
      <c r="AP58" s="541">
        <f t="shared" si="103"/>
        <v>0</v>
      </c>
      <c r="AQ58" s="541">
        <f t="shared" si="103"/>
        <v>0</v>
      </c>
      <c r="AR58" s="541">
        <f t="shared" si="103"/>
        <v>0</v>
      </c>
      <c r="AS58" s="541">
        <f t="shared" si="103"/>
        <v>0</v>
      </c>
      <c r="AT58" s="541">
        <f t="shared" si="103"/>
        <v>0</v>
      </c>
    </row>
    <row r="59" spans="2:46" hidden="1" outlineLevel="1" x14ac:dyDescent="0.25">
      <c r="B59" s="98" t="s">
        <v>226</v>
      </c>
      <c r="C59" s="76"/>
      <c r="D59" s="76"/>
      <c r="E59" s="76"/>
      <c r="F59" s="76"/>
      <c r="G59" s="76"/>
      <c r="H59" s="76"/>
      <c r="I59" s="76" t="s">
        <v>261</v>
      </c>
      <c r="J59" s="76"/>
      <c r="K59" s="549">
        <v>148</v>
      </c>
      <c r="L59" s="549">
        <v>148</v>
      </c>
      <c r="M59" s="549">
        <v>188</v>
      </c>
      <c r="N59" s="549">
        <f>693-SUM(K59:M59)</f>
        <v>209</v>
      </c>
      <c r="O59" s="549">
        <v>209</v>
      </c>
      <c r="P59" s="549">
        <v>209</v>
      </c>
      <c r="Q59" s="549">
        <v>208</v>
      </c>
      <c r="R59" s="549">
        <v>256</v>
      </c>
      <c r="S59" s="549">
        <v>0</v>
      </c>
      <c r="T59" s="549">
        <v>0</v>
      </c>
      <c r="U59" s="549">
        <v>0</v>
      </c>
      <c r="V59" s="549">
        <v>0</v>
      </c>
      <c r="W59" s="549">
        <v>0</v>
      </c>
      <c r="X59" s="549">
        <v>0</v>
      </c>
      <c r="Y59" s="549">
        <v>0</v>
      </c>
      <c r="Z59" s="549">
        <v>0</v>
      </c>
      <c r="AA59" s="549">
        <v>0</v>
      </c>
      <c r="AB59" s="549">
        <v>0</v>
      </c>
      <c r="AC59" s="549">
        <v>0</v>
      </c>
      <c r="AD59" s="549">
        <v>0</v>
      </c>
      <c r="AE59" s="549">
        <v>0</v>
      </c>
      <c r="AF59" s="549">
        <v>0</v>
      </c>
      <c r="AG59" s="549">
        <v>0</v>
      </c>
      <c r="AH59" s="549">
        <v>0</v>
      </c>
      <c r="AI59" s="549">
        <v>0</v>
      </c>
      <c r="AJ59" s="549">
        <v>0</v>
      </c>
      <c r="AK59" s="549">
        <v>0</v>
      </c>
      <c r="AL59" s="549">
        <v>0</v>
      </c>
      <c r="AN59" s="541">
        <f t="shared" si="103"/>
        <v>693</v>
      </c>
      <c r="AO59" s="541">
        <f t="shared" si="103"/>
        <v>882</v>
      </c>
      <c r="AP59" s="541">
        <f t="shared" si="103"/>
        <v>0</v>
      </c>
      <c r="AQ59" s="541">
        <f t="shared" si="103"/>
        <v>0</v>
      </c>
      <c r="AR59" s="541">
        <f t="shared" si="103"/>
        <v>0</v>
      </c>
      <c r="AS59" s="541">
        <f t="shared" si="103"/>
        <v>0</v>
      </c>
      <c r="AT59" s="541">
        <f t="shared" si="103"/>
        <v>0</v>
      </c>
    </row>
    <row r="60" spans="2:46" collapsed="1" x14ac:dyDescent="0.25">
      <c r="B60" s="98" t="s">
        <v>262</v>
      </c>
      <c r="C60" s="76"/>
      <c r="D60" s="76"/>
      <c r="E60" s="76"/>
      <c r="F60" s="76"/>
      <c r="G60" s="76"/>
      <c r="H60" s="76"/>
      <c r="I60" s="76" t="s">
        <v>231</v>
      </c>
      <c r="J60" s="76"/>
      <c r="K60" s="541"/>
      <c r="L60" s="541"/>
      <c r="M60" s="541"/>
      <c r="N60" s="541"/>
      <c r="O60" s="541"/>
      <c r="P60" s="541"/>
      <c r="Q60" s="541"/>
      <c r="R60" s="541"/>
      <c r="S60" s="541">
        <f ca="1">+-S23</f>
        <v>308.12449751332485</v>
      </c>
      <c r="T60" s="541">
        <f t="shared" ref="T60:AL60" ca="1" si="104">+-T23</f>
        <v>298.72039376742487</v>
      </c>
      <c r="U60" s="541">
        <f t="shared" ca="1" si="104"/>
        <v>321.4814614477952</v>
      </c>
      <c r="V60" s="541">
        <f t="shared" ca="1" si="104"/>
        <v>548.9380063170579</v>
      </c>
      <c r="W60" s="541">
        <f t="shared" ca="1" si="104"/>
        <v>543.26285229015411</v>
      </c>
      <c r="X60" s="541">
        <f t="shared" ca="1" si="104"/>
        <v>527.70642511269966</v>
      </c>
      <c r="Y60" s="541">
        <f t="shared" ca="1" si="104"/>
        <v>563.68140028917992</v>
      </c>
      <c r="Z60" s="541">
        <f t="shared" ca="1" si="104"/>
        <v>601.28112446397392</v>
      </c>
      <c r="AA60" s="541">
        <f t="shared" ca="1" si="104"/>
        <v>576.80264551584651</v>
      </c>
      <c r="AB60" s="541">
        <f t="shared" ca="1" si="104"/>
        <v>562.37969517382635</v>
      </c>
      <c r="AC60" s="541">
        <f t="shared" ca="1" si="104"/>
        <v>619.28858670011766</v>
      </c>
      <c r="AD60" s="541">
        <f t="shared" ca="1" si="104"/>
        <v>649.62434213576671</v>
      </c>
      <c r="AE60" s="541">
        <f t="shared" ca="1" si="104"/>
        <v>595.98396262283109</v>
      </c>
      <c r="AF60" s="541">
        <f t="shared" ca="1" si="104"/>
        <v>582.65425486890683</v>
      </c>
      <c r="AG60" s="541">
        <f t="shared" ca="1" si="104"/>
        <v>655.79690312079595</v>
      </c>
      <c r="AH60" s="541">
        <f t="shared" ca="1" si="104"/>
        <v>679.53697666792709</v>
      </c>
      <c r="AI60" s="541">
        <f t="shared" ca="1" si="104"/>
        <v>600.03343334641488</v>
      </c>
      <c r="AJ60" s="541">
        <f t="shared" ca="1" si="104"/>
        <v>587.5873684739862</v>
      </c>
      <c r="AK60" s="541">
        <f t="shared" ca="1" si="104"/>
        <v>670.39153728320832</v>
      </c>
      <c r="AL60" s="541">
        <f t="shared" ca="1" si="104"/>
        <v>690.13428745680562</v>
      </c>
      <c r="AN60" s="541"/>
      <c r="AO60" s="541"/>
      <c r="AP60" s="541"/>
      <c r="AQ60" s="541"/>
      <c r="AR60" s="541"/>
      <c r="AS60" s="541"/>
      <c r="AT60" s="541"/>
    </row>
    <row r="61" spans="2:46" x14ac:dyDescent="0.25">
      <c r="B61" s="98" t="s">
        <v>263</v>
      </c>
      <c r="C61" s="76"/>
      <c r="D61" s="76"/>
      <c r="E61" s="76"/>
      <c r="F61" s="76"/>
      <c r="G61" s="76"/>
      <c r="H61" s="76"/>
      <c r="I61" s="76"/>
      <c r="J61" s="76"/>
      <c r="K61" s="541"/>
      <c r="L61" s="541"/>
      <c r="M61" s="541"/>
      <c r="N61" s="541"/>
      <c r="O61" s="541"/>
      <c r="P61" s="541"/>
      <c r="Q61" s="541"/>
      <c r="R61" s="541"/>
      <c r="S61" s="541">
        <f>+-S24</f>
        <v>0</v>
      </c>
      <c r="T61" s="541">
        <f t="shared" ref="T61:AL61" si="105">+-T24</f>
        <v>0</v>
      </c>
      <c r="U61" s="541">
        <f t="shared" si="105"/>
        <v>0</v>
      </c>
      <c r="V61" s="541">
        <f t="shared" si="105"/>
        <v>0</v>
      </c>
      <c r="W61" s="541">
        <f t="shared" si="105"/>
        <v>0</v>
      </c>
      <c r="X61" s="541">
        <f t="shared" si="105"/>
        <v>0</v>
      </c>
      <c r="Y61" s="541">
        <f t="shared" si="105"/>
        <v>0</v>
      </c>
      <c r="Z61" s="541">
        <f t="shared" si="105"/>
        <v>0</v>
      </c>
      <c r="AA61" s="541">
        <f t="shared" si="105"/>
        <v>0</v>
      </c>
      <c r="AB61" s="541">
        <f t="shared" si="105"/>
        <v>0</v>
      </c>
      <c r="AC61" s="541">
        <f t="shared" si="105"/>
        <v>0</v>
      </c>
      <c r="AD61" s="541">
        <f t="shared" si="105"/>
        <v>0</v>
      </c>
      <c r="AE61" s="541">
        <f t="shared" si="105"/>
        <v>0</v>
      </c>
      <c r="AF61" s="541">
        <f t="shared" si="105"/>
        <v>0</v>
      </c>
      <c r="AG61" s="541">
        <f t="shared" si="105"/>
        <v>0</v>
      </c>
      <c r="AH61" s="541">
        <f t="shared" si="105"/>
        <v>0</v>
      </c>
      <c r="AI61" s="541">
        <f t="shared" si="105"/>
        <v>0</v>
      </c>
      <c r="AJ61" s="541">
        <f t="shared" si="105"/>
        <v>0</v>
      </c>
      <c r="AK61" s="541">
        <f t="shared" si="105"/>
        <v>0</v>
      </c>
      <c r="AL61" s="541">
        <f t="shared" si="105"/>
        <v>0</v>
      </c>
      <c r="AN61" s="541"/>
      <c r="AO61" s="541"/>
      <c r="AP61" s="541"/>
      <c r="AQ61" s="541"/>
      <c r="AR61" s="541"/>
      <c r="AS61" s="541"/>
      <c r="AT61" s="541"/>
    </row>
    <row r="62" spans="2:46" hidden="1" outlineLevel="1" x14ac:dyDescent="0.25">
      <c r="B62" s="60" t="s">
        <v>155</v>
      </c>
      <c r="C62" s="134"/>
      <c r="D62" s="134"/>
      <c r="E62" s="134"/>
      <c r="F62" s="134"/>
      <c r="G62" s="134"/>
      <c r="H62" s="134"/>
      <c r="I62" s="134" t="s">
        <v>89</v>
      </c>
      <c r="J62" s="134"/>
      <c r="K62" s="561">
        <f>SUM(K58:K61)</f>
        <v>148</v>
      </c>
      <c r="L62" s="561">
        <f t="shared" ref="L62:AL62" si="106">SUM(L58:L61)</f>
        <v>148</v>
      </c>
      <c r="M62" s="561">
        <f t="shared" si="106"/>
        <v>188</v>
      </c>
      <c r="N62" s="561">
        <f t="shared" si="106"/>
        <v>209</v>
      </c>
      <c r="O62" s="561">
        <f t="shared" si="106"/>
        <v>209</v>
      </c>
      <c r="P62" s="561">
        <f t="shared" si="106"/>
        <v>482</v>
      </c>
      <c r="Q62" s="561">
        <f t="shared" si="106"/>
        <v>482</v>
      </c>
      <c r="R62" s="561">
        <f t="shared" si="106"/>
        <v>579</v>
      </c>
      <c r="S62" s="561">
        <f t="shared" ca="1" si="106"/>
        <v>308.12449751332485</v>
      </c>
      <c r="T62" s="561">
        <f t="shared" ca="1" si="106"/>
        <v>298.72039376742487</v>
      </c>
      <c r="U62" s="561">
        <f t="shared" ca="1" si="106"/>
        <v>321.4814614477952</v>
      </c>
      <c r="V62" s="561">
        <f t="shared" ca="1" si="106"/>
        <v>548.9380063170579</v>
      </c>
      <c r="W62" s="561">
        <f t="shared" ca="1" si="106"/>
        <v>543.26285229015411</v>
      </c>
      <c r="X62" s="561">
        <f t="shared" ca="1" si="106"/>
        <v>527.70642511269966</v>
      </c>
      <c r="Y62" s="561">
        <f t="shared" ca="1" si="106"/>
        <v>563.68140028917992</v>
      </c>
      <c r="Z62" s="561">
        <f t="shared" ca="1" si="106"/>
        <v>601.28112446397392</v>
      </c>
      <c r="AA62" s="561">
        <f t="shared" ca="1" si="106"/>
        <v>576.80264551584651</v>
      </c>
      <c r="AB62" s="561">
        <f t="shared" ca="1" si="106"/>
        <v>562.37969517382635</v>
      </c>
      <c r="AC62" s="561">
        <f t="shared" ca="1" si="106"/>
        <v>619.28858670011766</v>
      </c>
      <c r="AD62" s="561">
        <f t="shared" ca="1" si="106"/>
        <v>649.62434213576671</v>
      </c>
      <c r="AE62" s="561">
        <f t="shared" ca="1" si="106"/>
        <v>595.98396262283109</v>
      </c>
      <c r="AF62" s="561">
        <f t="shared" ca="1" si="106"/>
        <v>582.65425486890683</v>
      </c>
      <c r="AG62" s="561">
        <f t="shared" ca="1" si="106"/>
        <v>655.79690312079595</v>
      </c>
      <c r="AH62" s="561">
        <f t="shared" ca="1" si="106"/>
        <v>679.53697666792709</v>
      </c>
      <c r="AI62" s="561">
        <f t="shared" ca="1" si="106"/>
        <v>600.03343334641488</v>
      </c>
      <c r="AJ62" s="561">
        <f t="shared" ca="1" si="106"/>
        <v>587.5873684739862</v>
      </c>
      <c r="AK62" s="561">
        <f t="shared" ca="1" si="106"/>
        <v>670.39153728320832</v>
      </c>
      <c r="AL62" s="561">
        <f t="shared" ca="1" si="106"/>
        <v>690.13428745680562</v>
      </c>
      <c r="AN62" s="561">
        <f t="shared" ref="AN62:AT62" si="107">SUM(AN58:AN60)</f>
        <v>693</v>
      </c>
      <c r="AO62" s="561">
        <f t="shared" si="107"/>
        <v>1752</v>
      </c>
      <c r="AP62" s="561">
        <f t="shared" si="107"/>
        <v>0</v>
      </c>
      <c r="AQ62" s="561">
        <f t="shared" si="107"/>
        <v>0</v>
      </c>
      <c r="AR62" s="561">
        <f t="shared" si="107"/>
        <v>0</v>
      </c>
      <c r="AS62" s="561">
        <f t="shared" si="107"/>
        <v>0</v>
      </c>
      <c r="AT62" s="561">
        <f t="shared" si="107"/>
        <v>0</v>
      </c>
    </row>
    <row r="63" spans="2:46" hidden="1" outlineLevel="1" x14ac:dyDescent="0.25"/>
    <row r="64" spans="2:46" collapsed="1" x14ac:dyDescent="0.25"/>
    <row r="65" spans="2:46" x14ac:dyDescent="0.25">
      <c r="B65" s="60" t="s">
        <v>264</v>
      </c>
      <c r="I65" s="134" t="s">
        <v>89</v>
      </c>
      <c r="K65" s="561">
        <f>+K47+K54+K62</f>
        <v>-12814</v>
      </c>
      <c r="L65" s="561">
        <f t="shared" ref="L65:R65" si="108">+L47+L54+L62</f>
        <v>158</v>
      </c>
      <c r="M65" s="561">
        <f t="shared" si="108"/>
        <v>-27967</v>
      </c>
      <c r="N65" s="561">
        <f t="shared" si="108"/>
        <v>-16658</v>
      </c>
      <c r="O65" s="561">
        <f t="shared" si="108"/>
        <v>-11073</v>
      </c>
      <c r="P65" s="561">
        <f t="shared" si="108"/>
        <v>-13864</v>
      </c>
      <c r="Q65" s="561">
        <f t="shared" si="108"/>
        <v>-18680</v>
      </c>
      <c r="R65" s="561">
        <f t="shared" si="108"/>
        <v>-16708</v>
      </c>
      <c r="S65" s="561">
        <f t="shared" ref="S65" ca="1" si="109">+S47+S54+S62</f>
        <v>9975.5051521038913</v>
      </c>
      <c r="T65" s="561">
        <f t="shared" ref="T65:V65" ca="1" si="110">+T47+T54+T62</f>
        <v>11047.983308235307</v>
      </c>
      <c r="U65" s="561">
        <f t="shared" ca="1" si="110"/>
        <v>10416.969763948508</v>
      </c>
      <c r="V65" s="561">
        <f t="shared" ca="1" si="110"/>
        <v>12402.762398009563</v>
      </c>
      <c r="W65" s="561">
        <f t="shared" ref="W65:AG65" ca="1" si="111">+W47+W54+W62</f>
        <v>16365.643662337689</v>
      </c>
      <c r="X65" s="561">
        <f t="shared" ca="1" si="111"/>
        <v>18294.340058823534</v>
      </c>
      <c r="Y65" s="561">
        <f t="shared" ca="1" si="111"/>
        <v>15722.647194206014</v>
      </c>
      <c r="Z65" s="561">
        <f t="shared" ca="1" si="111"/>
        <v>19056.523917157014</v>
      </c>
      <c r="AA65" s="561">
        <f t="shared" ca="1" si="111"/>
        <v>18873.055990235684</v>
      </c>
      <c r="AB65" s="561">
        <f t="shared" ca="1" si="111"/>
        <v>21185.374256734471</v>
      </c>
      <c r="AC65" s="561">
        <f t="shared" ca="1" si="111"/>
        <v>18733.572857628486</v>
      </c>
      <c r="AD65" s="561">
        <f t="shared" ca="1" si="111"/>
        <v>22009.37926944498</v>
      </c>
      <c r="AE65" s="561">
        <f t="shared" ca="1" si="111"/>
        <v>20608.002720033885</v>
      </c>
      <c r="AF65" s="561">
        <f t="shared" ca="1" si="111"/>
        <v>23194.114925427428</v>
      </c>
      <c r="AG65" s="561">
        <f t="shared" ca="1" si="111"/>
        <v>20886.088064053059</v>
      </c>
      <c r="AH65" s="561">
        <f t="shared" ref="AH65:AT65" ca="1" si="112">+AH47+AH54+AH62</f>
        <v>24055.623809913472</v>
      </c>
      <c r="AI65" s="561">
        <f t="shared" ca="1" si="112"/>
        <v>21555.22046116956</v>
      </c>
      <c r="AJ65" s="561">
        <f t="shared" ca="1" si="112"/>
        <v>24293.716975417949</v>
      </c>
      <c r="AK65" s="561">
        <f t="shared" ca="1" si="112"/>
        <v>22086.009256402904</v>
      </c>
      <c r="AL65" s="561">
        <f ca="1">+AL47+AL54+AL62</f>
        <v>25173.867270712391</v>
      </c>
      <c r="AN65" s="561">
        <f t="shared" si="112"/>
        <v>-57281</v>
      </c>
      <c r="AO65" s="561">
        <f t="shared" si="112"/>
        <v>-60325</v>
      </c>
      <c r="AP65" s="561">
        <f t="shared" ca="1" si="112"/>
        <v>39479.018791642899</v>
      </c>
      <c r="AQ65" s="561">
        <f t="shared" ca="1" si="112"/>
        <v>62917.555626662361</v>
      </c>
      <c r="AR65" s="561">
        <f t="shared" ca="1" si="112"/>
        <v>72470.349290648679</v>
      </c>
      <c r="AS65" s="561">
        <f t="shared" ca="1" si="112"/>
        <v>78462.359362009302</v>
      </c>
      <c r="AT65" s="561">
        <f t="shared" ca="1" si="112"/>
        <v>80831.749009368548</v>
      </c>
    </row>
    <row r="66" spans="2:46" hidden="1" outlineLevel="1" x14ac:dyDescent="0.25"/>
    <row r="67" spans="2:46" hidden="1" outlineLevel="1" x14ac:dyDescent="0.25">
      <c r="B67" s="60" t="s">
        <v>265</v>
      </c>
      <c r="C67" s="134"/>
      <c r="D67" s="134"/>
      <c r="E67" s="134"/>
      <c r="F67" s="134"/>
      <c r="G67" s="134"/>
      <c r="H67" s="134"/>
      <c r="I67" s="134"/>
      <c r="J67" s="134"/>
    </row>
    <row r="68" spans="2:46" hidden="1" outlineLevel="1" x14ac:dyDescent="0.25">
      <c r="B68" s="98" t="s">
        <v>266</v>
      </c>
      <c r="I68" s="69" t="s">
        <v>240</v>
      </c>
      <c r="K68" s="549">
        <v>2</v>
      </c>
      <c r="L68" s="549">
        <v>0</v>
      </c>
      <c r="M68" s="549">
        <v>6</v>
      </c>
      <c r="N68" s="541">
        <f>8-SUM(K68:M68)</f>
        <v>0</v>
      </c>
      <c r="O68" s="549">
        <v>6</v>
      </c>
      <c r="P68" s="549">
        <v>10</v>
      </c>
      <c r="Q68" s="549">
        <v>11</v>
      </c>
      <c r="R68" s="541">
        <f>38-SUM(O68:Q68)</f>
        <v>11</v>
      </c>
      <c r="S68" s="549">
        <v>0</v>
      </c>
      <c r="T68" s="549">
        <v>0</v>
      </c>
      <c r="U68" s="549">
        <v>0</v>
      </c>
      <c r="V68" s="549">
        <v>0</v>
      </c>
      <c r="W68" s="549">
        <v>0</v>
      </c>
      <c r="X68" s="549">
        <v>0</v>
      </c>
      <c r="Y68" s="549">
        <v>0</v>
      </c>
      <c r="Z68" s="549">
        <v>0</v>
      </c>
      <c r="AA68" s="549">
        <v>0</v>
      </c>
      <c r="AB68" s="549">
        <v>0</v>
      </c>
      <c r="AC68" s="549">
        <v>0</v>
      </c>
      <c r="AD68" s="549">
        <v>0</v>
      </c>
      <c r="AE68" s="549">
        <v>0</v>
      </c>
      <c r="AF68" s="549">
        <v>0</v>
      </c>
      <c r="AG68" s="549">
        <v>0</v>
      </c>
      <c r="AH68" s="549">
        <v>0</v>
      </c>
      <c r="AI68" s="549">
        <v>0</v>
      </c>
      <c r="AJ68" s="549">
        <v>0</v>
      </c>
      <c r="AK68" s="549">
        <v>0</v>
      </c>
      <c r="AL68" s="549">
        <v>0</v>
      </c>
      <c r="AN68" s="541">
        <f t="shared" ref="AN68:AT72" si="113">SUMIF($K$4:$AL$4,AN$4,$K68:$AL68)</f>
        <v>8</v>
      </c>
      <c r="AO68" s="541">
        <f t="shared" si="113"/>
        <v>38</v>
      </c>
      <c r="AP68" s="541">
        <f t="shared" si="113"/>
        <v>0</v>
      </c>
      <c r="AQ68" s="541">
        <f t="shared" si="113"/>
        <v>0</v>
      </c>
      <c r="AR68" s="541">
        <f t="shared" si="113"/>
        <v>0</v>
      </c>
      <c r="AS68" s="541">
        <f t="shared" si="113"/>
        <v>0</v>
      </c>
      <c r="AT68" s="541">
        <f t="shared" si="113"/>
        <v>0</v>
      </c>
    </row>
    <row r="69" spans="2:46" hidden="1" outlineLevel="1" x14ac:dyDescent="0.25">
      <c r="B69" s="98" t="s">
        <v>224</v>
      </c>
      <c r="I69" s="69" t="s">
        <v>240</v>
      </c>
      <c r="K69" s="549">
        <v>1111</v>
      </c>
      <c r="L69" s="549">
        <v>1105</v>
      </c>
      <c r="M69" s="549">
        <v>3533</v>
      </c>
      <c r="N69" s="541">
        <f>9298-SUM(K69:M69)</f>
        <v>3549</v>
      </c>
      <c r="O69" s="549">
        <v>3632</v>
      </c>
      <c r="P69" s="549">
        <v>5773</v>
      </c>
      <c r="Q69" s="549">
        <v>8030</v>
      </c>
      <c r="R69" s="541">
        <f>26373-SUM(O69:Q69)</f>
        <v>8938</v>
      </c>
      <c r="S69" s="549">
        <v>0</v>
      </c>
      <c r="T69" s="549">
        <v>0</v>
      </c>
      <c r="U69" s="549">
        <v>0</v>
      </c>
      <c r="V69" s="549">
        <v>0</v>
      </c>
      <c r="W69" s="549">
        <v>0</v>
      </c>
      <c r="X69" s="549">
        <v>0</v>
      </c>
      <c r="Y69" s="549">
        <v>0</v>
      </c>
      <c r="Z69" s="549">
        <v>0</v>
      </c>
      <c r="AA69" s="549">
        <v>0</v>
      </c>
      <c r="AB69" s="549">
        <v>0</v>
      </c>
      <c r="AC69" s="549">
        <v>0</v>
      </c>
      <c r="AD69" s="549">
        <v>0</v>
      </c>
      <c r="AE69" s="549">
        <v>0</v>
      </c>
      <c r="AF69" s="549">
        <v>0</v>
      </c>
      <c r="AG69" s="549">
        <v>0</v>
      </c>
      <c r="AH69" s="549">
        <v>0</v>
      </c>
      <c r="AI69" s="549">
        <v>0</v>
      </c>
      <c r="AJ69" s="549">
        <v>0</v>
      </c>
      <c r="AK69" s="549">
        <v>0</v>
      </c>
      <c r="AL69" s="549">
        <v>0</v>
      </c>
      <c r="AN69" s="541">
        <f t="shared" si="113"/>
        <v>9298</v>
      </c>
      <c r="AO69" s="541">
        <f t="shared" si="113"/>
        <v>26373</v>
      </c>
      <c r="AP69" s="541">
        <f t="shared" si="113"/>
        <v>0</v>
      </c>
      <c r="AQ69" s="541">
        <f t="shared" si="113"/>
        <v>0</v>
      </c>
      <c r="AR69" s="541">
        <f t="shared" si="113"/>
        <v>0</v>
      </c>
      <c r="AS69" s="541">
        <f t="shared" si="113"/>
        <v>0</v>
      </c>
      <c r="AT69" s="541">
        <f t="shared" si="113"/>
        <v>0</v>
      </c>
    </row>
    <row r="70" spans="2:46" hidden="1" outlineLevel="1" x14ac:dyDescent="0.25">
      <c r="B70" s="98" t="s">
        <v>226</v>
      </c>
      <c r="I70" s="69" t="s">
        <v>240</v>
      </c>
      <c r="K70" s="549">
        <v>68</v>
      </c>
      <c r="L70" s="549">
        <v>72</v>
      </c>
      <c r="M70" s="549">
        <v>408</v>
      </c>
      <c r="N70" s="541">
        <f>881-SUM(K70:M70)</f>
        <v>333</v>
      </c>
      <c r="O70" s="549">
        <v>348</v>
      </c>
      <c r="P70" s="549">
        <v>595</v>
      </c>
      <c r="Q70" s="549">
        <v>786</v>
      </c>
      <c r="R70" s="541">
        <f>2540-SUM(O70:Q70)</f>
        <v>811</v>
      </c>
      <c r="S70" s="549">
        <v>0</v>
      </c>
      <c r="T70" s="549">
        <v>0</v>
      </c>
      <c r="U70" s="549">
        <v>0</v>
      </c>
      <c r="V70" s="549">
        <v>0</v>
      </c>
      <c r="W70" s="549">
        <v>0</v>
      </c>
      <c r="X70" s="549">
        <v>0</v>
      </c>
      <c r="Y70" s="549">
        <v>0</v>
      </c>
      <c r="Z70" s="549">
        <v>0</v>
      </c>
      <c r="AA70" s="549">
        <v>0</v>
      </c>
      <c r="AB70" s="549">
        <v>0</v>
      </c>
      <c r="AC70" s="549">
        <v>0</v>
      </c>
      <c r="AD70" s="549">
        <v>0</v>
      </c>
      <c r="AE70" s="549">
        <v>0</v>
      </c>
      <c r="AF70" s="549">
        <v>0</v>
      </c>
      <c r="AG70" s="549">
        <v>0</v>
      </c>
      <c r="AH70" s="549">
        <v>0</v>
      </c>
      <c r="AI70" s="549">
        <v>0</v>
      </c>
      <c r="AJ70" s="549">
        <v>0</v>
      </c>
      <c r="AK70" s="549">
        <v>0</v>
      </c>
      <c r="AL70" s="549">
        <v>0</v>
      </c>
      <c r="AN70" s="541">
        <f t="shared" si="113"/>
        <v>881</v>
      </c>
      <c r="AO70" s="541">
        <f t="shared" si="113"/>
        <v>2540</v>
      </c>
      <c r="AP70" s="541">
        <f t="shared" si="113"/>
        <v>0</v>
      </c>
      <c r="AQ70" s="541">
        <f t="shared" si="113"/>
        <v>0</v>
      </c>
      <c r="AR70" s="541">
        <f t="shared" si="113"/>
        <v>0</v>
      </c>
      <c r="AS70" s="541">
        <f t="shared" si="113"/>
        <v>0</v>
      </c>
      <c r="AT70" s="541">
        <f t="shared" si="113"/>
        <v>0</v>
      </c>
    </row>
    <row r="71" spans="2:46" hidden="1" outlineLevel="1" x14ac:dyDescent="0.25">
      <c r="B71" s="98" t="s">
        <v>227</v>
      </c>
      <c r="I71" s="69" t="s">
        <v>240</v>
      </c>
      <c r="K71" s="549">
        <v>1370</v>
      </c>
      <c r="L71" s="549">
        <v>1730</v>
      </c>
      <c r="M71" s="549">
        <v>16715</v>
      </c>
      <c r="N71" s="541">
        <f>30617-SUM(K71:M71)</f>
        <v>10802</v>
      </c>
      <c r="O71" s="549">
        <v>10600</v>
      </c>
      <c r="P71" s="549">
        <v>11736</v>
      </c>
      <c r="Q71" s="549">
        <v>11661</v>
      </c>
      <c r="R71" s="541">
        <f>44869-SUM(O71:Q71)</f>
        <v>10872</v>
      </c>
      <c r="S71" s="549">
        <v>0</v>
      </c>
      <c r="T71" s="549">
        <v>0</v>
      </c>
      <c r="U71" s="549">
        <v>0</v>
      </c>
      <c r="V71" s="549">
        <v>0</v>
      </c>
      <c r="W71" s="549">
        <v>0</v>
      </c>
      <c r="X71" s="549">
        <v>0</v>
      </c>
      <c r="Y71" s="549">
        <v>0</v>
      </c>
      <c r="Z71" s="549">
        <v>0</v>
      </c>
      <c r="AA71" s="549">
        <v>0</v>
      </c>
      <c r="AB71" s="549">
        <v>0</v>
      </c>
      <c r="AC71" s="549">
        <v>0</v>
      </c>
      <c r="AD71" s="549">
        <v>0</v>
      </c>
      <c r="AE71" s="549">
        <v>0</v>
      </c>
      <c r="AF71" s="549">
        <v>0</v>
      </c>
      <c r="AG71" s="549">
        <v>0</v>
      </c>
      <c r="AH71" s="549">
        <v>0</v>
      </c>
      <c r="AI71" s="549">
        <v>0</v>
      </c>
      <c r="AJ71" s="549">
        <v>0</v>
      </c>
      <c r="AK71" s="549">
        <v>0</v>
      </c>
      <c r="AL71" s="549">
        <v>0</v>
      </c>
      <c r="AN71" s="541">
        <f t="shared" si="113"/>
        <v>30617</v>
      </c>
      <c r="AO71" s="541">
        <f t="shared" si="113"/>
        <v>44869</v>
      </c>
      <c r="AP71" s="541">
        <f t="shared" si="113"/>
        <v>0</v>
      </c>
      <c r="AQ71" s="541">
        <f t="shared" si="113"/>
        <v>0</v>
      </c>
      <c r="AR71" s="541">
        <f t="shared" si="113"/>
        <v>0</v>
      </c>
      <c r="AS71" s="541">
        <f t="shared" si="113"/>
        <v>0</v>
      </c>
      <c r="AT71" s="541">
        <f t="shared" si="113"/>
        <v>0</v>
      </c>
    </row>
    <row r="72" spans="2:46" hidden="1" outlineLevel="1" x14ac:dyDescent="0.25">
      <c r="B72" s="98" t="s">
        <v>267</v>
      </c>
      <c r="I72" s="69" t="s">
        <v>240</v>
      </c>
      <c r="K72" s="549">
        <v>0</v>
      </c>
      <c r="L72" s="549">
        <v>0</v>
      </c>
      <c r="M72" s="549">
        <v>0</v>
      </c>
      <c r="N72" s="549">
        <v>1653</v>
      </c>
      <c r="O72" s="541">
        <f>15100-SUM(O68:O71)</f>
        <v>514</v>
      </c>
      <c r="P72" s="541">
        <f>18494-SUM(P68:P71)</f>
        <v>380</v>
      </c>
      <c r="Q72" s="541">
        <f>21123-SUM(Q68:Q71)</f>
        <v>635</v>
      </c>
      <c r="R72" s="541">
        <f>21105-SUM(R68:R71)</f>
        <v>473</v>
      </c>
      <c r="S72" s="549">
        <v>0</v>
      </c>
      <c r="T72" s="549">
        <v>0</v>
      </c>
      <c r="U72" s="549">
        <v>0</v>
      </c>
      <c r="V72" s="549">
        <v>0</v>
      </c>
      <c r="W72" s="549">
        <v>0</v>
      </c>
      <c r="X72" s="549">
        <v>0</v>
      </c>
      <c r="Y72" s="549">
        <v>0</v>
      </c>
      <c r="Z72" s="549">
        <v>0</v>
      </c>
      <c r="AA72" s="549">
        <v>0</v>
      </c>
      <c r="AB72" s="549">
        <v>0</v>
      </c>
      <c r="AC72" s="549">
        <v>0</v>
      </c>
      <c r="AD72" s="549">
        <v>0</v>
      </c>
      <c r="AE72" s="549">
        <v>0</v>
      </c>
      <c r="AF72" s="549">
        <v>0</v>
      </c>
      <c r="AG72" s="549">
        <v>0</v>
      </c>
      <c r="AH72" s="549">
        <v>0</v>
      </c>
      <c r="AI72" s="549">
        <v>0</v>
      </c>
      <c r="AJ72" s="549">
        <v>0</v>
      </c>
      <c r="AK72" s="549">
        <v>0</v>
      </c>
      <c r="AL72" s="549">
        <v>0</v>
      </c>
      <c r="AN72" s="541">
        <f t="shared" si="113"/>
        <v>1653</v>
      </c>
      <c r="AO72" s="541">
        <f t="shared" si="113"/>
        <v>2002</v>
      </c>
      <c r="AP72" s="541">
        <f t="shared" si="113"/>
        <v>0</v>
      </c>
      <c r="AQ72" s="541">
        <f t="shared" si="113"/>
        <v>0</v>
      </c>
      <c r="AR72" s="541">
        <f t="shared" si="113"/>
        <v>0</v>
      </c>
      <c r="AS72" s="541">
        <f t="shared" si="113"/>
        <v>0</v>
      </c>
      <c r="AT72" s="541">
        <f t="shared" si="113"/>
        <v>0</v>
      </c>
    </row>
    <row r="73" spans="2:46" hidden="1" outlineLevel="1" x14ac:dyDescent="0.25">
      <c r="B73" s="551" t="s">
        <v>268</v>
      </c>
      <c r="I73" s="134" t="s">
        <v>89</v>
      </c>
      <c r="K73" s="561">
        <f>SUM(K68:K72)</f>
        <v>2551</v>
      </c>
      <c r="L73" s="561">
        <f t="shared" ref="L73:R73" si="114">SUM(L68:L72)</f>
        <v>2907</v>
      </c>
      <c r="M73" s="561">
        <f t="shared" si="114"/>
        <v>20662</v>
      </c>
      <c r="N73" s="561">
        <f t="shared" si="114"/>
        <v>16337</v>
      </c>
      <c r="O73" s="561">
        <f t="shared" si="114"/>
        <v>15100</v>
      </c>
      <c r="P73" s="561">
        <f t="shared" si="114"/>
        <v>18494</v>
      </c>
      <c r="Q73" s="561">
        <f t="shared" si="114"/>
        <v>21123</v>
      </c>
      <c r="R73" s="561">
        <f t="shared" si="114"/>
        <v>21105</v>
      </c>
      <c r="S73" s="561">
        <f t="shared" ref="S73" si="115">SUM(S68:S72)</f>
        <v>0</v>
      </c>
      <c r="T73" s="561">
        <f t="shared" ref="T73:V73" si="116">SUM(T68:T72)</f>
        <v>0</v>
      </c>
      <c r="U73" s="561">
        <f t="shared" si="116"/>
        <v>0</v>
      </c>
      <c r="V73" s="561">
        <f t="shared" si="116"/>
        <v>0</v>
      </c>
      <c r="W73" s="561">
        <f t="shared" ref="W73:AG73" si="117">SUM(W68:W72)</f>
        <v>0</v>
      </c>
      <c r="X73" s="561">
        <f t="shared" si="117"/>
        <v>0</v>
      </c>
      <c r="Y73" s="561">
        <f t="shared" si="117"/>
        <v>0</v>
      </c>
      <c r="Z73" s="561">
        <f t="shared" si="117"/>
        <v>0</v>
      </c>
      <c r="AA73" s="561">
        <f t="shared" si="117"/>
        <v>0</v>
      </c>
      <c r="AB73" s="561">
        <f t="shared" si="117"/>
        <v>0</v>
      </c>
      <c r="AC73" s="561">
        <f t="shared" si="117"/>
        <v>0</v>
      </c>
      <c r="AD73" s="561">
        <f t="shared" si="117"/>
        <v>0</v>
      </c>
      <c r="AE73" s="561">
        <f t="shared" si="117"/>
        <v>0</v>
      </c>
      <c r="AF73" s="561">
        <f t="shared" si="117"/>
        <v>0</v>
      </c>
      <c r="AG73" s="561">
        <f t="shared" si="117"/>
        <v>0</v>
      </c>
      <c r="AH73" s="561">
        <f t="shared" ref="AH73:AT73" si="118">SUM(AH68:AH72)</f>
        <v>0</v>
      </c>
      <c r="AI73" s="561">
        <f t="shared" si="118"/>
        <v>0</v>
      </c>
      <c r="AJ73" s="561">
        <f t="shared" si="118"/>
        <v>0</v>
      </c>
      <c r="AK73" s="561">
        <f t="shared" si="118"/>
        <v>0</v>
      </c>
      <c r="AL73" s="561">
        <f t="shared" si="118"/>
        <v>0</v>
      </c>
      <c r="AN73" s="561">
        <f t="shared" si="118"/>
        <v>42457</v>
      </c>
      <c r="AO73" s="561">
        <f t="shared" si="118"/>
        <v>75822</v>
      </c>
      <c r="AP73" s="561">
        <f t="shared" si="118"/>
        <v>0</v>
      </c>
      <c r="AQ73" s="561">
        <f t="shared" si="118"/>
        <v>0</v>
      </c>
      <c r="AR73" s="561">
        <f t="shared" si="118"/>
        <v>0</v>
      </c>
      <c r="AS73" s="561">
        <f t="shared" si="118"/>
        <v>0</v>
      </c>
      <c r="AT73" s="561">
        <f t="shared" si="118"/>
        <v>0</v>
      </c>
    </row>
    <row r="74" spans="2:46" hidden="1" outlineLevel="1" x14ac:dyDescent="0.25"/>
    <row r="75" spans="2:46" hidden="1" outlineLevel="1" x14ac:dyDescent="0.25">
      <c r="B75" s="551" t="s">
        <v>269</v>
      </c>
    </row>
    <row r="76" spans="2:46" hidden="1" outlineLevel="1" x14ac:dyDescent="0.25">
      <c r="B76" s="1209" t="s">
        <v>270</v>
      </c>
      <c r="C76" s="1210"/>
      <c r="D76" s="1210"/>
      <c r="E76" s="1210"/>
      <c r="F76" s="1210"/>
      <c r="G76" s="1210"/>
      <c r="I76" s="69" t="s">
        <v>271</v>
      </c>
      <c r="K76" s="549">
        <v>480</v>
      </c>
      <c r="L76" s="549">
        <v>1213</v>
      </c>
      <c r="M76" s="549">
        <v>1560</v>
      </c>
      <c r="N76" s="549">
        <v>656</v>
      </c>
      <c r="O76" s="549">
        <v>231</v>
      </c>
      <c r="P76" s="549">
        <v>107</v>
      </c>
      <c r="Q76" s="549">
        <v>0</v>
      </c>
      <c r="R76" s="549">
        <v>0</v>
      </c>
      <c r="S76" s="549">
        <v>0</v>
      </c>
      <c r="T76" s="549">
        <v>0</v>
      </c>
      <c r="U76" s="549">
        <v>0</v>
      </c>
      <c r="V76" s="549">
        <v>0</v>
      </c>
      <c r="W76" s="549">
        <v>0</v>
      </c>
      <c r="X76" s="549">
        <v>0</v>
      </c>
      <c r="Y76" s="549">
        <v>0</v>
      </c>
      <c r="Z76" s="549">
        <v>0</v>
      </c>
      <c r="AA76" s="549">
        <v>0</v>
      </c>
      <c r="AB76" s="549">
        <v>0</v>
      </c>
      <c r="AC76" s="549">
        <v>0</v>
      </c>
      <c r="AD76" s="549">
        <v>0</v>
      </c>
      <c r="AE76" s="549">
        <v>0</v>
      </c>
      <c r="AF76" s="549">
        <v>0</v>
      </c>
      <c r="AG76" s="549">
        <v>0</v>
      </c>
      <c r="AH76" s="549">
        <v>0</v>
      </c>
      <c r="AI76" s="549">
        <v>0</v>
      </c>
      <c r="AJ76" s="549">
        <v>0</v>
      </c>
      <c r="AK76" s="549">
        <v>0</v>
      </c>
      <c r="AL76" s="549">
        <v>0</v>
      </c>
      <c r="AN76" s="541">
        <f t="shared" ref="AN76:AT81" si="119">SUMIF($K$4:$AL$4,AN$4,$K76:$AL76)</f>
        <v>3909</v>
      </c>
      <c r="AO76" s="541">
        <f t="shared" si="119"/>
        <v>338</v>
      </c>
      <c r="AP76" s="541">
        <f t="shared" si="119"/>
        <v>0</v>
      </c>
      <c r="AQ76" s="541">
        <f t="shared" si="119"/>
        <v>0</v>
      </c>
      <c r="AR76" s="541">
        <f t="shared" si="119"/>
        <v>0</v>
      </c>
      <c r="AS76" s="541">
        <f t="shared" si="119"/>
        <v>0</v>
      </c>
      <c r="AT76" s="541">
        <f t="shared" si="119"/>
        <v>0</v>
      </c>
    </row>
    <row r="77" spans="2:46" hidden="1" outlineLevel="1" x14ac:dyDescent="0.25">
      <c r="B77" s="1209" t="s">
        <v>272</v>
      </c>
      <c r="C77" s="1210"/>
      <c r="D77" s="1210"/>
      <c r="E77" s="1210"/>
      <c r="F77" s="1210"/>
      <c r="G77" s="1210"/>
      <c r="I77" s="69" t="s">
        <v>271</v>
      </c>
      <c r="K77" s="549">
        <v>5098</v>
      </c>
      <c r="L77" s="549">
        <v>-878</v>
      </c>
      <c r="M77" s="549">
        <v>0</v>
      </c>
      <c r="N77" s="549">
        <v>0</v>
      </c>
      <c r="O77" s="549">
        <v>0</v>
      </c>
      <c r="P77" s="549">
        <v>0</v>
      </c>
      <c r="Q77" s="549">
        <v>0</v>
      </c>
      <c r="R77" s="549">
        <v>0</v>
      </c>
      <c r="S77" s="549">
        <v>0</v>
      </c>
      <c r="T77" s="549">
        <v>0</v>
      </c>
      <c r="U77" s="549">
        <v>0</v>
      </c>
      <c r="V77" s="549">
        <v>0</v>
      </c>
      <c r="W77" s="549">
        <v>0</v>
      </c>
      <c r="X77" s="549">
        <v>0</v>
      </c>
      <c r="Y77" s="549">
        <v>0</v>
      </c>
      <c r="Z77" s="549">
        <v>0</v>
      </c>
      <c r="AA77" s="549">
        <v>0</v>
      </c>
      <c r="AB77" s="549">
        <v>0</v>
      </c>
      <c r="AC77" s="549">
        <v>0</v>
      </c>
      <c r="AD77" s="549">
        <v>0</v>
      </c>
      <c r="AE77" s="549">
        <v>0</v>
      </c>
      <c r="AF77" s="549">
        <v>0</v>
      </c>
      <c r="AG77" s="549">
        <v>0</v>
      </c>
      <c r="AH77" s="549">
        <v>0</v>
      </c>
      <c r="AI77" s="549">
        <v>0</v>
      </c>
      <c r="AJ77" s="549">
        <v>0</v>
      </c>
      <c r="AK77" s="549">
        <v>0</v>
      </c>
      <c r="AL77" s="549">
        <v>0</v>
      </c>
      <c r="AN77" s="541">
        <f t="shared" si="119"/>
        <v>4220</v>
      </c>
      <c r="AO77" s="541">
        <f t="shared" si="119"/>
        <v>0</v>
      </c>
      <c r="AP77" s="541">
        <f t="shared" si="119"/>
        <v>0</v>
      </c>
      <c r="AQ77" s="541">
        <f t="shared" si="119"/>
        <v>0</v>
      </c>
      <c r="AR77" s="541">
        <f t="shared" si="119"/>
        <v>0</v>
      </c>
      <c r="AS77" s="541">
        <f t="shared" si="119"/>
        <v>0</v>
      </c>
      <c r="AT77" s="541">
        <f t="shared" si="119"/>
        <v>0</v>
      </c>
    </row>
    <row r="78" spans="2:46" hidden="1" outlineLevel="1" x14ac:dyDescent="0.25">
      <c r="B78" s="1209" t="s">
        <v>273</v>
      </c>
      <c r="C78" s="1210"/>
      <c r="D78" s="1210"/>
      <c r="E78" s="1210"/>
      <c r="F78" s="1210"/>
      <c r="G78" s="1210"/>
      <c r="I78" s="69" t="s">
        <v>271</v>
      </c>
      <c r="K78" s="549">
        <v>5599</v>
      </c>
      <c r="L78" s="549">
        <v>0</v>
      </c>
      <c r="M78" s="549">
        <v>0</v>
      </c>
      <c r="N78" s="549">
        <v>0</v>
      </c>
      <c r="O78" s="549">
        <v>0</v>
      </c>
      <c r="P78" s="549">
        <v>0</v>
      </c>
      <c r="Q78" s="549">
        <v>0</v>
      </c>
      <c r="R78" s="549">
        <v>0</v>
      </c>
      <c r="S78" s="549">
        <v>0</v>
      </c>
      <c r="T78" s="549">
        <v>0</v>
      </c>
      <c r="U78" s="549">
        <v>0</v>
      </c>
      <c r="V78" s="549">
        <v>0</v>
      </c>
      <c r="W78" s="549">
        <v>0</v>
      </c>
      <c r="X78" s="549">
        <v>0</v>
      </c>
      <c r="Y78" s="549">
        <v>0</v>
      </c>
      <c r="Z78" s="549">
        <v>0</v>
      </c>
      <c r="AA78" s="549">
        <v>0</v>
      </c>
      <c r="AB78" s="549">
        <v>0</v>
      </c>
      <c r="AC78" s="549">
        <v>0</v>
      </c>
      <c r="AD78" s="549">
        <v>0</v>
      </c>
      <c r="AE78" s="549">
        <v>0</v>
      </c>
      <c r="AF78" s="549">
        <v>0</v>
      </c>
      <c r="AG78" s="549">
        <v>0</v>
      </c>
      <c r="AH78" s="549">
        <v>0</v>
      </c>
      <c r="AI78" s="549">
        <v>0</v>
      </c>
      <c r="AJ78" s="549">
        <v>0</v>
      </c>
      <c r="AK78" s="549">
        <v>0</v>
      </c>
      <c r="AL78" s="549">
        <v>0</v>
      </c>
      <c r="AN78" s="541">
        <f t="shared" si="119"/>
        <v>5599</v>
      </c>
      <c r="AO78" s="541">
        <f t="shared" si="119"/>
        <v>0</v>
      </c>
      <c r="AP78" s="541">
        <f t="shared" si="119"/>
        <v>0</v>
      </c>
      <c r="AQ78" s="541">
        <f t="shared" si="119"/>
        <v>0</v>
      </c>
      <c r="AR78" s="541">
        <f t="shared" si="119"/>
        <v>0</v>
      </c>
      <c r="AS78" s="541">
        <f t="shared" si="119"/>
        <v>0</v>
      </c>
      <c r="AT78" s="541">
        <f t="shared" si="119"/>
        <v>0</v>
      </c>
    </row>
    <row r="79" spans="2:46" hidden="1" outlineLevel="1" x14ac:dyDescent="0.25">
      <c r="B79" s="1209" t="s">
        <v>274</v>
      </c>
      <c r="C79" s="1210"/>
      <c r="D79" s="1210"/>
      <c r="E79" s="1210"/>
      <c r="F79" s="1210"/>
      <c r="G79" s="1210"/>
      <c r="I79" s="69" t="s">
        <v>271</v>
      </c>
      <c r="K79" s="549">
        <v>0</v>
      </c>
      <c r="L79" s="549">
        <v>0</v>
      </c>
      <c r="M79" s="549">
        <v>0</v>
      </c>
      <c r="N79" s="549">
        <v>0</v>
      </c>
      <c r="O79" s="549">
        <v>0</v>
      </c>
      <c r="P79" s="549">
        <v>0</v>
      </c>
      <c r="Q79" s="549">
        <v>0</v>
      </c>
      <c r="R79" s="549">
        <v>0</v>
      </c>
      <c r="S79" s="549">
        <v>0</v>
      </c>
      <c r="T79" s="549">
        <v>0</v>
      </c>
      <c r="U79" s="549">
        <v>0</v>
      </c>
      <c r="V79" s="549">
        <v>0</v>
      </c>
      <c r="W79" s="549">
        <v>0</v>
      </c>
      <c r="X79" s="549">
        <v>0</v>
      </c>
      <c r="Y79" s="549">
        <v>0</v>
      </c>
      <c r="Z79" s="549">
        <v>0</v>
      </c>
      <c r="AA79" s="549">
        <v>0</v>
      </c>
      <c r="AB79" s="549">
        <v>0</v>
      </c>
      <c r="AC79" s="549">
        <v>0</v>
      </c>
      <c r="AD79" s="549">
        <v>0</v>
      </c>
      <c r="AE79" s="549">
        <v>0</v>
      </c>
      <c r="AF79" s="549">
        <v>0</v>
      </c>
      <c r="AG79" s="549">
        <v>0</v>
      </c>
      <c r="AH79" s="549">
        <v>0</v>
      </c>
      <c r="AI79" s="549">
        <v>0</v>
      </c>
      <c r="AJ79" s="549">
        <v>0</v>
      </c>
      <c r="AK79" s="549">
        <v>0</v>
      </c>
      <c r="AL79" s="549">
        <v>0</v>
      </c>
      <c r="AN79" s="541">
        <f t="shared" si="119"/>
        <v>0</v>
      </c>
      <c r="AO79" s="541">
        <f t="shared" si="119"/>
        <v>0</v>
      </c>
      <c r="AP79" s="541">
        <f t="shared" si="119"/>
        <v>0</v>
      </c>
      <c r="AQ79" s="541">
        <f t="shared" si="119"/>
        <v>0</v>
      </c>
      <c r="AR79" s="541">
        <f t="shared" si="119"/>
        <v>0</v>
      </c>
      <c r="AS79" s="541">
        <f t="shared" si="119"/>
        <v>0</v>
      </c>
      <c r="AT79" s="541">
        <f t="shared" si="119"/>
        <v>0</v>
      </c>
    </row>
    <row r="80" spans="2:46" hidden="1" outlineLevel="1" x14ac:dyDescent="0.25">
      <c r="B80" s="1209" t="s">
        <v>275</v>
      </c>
      <c r="C80" s="1210"/>
      <c r="D80" s="1210"/>
      <c r="E80" s="1210"/>
      <c r="F80" s="1210"/>
      <c r="G80" s="1210"/>
      <c r="I80" s="69" t="s">
        <v>271</v>
      </c>
      <c r="K80" s="549">
        <v>0</v>
      </c>
      <c r="L80" s="549">
        <v>0</v>
      </c>
      <c r="M80" s="549">
        <v>0</v>
      </c>
      <c r="N80" s="549">
        <v>0</v>
      </c>
      <c r="O80" s="549">
        <v>0</v>
      </c>
      <c r="P80" s="549">
        <v>0</v>
      </c>
      <c r="Q80" s="549">
        <v>177</v>
      </c>
      <c r="R80" s="541">
        <f>8+113</f>
        <v>121</v>
      </c>
      <c r="S80" s="549">
        <v>0</v>
      </c>
      <c r="T80" s="549">
        <v>0</v>
      </c>
      <c r="U80" s="549">
        <v>0</v>
      </c>
      <c r="V80" s="549">
        <v>0</v>
      </c>
      <c r="W80" s="549">
        <v>0</v>
      </c>
      <c r="X80" s="549">
        <v>0</v>
      </c>
      <c r="Y80" s="549">
        <v>0</v>
      </c>
      <c r="Z80" s="549">
        <v>0</v>
      </c>
      <c r="AA80" s="549">
        <v>0</v>
      </c>
      <c r="AB80" s="549">
        <v>0</v>
      </c>
      <c r="AC80" s="549">
        <v>0</v>
      </c>
      <c r="AD80" s="549">
        <v>0</v>
      </c>
      <c r="AE80" s="549">
        <v>0</v>
      </c>
      <c r="AF80" s="549">
        <v>0</v>
      </c>
      <c r="AG80" s="549">
        <v>0</v>
      </c>
      <c r="AH80" s="549">
        <v>0</v>
      </c>
      <c r="AI80" s="549">
        <v>0</v>
      </c>
      <c r="AJ80" s="549">
        <v>0</v>
      </c>
      <c r="AK80" s="549">
        <v>0</v>
      </c>
      <c r="AL80" s="549">
        <v>0</v>
      </c>
      <c r="AN80" s="541">
        <f t="shared" si="119"/>
        <v>0</v>
      </c>
      <c r="AO80" s="541">
        <f t="shared" si="119"/>
        <v>298</v>
      </c>
      <c r="AP80" s="541">
        <f t="shared" si="119"/>
        <v>0</v>
      </c>
      <c r="AQ80" s="541">
        <f t="shared" si="119"/>
        <v>0</v>
      </c>
      <c r="AR80" s="541">
        <f t="shared" si="119"/>
        <v>0</v>
      </c>
      <c r="AS80" s="541">
        <f t="shared" si="119"/>
        <v>0</v>
      </c>
      <c r="AT80" s="541">
        <f t="shared" si="119"/>
        <v>0</v>
      </c>
    </row>
    <row r="81" spans="1:46" collapsed="1" x14ac:dyDescent="0.25">
      <c r="B81" s="1209" t="s">
        <v>276</v>
      </c>
      <c r="C81" s="1210"/>
      <c r="D81" s="1210"/>
      <c r="E81" s="1210"/>
      <c r="F81" s="1210"/>
      <c r="G81" s="1210"/>
      <c r="I81" s="69" t="s">
        <v>271</v>
      </c>
      <c r="K81" s="541"/>
      <c r="L81" s="541"/>
      <c r="M81" s="541"/>
      <c r="N81" s="541"/>
      <c r="O81" s="541"/>
      <c r="P81" s="541"/>
      <c r="Q81" s="541"/>
      <c r="R81" s="541"/>
      <c r="S81" s="549">
        <f ca="1">+S32</f>
        <v>-587.27650467532476</v>
      </c>
      <c r="T81" s="549">
        <f t="shared" ref="T81:AL81" ca="1" si="120">+T32</f>
        <v>-611.9430705882354</v>
      </c>
      <c r="U81" s="549">
        <f t="shared" ca="1" si="120"/>
        <v>-627.72086909871257</v>
      </c>
      <c r="V81" s="549">
        <f t="shared" ca="1" si="120"/>
        <v>-695.10951246518823</v>
      </c>
      <c r="W81" s="549">
        <f t="shared" ca="1" si="120"/>
        <v>-707.24688311688328</v>
      </c>
      <c r="X81" s="549">
        <f t="shared" ca="1" si="120"/>
        <v>-740.88264705882364</v>
      </c>
      <c r="Y81" s="549">
        <f t="shared" ca="1" si="120"/>
        <v>-788.0009924892704</v>
      </c>
      <c r="Z81" s="549">
        <f t="shared" ca="1" si="120"/>
        <v>-838.72142218751628</v>
      </c>
      <c r="AA81" s="549">
        <f t="shared" ca="1" si="120"/>
        <v>-815.6055636664147</v>
      </c>
      <c r="AB81" s="549">
        <f t="shared" ca="1" si="120"/>
        <v>-857.96350717177279</v>
      </c>
      <c r="AC81" s="549">
        <f t="shared" ca="1" si="120"/>
        <v>-938.90512344010995</v>
      </c>
      <c r="AD81" s="549">
        <f t="shared" ca="1" si="120"/>
        <v>-968.68337387143379</v>
      </c>
      <c r="AE81" s="549">
        <f t="shared" ca="1" si="120"/>
        <v>-890.58187943744679</v>
      </c>
      <c r="AF81" s="549">
        <f t="shared" ca="1" si="120"/>
        <v>-939.31331804719321</v>
      </c>
      <c r="AG81" s="549">
        <f t="shared" ca="1" si="120"/>
        <v>-1046.786709667896</v>
      </c>
      <c r="AH81" s="549">
        <f t="shared" ca="1" si="120"/>
        <v>-1058.7432997312605</v>
      </c>
      <c r="AI81" s="549">
        <f t="shared" ca="1" si="120"/>
        <v>-931.51621779120728</v>
      </c>
      <c r="AJ81" s="549">
        <f t="shared" ca="1" si="120"/>
        <v>-983.84490950601514</v>
      </c>
      <c r="AK81" s="549">
        <f t="shared" ca="1" si="120"/>
        <v>-1106.9253796260332</v>
      </c>
      <c r="AL81" s="549">
        <f t="shared" ca="1" si="120"/>
        <v>-1107.9597649098198</v>
      </c>
      <c r="AN81" s="541">
        <f t="shared" si="119"/>
        <v>0</v>
      </c>
      <c r="AO81" s="541">
        <f t="shared" si="119"/>
        <v>0</v>
      </c>
      <c r="AP81" s="541">
        <f t="shared" ca="1" si="119"/>
        <v>-2522.0499568274613</v>
      </c>
      <c r="AQ81" s="541">
        <f t="shared" ca="1" si="119"/>
        <v>-3074.8519448524939</v>
      </c>
      <c r="AR81" s="541">
        <f t="shared" ca="1" si="119"/>
        <v>-3581.1575681497316</v>
      </c>
      <c r="AS81" s="541">
        <f t="shared" ca="1" si="119"/>
        <v>-3935.4252068837968</v>
      </c>
      <c r="AT81" s="541">
        <f t="shared" ca="1" si="119"/>
        <v>-4130.2462718330753</v>
      </c>
    </row>
    <row r="82" spans="1:46" x14ac:dyDescent="0.25">
      <c r="B82" s="551" t="s">
        <v>277</v>
      </c>
      <c r="I82" s="69" t="s">
        <v>89</v>
      </c>
      <c r="K82" s="561">
        <f t="shared" ref="K82:T82" si="121">SUM(K76:K81)</f>
        <v>11177</v>
      </c>
      <c r="L82" s="561">
        <f t="shared" si="121"/>
        <v>335</v>
      </c>
      <c r="M82" s="561">
        <f t="shared" si="121"/>
        <v>1560</v>
      </c>
      <c r="N82" s="561">
        <f t="shared" si="121"/>
        <v>656</v>
      </c>
      <c r="O82" s="561">
        <f t="shared" si="121"/>
        <v>231</v>
      </c>
      <c r="P82" s="561">
        <f t="shared" si="121"/>
        <v>107</v>
      </c>
      <c r="Q82" s="561">
        <f t="shared" si="121"/>
        <v>177</v>
      </c>
      <c r="R82" s="561">
        <f t="shared" si="121"/>
        <v>121</v>
      </c>
      <c r="S82" s="561">
        <f t="shared" ca="1" si="121"/>
        <v>-587.27650467532476</v>
      </c>
      <c r="T82" s="561">
        <f t="shared" ca="1" si="121"/>
        <v>-611.9430705882354</v>
      </c>
      <c r="U82" s="561">
        <f t="shared" ref="U82:V82" ca="1" si="122">SUM(U76:U81)</f>
        <v>-627.72086909871257</v>
      </c>
      <c r="V82" s="561">
        <f t="shared" ca="1" si="122"/>
        <v>-695.10951246518823</v>
      </c>
      <c r="W82" s="561">
        <f t="shared" ref="W82:AG82" ca="1" si="123">SUM(W76:W81)</f>
        <v>-707.24688311688328</v>
      </c>
      <c r="X82" s="561">
        <f t="shared" ca="1" si="123"/>
        <v>-740.88264705882364</v>
      </c>
      <c r="Y82" s="561">
        <f t="shared" ca="1" si="123"/>
        <v>-788.0009924892704</v>
      </c>
      <c r="Z82" s="561">
        <f t="shared" ca="1" si="123"/>
        <v>-838.72142218751628</v>
      </c>
      <c r="AA82" s="561">
        <f t="shared" ca="1" si="123"/>
        <v>-815.6055636664147</v>
      </c>
      <c r="AB82" s="561">
        <f t="shared" ca="1" si="123"/>
        <v>-857.96350717177279</v>
      </c>
      <c r="AC82" s="561">
        <f t="shared" ca="1" si="123"/>
        <v>-938.90512344010995</v>
      </c>
      <c r="AD82" s="561">
        <f t="shared" ca="1" si="123"/>
        <v>-968.68337387143379</v>
      </c>
      <c r="AE82" s="561">
        <f t="shared" ca="1" si="123"/>
        <v>-890.58187943744679</v>
      </c>
      <c r="AF82" s="561">
        <f t="shared" ca="1" si="123"/>
        <v>-939.31331804719321</v>
      </c>
      <c r="AG82" s="561">
        <f t="shared" ca="1" si="123"/>
        <v>-1046.786709667896</v>
      </c>
      <c r="AH82" s="561">
        <f t="shared" ref="AH82:AT82" ca="1" si="124">SUM(AH76:AH81)</f>
        <v>-1058.7432997312605</v>
      </c>
      <c r="AI82" s="561">
        <f t="shared" ca="1" si="124"/>
        <v>-931.51621779120728</v>
      </c>
      <c r="AJ82" s="561">
        <f t="shared" ca="1" si="124"/>
        <v>-983.84490950601514</v>
      </c>
      <c r="AK82" s="561">
        <f t="shared" ca="1" si="124"/>
        <v>-1106.9253796260332</v>
      </c>
      <c r="AL82" s="561">
        <f t="shared" ca="1" si="124"/>
        <v>-1107.9597649098198</v>
      </c>
      <c r="AN82" s="561">
        <f t="shared" si="124"/>
        <v>13728</v>
      </c>
      <c r="AO82" s="561">
        <f t="shared" si="124"/>
        <v>636</v>
      </c>
      <c r="AP82" s="561">
        <f t="shared" ca="1" si="124"/>
        <v>-2522.0499568274613</v>
      </c>
      <c r="AQ82" s="561">
        <f t="shared" ca="1" si="124"/>
        <v>-3074.8519448524939</v>
      </c>
      <c r="AR82" s="561">
        <f t="shared" ca="1" si="124"/>
        <v>-3581.1575681497316</v>
      </c>
      <c r="AS82" s="561">
        <f t="shared" ca="1" si="124"/>
        <v>-3935.4252068837968</v>
      </c>
      <c r="AT82" s="561">
        <f t="shared" ca="1" si="124"/>
        <v>-4130.2462718330753</v>
      </c>
    </row>
    <row r="84" spans="1:46" ht="16.5" thickBot="1" x14ac:dyDescent="0.3">
      <c r="B84" s="551" t="s">
        <v>12</v>
      </c>
      <c r="I84" s="69" t="s">
        <v>89</v>
      </c>
      <c r="K84" s="553">
        <f t="shared" ref="K84:AL84" si="125">+K65+K73+K82</f>
        <v>914</v>
      </c>
      <c r="L84" s="553">
        <f t="shared" si="125"/>
        <v>3400</v>
      </c>
      <c r="M84" s="553">
        <f t="shared" si="125"/>
        <v>-5745</v>
      </c>
      <c r="N84" s="553">
        <f t="shared" si="125"/>
        <v>335</v>
      </c>
      <c r="O84" s="553">
        <f t="shared" si="125"/>
        <v>4258</v>
      </c>
      <c r="P84" s="553">
        <f t="shared" si="125"/>
        <v>4737</v>
      </c>
      <c r="Q84" s="553">
        <f t="shared" si="125"/>
        <v>2620</v>
      </c>
      <c r="R84" s="553">
        <f t="shared" si="125"/>
        <v>4518</v>
      </c>
      <c r="S84" s="553">
        <f t="shared" ca="1" si="125"/>
        <v>9388.2286474285665</v>
      </c>
      <c r="T84" s="553">
        <f t="shared" ca="1" si="125"/>
        <v>10436.040237647072</v>
      </c>
      <c r="U84" s="553">
        <f t="shared" ca="1" si="125"/>
        <v>9789.2488948497958</v>
      </c>
      <c r="V84" s="553">
        <f t="shared" ca="1" si="125"/>
        <v>11707.652885544376</v>
      </c>
      <c r="W84" s="553">
        <f t="shared" ca="1" si="125"/>
        <v>15658.396779220806</v>
      </c>
      <c r="X84" s="553">
        <f t="shared" ca="1" si="125"/>
        <v>17553.45741176471</v>
      </c>
      <c r="Y84" s="553">
        <f t="shared" ca="1" si="125"/>
        <v>14934.646201716743</v>
      </c>
      <c r="Z84" s="553">
        <f t="shared" ca="1" si="125"/>
        <v>18217.802494969499</v>
      </c>
      <c r="AA84" s="553">
        <f t="shared" ca="1" si="125"/>
        <v>18057.45042656927</v>
      </c>
      <c r="AB84" s="553">
        <f t="shared" ca="1" si="125"/>
        <v>20327.410749562699</v>
      </c>
      <c r="AC84" s="553">
        <f t="shared" ca="1" si="125"/>
        <v>17794.667734188377</v>
      </c>
      <c r="AD84" s="553">
        <f t="shared" ca="1" si="125"/>
        <v>21040.695895573546</v>
      </c>
      <c r="AE84" s="553">
        <f t="shared" ca="1" si="125"/>
        <v>19717.420840596438</v>
      </c>
      <c r="AF84" s="553">
        <f t="shared" ca="1" si="125"/>
        <v>22254.801607380236</v>
      </c>
      <c r="AG84" s="553">
        <f t="shared" ca="1" si="125"/>
        <v>19839.301354385163</v>
      </c>
      <c r="AH84" s="553">
        <f t="shared" ca="1" si="125"/>
        <v>22996.880510182211</v>
      </c>
      <c r="AI84" s="553">
        <f t="shared" ca="1" si="125"/>
        <v>20623.704243378354</v>
      </c>
      <c r="AJ84" s="553">
        <f t="shared" ca="1" si="125"/>
        <v>23309.872065911932</v>
      </c>
      <c r="AK84" s="553">
        <f t="shared" ca="1" si="125"/>
        <v>20979.083876776869</v>
      </c>
      <c r="AL84" s="553">
        <f t="shared" ca="1" si="125"/>
        <v>24065.90750580257</v>
      </c>
      <c r="AN84" s="553">
        <f t="shared" ref="AN84:AT84" si="126">+AN65+AN73+AN82</f>
        <v>-1096</v>
      </c>
      <c r="AO84" s="553">
        <f t="shared" si="126"/>
        <v>16133</v>
      </c>
      <c r="AP84" s="553">
        <f t="shared" ca="1" si="126"/>
        <v>36956.968834815438</v>
      </c>
      <c r="AQ84" s="553">
        <f t="shared" ca="1" si="126"/>
        <v>59842.703681809864</v>
      </c>
      <c r="AR84" s="553">
        <f t="shared" ca="1" si="126"/>
        <v>68889.191722498945</v>
      </c>
      <c r="AS84" s="553">
        <f t="shared" ca="1" si="126"/>
        <v>74526.934155125506</v>
      </c>
      <c r="AT84" s="553">
        <f t="shared" ca="1" si="126"/>
        <v>76701.502737535469</v>
      </c>
    </row>
    <row r="85" spans="1:46" ht="16.5" thickTop="1" x14ac:dyDescent="0.25">
      <c r="B85" s="47" t="s">
        <v>278</v>
      </c>
      <c r="C85" s="73"/>
      <c r="D85" s="73"/>
      <c r="E85" s="73"/>
      <c r="F85" s="73"/>
      <c r="G85" s="73"/>
      <c r="K85" s="562">
        <f t="shared" ref="K85:AL85" si="127">+K84/K7</f>
        <v>1.6510115606936417E-2</v>
      </c>
      <c r="L85" s="562">
        <f t="shared" si="127"/>
        <v>5.7820179242555649E-2</v>
      </c>
      <c r="M85" s="562">
        <f t="shared" si="127"/>
        <v>-9.0337290667505302E-2</v>
      </c>
      <c r="N85" s="562">
        <f t="shared" si="127"/>
        <v>4.5881611745692604E-3</v>
      </c>
      <c r="O85" s="562">
        <f t="shared" si="127"/>
        <v>5.2425510957892142E-2</v>
      </c>
      <c r="P85" s="562">
        <f t="shared" si="127"/>
        <v>5.3594460661190689E-2</v>
      </c>
      <c r="Q85" s="562">
        <f t="shared" si="127"/>
        <v>2.7273200437203975E-2</v>
      </c>
      <c r="R85" s="562">
        <f t="shared" si="127"/>
        <v>4.3515950069348129E-2</v>
      </c>
      <c r="S85" s="562">
        <f t="shared" ca="1" si="127"/>
        <v>7.9930225138317421E-2</v>
      </c>
      <c r="T85" s="562">
        <f t="shared" ca="1" si="127"/>
        <v>8.5269698598068461E-2</v>
      </c>
      <c r="U85" s="562">
        <f t="shared" ca="1" si="127"/>
        <v>7.797453754329764E-2</v>
      </c>
      <c r="V85" s="562">
        <f t="shared" ca="1" si="127"/>
        <v>8.4214448770982026E-2</v>
      </c>
      <c r="W85" s="562">
        <f t="shared" ca="1" si="127"/>
        <v>0.11069965208056647</v>
      </c>
      <c r="X85" s="562">
        <f t="shared" ca="1" si="127"/>
        <v>0.11846314312697773</v>
      </c>
      <c r="Y85" s="562">
        <f t="shared" ca="1" si="127"/>
        <v>9.4762864159210411E-2</v>
      </c>
      <c r="Z85" s="562">
        <f t="shared" ca="1" si="127"/>
        <v>0.1086046094271363</v>
      </c>
      <c r="AA85" s="562">
        <f t="shared" ca="1" si="127"/>
        <v>0.1106996520805664</v>
      </c>
      <c r="AB85" s="562">
        <f t="shared" ca="1" si="127"/>
        <v>0.11846314312697773</v>
      </c>
      <c r="AC85" s="562">
        <f t="shared" ca="1" si="127"/>
        <v>9.476286415921048E-2</v>
      </c>
      <c r="AD85" s="562">
        <f t="shared" ca="1" si="127"/>
        <v>0.10860460942713633</v>
      </c>
      <c r="AE85" s="562">
        <f t="shared" ca="1" si="127"/>
        <v>0.11069965208056629</v>
      </c>
      <c r="AF85" s="562">
        <f t="shared" ca="1" si="127"/>
        <v>0.11846314312697792</v>
      </c>
      <c r="AG85" s="562">
        <f t="shared" ca="1" si="127"/>
        <v>9.4762864159210564E-2</v>
      </c>
      <c r="AH85" s="562">
        <f t="shared" ca="1" si="127"/>
        <v>0.1086046094271363</v>
      </c>
      <c r="AI85" s="562">
        <f t="shared" ca="1" si="127"/>
        <v>0.1106996520805664</v>
      </c>
      <c r="AJ85" s="562">
        <f t="shared" ca="1" si="127"/>
        <v>0.11846314312697787</v>
      </c>
      <c r="AK85" s="562">
        <f t="shared" ca="1" si="127"/>
        <v>9.476286415921055E-2</v>
      </c>
      <c r="AL85" s="562">
        <f t="shared" ca="1" si="127"/>
        <v>0.1086046094271364</v>
      </c>
      <c r="AN85" s="562">
        <f t="shared" ref="AN85:AT85" si="128">+AN84/AN7</f>
        <v>-4.370503884006189E-3</v>
      </c>
      <c r="AO85" s="562">
        <f t="shared" si="128"/>
        <v>4.3662295836208877E-2</v>
      </c>
      <c r="AP85" s="562">
        <f t="shared" ca="1" si="128"/>
        <v>7.3267717665086177E-2</v>
      </c>
      <c r="AQ85" s="562">
        <f t="shared" ca="1" si="128"/>
        <v>9.7309894517019796E-2</v>
      </c>
      <c r="AR85" s="562">
        <f t="shared" ca="1" si="128"/>
        <v>9.6182854861217096E-2</v>
      </c>
      <c r="AS85" s="562">
        <f t="shared" ca="1" si="128"/>
        <v>9.4687270418408576E-2</v>
      </c>
      <c r="AT85" s="562">
        <f t="shared" ca="1" si="128"/>
        <v>9.2853425303733764E-2</v>
      </c>
    </row>
    <row r="86" spans="1:46" x14ac:dyDescent="0.25">
      <c r="B86" s="98" t="s">
        <v>279</v>
      </c>
      <c r="N86" s="541">
        <f>+SUM(K84:N84)</f>
        <v>-1096</v>
      </c>
      <c r="O86" s="541">
        <f t="shared" ref="O86:S86" si="129">+SUM(L84:O84)</f>
        <v>2248</v>
      </c>
      <c r="P86" s="541">
        <f t="shared" si="129"/>
        <v>3585</v>
      </c>
      <c r="Q86" s="541">
        <f t="shared" si="129"/>
        <v>11950</v>
      </c>
      <c r="R86" s="541">
        <f t="shared" si="129"/>
        <v>16133</v>
      </c>
      <c r="S86" s="541">
        <f t="shared" ca="1" si="129"/>
        <v>21263.228647428565</v>
      </c>
      <c r="T86" s="541">
        <f ca="1">+SUM(Q84:T84)</f>
        <v>26962.268885075639</v>
      </c>
      <c r="U86" s="541">
        <f ca="1">+SUM(R84:U84)</f>
        <v>34131.517779925431</v>
      </c>
      <c r="V86" s="541">
        <f ca="1">+SUM(S84:V84)</f>
        <v>41321.170665469806</v>
      </c>
      <c r="W86" s="541">
        <f ca="1">+SUM(T84:W84)</f>
        <v>47591.338797262048</v>
      </c>
      <c r="X86" s="541">
        <f t="shared" ref="X86" ca="1" si="130">+SUM(U84:X84)</f>
        <v>54708.755971379695</v>
      </c>
      <c r="Y86" s="541">
        <f t="shared" ref="Y86" ca="1" si="131">+SUM(V84:Y84)</f>
        <v>59854.153278246631</v>
      </c>
      <c r="Z86" s="541">
        <f t="shared" ref="Z86" ca="1" si="132">+SUM(W84:Z84)</f>
        <v>66364.302887671758</v>
      </c>
      <c r="AA86" s="541">
        <f t="shared" ref="AA86" ca="1" si="133">+SUM(X84:AA84)</f>
        <v>68763.356535020226</v>
      </c>
      <c r="AB86" s="541">
        <f t="shared" ref="AB86" ca="1" si="134">+SUM(Y84:AB84)</f>
        <v>71537.309872818209</v>
      </c>
      <c r="AC86" s="541">
        <f t="shared" ref="AC86" ca="1" si="135">+SUM(Z84:AC84)</f>
        <v>74397.331405289849</v>
      </c>
      <c r="AD86" s="541">
        <f t="shared" ref="AD86" ca="1" si="136">+SUM(AA84:AD84)</f>
        <v>77220.2248058939</v>
      </c>
      <c r="AE86" s="541">
        <f t="shared" ref="AE86" ca="1" si="137">+SUM(AB84:AE84)</f>
        <v>78880.195219921065</v>
      </c>
      <c r="AF86" s="541">
        <f t="shared" ref="AF86" ca="1" si="138">+SUM(AC84:AF84)</f>
        <v>80807.586077738597</v>
      </c>
      <c r="AG86" s="541">
        <f t="shared" ref="AG86" ca="1" si="139">+SUM(AD84:AG84)</f>
        <v>82852.21969793539</v>
      </c>
      <c r="AH86" s="541">
        <f t="shared" ref="AH86" ca="1" si="140">+SUM(AE84:AH84)</f>
        <v>84808.404312544051</v>
      </c>
      <c r="AI86" s="541">
        <f t="shared" ref="AI86" ca="1" si="141">+SUM(AF84:AI84)</f>
        <v>85714.687715325956</v>
      </c>
      <c r="AJ86" s="541">
        <f t="shared" ref="AJ86" ca="1" si="142">+SUM(AG84:AJ84)</f>
        <v>86769.758173857655</v>
      </c>
      <c r="AK86" s="541">
        <f t="shared" ref="AK86" ca="1" si="143">+SUM(AH84:AK84)</f>
        <v>87909.540696249373</v>
      </c>
      <c r="AL86" s="541">
        <f t="shared" ref="AL86" ca="1" si="144">+SUM(AI84:AL84)</f>
        <v>88978.567691869714</v>
      </c>
    </row>
    <row r="88" spans="1:46" x14ac:dyDescent="0.25">
      <c r="B88" s="745" t="s">
        <v>280</v>
      </c>
    </row>
    <row r="89" spans="1:46" x14ac:dyDescent="0.25">
      <c r="B89" s="551" t="s">
        <v>281</v>
      </c>
      <c r="H89" s="69" t="s">
        <v>282</v>
      </c>
      <c r="K89" s="563"/>
      <c r="L89" s="564">
        <f t="shared" ref="L89:R89" si="145">+L7/K7-1</f>
        <v>6.2192919075144459E-2</v>
      </c>
      <c r="M89" s="564">
        <f t="shared" si="145"/>
        <v>8.1492440861860693E-2</v>
      </c>
      <c r="N89" s="564">
        <f t="shared" si="145"/>
        <v>0.14810912807610666</v>
      </c>
      <c r="O89" s="564">
        <f t="shared" si="145"/>
        <v>0.11238940477168757</v>
      </c>
      <c r="P89" s="564">
        <f t="shared" si="145"/>
        <v>8.8229500123122362E-2</v>
      </c>
      <c r="Q89" s="564">
        <f t="shared" si="145"/>
        <v>8.6880275156699049E-2</v>
      </c>
      <c r="R89" s="564">
        <f t="shared" si="145"/>
        <v>8.0768229844376149E-2</v>
      </c>
      <c r="S89" s="543">
        <f ca="1">+'Unit of Economics_Assumptions'!D226</f>
        <v>0.4461376623376625</v>
      </c>
      <c r="T89" s="543">
        <f ca="1">+'Unit of Economics_Assumptions'!E226</f>
        <v>0.38470588235294123</v>
      </c>
      <c r="U89" s="543">
        <f ca="1">+'Unit of Economics_Assumptions'!F226</f>
        <v>0.30686695278969967</v>
      </c>
      <c r="V89" s="543">
        <f ca="1">+'Unit of Economics_Assumptions'!G226</f>
        <v>0.3390150879665359</v>
      </c>
      <c r="W89" s="543">
        <f ca="1">+'Unit of Economics_Assumptions'!H226</f>
        <v>0.2042826121707082</v>
      </c>
      <c r="X89" s="543">
        <f ca="1">+'Unit of Economics_Assumptions'!I226</f>
        <v>0.21070518266779947</v>
      </c>
      <c r="Y89" s="543">
        <f ca="1">+'Unit of Economics_Assumptions'!J226</f>
        <v>0.25533661740558289</v>
      </c>
      <c r="Z89" s="543">
        <f ca="1">+'Unit of Economics_Assumptions'!K226</f>
        <v>0.20660328645627679</v>
      </c>
      <c r="AA89" s="543">
        <f ca="1">+'Unit of Economics_Assumptions'!L226</f>
        <v>0.15321195912803115</v>
      </c>
      <c r="AB89" s="543">
        <f ca="1">+'Unit of Economics_Assumptions'!M226</f>
        <v>0.1580288870008496</v>
      </c>
      <c r="AC89" s="543">
        <f ca="1">+'Unit of Economics_Assumptions'!N226</f>
        <v>0.19150246305418717</v>
      </c>
      <c r="AD89" s="543">
        <f ca="1">+'Unit of Economics_Assumptions'!O226</f>
        <v>0.15495246484220759</v>
      </c>
      <c r="AE89" s="543">
        <f ca="1">+'Unit of Economics_Assumptions'!P226</f>
        <v>9.1927175476818682E-2</v>
      </c>
      <c r="AF89" s="543">
        <f ca="1">+'Unit of Economics_Assumptions'!Q226</f>
        <v>9.4817332200509766E-2</v>
      </c>
      <c r="AG89" s="543">
        <f ca="1">+'Unit of Economics_Assumptions'!R226</f>
        <v>0.1149014778325123</v>
      </c>
      <c r="AH89" s="543">
        <f ca="1">+'Unit of Economics_Assumptions'!S226</f>
        <v>9.2971478905324548E-2</v>
      </c>
      <c r="AI89" s="543">
        <f ca="1">+'Unit of Economics_Assumptions'!T226</f>
        <v>4.5963587738409341E-2</v>
      </c>
      <c r="AJ89" s="543">
        <f ca="1">+'Unit of Economics_Assumptions'!U226</f>
        <v>4.7408666100254883E-2</v>
      </c>
      <c r="AK89" s="543">
        <f ca="1">+'Unit of Economics_Assumptions'!V226</f>
        <v>5.7450738916256149E-2</v>
      </c>
      <c r="AL89" s="543">
        <f ca="1">+'Unit of Economics_Assumptions'!W226</f>
        <v>4.6485739452662274E-2</v>
      </c>
      <c r="AN89" s="543">
        <f t="shared" ref="AN89:AT94" si="146">INDEX($K89:$AL89,MATCH(AN$5,$K$5:$AL$5,0))</f>
        <v>0.14810912807610666</v>
      </c>
      <c r="AO89" s="543">
        <f t="shared" si="146"/>
        <v>8.0768229844376149E-2</v>
      </c>
      <c r="AP89" s="543">
        <f t="shared" ca="1" si="146"/>
        <v>0.3390150879665359</v>
      </c>
      <c r="AQ89" s="543">
        <f t="shared" ca="1" si="146"/>
        <v>0.20660328645627679</v>
      </c>
      <c r="AR89" s="543">
        <f t="shared" ca="1" si="146"/>
        <v>0.15495246484220759</v>
      </c>
      <c r="AS89" s="543">
        <f t="shared" ca="1" si="146"/>
        <v>9.2971478905324548E-2</v>
      </c>
      <c r="AT89" s="543">
        <f t="shared" ca="1" si="146"/>
        <v>4.6485739452662274E-2</v>
      </c>
    </row>
    <row r="90" spans="1:46" x14ac:dyDescent="0.25">
      <c r="B90" s="551" t="s">
        <v>8</v>
      </c>
      <c r="H90" s="69" t="s">
        <v>283</v>
      </c>
      <c r="K90" s="543">
        <f t="shared" ref="K90:R90" si="147">(+K15/K$7)</f>
        <v>0.72870303468208097</v>
      </c>
      <c r="L90" s="543">
        <f t="shared" si="147"/>
        <v>0.72557522575378808</v>
      </c>
      <c r="M90" s="543">
        <f t="shared" si="147"/>
        <v>0.71573236889692582</v>
      </c>
      <c r="N90" s="543">
        <f t="shared" si="147"/>
        <v>0.72673733804475849</v>
      </c>
      <c r="O90" s="543">
        <f t="shared" si="147"/>
        <v>0.73540999753755232</v>
      </c>
      <c r="P90" s="543">
        <f t="shared" si="147"/>
        <v>0.72994591903695161</v>
      </c>
      <c r="Q90" s="543">
        <f t="shared" si="147"/>
        <v>0.72620621454223699</v>
      </c>
      <c r="R90" s="543">
        <f t="shared" si="147"/>
        <v>0.73252812451841576</v>
      </c>
      <c r="S90" s="543">
        <f ca="1">+'Unit of Economics_Assumptions'!D227</f>
        <v>0.72831707566774373</v>
      </c>
      <c r="T90" s="543">
        <f ca="1">+'Unit of Economics_Assumptions'!E227</f>
        <v>0.7281223449447749</v>
      </c>
      <c r="U90" s="543">
        <f ca="1">+'Unit of Economics_Assumptions'!F227</f>
        <v>0.74548440065681443</v>
      </c>
      <c r="V90" s="543">
        <f ca="1">+'Unit of Economics_Assumptions'!G227</f>
        <v>0.73999939252194513</v>
      </c>
      <c r="W90" s="543">
        <f ca="1">+'Unit of Economics_Assumptions'!H227</f>
        <v>0.72408650260999252</v>
      </c>
      <c r="X90" s="543">
        <f ca="1">+'Unit of Economics_Assumptions'!I227</f>
        <v>0.72631578947368425</v>
      </c>
      <c r="Y90" s="543">
        <f ca="1">+'Unit of Economics_Assumptions'!J227</f>
        <v>0.72727272727272729</v>
      </c>
      <c r="Z90" s="543">
        <f ca="1">+'Unit of Economics_Assumptions'!K227</f>
        <v>0.72938955317809939</v>
      </c>
      <c r="AA90" s="543">
        <f ca="1">+'Unit of Economics_Assumptions'!L227</f>
        <v>0.72408650260999252</v>
      </c>
      <c r="AB90" s="543">
        <f ca="1">+'Unit of Economics_Assumptions'!M227</f>
        <v>0.72631578947368425</v>
      </c>
      <c r="AC90" s="543">
        <f ca="1">+'Unit of Economics_Assumptions'!N227</f>
        <v>0.72727272727272729</v>
      </c>
      <c r="AD90" s="543">
        <f ca="1">+'Unit of Economics_Assumptions'!O227</f>
        <v>0.72938955317809939</v>
      </c>
      <c r="AE90" s="543">
        <f ca="1">+'Unit of Economics_Assumptions'!P227</f>
        <v>0.72408650260999252</v>
      </c>
      <c r="AF90" s="543">
        <f ca="1">+'Unit of Economics_Assumptions'!Q227</f>
        <v>0.72631578947368425</v>
      </c>
      <c r="AG90" s="543">
        <f ca="1">+'Unit of Economics_Assumptions'!R227</f>
        <v>0.72727272727272729</v>
      </c>
      <c r="AH90" s="543">
        <f ca="1">+'Unit of Economics_Assumptions'!S227</f>
        <v>0.72938955317809939</v>
      </c>
      <c r="AI90" s="543">
        <f ca="1">+'Unit of Economics_Assumptions'!T227</f>
        <v>0.72408650260999252</v>
      </c>
      <c r="AJ90" s="543">
        <f ca="1">+'Unit of Economics_Assumptions'!U227</f>
        <v>0.72631578947368425</v>
      </c>
      <c r="AK90" s="543">
        <f ca="1">+'Unit of Economics_Assumptions'!V227</f>
        <v>0.72727272727272729</v>
      </c>
      <c r="AL90" s="543">
        <f ca="1">+'Unit of Economics_Assumptions'!W227</f>
        <v>0.72938955317809939</v>
      </c>
      <c r="AN90" s="543">
        <f t="shared" si="146"/>
        <v>0.72673733804475849</v>
      </c>
      <c r="AO90" s="543">
        <f t="shared" si="146"/>
        <v>0.73252812451841576</v>
      </c>
      <c r="AP90" s="543">
        <f t="shared" ca="1" si="146"/>
        <v>0.73999939252194513</v>
      </c>
      <c r="AQ90" s="543">
        <f t="shared" ca="1" si="146"/>
        <v>0.72938955317809939</v>
      </c>
      <c r="AR90" s="543">
        <f t="shared" ca="1" si="146"/>
        <v>0.72938955317809939</v>
      </c>
      <c r="AS90" s="543">
        <f t="shared" ca="1" si="146"/>
        <v>0.72938955317809939</v>
      </c>
      <c r="AT90" s="543">
        <f t="shared" ca="1" si="146"/>
        <v>0.72938955317809939</v>
      </c>
    </row>
    <row r="91" spans="1:46" x14ac:dyDescent="0.25">
      <c r="B91" s="36" t="s">
        <v>224</v>
      </c>
      <c r="C91" s="565"/>
      <c r="D91" s="565"/>
      <c r="E91" s="565"/>
      <c r="F91" s="565"/>
      <c r="G91" s="565"/>
      <c r="H91" s="69" t="s">
        <v>283</v>
      </c>
      <c r="K91" s="543">
        <f t="shared" ref="K91:R93" si="148">(+K19/K$7)*-1</f>
        <v>0.38688583815028904</v>
      </c>
      <c r="L91" s="543">
        <f t="shared" si="148"/>
        <v>0.35374045541894122</v>
      </c>
      <c r="M91" s="543">
        <f t="shared" si="148"/>
        <v>0.40432423932699113</v>
      </c>
      <c r="N91" s="543">
        <f t="shared" si="148"/>
        <v>0.360793820363218</v>
      </c>
      <c r="O91" s="543">
        <f t="shared" si="148"/>
        <v>0.32030288106377741</v>
      </c>
      <c r="P91" s="543">
        <f t="shared" si="148"/>
        <v>0.31657728599551965</v>
      </c>
      <c r="Q91" s="543">
        <f t="shared" si="148"/>
        <v>0.34683807838442721</v>
      </c>
      <c r="R91" s="543">
        <f t="shared" si="148"/>
        <v>0.33957466481738324</v>
      </c>
      <c r="S91" s="543">
        <f ca="1">+'Unit of Economics_Assumptions'!D228</f>
        <v>0.3053028810637774</v>
      </c>
      <c r="T91" s="543">
        <f ca="1">+'Unit of Economics_Assumptions'!E228</f>
        <v>0.30157728599551964</v>
      </c>
      <c r="U91" s="543">
        <f ca="1">+'Unit of Economics_Assumptions'!F228</f>
        <v>0.33183807838442719</v>
      </c>
      <c r="V91" s="543">
        <f ca="1">+'Unit of Economics_Assumptions'!G228</f>
        <v>0.32457466481738323</v>
      </c>
      <c r="W91" s="543">
        <f ca="1">+'Unit of Economics_Assumptions'!H228</f>
        <v>0.29530288106377739</v>
      </c>
      <c r="X91" s="543">
        <f ca="1">+'Unit of Economics_Assumptions'!I228</f>
        <v>0.29157728599551963</v>
      </c>
      <c r="Y91" s="543">
        <f ca="1">+'Unit of Economics_Assumptions'!J228</f>
        <v>0.32183807838442718</v>
      </c>
      <c r="Z91" s="543">
        <f ca="1">+'Unit of Economics_Assumptions'!K228</f>
        <v>0.31457466481738322</v>
      </c>
      <c r="AA91" s="543">
        <f ca="1">+'Unit of Economics_Assumptions'!L228</f>
        <v>0.29530288106377739</v>
      </c>
      <c r="AB91" s="543">
        <f ca="1">+'Unit of Economics_Assumptions'!M228</f>
        <v>0.29157728599551963</v>
      </c>
      <c r="AC91" s="543">
        <f ca="1">+'Unit of Economics_Assumptions'!N228</f>
        <v>0.32183807838442718</v>
      </c>
      <c r="AD91" s="543">
        <f ca="1">+'Unit of Economics_Assumptions'!O228</f>
        <v>0.31457466481738322</v>
      </c>
      <c r="AE91" s="543">
        <f ca="1">+'Unit of Economics_Assumptions'!P228</f>
        <v>0.29530288106377739</v>
      </c>
      <c r="AF91" s="543">
        <f ca="1">+'Unit of Economics_Assumptions'!Q228</f>
        <v>0.29157728599551963</v>
      </c>
      <c r="AG91" s="543">
        <f ca="1">+'Unit of Economics_Assumptions'!R228</f>
        <v>0.32183807838442718</v>
      </c>
      <c r="AH91" s="543">
        <f ca="1">+'Unit of Economics_Assumptions'!S228</f>
        <v>0.31457466481738322</v>
      </c>
      <c r="AI91" s="543">
        <f ca="1">+'Unit of Economics_Assumptions'!T228</f>
        <v>0.29530288106377739</v>
      </c>
      <c r="AJ91" s="543">
        <f ca="1">+'Unit of Economics_Assumptions'!U228</f>
        <v>0.29157728599551963</v>
      </c>
      <c r="AK91" s="543">
        <f ca="1">+'Unit of Economics_Assumptions'!V228</f>
        <v>0.32183807838442718</v>
      </c>
      <c r="AL91" s="543">
        <f ca="1">+'Unit of Economics_Assumptions'!W228</f>
        <v>0.31457466481738322</v>
      </c>
      <c r="AN91" s="543">
        <f t="shared" si="146"/>
        <v>0.360793820363218</v>
      </c>
      <c r="AO91" s="543">
        <f t="shared" si="146"/>
        <v>0.33957466481738324</v>
      </c>
      <c r="AP91" s="543">
        <f t="shared" ca="1" si="146"/>
        <v>0.32457466481738323</v>
      </c>
      <c r="AQ91" s="543">
        <f t="shared" ca="1" si="146"/>
        <v>0.31457466481738322</v>
      </c>
      <c r="AR91" s="543">
        <f t="shared" ca="1" si="146"/>
        <v>0.31457466481738322</v>
      </c>
      <c r="AS91" s="543">
        <f t="shared" ca="1" si="146"/>
        <v>0.31457466481738322</v>
      </c>
      <c r="AT91" s="543">
        <f t="shared" ca="1" si="146"/>
        <v>0.31457466481738322</v>
      </c>
    </row>
    <row r="92" spans="1:46" x14ac:dyDescent="0.25">
      <c r="B92" s="36" t="s">
        <v>226</v>
      </c>
      <c r="C92" s="565"/>
      <c r="D92" s="565"/>
      <c r="E92" s="565"/>
      <c r="F92" s="565"/>
      <c r="G92" s="565"/>
      <c r="H92" s="69" t="s">
        <v>283</v>
      </c>
      <c r="K92" s="543">
        <f t="shared" si="148"/>
        <v>0.3532695086705202</v>
      </c>
      <c r="L92" s="543">
        <f t="shared" si="148"/>
        <v>0.15977075999523835</v>
      </c>
      <c r="M92" s="543">
        <f t="shared" si="148"/>
        <v>0.23048981838194826</v>
      </c>
      <c r="N92" s="543">
        <f t="shared" si="148"/>
        <v>0.19111403292519244</v>
      </c>
      <c r="O92" s="543">
        <f t="shared" si="148"/>
        <v>0.17685299187392267</v>
      </c>
      <c r="P92" s="543">
        <f t="shared" si="148"/>
        <v>0.16308012581178014</v>
      </c>
      <c r="Q92" s="543">
        <f t="shared" si="148"/>
        <v>0.17330973819809503</v>
      </c>
      <c r="R92" s="543">
        <f t="shared" si="148"/>
        <v>0.17267683772538142</v>
      </c>
      <c r="S92" s="543">
        <f ca="1">+'Unit of Economics_Assumptions'!D229</f>
        <v>0.16135299187392266</v>
      </c>
      <c r="T92" s="543">
        <f ca="1">+'Unit of Economics_Assumptions'!E229</f>
        <v>0.14758012581178015</v>
      </c>
      <c r="U92" s="543">
        <f ca="1">+'Unit of Economics_Assumptions'!F229</f>
        <v>0.15780973819809502</v>
      </c>
      <c r="V92" s="543">
        <f ca="1">+'Unit of Economics_Assumptions'!G229</f>
        <v>0.15717683772538144</v>
      </c>
      <c r="W92" s="543">
        <f ca="1">+'Unit of Economics_Assumptions'!H229</f>
        <v>0.14635299187392264</v>
      </c>
      <c r="X92" s="543">
        <f ca="1">+'Unit of Economics_Assumptions'!I229</f>
        <v>0.13258012581178014</v>
      </c>
      <c r="Y92" s="543">
        <f ca="1">+'Unit of Economics_Assumptions'!J229</f>
        <v>0.142809738198095</v>
      </c>
      <c r="Z92" s="543">
        <f ca="1">+'Unit of Economics_Assumptions'!K229</f>
        <v>0.14217683772538142</v>
      </c>
      <c r="AA92" s="543">
        <f ca="1">+'Unit of Economics_Assumptions'!L229</f>
        <v>0.14635299187392264</v>
      </c>
      <c r="AB92" s="543">
        <f ca="1">+'Unit of Economics_Assumptions'!M229</f>
        <v>0.13258012581178014</v>
      </c>
      <c r="AC92" s="543">
        <f ca="1">+'Unit of Economics_Assumptions'!N229</f>
        <v>0.142809738198095</v>
      </c>
      <c r="AD92" s="543">
        <f ca="1">+'Unit of Economics_Assumptions'!O229</f>
        <v>0.14217683772538142</v>
      </c>
      <c r="AE92" s="543">
        <f ca="1">+'Unit of Economics_Assumptions'!P229</f>
        <v>0.14635299187392264</v>
      </c>
      <c r="AF92" s="543">
        <f ca="1">+'Unit of Economics_Assumptions'!Q229</f>
        <v>0.13258012581178014</v>
      </c>
      <c r="AG92" s="543">
        <f ca="1">+'Unit of Economics_Assumptions'!R229</f>
        <v>0.142809738198095</v>
      </c>
      <c r="AH92" s="543">
        <f ca="1">+'Unit of Economics_Assumptions'!S229</f>
        <v>0.14217683772538142</v>
      </c>
      <c r="AI92" s="543">
        <f ca="1">+'Unit of Economics_Assumptions'!T229</f>
        <v>0.14635299187392264</v>
      </c>
      <c r="AJ92" s="543">
        <f ca="1">+'Unit of Economics_Assumptions'!U229</f>
        <v>0.13258012581178014</v>
      </c>
      <c r="AK92" s="543">
        <f ca="1">+'Unit of Economics_Assumptions'!V229</f>
        <v>0.142809738198095</v>
      </c>
      <c r="AL92" s="543">
        <f ca="1">+'Unit of Economics_Assumptions'!W229</f>
        <v>0.14217683772538142</v>
      </c>
      <c r="AN92" s="543">
        <f t="shared" si="146"/>
        <v>0.19111403292519244</v>
      </c>
      <c r="AO92" s="543">
        <f t="shared" si="146"/>
        <v>0.17267683772538142</v>
      </c>
      <c r="AP92" s="543">
        <f t="shared" ca="1" si="146"/>
        <v>0.15717683772538144</v>
      </c>
      <c r="AQ92" s="543">
        <f t="shared" ca="1" si="146"/>
        <v>0.14217683772538142</v>
      </c>
      <c r="AR92" s="543">
        <f t="shared" ca="1" si="146"/>
        <v>0.14217683772538142</v>
      </c>
      <c r="AS92" s="543">
        <f t="shared" ca="1" si="146"/>
        <v>0.14217683772538142</v>
      </c>
      <c r="AT92" s="543">
        <f t="shared" ca="1" si="146"/>
        <v>0.14217683772538142</v>
      </c>
    </row>
    <row r="93" spans="1:46" x14ac:dyDescent="0.25">
      <c r="B93" s="36" t="s">
        <v>227</v>
      </c>
      <c r="C93" s="565"/>
      <c r="D93" s="565"/>
      <c r="E93" s="565"/>
      <c r="F93" s="565"/>
      <c r="G93" s="565"/>
      <c r="H93" s="69" t="s">
        <v>283</v>
      </c>
      <c r="K93" s="543">
        <f t="shared" si="148"/>
        <v>0.16529985549132947</v>
      </c>
      <c r="L93" s="543">
        <f t="shared" si="148"/>
        <v>0.15424383109705286</v>
      </c>
      <c r="M93" s="543">
        <f t="shared" si="148"/>
        <v>0.1713499488953534</v>
      </c>
      <c r="N93" s="543">
        <f t="shared" si="148"/>
        <v>0.19288081737748924</v>
      </c>
      <c r="O93" s="543">
        <f t="shared" si="148"/>
        <v>0.19223097759172617</v>
      </c>
      <c r="P93" s="543">
        <f t="shared" si="148"/>
        <v>0.20419523453940669</v>
      </c>
      <c r="Q93" s="543">
        <f t="shared" si="148"/>
        <v>0.18836204653099464</v>
      </c>
      <c r="R93" s="543">
        <f t="shared" si="148"/>
        <v>0.18453344120819848</v>
      </c>
      <c r="S93" s="543">
        <f ca="1">+'Unit of Economics_Assumptions'!D230</f>
        <v>0.17673097759172618</v>
      </c>
      <c r="T93" s="543">
        <f ca="1">+'Unit of Economics_Assumptions'!E230</f>
        <v>0.18869523453940668</v>
      </c>
      <c r="U93" s="543">
        <f ca="1">+'Unit of Economics_Assumptions'!F230</f>
        <v>0.17286204653099463</v>
      </c>
      <c r="V93" s="543">
        <f ca="1">+'Unit of Economics_Assumptions'!G230</f>
        <v>0.16903344120819846</v>
      </c>
      <c r="W93" s="543">
        <f ca="1">+'Unit of Economics_Assumptions'!H230</f>
        <v>0.16673097759172617</v>
      </c>
      <c r="X93" s="543">
        <f ca="1">+'Unit of Economics_Assumptions'!I230</f>
        <v>0.17869523453940667</v>
      </c>
      <c r="Y93" s="543">
        <f ca="1">+'Unit of Economics_Assumptions'!J230</f>
        <v>0.16286204653099462</v>
      </c>
      <c r="Z93" s="543">
        <f ca="1">+'Unit of Economics_Assumptions'!K230</f>
        <v>0.15903344120819846</v>
      </c>
      <c r="AA93" s="543">
        <f ca="1">+'Unit of Economics_Assumptions'!L230</f>
        <v>0.16673097759172617</v>
      </c>
      <c r="AB93" s="543">
        <f ca="1">+'Unit of Economics_Assumptions'!M230</f>
        <v>0.17869523453940667</v>
      </c>
      <c r="AC93" s="543">
        <f ca="1">+'Unit of Economics_Assumptions'!N230</f>
        <v>0.16286204653099462</v>
      </c>
      <c r="AD93" s="543">
        <f ca="1">+'Unit of Economics_Assumptions'!O230</f>
        <v>0.15903344120819846</v>
      </c>
      <c r="AE93" s="543">
        <f ca="1">+'Unit of Economics_Assumptions'!P230</f>
        <v>0.16673097759172617</v>
      </c>
      <c r="AF93" s="543">
        <f ca="1">+'Unit of Economics_Assumptions'!Q230</f>
        <v>0.17869523453940667</v>
      </c>
      <c r="AG93" s="543">
        <f ca="1">+'Unit of Economics_Assumptions'!R230</f>
        <v>0.16286204653099462</v>
      </c>
      <c r="AH93" s="543">
        <f ca="1">+'Unit of Economics_Assumptions'!S230</f>
        <v>0.15903344120819846</v>
      </c>
      <c r="AI93" s="543">
        <f ca="1">+'Unit of Economics_Assumptions'!T230</f>
        <v>0.16673097759172617</v>
      </c>
      <c r="AJ93" s="543">
        <f ca="1">+'Unit of Economics_Assumptions'!U230</f>
        <v>0.17869523453940667</v>
      </c>
      <c r="AK93" s="543">
        <f ca="1">+'Unit of Economics_Assumptions'!V230</f>
        <v>0.16286204653099462</v>
      </c>
      <c r="AL93" s="543">
        <f ca="1">+'Unit of Economics_Assumptions'!W230</f>
        <v>0.15903344120819846</v>
      </c>
      <c r="AN93" s="543">
        <f t="shared" si="146"/>
        <v>0.19288081737748924</v>
      </c>
      <c r="AO93" s="543">
        <f t="shared" si="146"/>
        <v>0.18453344120819848</v>
      </c>
      <c r="AP93" s="543">
        <f t="shared" ca="1" si="146"/>
        <v>0.16903344120819846</v>
      </c>
      <c r="AQ93" s="543">
        <f t="shared" ca="1" si="146"/>
        <v>0.15903344120819846</v>
      </c>
      <c r="AR93" s="543">
        <f t="shared" ca="1" si="146"/>
        <v>0.15903344120819846</v>
      </c>
      <c r="AS93" s="543">
        <f t="shared" ca="1" si="146"/>
        <v>0.15903344120819846</v>
      </c>
      <c r="AT93" s="543">
        <f t="shared" ca="1" si="146"/>
        <v>0.15903344120819846</v>
      </c>
    </row>
    <row r="94" spans="1:46" x14ac:dyDescent="0.25">
      <c r="B94" s="36" t="s">
        <v>284</v>
      </c>
      <c r="C94" s="565"/>
      <c r="D94" s="765">
        <v>0.21</v>
      </c>
      <c r="E94" s="1213"/>
      <c r="F94" s="1213"/>
      <c r="G94" s="1213"/>
      <c r="H94" s="69" t="s">
        <v>285</v>
      </c>
      <c r="K94" s="118">
        <f t="shared" ref="K94:R94" si="149">+K40/K38</f>
        <v>1.2634708286882201E-3</v>
      </c>
      <c r="L94" s="118">
        <f t="shared" si="149"/>
        <v>5.7142857142857143E-3</v>
      </c>
      <c r="M94" s="118">
        <f t="shared" si="149"/>
        <v>1.7635464573463812E-3</v>
      </c>
      <c r="N94" s="118">
        <f t="shared" si="149"/>
        <v>6.2036877477166978E-3</v>
      </c>
      <c r="O94" s="118">
        <f t="shared" si="149"/>
        <v>2.309087910275441E-3</v>
      </c>
      <c r="P94" s="118">
        <f t="shared" si="149"/>
        <v>9.4605475040257653E-3</v>
      </c>
      <c r="Q94" s="118">
        <f t="shared" si="149"/>
        <v>2.8816876903001304E-3</v>
      </c>
      <c r="R94" s="118">
        <f t="shared" si="149"/>
        <v>5.4184955350385956E-2</v>
      </c>
      <c r="S94" s="695">
        <f t="shared" ref="S94:AL94" si="150">+IF(S5&gt;Closing_Date,$D$94,AVERAGE($M$94:$R$94))</f>
        <v>1.2800585443341728E-2</v>
      </c>
      <c r="T94" s="695">
        <f t="shared" si="150"/>
        <v>1.2800585443341728E-2</v>
      </c>
      <c r="U94" s="695">
        <f t="shared" si="150"/>
        <v>1.2800585443341728E-2</v>
      </c>
      <c r="V94" s="695">
        <f t="shared" si="150"/>
        <v>0.21</v>
      </c>
      <c r="W94" s="695">
        <f t="shared" si="150"/>
        <v>0.21</v>
      </c>
      <c r="X94" s="695">
        <f t="shared" si="150"/>
        <v>0.21</v>
      </c>
      <c r="Y94" s="695">
        <f t="shared" si="150"/>
        <v>0.21</v>
      </c>
      <c r="Z94" s="695">
        <f t="shared" si="150"/>
        <v>0.21</v>
      </c>
      <c r="AA94" s="695">
        <f t="shared" si="150"/>
        <v>0.21</v>
      </c>
      <c r="AB94" s="695">
        <f t="shared" si="150"/>
        <v>0.21</v>
      </c>
      <c r="AC94" s="695">
        <f t="shared" si="150"/>
        <v>0.21</v>
      </c>
      <c r="AD94" s="695">
        <f t="shared" si="150"/>
        <v>0.21</v>
      </c>
      <c r="AE94" s="695">
        <f t="shared" si="150"/>
        <v>0.21</v>
      </c>
      <c r="AF94" s="695">
        <f t="shared" si="150"/>
        <v>0.21</v>
      </c>
      <c r="AG94" s="695">
        <f t="shared" si="150"/>
        <v>0.21</v>
      </c>
      <c r="AH94" s="695">
        <f t="shared" si="150"/>
        <v>0.21</v>
      </c>
      <c r="AI94" s="695">
        <f t="shared" si="150"/>
        <v>0.21</v>
      </c>
      <c r="AJ94" s="695">
        <f t="shared" si="150"/>
        <v>0.21</v>
      </c>
      <c r="AK94" s="695">
        <f t="shared" si="150"/>
        <v>0.21</v>
      </c>
      <c r="AL94" s="695">
        <f t="shared" si="150"/>
        <v>0.21</v>
      </c>
      <c r="AN94" s="543">
        <f t="shared" si="146"/>
        <v>6.2036877477166978E-3</v>
      </c>
      <c r="AO94" s="543">
        <f t="shared" si="146"/>
        <v>5.4184955350385956E-2</v>
      </c>
      <c r="AP94" s="543">
        <f t="shared" si="146"/>
        <v>0.21</v>
      </c>
      <c r="AQ94" s="543">
        <f t="shared" si="146"/>
        <v>0.21</v>
      </c>
      <c r="AR94" s="543">
        <f t="shared" si="146"/>
        <v>0.21</v>
      </c>
      <c r="AS94" s="543">
        <f t="shared" si="146"/>
        <v>0.21</v>
      </c>
      <c r="AT94" s="543">
        <f t="shared" si="146"/>
        <v>0.21</v>
      </c>
    </row>
    <row r="95" spans="1:46" x14ac:dyDescent="0.25">
      <c r="A95" s="69" t="s">
        <v>207</v>
      </c>
    </row>
    <row r="96" spans="1:46" x14ac:dyDescent="0.25">
      <c r="B96" s="744" t="s">
        <v>161</v>
      </c>
      <c r="C96" s="32"/>
      <c r="D96" s="32"/>
      <c r="E96" s="32"/>
      <c r="F96" s="32"/>
      <c r="G96" s="32"/>
      <c r="H96" s="32"/>
      <c r="I96" s="32"/>
      <c r="J96" s="32"/>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69" t="s">
        <v>207</v>
      </c>
      <c r="AN96" s="34"/>
      <c r="AO96" s="34"/>
      <c r="AP96" s="34"/>
      <c r="AQ96" s="34"/>
      <c r="AR96" s="34"/>
      <c r="AS96" s="34"/>
      <c r="AT96" s="34"/>
    </row>
    <row r="97" spans="2:46" x14ac:dyDescent="0.25">
      <c r="B97" s="60" t="s">
        <v>170</v>
      </c>
      <c r="C97" s="134"/>
      <c r="D97" s="134"/>
      <c r="E97" s="134"/>
      <c r="F97" s="134"/>
      <c r="G97" s="134"/>
      <c r="H97" s="134"/>
      <c r="I97" s="134"/>
      <c r="J97" s="134"/>
    </row>
    <row r="98" spans="2:46" x14ac:dyDescent="0.25">
      <c r="B98" s="551" t="s">
        <v>171</v>
      </c>
      <c r="S98" s="541"/>
    </row>
    <row r="99" spans="2:46" x14ac:dyDescent="0.25">
      <c r="B99" s="98" t="s">
        <v>172</v>
      </c>
      <c r="C99" s="76"/>
      <c r="D99" s="76"/>
      <c r="E99" s="76"/>
      <c r="F99" s="76"/>
      <c r="G99" s="76"/>
      <c r="H99" s="69" t="s">
        <v>286</v>
      </c>
      <c r="J99" s="76"/>
      <c r="K99" s="538"/>
      <c r="L99" s="568">
        <v>114636</v>
      </c>
      <c r="M99" s="568">
        <v>549440</v>
      </c>
      <c r="N99" s="569">
        <v>553922</v>
      </c>
      <c r="O99" s="569">
        <v>577331</v>
      </c>
      <c r="P99" s="568">
        <v>591160</v>
      </c>
      <c r="Q99" s="568">
        <v>599967</v>
      </c>
      <c r="R99" s="568">
        <v>608180</v>
      </c>
      <c r="S99" s="570">
        <f t="shared" ref="S99:AL99" ca="1" si="151">IF(S$5=Closing_Date,S$192+SUMIF($J$149:$J$187,"Legacy",S$149:S$188),S193)</f>
        <v>624279.01429171558</v>
      </c>
      <c r="T99" s="570">
        <f t="shared" ca="1" si="151"/>
        <v>635275.72016170959</v>
      </c>
      <c r="U99" s="570">
        <f t="shared" ca="1" si="151"/>
        <v>641148.99312337965</v>
      </c>
      <c r="V99" s="570">
        <f t="shared" ca="1" si="151"/>
        <v>50503.943002136992</v>
      </c>
      <c r="W99" s="570">
        <f t="shared" ca="1" si="151"/>
        <v>47663.768396651518</v>
      </c>
      <c r="X99" s="570">
        <f t="shared" ca="1" si="151"/>
        <v>66074.312655787377</v>
      </c>
      <c r="Y99" s="570">
        <f t="shared" ca="1" si="151"/>
        <v>68283.876882257493</v>
      </c>
      <c r="Z99" s="570">
        <f t="shared" ca="1" si="151"/>
        <v>92748.340149424577</v>
      </c>
      <c r="AA99" s="570">
        <f t="shared" ca="1" si="151"/>
        <v>86826.044602563576</v>
      </c>
      <c r="AB99" s="570">
        <f t="shared" ca="1" si="151"/>
        <v>103186.39289381464</v>
      </c>
      <c r="AC99" s="570">
        <f t="shared" ca="1" si="151"/>
        <v>113367.12794134906</v>
      </c>
      <c r="AD99" s="570">
        <f t="shared" ca="1" si="151"/>
        <v>136318.94057490339</v>
      </c>
      <c r="AE99" s="570">
        <f t="shared" ca="1" si="151"/>
        <v>122278.96651408635</v>
      </c>
      <c r="AF99" s="570">
        <f t="shared" ca="1" si="151"/>
        <v>139262.57545557374</v>
      </c>
      <c r="AG99" s="570">
        <f t="shared" ca="1" si="151"/>
        <v>155310.66858863179</v>
      </c>
      <c r="AH99" s="570">
        <f t="shared" ca="1" si="151"/>
        <v>176695.3831276751</v>
      </c>
      <c r="AI99" s="570">
        <f t="shared" ca="1" si="151"/>
        <v>162371.37704120483</v>
      </c>
      <c r="AJ99" s="570">
        <f t="shared" ca="1" si="151"/>
        <v>172991.49388004711</v>
      </c>
      <c r="AK99" s="570">
        <f t="shared" ca="1" si="151"/>
        <v>191142.91300981201</v>
      </c>
      <c r="AL99" s="570">
        <f t="shared" ca="1" si="151"/>
        <v>211327.37941165364</v>
      </c>
      <c r="AN99" s="570">
        <f t="shared" ref="AN99:AT103" si="152">INDEX($K99:$AL99,MATCH(AN$5,$K$5:$AL$5,0))</f>
        <v>553922</v>
      </c>
      <c r="AO99" s="570">
        <f t="shared" si="152"/>
        <v>608180</v>
      </c>
      <c r="AP99" s="570">
        <f t="shared" ca="1" si="152"/>
        <v>50503.943002136992</v>
      </c>
      <c r="AQ99" s="570">
        <f t="shared" ca="1" si="152"/>
        <v>92748.340149424577</v>
      </c>
      <c r="AR99" s="570">
        <f t="shared" ca="1" si="152"/>
        <v>136318.94057490339</v>
      </c>
      <c r="AS99" s="570">
        <f t="shared" ca="1" si="152"/>
        <v>176695.3831276751</v>
      </c>
      <c r="AT99" s="570">
        <f t="shared" ca="1" si="152"/>
        <v>211327.37941165364</v>
      </c>
    </row>
    <row r="100" spans="2:46" x14ac:dyDescent="0.25">
      <c r="B100" s="636" t="s">
        <v>287</v>
      </c>
      <c r="C100" s="140"/>
      <c r="D100" s="140"/>
      <c r="E100" s="140"/>
      <c r="F100" s="140"/>
      <c r="G100" s="140"/>
      <c r="H100" s="134" t="s">
        <v>288</v>
      </c>
      <c r="I100" s="134"/>
      <c r="J100" s="76"/>
      <c r="K100" s="537"/>
      <c r="L100" s="568">
        <f>IF(L$5=Closing_Date,SUM('Transaction Structure'!$D$76:$I$76),0)</f>
        <v>0</v>
      </c>
      <c r="M100" s="568">
        <f>IF(M$5=Closing_Date,SUM('Transaction Structure'!$D$76:$I$76),0)</f>
        <v>0</v>
      </c>
      <c r="N100" s="568">
        <f>IF(N$5=Closing_Date,SUM('Transaction Structure'!$D$76:$I$76),0)</f>
        <v>0</v>
      </c>
      <c r="O100" s="568">
        <f>IF(O$5=Closing_Date,SUM('Transaction Structure'!$D$76:$I$76),0)</f>
        <v>0</v>
      </c>
      <c r="P100" s="568">
        <f>IF(P$5=Closing_Date,SUM('Transaction Structure'!$D$76:$I$76),0)</f>
        <v>0</v>
      </c>
      <c r="Q100" s="568">
        <f>IF(Q$5=Closing_Date,SUM('Transaction Structure'!$D$76:$I$76),0)</f>
        <v>0</v>
      </c>
      <c r="R100" s="568">
        <f>IF(R$5=Closing_Date,SUM('Transaction Structure'!$D$76:$I$76),0)</f>
        <v>0</v>
      </c>
      <c r="S100" s="568">
        <f>IF(S$5=Closing_Date,SUM('Transaction Structure'!$D$76:$I$76),0)</f>
        <v>0</v>
      </c>
      <c r="T100" s="568">
        <f>IF(T$5=Closing_Date,SUM('Transaction Structure'!$D$76:$I$76),0)</f>
        <v>0</v>
      </c>
      <c r="U100" s="568">
        <f ca="1">IF(U$5=Closing_Date,SUM('Transaction Structure'!$D$76:$I$76),0)</f>
        <v>-616148.99312337942</v>
      </c>
      <c r="V100" s="568">
        <f>IF(V$5=Closing_Date,SUM('Transaction Structure'!$D$76:$I$76),0)</f>
        <v>0</v>
      </c>
      <c r="W100" s="568">
        <f>IF(W$5=Closing_Date,SUM('Transaction Structure'!$D$76:$I$76),0)</f>
        <v>0</v>
      </c>
      <c r="X100" s="568">
        <f>IF(X$5=Closing_Date,SUM('Transaction Structure'!$D$76:$I$76),0)</f>
        <v>0</v>
      </c>
      <c r="Y100" s="568">
        <f>IF(Y$5=Closing_Date,SUM('Transaction Structure'!$D$76:$I$76),0)</f>
        <v>0</v>
      </c>
      <c r="Z100" s="568">
        <f>IF(Z$5=Closing_Date,SUM('Transaction Structure'!$D$76:$I$76),0)</f>
        <v>0</v>
      </c>
      <c r="AA100" s="568">
        <f>IF(AA$5=Closing_Date,SUM('Transaction Structure'!$D$76:$I$76),0)</f>
        <v>0</v>
      </c>
      <c r="AB100" s="568">
        <f>IF(AB$5=Closing_Date,SUM('Transaction Structure'!$D$76:$I$76),0)</f>
        <v>0</v>
      </c>
      <c r="AC100" s="568">
        <f>IF(AC$5=Closing_Date,SUM('Transaction Structure'!$D$76:$I$76),0)</f>
        <v>0</v>
      </c>
      <c r="AD100" s="568">
        <f>IF(AD$5=Closing_Date,SUM('Transaction Structure'!$D$76:$I$76),0)</f>
        <v>0</v>
      </c>
      <c r="AE100" s="568">
        <f>IF(AE$5=Closing_Date,SUM('Transaction Structure'!$D$76:$I$76),0)</f>
        <v>0</v>
      </c>
      <c r="AF100" s="568">
        <f>IF(AF$5=Closing_Date,SUM('Transaction Structure'!$D$76:$I$76),0)</f>
        <v>0</v>
      </c>
      <c r="AG100" s="568">
        <f>IF(AG$5=Closing_Date,SUM('Transaction Structure'!$D$76:$I$76),0)</f>
        <v>0</v>
      </c>
      <c r="AH100" s="568">
        <f>IF(AH$5=Closing_Date,SUM('Transaction Structure'!$D$76:$I$76),0)</f>
        <v>0</v>
      </c>
      <c r="AI100" s="568">
        <f>IF(AI$5=Closing_Date,SUM('Transaction Structure'!$D$76:$I$76),0)</f>
        <v>0</v>
      </c>
      <c r="AJ100" s="568">
        <f>IF(AJ$5=Closing_Date,SUM('Transaction Structure'!$D$76:$I$76),0)</f>
        <v>0</v>
      </c>
      <c r="AK100" s="568">
        <f>IF(AK$5=Closing_Date,SUM('Transaction Structure'!$D$76:$I$76),0)</f>
        <v>0</v>
      </c>
      <c r="AL100" s="568">
        <f>IF(AL$5=Closing_Date,SUM('Transaction Structure'!$D$76:$I$76),0)</f>
        <v>0</v>
      </c>
      <c r="AN100" s="568">
        <f t="shared" si="152"/>
        <v>0</v>
      </c>
      <c r="AO100" s="568">
        <f t="shared" si="152"/>
        <v>0</v>
      </c>
      <c r="AP100" s="568">
        <f t="shared" si="152"/>
        <v>0</v>
      </c>
      <c r="AQ100" s="568">
        <f t="shared" si="152"/>
        <v>0</v>
      </c>
      <c r="AR100" s="568">
        <f t="shared" si="152"/>
        <v>0</v>
      </c>
      <c r="AS100" s="568">
        <f t="shared" si="152"/>
        <v>0</v>
      </c>
      <c r="AT100" s="568">
        <f t="shared" si="152"/>
        <v>0</v>
      </c>
    </row>
    <row r="101" spans="2:46" x14ac:dyDescent="0.25">
      <c r="B101" s="98" t="s">
        <v>173</v>
      </c>
      <c r="C101" s="76"/>
      <c r="D101" s="76"/>
      <c r="E101" s="76"/>
      <c r="F101" s="76"/>
      <c r="G101" s="76"/>
      <c r="H101" s="69" t="s">
        <v>289</v>
      </c>
      <c r="J101" s="76"/>
      <c r="K101" s="571"/>
      <c r="L101" s="568">
        <v>25129</v>
      </c>
      <c r="M101" s="568">
        <v>20737</v>
      </c>
      <c r="N101" s="569">
        <v>33163</v>
      </c>
      <c r="O101" s="569">
        <v>28573</v>
      </c>
      <c r="P101" s="568">
        <v>28209</v>
      </c>
      <c r="Q101" s="568">
        <v>30197</v>
      </c>
      <c r="R101" s="568">
        <v>46728</v>
      </c>
      <c r="S101" s="572">
        <f ca="1">+S201</f>
        <v>40396.429635418113</v>
      </c>
      <c r="T101" s="572">
        <f t="shared" ref="T101:AL101" ca="1" si="153">+T201</f>
        <v>42093.145213711476</v>
      </c>
      <c r="U101" s="572">
        <f t="shared" ca="1" si="153"/>
        <v>43178.43761389469</v>
      </c>
      <c r="V101" s="572">
        <f t="shared" ca="1" si="153"/>
        <v>47813.83604769568</v>
      </c>
      <c r="W101" s="572">
        <f t="shared" ca="1" si="153"/>
        <v>48648.717803711537</v>
      </c>
      <c r="X101" s="572">
        <f t="shared" ca="1" si="153"/>
        <v>50962.389065028765</v>
      </c>
      <c r="Y101" s="572">
        <f t="shared" ca="1" si="153"/>
        <v>54203.473819084546</v>
      </c>
      <c r="Z101" s="572">
        <f t="shared" ca="1" si="153"/>
        <v>57692.3317132312</v>
      </c>
      <c r="AA101" s="572">
        <f t="shared" ca="1" si="153"/>
        <v>56102.283167484915</v>
      </c>
      <c r="AB101" s="572">
        <f t="shared" ca="1" si="153"/>
        <v>59015.918687879523</v>
      </c>
      <c r="AC101" s="572">
        <f t="shared" ca="1" si="153"/>
        <v>64583.572561532397</v>
      </c>
      <c r="AD101" s="572">
        <f t="shared" ca="1" si="153"/>
        <v>66631.900714690637</v>
      </c>
      <c r="AE101" s="572">
        <f t="shared" ca="1" si="153"/>
        <v>61259.607596872476</v>
      </c>
      <c r="AF101" s="572">
        <f t="shared" ca="1" si="153"/>
        <v>64611.650655226462</v>
      </c>
      <c r="AG101" s="572">
        <f t="shared" ca="1" si="153"/>
        <v>72004.320492555766</v>
      </c>
      <c r="AH101" s="572">
        <f t="shared" ca="1" si="153"/>
        <v>72826.767066408196</v>
      </c>
      <c r="AI101" s="572">
        <f t="shared" ca="1" si="153"/>
        <v>64075.318945471845</v>
      </c>
      <c r="AJ101" s="570">
        <f t="shared" ca="1" si="153"/>
        <v>67674.802827326406</v>
      </c>
      <c r="AK101" s="570">
        <f t="shared" ca="1" si="153"/>
        <v>76141.021910016018</v>
      </c>
      <c r="AL101" s="570">
        <f t="shared" ca="1" si="153"/>
        <v>76212.173185436972</v>
      </c>
      <c r="AN101" s="572">
        <f t="shared" si="152"/>
        <v>33163</v>
      </c>
      <c r="AO101" s="572">
        <f t="shared" si="152"/>
        <v>46728</v>
      </c>
      <c r="AP101" s="572">
        <f t="shared" ca="1" si="152"/>
        <v>47813.83604769568</v>
      </c>
      <c r="AQ101" s="572">
        <f t="shared" ca="1" si="152"/>
        <v>57692.3317132312</v>
      </c>
      <c r="AR101" s="572">
        <f t="shared" ca="1" si="152"/>
        <v>66631.900714690637</v>
      </c>
      <c r="AS101" s="572">
        <f t="shared" ca="1" si="152"/>
        <v>72826.767066408196</v>
      </c>
      <c r="AT101" s="572">
        <f t="shared" ca="1" si="152"/>
        <v>76212.173185436972</v>
      </c>
    </row>
    <row r="102" spans="2:46" x14ac:dyDescent="0.25">
      <c r="B102" s="98" t="s">
        <v>174</v>
      </c>
      <c r="C102" s="76"/>
      <c r="D102" s="76"/>
      <c r="E102" s="76"/>
      <c r="F102" s="76"/>
      <c r="G102" s="76"/>
      <c r="H102" s="551" t="s">
        <v>290</v>
      </c>
      <c r="I102" s="551"/>
      <c r="J102" s="76"/>
      <c r="K102" s="571"/>
      <c r="L102" s="568">
        <v>17168</v>
      </c>
      <c r="M102" s="568">
        <v>19726</v>
      </c>
      <c r="N102" s="569">
        <v>24219</v>
      </c>
      <c r="O102" s="569">
        <v>27780</v>
      </c>
      <c r="P102" s="568">
        <v>29218</v>
      </c>
      <c r="Q102" s="568">
        <v>30258</v>
      </c>
      <c r="R102" s="568">
        <v>35041</v>
      </c>
      <c r="S102" s="572">
        <f ca="1">+S204</f>
        <v>38505.173838703769</v>
      </c>
      <c r="T102" s="572">
        <f ca="1">+T204</f>
        <v>40122.453605422103</v>
      </c>
      <c r="U102" s="572">
        <f t="shared" ref="U102:V102" ca="1" si="154">+U204</f>
        <v>41156.935437406566</v>
      </c>
      <c r="V102" s="572">
        <f t="shared" ca="1" si="154"/>
        <v>45575.316569502254</v>
      </c>
      <c r="W102" s="572">
        <f t="shared" ref="W102:AG102" ca="1" si="155">+W204</f>
        <v>46371.111332561391</v>
      </c>
      <c r="X102" s="572">
        <f t="shared" ca="1" si="155"/>
        <v>48576.462521432877</v>
      </c>
      <c r="Y102" s="572">
        <f t="shared" ca="1" si="155"/>
        <v>51665.808114773921</v>
      </c>
      <c r="Z102" s="572">
        <f t="shared" ca="1" si="155"/>
        <v>54991.326754046619</v>
      </c>
      <c r="AA102" s="572">
        <f t="shared" ca="1" si="155"/>
        <v>53475.720146767177</v>
      </c>
      <c r="AB102" s="572">
        <f t="shared" ca="1" si="155"/>
        <v>56252.946828133398</v>
      </c>
      <c r="AC102" s="572">
        <f t="shared" ca="1" si="155"/>
        <v>61559.937624438149</v>
      </c>
      <c r="AD102" s="572">
        <f t="shared" ca="1" si="155"/>
        <v>63512.368379529376</v>
      </c>
      <c r="AE102" s="572">
        <f t="shared" ca="1" si="155"/>
        <v>58391.592056448288</v>
      </c>
      <c r="AF102" s="572">
        <f t="shared" ca="1" si="155"/>
        <v>61586.701174794136</v>
      </c>
      <c r="AG102" s="572">
        <f t="shared" ca="1" si="155"/>
        <v>68633.265432763379</v>
      </c>
      <c r="AH102" s="572">
        <f t="shared" ref="AH102:AL102" ca="1" si="156">+AH204</f>
        <v>69417.207196554009</v>
      </c>
      <c r="AI102" s="572">
        <f t="shared" ca="1" si="156"/>
        <v>61075.479121120254</v>
      </c>
      <c r="AJ102" s="573">
        <f t="shared" ca="1" si="156"/>
        <v>64506.444527006126</v>
      </c>
      <c r="AK102" s="573">
        <f t="shared" ca="1" si="156"/>
        <v>72576.297246111179</v>
      </c>
      <c r="AL102" s="573">
        <f t="shared" ca="1" si="156"/>
        <v>72644.117403824479</v>
      </c>
      <c r="AN102" s="572">
        <f t="shared" si="152"/>
        <v>24219</v>
      </c>
      <c r="AO102" s="572">
        <f>INDEX($K102:$AL102,MATCH(AO$5,$K$5:$AL$5,0))</f>
        <v>35041</v>
      </c>
      <c r="AP102" s="572">
        <f t="shared" ca="1" si="152"/>
        <v>45575.316569502254</v>
      </c>
      <c r="AQ102" s="572">
        <f t="shared" ca="1" si="152"/>
        <v>54991.326754046619</v>
      </c>
      <c r="AR102" s="572">
        <f t="shared" ca="1" si="152"/>
        <v>63512.368379529376</v>
      </c>
      <c r="AS102" s="572">
        <f t="shared" ca="1" si="152"/>
        <v>69417.207196554009</v>
      </c>
      <c r="AT102" s="572">
        <f t="shared" ca="1" si="152"/>
        <v>72644.117403824479</v>
      </c>
    </row>
    <row r="103" spans="2:46" x14ac:dyDescent="0.25">
      <c r="B103" s="98" t="s">
        <v>175</v>
      </c>
      <c r="C103" s="76"/>
      <c r="D103" s="76"/>
      <c r="E103" s="76"/>
      <c r="F103" s="76"/>
      <c r="G103" s="76"/>
      <c r="H103" s="551" t="s">
        <v>290</v>
      </c>
      <c r="I103" s="551"/>
      <c r="J103" s="76"/>
      <c r="K103" s="571"/>
      <c r="L103" s="568">
        <v>5635</v>
      </c>
      <c r="M103" s="568">
        <v>6441</v>
      </c>
      <c r="N103" s="569">
        <v>7967</v>
      </c>
      <c r="O103" s="569">
        <v>6951</v>
      </c>
      <c r="P103" s="568">
        <v>6563</v>
      </c>
      <c r="Q103" s="568">
        <v>7909</v>
      </c>
      <c r="R103" s="568">
        <v>7234</v>
      </c>
      <c r="S103" s="572">
        <f ca="1">+S203</f>
        <v>10223.291671206875</v>
      </c>
      <c r="T103" s="572">
        <f ca="1">+T203</f>
        <v>10652.686506258462</v>
      </c>
      <c r="U103" s="572">
        <f t="shared" ref="U103:V103" ca="1" si="157">+U203</f>
        <v>10927.345946603886</v>
      </c>
      <c r="V103" s="572">
        <f t="shared" ca="1" si="157"/>
        <v>12100.445416747507</v>
      </c>
      <c r="W103" s="572">
        <f t="shared" ref="W103:AG103" ca="1" si="158">+W203</f>
        <v>12311.732398784061</v>
      </c>
      <c r="X103" s="572">
        <f t="shared" ca="1" si="158"/>
        <v>12897.262762462457</v>
      </c>
      <c r="Y103" s="572">
        <f t="shared" ca="1" si="158"/>
        <v>13717.497497830331</v>
      </c>
      <c r="Z103" s="572">
        <f t="shared" ca="1" si="158"/>
        <v>14600.437207432333</v>
      </c>
      <c r="AA103" s="572">
        <f t="shared" ca="1" si="158"/>
        <v>14198.037039861822</v>
      </c>
      <c r="AB103" s="572">
        <f t="shared" ca="1" si="158"/>
        <v>14935.402842171899</v>
      </c>
      <c r="AC103" s="572">
        <f t="shared" ca="1" si="158"/>
        <v>16344.43205560449</v>
      </c>
      <c r="AD103" s="572">
        <f t="shared" ca="1" si="158"/>
        <v>16862.81094049785</v>
      </c>
      <c r="AE103" s="572">
        <f t="shared" ca="1" si="158"/>
        <v>15503.222482251571</v>
      </c>
      <c r="AF103" s="572">
        <f t="shared" ca="1" si="158"/>
        <v>16351.53789500655</v>
      </c>
      <c r="AG103" s="572">
        <f t="shared" ca="1" si="158"/>
        <v>18222.431453126534</v>
      </c>
      <c r="AH103" s="572">
        <f t="shared" ref="AH103:AL103" ca="1" si="159">+AH203</f>
        <v>18430.571412136826</v>
      </c>
      <c r="AI103" s="572">
        <f t="shared" ca="1" si="159"/>
        <v>16215.806209042621</v>
      </c>
      <c r="AJ103" s="573">
        <f t="shared" ca="1" si="159"/>
        <v>17126.742495296581</v>
      </c>
      <c r="AK103" s="573">
        <f t="shared" ca="1" si="159"/>
        <v>19269.323604959482</v>
      </c>
      <c r="AL103" s="573">
        <f t="shared" ca="1" si="159"/>
        <v>19287.330152765106</v>
      </c>
      <c r="AN103" s="572">
        <f t="shared" si="152"/>
        <v>7967</v>
      </c>
      <c r="AO103" s="572">
        <f t="shared" si="152"/>
        <v>7234</v>
      </c>
      <c r="AP103" s="572">
        <f t="shared" ca="1" si="152"/>
        <v>12100.445416747507</v>
      </c>
      <c r="AQ103" s="572">
        <f t="shared" ca="1" si="152"/>
        <v>14600.437207432333</v>
      </c>
      <c r="AR103" s="572">
        <f t="shared" ca="1" si="152"/>
        <v>16862.81094049785</v>
      </c>
      <c r="AS103" s="572">
        <f t="shared" ca="1" si="152"/>
        <v>18430.571412136826</v>
      </c>
      <c r="AT103" s="572">
        <f t="shared" ca="1" si="152"/>
        <v>19287.330152765106</v>
      </c>
    </row>
    <row r="104" spans="2:46" x14ac:dyDescent="0.25">
      <c r="B104" s="746" t="s">
        <v>176</v>
      </c>
      <c r="C104" s="83"/>
      <c r="D104" s="83"/>
      <c r="E104" s="83"/>
      <c r="F104" s="83"/>
      <c r="G104" s="83"/>
      <c r="H104" s="134" t="s">
        <v>89</v>
      </c>
      <c r="I104" s="134"/>
      <c r="J104" s="83"/>
      <c r="K104" s="574"/>
      <c r="L104" s="125">
        <f>SUM(L99:L103)</f>
        <v>162568</v>
      </c>
      <c r="M104" s="125">
        <f t="shared" ref="M104:R104" si="160">SUM(M99:M103)</f>
        <v>596344</v>
      </c>
      <c r="N104" s="575">
        <f t="shared" si="160"/>
        <v>619271</v>
      </c>
      <c r="O104" s="575">
        <f t="shared" si="160"/>
        <v>640635</v>
      </c>
      <c r="P104" s="125">
        <f t="shared" si="160"/>
        <v>655150</v>
      </c>
      <c r="Q104" s="125">
        <f t="shared" si="160"/>
        <v>668331</v>
      </c>
      <c r="R104" s="125">
        <f t="shared" si="160"/>
        <v>697183</v>
      </c>
      <c r="S104" s="125">
        <f t="shared" ref="S104:T104" ca="1" si="161">SUM(S99:S103)</f>
        <v>713403.90943704429</v>
      </c>
      <c r="T104" s="125">
        <f t="shared" ca="1" si="161"/>
        <v>728144.0054871015</v>
      </c>
      <c r="U104" s="125">
        <f t="shared" ref="U104:V104" ca="1" si="162">SUM(U99:U103)</f>
        <v>120262.71899790538</v>
      </c>
      <c r="V104" s="125">
        <f t="shared" ca="1" si="162"/>
        <v>155993.54103608243</v>
      </c>
      <c r="W104" s="125">
        <f t="shared" ref="W104:AG104" ca="1" si="163">SUM(W99:W103)</f>
        <v>154995.32993170849</v>
      </c>
      <c r="X104" s="125">
        <f t="shared" ca="1" si="163"/>
        <v>178510.42700471147</v>
      </c>
      <c r="Y104" s="125">
        <f t="shared" ca="1" si="163"/>
        <v>187870.6563139463</v>
      </c>
      <c r="Z104" s="125">
        <f t="shared" ca="1" si="163"/>
        <v>220032.43582413474</v>
      </c>
      <c r="AA104" s="125">
        <f t="shared" ca="1" si="163"/>
        <v>210602.08495667749</v>
      </c>
      <c r="AB104" s="125">
        <f t="shared" ca="1" si="163"/>
        <v>233390.66125199947</v>
      </c>
      <c r="AC104" s="125">
        <f t="shared" ca="1" si="163"/>
        <v>255855.0701829241</v>
      </c>
      <c r="AD104" s="125">
        <f t="shared" ca="1" si="163"/>
        <v>283326.02060962125</v>
      </c>
      <c r="AE104" s="125">
        <f t="shared" ca="1" si="163"/>
        <v>257433.38864965871</v>
      </c>
      <c r="AF104" s="125">
        <f t="shared" ca="1" si="163"/>
        <v>281812.46518060088</v>
      </c>
      <c r="AG104" s="125">
        <f t="shared" ca="1" si="163"/>
        <v>314170.68596707744</v>
      </c>
      <c r="AH104" s="125">
        <f t="shared" ref="AH104:AL104" ca="1" si="164">SUM(AH99:AH103)</f>
        <v>337369.92880277411</v>
      </c>
      <c r="AI104" s="125">
        <f t="shared" ca="1" si="164"/>
        <v>303737.98131683952</v>
      </c>
      <c r="AJ104" s="125">
        <f t="shared" ca="1" si="164"/>
        <v>322299.48372967623</v>
      </c>
      <c r="AK104" s="125">
        <f t="shared" ca="1" si="164"/>
        <v>359129.55577089865</v>
      </c>
      <c r="AL104" s="125">
        <f t="shared" ca="1" si="164"/>
        <v>379471.00015368016</v>
      </c>
      <c r="AN104" s="690">
        <f>SUM(AN99:AN103)</f>
        <v>619271</v>
      </c>
      <c r="AO104" s="690">
        <f t="shared" ref="AO104:AT104" si="165">SUM(AO99:AO103)</f>
        <v>697183</v>
      </c>
      <c r="AP104" s="690">
        <f t="shared" ca="1" si="165"/>
        <v>155993.54103608243</v>
      </c>
      <c r="AQ104" s="690">
        <f t="shared" ca="1" si="165"/>
        <v>220032.43582413474</v>
      </c>
      <c r="AR104" s="690">
        <f t="shared" ca="1" si="165"/>
        <v>283326.02060962125</v>
      </c>
      <c r="AS104" s="690">
        <f t="shared" ca="1" si="165"/>
        <v>337369.92880277411</v>
      </c>
      <c r="AT104" s="690">
        <f t="shared" ca="1" si="165"/>
        <v>379471.00015368016</v>
      </c>
    </row>
    <row r="105" spans="2:46" x14ac:dyDescent="0.25">
      <c r="B105" s="746"/>
      <c r="C105" s="83"/>
      <c r="D105" s="83"/>
      <c r="E105" s="83"/>
      <c r="F105" s="83"/>
      <c r="G105" s="83"/>
      <c r="H105" s="134"/>
      <c r="I105" s="134"/>
      <c r="J105" s="83"/>
      <c r="K105" s="544"/>
      <c r="L105" s="570"/>
      <c r="M105" s="570"/>
      <c r="N105" s="576"/>
      <c r="O105" s="576"/>
      <c r="P105" s="570"/>
      <c r="Q105" s="570"/>
      <c r="R105" s="570"/>
      <c r="S105" s="570"/>
      <c r="T105" s="570"/>
      <c r="U105" s="570"/>
      <c r="V105" s="570"/>
      <c r="W105" s="570"/>
      <c r="X105" s="570"/>
      <c r="Y105" s="570"/>
      <c r="Z105" s="570"/>
      <c r="AA105" s="570"/>
      <c r="AB105" s="570"/>
      <c r="AC105" s="570"/>
      <c r="AD105" s="570"/>
      <c r="AE105" s="570"/>
      <c r="AF105" s="570"/>
      <c r="AG105" s="570"/>
      <c r="AH105" s="570"/>
      <c r="AI105" s="570"/>
      <c r="AJ105" s="570"/>
      <c r="AK105" s="570"/>
      <c r="AL105" s="570"/>
      <c r="AN105" s="572"/>
      <c r="AO105" s="572"/>
      <c r="AP105" s="572"/>
      <c r="AQ105" s="572"/>
      <c r="AR105" s="572"/>
      <c r="AS105" s="572"/>
      <c r="AT105" s="572"/>
    </row>
    <row r="106" spans="2:46" x14ac:dyDescent="0.25">
      <c r="B106" s="551" t="s">
        <v>177</v>
      </c>
      <c r="H106" s="69" t="s">
        <v>258</v>
      </c>
      <c r="K106" s="571"/>
      <c r="L106" s="568">
        <v>7692</v>
      </c>
      <c r="M106" s="568">
        <v>8010</v>
      </c>
      <c r="N106" s="569">
        <v>8211</v>
      </c>
      <c r="O106" s="569">
        <v>10254</v>
      </c>
      <c r="P106" s="568">
        <v>13356</v>
      </c>
      <c r="Q106" s="568">
        <v>13191</v>
      </c>
      <c r="R106" s="568">
        <v>12969</v>
      </c>
      <c r="S106" s="572">
        <f ca="1">+S243</f>
        <v>14227.278852017949</v>
      </c>
      <c r="T106" s="572">
        <f t="shared" ref="T106:AL106" ca="1" si="166">+T243</f>
        <v>16012.331149549074</v>
      </c>
      <c r="U106" s="572">
        <f t="shared" ca="1" si="166"/>
        <v>17653.291852261038</v>
      </c>
      <c r="V106" s="572">
        <f t="shared" ca="1" si="166"/>
        <v>17530.32993798421</v>
      </c>
      <c r="W106" s="572">
        <f t="shared" ca="1" si="166"/>
        <v>18891.94589012337</v>
      </c>
      <c r="X106" s="572">
        <f t="shared" ca="1" si="166"/>
        <v>20922.512957805597</v>
      </c>
      <c r="Y106" s="572">
        <f t="shared" ca="1" si="166"/>
        <v>22992.215024738427</v>
      </c>
      <c r="Z106" s="572">
        <f t="shared" ca="1" si="166"/>
        <v>22459.58478044</v>
      </c>
      <c r="AA106" s="572">
        <f t="shared" ca="1" si="166"/>
        <v>23761.259434623462</v>
      </c>
      <c r="AB106" s="572">
        <f t="shared" ca="1" si="166"/>
        <v>25837.250872881668</v>
      </c>
      <c r="AC106" s="572">
        <f t="shared" ca="1" si="166"/>
        <v>27996.031430477982</v>
      </c>
      <c r="AD106" s="572">
        <f t="shared" ca="1" si="166"/>
        <v>27239.814819053845</v>
      </c>
      <c r="AE106" s="572">
        <f t="shared" ca="1" si="166"/>
        <v>28352.575399767535</v>
      </c>
      <c r="AF106" s="572">
        <f t="shared" ca="1" si="166"/>
        <v>30326.773757704872</v>
      </c>
      <c r="AG106" s="572">
        <f t="shared" ca="1" si="166"/>
        <v>32501.067011671577</v>
      </c>
      <c r="AH106" s="572">
        <f t="shared" ca="1" si="166"/>
        <v>31292.107218180965</v>
      </c>
      <c r="AI106" s="572">
        <f t="shared" ca="1" si="166"/>
        <v>32048.524233079836</v>
      </c>
      <c r="AJ106" s="572">
        <f t="shared" ca="1" si="166"/>
        <v>33708.067731613177</v>
      </c>
      <c r="AK106" s="572">
        <f t="shared" ca="1" si="166"/>
        <v>35598.132001674967</v>
      </c>
      <c r="AL106" s="572">
        <f t="shared" ca="1" si="166"/>
        <v>33961.880174658028</v>
      </c>
      <c r="AN106" s="572">
        <f t="shared" ref="AN106:AT113" si="167">INDEX($K106:$AL106,MATCH(AN$5,$K$5:$AL$5,0))</f>
        <v>8211</v>
      </c>
      <c r="AO106" s="572">
        <f t="shared" si="167"/>
        <v>12969</v>
      </c>
      <c r="AP106" s="572">
        <f t="shared" ca="1" si="167"/>
        <v>17530.32993798421</v>
      </c>
      <c r="AQ106" s="572">
        <f t="shared" ca="1" si="167"/>
        <v>22459.58478044</v>
      </c>
      <c r="AR106" s="572">
        <f t="shared" ca="1" si="167"/>
        <v>27239.814819053845</v>
      </c>
      <c r="AS106" s="572">
        <f t="shared" ca="1" si="167"/>
        <v>31292.107218180965</v>
      </c>
      <c r="AT106" s="572">
        <f t="shared" ca="1" si="167"/>
        <v>33961.880174658028</v>
      </c>
    </row>
    <row r="107" spans="2:46" x14ac:dyDescent="0.25">
      <c r="B107" s="551" t="s">
        <v>178</v>
      </c>
      <c r="H107" s="69" t="s">
        <v>291</v>
      </c>
      <c r="K107" s="571"/>
      <c r="L107" s="568">
        <v>0</v>
      </c>
      <c r="M107" s="568">
        <v>0</v>
      </c>
      <c r="N107" s="569">
        <v>0</v>
      </c>
      <c r="O107" s="569">
        <v>0</v>
      </c>
      <c r="P107" s="568">
        <v>0</v>
      </c>
      <c r="Q107" s="568">
        <v>0</v>
      </c>
      <c r="R107" s="568">
        <v>4050</v>
      </c>
      <c r="S107" s="572">
        <f t="shared" ref="S107:AL107" si="168">IF(S$5&gt;Closing_Date,0,R107)</f>
        <v>4050</v>
      </c>
      <c r="T107" s="572">
        <f t="shared" si="168"/>
        <v>4050</v>
      </c>
      <c r="U107" s="572">
        <f t="shared" si="168"/>
        <v>4050</v>
      </c>
      <c r="V107" s="572">
        <f t="shared" si="168"/>
        <v>0</v>
      </c>
      <c r="W107" s="572">
        <f t="shared" si="168"/>
        <v>0</v>
      </c>
      <c r="X107" s="572">
        <f t="shared" si="168"/>
        <v>0</v>
      </c>
      <c r="Y107" s="572">
        <f t="shared" si="168"/>
        <v>0</v>
      </c>
      <c r="Z107" s="572">
        <f t="shared" si="168"/>
        <v>0</v>
      </c>
      <c r="AA107" s="572">
        <f t="shared" si="168"/>
        <v>0</v>
      </c>
      <c r="AB107" s="572">
        <f t="shared" si="168"/>
        <v>0</v>
      </c>
      <c r="AC107" s="572">
        <f t="shared" si="168"/>
        <v>0</v>
      </c>
      <c r="AD107" s="572">
        <f t="shared" si="168"/>
        <v>0</v>
      </c>
      <c r="AE107" s="572">
        <f t="shared" si="168"/>
        <v>0</v>
      </c>
      <c r="AF107" s="572">
        <f t="shared" si="168"/>
        <v>0</v>
      </c>
      <c r="AG107" s="572">
        <f t="shared" si="168"/>
        <v>0</v>
      </c>
      <c r="AH107" s="572">
        <f t="shared" si="168"/>
        <v>0</v>
      </c>
      <c r="AI107" s="572">
        <f t="shared" si="168"/>
        <v>0</v>
      </c>
      <c r="AJ107" s="572">
        <f t="shared" si="168"/>
        <v>0</v>
      </c>
      <c r="AK107" s="572">
        <f t="shared" si="168"/>
        <v>0</v>
      </c>
      <c r="AL107" s="572">
        <f t="shared" si="168"/>
        <v>0</v>
      </c>
      <c r="AN107" s="572">
        <f t="shared" si="167"/>
        <v>0</v>
      </c>
      <c r="AO107" s="572">
        <f t="shared" si="167"/>
        <v>4050</v>
      </c>
      <c r="AP107" s="572">
        <f t="shared" si="167"/>
        <v>0</v>
      </c>
      <c r="AQ107" s="572">
        <f t="shared" si="167"/>
        <v>0</v>
      </c>
      <c r="AR107" s="572">
        <f t="shared" si="167"/>
        <v>0</v>
      </c>
      <c r="AS107" s="572">
        <f t="shared" si="167"/>
        <v>0</v>
      </c>
      <c r="AT107" s="572">
        <f t="shared" si="167"/>
        <v>0</v>
      </c>
    </row>
    <row r="108" spans="2:46" x14ac:dyDescent="0.25">
      <c r="B108" s="60" t="s">
        <v>179</v>
      </c>
      <c r="K108" s="571"/>
      <c r="L108" s="572">
        <f>IF(L$5&gt;=Closing_Date,'Transaction Structure'!$J$84,0)</f>
        <v>0</v>
      </c>
      <c r="M108" s="572">
        <f>IF(M$5&gt;=Closing_Date,'Transaction Structure'!$J$84,0)</f>
        <v>0</v>
      </c>
      <c r="N108" s="572">
        <f>IF(N$5&gt;=Closing_Date,'Transaction Structure'!$J$84,0)</f>
        <v>0</v>
      </c>
      <c r="O108" s="572">
        <f>IF(O$5&gt;=Closing_Date,'Transaction Structure'!$J$84,0)</f>
        <v>0</v>
      </c>
      <c r="P108" s="572">
        <f>IF(P$5&gt;=Closing_Date,'Transaction Structure'!$J$84,0)</f>
        <v>0</v>
      </c>
      <c r="Q108" s="572">
        <f>IF(Q$5&gt;=Closing_Date,'Transaction Structure'!$J$84,0)</f>
        <v>0</v>
      </c>
      <c r="R108" s="572">
        <f>IF(R$5&gt;=Closing_Date,'Transaction Structure'!$J$84,0)</f>
        <v>0</v>
      </c>
      <c r="S108" s="572">
        <f>IF(S$5&gt;=Closing_Date,'Transaction Structure'!$J$84,0)</f>
        <v>0</v>
      </c>
      <c r="T108" s="572">
        <f>IF(T$5&gt;=Closing_Date,'Transaction Structure'!$J$84,0)</f>
        <v>0</v>
      </c>
      <c r="U108" s="572">
        <f ca="1">IF(U$5&gt;=Closing_Date,'Transaction Structure'!$J$84,0)</f>
        <v>6068487.6100214934</v>
      </c>
      <c r="V108" s="572">
        <f ca="1">IF(V$5&gt;=Closing_Date,'Transaction Structure'!$J$84,0)</f>
        <v>6068487.6100214934</v>
      </c>
      <c r="W108" s="572">
        <f ca="1">IF(W$5&gt;=Closing_Date,'Transaction Structure'!$J$84,0)</f>
        <v>6068487.6100214934</v>
      </c>
      <c r="X108" s="572">
        <f ca="1">IF(X$5&gt;=Closing_Date,'Transaction Structure'!$J$84,0)</f>
        <v>6068487.6100214934</v>
      </c>
      <c r="Y108" s="572">
        <f ca="1">IF(Y$5&gt;=Closing_Date,'Transaction Structure'!$J$84,0)</f>
        <v>6068487.6100214934</v>
      </c>
      <c r="Z108" s="572">
        <f ca="1">IF(Z$5&gt;=Closing_Date,'Transaction Structure'!$J$84,0)</f>
        <v>6068487.6100214934</v>
      </c>
      <c r="AA108" s="572">
        <f ca="1">IF(AA$5&gt;=Closing_Date,'Transaction Structure'!$J$84,0)</f>
        <v>6068487.6100214934</v>
      </c>
      <c r="AB108" s="572">
        <f ca="1">IF(AB$5&gt;=Closing_Date,'Transaction Structure'!$J$84,0)</f>
        <v>6068487.6100214934</v>
      </c>
      <c r="AC108" s="572">
        <f ca="1">IF(AC$5&gt;=Closing_Date,'Transaction Structure'!$J$84,0)</f>
        <v>6068487.6100214934</v>
      </c>
      <c r="AD108" s="572">
        <f ca="1">IF(AD$5&gt;=Closing_Date,'Transaction Structure'!$J$84,0)</f>
        <v>6068487.6100214934</v>
      </c>
      <c r="AE108" s="572">
        <f ca="1">IF(AE$5&gt;=Closing_Date,'Transaction Structure'!$J$84,0)</f>
        <v>6068487.6100214934</v>
      </c>
      <c r="AF108" s="572">
        <f ca="1">IF(AF$5&gt;=Closing_Date,'Transaction Structure'!$J$84,0)</f>
        <v>6068487.6100214934</v>
      </c>
      <c r="AG108" s="572">
        <f ca="1">IF(AG$5&gt;=Closing_Date,'Transaction Structure'!$J$84,0)</f>
        <v>6068487.6100214934</v>
      </c>
      <c r="AH108" s="572">
        <f ca="1">IF(AH$5&gt;=Closing_Date,'Transaction Structure'!$J$84,0)</f>
        <v>6068487.6100214934</v>
      </c>
      <c r="AI108" s="572">
        <f ca="1">IF(AI$5&gt;=Closing_Date,'Transaction Structure'!$J$84,0)</f>
        <v>6068487.6100214934</v>
      </c>
      <c r="AJ108" s="572">
        <f ca="1">IF(AJ$5&gt;=Closing_Date,'Transaction Structure'!$J$84,0)</f>
        <v>6068487.6100214934</v>
      </c>
      <c r="AK108" s="572">
        <f ca="1">IF(AK$5&gt;=Closing_Date,'Transaction Structure'!$J$84,0)</f>
        <v>6068487.6100214934</v>
      </c>
      <c r="AL108" s="572">
        <f ca="1">IF(AL$5&gt;=Closing_Date,'Transaction Structure'!$J$84,0)</f>
        <v>6068487.6100214934</v>
      </c>
      <c r="AN108" s="572">
        <f t="shared" si="167"/>
        <v>0</v>
      </c>
      <c r="AO108" s="572">
        <f t="shared" si="167"/>
        <v>0</v>
      </c>
      <c r="AP108" s="572">
        <f t="shared" ca="1" si="167"/>
        <v>6068487.6100214934</v>
      </c>
      <c r="AQ108" s="572">
        <f t="shared" ca="1" si="167"/>
        <v>6068487.6100214934</v>
      </c>
      <c r="AR108" s="572">
        <f t="shared" ca="1" si="167"/>
        <v>6068487.6100214934</v>
      </c>
      <c r="AS108" s="572">
        <f t="shared" ca="1" si="167"/>
        <v>6068487.6100214934</v>
      </c>
      <c r="AT108" s="572">
        <f t="shared" ca="1" si="167"/>
        <v>6068487.6100214934</v>
      </c>
    </row>
    <row r="109" spans="2:46" x14ac:dyDescent="0.25">
      <c r="B109" s="551" t="s">
        <v>180</v>
      </c>
      <c r="H109" s="69" t="s">
        <v>292</v>
      </c>
      <c r="K109" s="571"/>
      <c r="L109" s="568">
        <v>3731</v>
      </c>
      <c r="M109" s="568">
        <v>4184</v>
      </c>
      <c r="N109" s="569">
        <v>4566</v>
      </c>
      <c r="O109" s="569">
        <v>5488</v>
      </c>
      <c r="P109" s="568">
        <v>6409</v>
      </c>
      <c r="Q109" s="568">
        <v>7018</v>
      </c>
      <c r="R109" s="568">
        <v>8497</v>
      </c>
      <c r="S109" s="572">
        <f ca="1">+S280</f>
        <v>9992.6644813569746</v>
      </c>
      <c r="T109" s="572">
        <f t="shared" ref="T109:AL109" ca="1" si="169">+T280</f>
        <v>11412.85778776091</v>
      </c>
      <c r="U109" s="572">
        <f t="shared" ca="1" si="169"/>
        <v>12404.456008900788</v>
      </c>
      <c r="V109" s="572">
        <f t="shared" ca="1" si="169"/>
        <v>12994.735485891226</v>
      </c>
      <c r="W109" s="572">
        <f t="shared" ca="1" si="169"/>
        <v>14795.938214430751</v>
      </c>
      <c r="X109" s="572">
        <f t="shared" ca="1" si="169"/>
        <v>16515.373610884111</v>
      </c>
      <c r="Y109" s="572">
        <f t="shared" ca="1" si="169"/>
        <v>17760.163167635241</v>
      </c>
      <c r="Z109" s="572">
        <f t="shared" ca="1" si="169"/>
        <v>18472.396324499598</v>
      </c>
      <c r="AA109" s="572">
        <f t="shared" ca="1" si="169"/>
        <v>20549.564851865416</v>
      </c>
      <c r="AB109" s="572">
        <f t="shared" ca="1" si="169"/>
        <v>22540.720710290167</v>
      </c>
      <c r="AC109" s="572">
        <f t="shared" ca="1" si="169"/>
        <v>24023.890533143265</v>
      </c>
      <c r="AD109" s="572">
        <f t="shared" ca="1" si="169"/>
        <v>24846.485973206098</v>
      </c>
      <c r="AE109" s="572">
        <f t="shared" ca="1" si="169"/>
        <v>27114.602736282002</v>
      </c>
      <c r="AF109" s="572">
        <f t="shared" ca="1" si="169"/>
        <v>29294.554681198006</v>
      </c>
      <c r="AG109" s="572">
        <f t="shared" ca="1" si="169"/>
        <v>30948.142908573511</v>
      </c>
      <c r="AH109" s="572">
        <f t="shared" ca="1" si="169"/>
        <v>31847.216263239763</v>
      </c>
      <c r="AI109" s="572">
        <f t="shared" ca="1" si="169"/>
        <v>34219.583810156262</v>
      </c>
      <c r="AJ109" s="572">
        <f t="shared" ca="1" si="169"/>
        <v>36502.884368943385</v>
      </c>
      <c r="AK109" s="572">
        <f t="shared" ca="1" si="169"/>
        <v>38251.472461844838</v>
      </c>
      <c r="AL109" s="572">
        <f t="shared" ca="1" si="169"/>
        <v>39192.339906224937</v>
      </c>
      <c r="AN109" s="572">
        <f t="shared" si="167"/>
        <v>4566</v>
      </c>
      <c r="AO109" s="572">
        <f t="shared" si="167"/>
        <v>8497</v>
      </c>
      <c r="AP109" s="572">
        <f t="shared" ca="1" si="167"/>
        <v>12994.735485891226</v>
      </c>
      <c r="AQ109" s="572">
        <f t="shared" ca="1" si="167"/>
        <v>18472.396324499598</v>
      </c>
      <c r="AR109" s="572">
        <f t="shared" ca="1" si="167"/>
        <v>24846.485973206098</v>
      </c>
      <c r="AS109" s="572">
        <f t="shared" ca="1" si="167"/>
        <v>31847.216263239763</v>
      </c>
      <c r="AT109" s="572">
        <f t="shared" ca="1" si="167"/>
        <v>39192.339906224937</v>
      </c>
    </row>
    <row r="110" spans="2:46" x14ac:dyDescent="0.25">
      <c r="B110" s="60" t="s">
        <v>181</v>
      </c>
      <c r="H110" s="69" t="s">
        <v>293</v>
      </c>
      <c r="K110" s="571"/>
      <c r="L110" s="572">
        <f t="shared" ref="L110:AL110" si="170">+L405</f>
        <v>0</v>
      </c>
      <c r="M110" s="572">
        <f t="shared" si="170"/>
        <v>0</v>
      </c>
      <c r="N110" s="572">
        <f t="shared" si="170"/>
        <v>0</v>
      </c>
      <c r="O110" s="572">
        <f t="shared" si="170"/>
        <v>0</v>
      </c>
      <c r="P110" s="572">
        <f t="shared" si="170"/>
        <v>0</v>
      </c>
      <c r="Q110" s="572">
        <f t="shared" si="170"/>
        <v>0</v>
      </c>
      <c r="R110" s="572">
        <f t="shared" si="170"/>
        <v>0</v>
      </c>
      <c r="S110" s="572">
        <f t="shared" si="170"/>
        <v>0</v>
      </c>
      <c r="T110" s="572">
        <f t="shared" si="170"/>
        <v>0</v>
      </c>
      <c r="U110" s="572">
        <f t="shared" si="170"/>
        <v>5000</v>
      </c>
      <c r="V110" s="572">
        <f t="shared" si="170"/>
        <v>4821.4285714285716</v>
      </c>
      <c r="W110" s="572">
        <f t="shared" si="170"/>
        <v>4649.2346938775509</v>
      </c>
      <c r="X110" s="572">
        <f t="shared" si="170"/>
        <v>4483.190597667638</v>
      </c>
      <c r="Y110" s="572">
        <f t="shared" si="170"/>
        <v>4323.0766477509369</v>
      </c>
      <c r="Z110" s="572">
        <f t="shared" si="170"/>
        <v>4168.6810531884039</v>
      </c>
      <c r="AA110" s="572">
        <f t="shared" si="170"/>
        <v>4019.7995870031036</v>
      </c>
      <c r="AB110" s="572">
        <f t="shared" si="170"/>
        <v>3876.235316038707</v>
      </c>
      <c r="AC110" s="572">
        <f t="shared" si="170"/>
        <v>3737.7983404658962</v>
      </c>
      <c r="AD110" s="572">
        <f t="shared" si="170"/>
        <v>3604.3055425921143</v>
      </c>
      <c r="AE110" s="572">
        <f t="shared" si="170"/>
        <v>3475.5803446423961</v>
      </c>
      <c r="AF110" s="572">
        <f t="shared" si="170"/>
        <v>3351.4524751908821</v>
      </c>
      <c r="AG110" s="572">
        <f t="shared" si="170"/>
        <v>3231.7577439340648</v>
      </c>
      <c r="AH110" s="572">
        <f t="shared" si="170"/>
        <v>3116.3378245078484</v>
      </c>
      <c r="AI110" s="572">
        <f t="shared" si="170"/>
        <v>3005.0400450611396</v>
      </c>
      <c r="AJ110" s="572">
        <f t="shared" si="170"/>
        <v>2897.7171863089561</v>
      </c>
      <c r="AK110" s="572">
        <f t="shared" si="170"/>
        <v>2794.2272867979218</v>
      </c>
      <c r="AL110" s="572">
        <f t="shared" si="170"/>
        <v>2694.4334551265674</v>
      </c>
      <c r="AN110" s="572">
        <f t="shared" si="167"/>
        <v>0</v>
      </c>
      <c r="AO110" s="572">
        <f t="shared" si="167"/>
        <v>0</v>
      </c>
      <c r="AP110" s="572">
        <f t="shared" si="167"/>
        <v>4821.4285714285716</v>
      </c>
      <c r="AQ110" s="572">
        <f t="shared" si="167"/>
        <v>4168.6810531884039</v>
      </c>
      <c r="AR110" s="572">
        <f t="shared" si="167"/>
        <v>3604.3055425921143</v>
      </c>
      <c r="AS110" s="572">
        <f t="shared" si="167"/>
        <v>3116.3378245078484</v>
      </c>
      <c r="AT110" s="572">
        <f t="shared" si="167"/>
        <v>2694.4334551265674</v>
      </c>
    </row>
    <row r="111" spans="2:46" x14ac:dyDescent="0.25">
      <c r="B111" s="551" t="s">
        <v>182</v>
      </c>
      <c r="H111" s="551" t="s">
        <v>294</v>
      </c>
      <c r="I111" s="551"/>
      <c r="K111" s="571"/>
      <c r="L111" s="568">
        <v>6805</v>
      </c>
      <c r="M111" s="568">
        <v>8231</v>
      </c>
      <c r="N111" s="569">
        <v>28369</v>
      </c>
      <c r="O111" s="569">
        <v>27093</v>
      </c>
      <c r="P111" s="568">
        <v>24511</v>
      </c>
      <c r="Q111" s="568">
        <v>23150</v>
      </c>
      <c r="R111" s="568">
        <v>22508</v>
      </c>
      <c r="S111" s="572">
        <f ca="1">+S294</f>
        <v>24386.494204651084</v>
      </c>
      <c r="T111" s="572">
        <f t="shared" ref="T111:AL111" ca="1" si="171">+T294</f>
        <v>27131.013555943417</v>
      </c>
      <c r="U111" s="572">
        <f t="shared" ca="1" si="171"/>
        <v>25495.309147362244</v>
      </c>
      <c r="V111" s="572">
        <f t="shared" ca="1" si="171"/>
        <v>27607.045403888565</v>
      </c>
      <c r="W111" s="572">
        <f t="shared" ca="1" si="171"/>
        <v>27706.483163853005</v>
      </c>
      <c r="X111" s="572">
        <f t="shared" ca="1" si="171"/>
        <v>31106.880329766685</v>
      </c>
      <c r="Y111" s="572">
        <f t="shared" ca="1" si="171"/>
        <v>30153.707453444706</v>
      </c>
      <c r="Z111" s="572">
        <f t="shared" ca="1" si="171"/>
        <v>31340.091264742114</v>
      </c>
      <c r="AA111" s="572">
        <f t="shared" ca="1" si="171"/>
        <v>31951.447729934742</v>
      </c>
      <c r="AB111" s="572">
        <f t="shared" ca="1" si="171"/>
        <v>36022.666006348336</v>
      </c>
      <c r="AC111" s="572">
        <f t="shared" ca="1" si="171"/>
        <v>35928.216700994773</v>
      </c>
      <c r="AD111" s="572">
        <f t="shared" ca="1" si="171"/>
        <v>36196.315654593644</v>
      </c>
      <c r="AE111" s="572">
        <f t="shared" ca="1" si="171"/>
        <v>34888.654072142854</v>
      </c>
      <c r="AF111" s="572">
        <f t="shared" ca="1" si="171"/>
        <v>39438.239095820281</v>
      </c>
      <c r="AG111" s="572">
        <f t="shared" ca="1" si="171"/>
        <v>40056.421895825828</v>
      </c>
      <c r="AH111" s="572">
        <f t="shared" ca="1" si="171"/>
        <v>39561.540651925177</v>
      </c>
      <c r="AI111" s="572">
        <f t="shared" ca="1" si="171"/>
        <v>36492.261784662805</v>
      </c>
      <c r="AJ111" s="572">
        <f t="shared" ca="1" si="171"/>
        <v>41307.953404696047</v>
      </c>
      <c r="AK111" s="572">
        <f t="shared" ca="1" si="171"/>
        <v>42357.692932082326</v>
      </c>
      <c r="AL111" s="572">
        <f t="shared" ca="1" si="171"/>
        <v>41400.588123016474</v>
      </c>
      <c r="AN111" s="572">
        <f t="shared" si="167"/>
        <v>28369</v>
      </c>
      <c r="AO111" s="572">
        <f t="shared" si="167"/>
        <v>22508</v>
      </c>
      <c r="AP111" s="572">
        <f t="shared" ca="1" si="167"/>
        <v>27607.045403888565</v>
      </c>
      <c r="AQ111" s="572">
        <f t="shared" ca="1" si="167"/>
        <v>31340.091264742114</v>
      </c>
      <c r="AR111" s="572">
        <f t="shared" ca="1" si="167"/>
        <v>36196.315654593644</v>
      </c>
      <c r="AS111" s="572">
        <f t="shared" ca="1" si="167"/>
        <v>39561.540651925177</v>
      </c>
      <c r="AT111" s="572">
        <f t="shared" ca="1" si="167"/>
        <v>41400.588123016474</v>
      </c>
    </row>
    <row r="112" spans="2:46" x14ac:dyDescent="0.25">
      <c r="B112" s="551" t="s">
        <v>183</v>
      </c>
      <c r="H112" s="69" t="s">
        <v>295</v>
      </c>
      <c r="K112" s="571"/>
      <c r="L112" s="568">
        <v>0</v>
      </c>
      <c r="M112" s="568">
        <v>0</v>
      </c>
      <c r="N112" s="569">
        <v>0</v>
      </c>
      <c r="O112" s="569">
        <v>0</v>
      </c>
      <c r="P112" s="568">
        <v>418</v>
      </c>
      <c r="Q112" s="568">
        <v>418</v>
      </c>
      <c r="R112" s="568">
        <v>633</v>
      </c>
      <c r="S112" s="572">
        <f t="shared" ref="S112:AL112" ca="1" si="172">+S198*S211</f>
        <v>297.10969290147989</v>
      </c>
      <c r="T112" s="572">
        <f t="shared" ca="1" si="172"/>
        <v>309.58878199320276</v>
      </c>
      <c r="U112" s="572">
        <f t="shared" ca="1" si="172"/>
        <v>317.5709451357601</v>
      </c>
      <c r="V112" s="572">
        <f t="shared" ca="1" si="172"/>
        <v>351.66360672917762</v>
      </c>
      <c r="W112" s="572">
        <f t="shared" ca="1" si="172"/>
        <v>357.80403706863115</v>
      </c>
      <c r="X112" s="572">
        <f t="shared" ca="1" si="172"/>
        <v>374.82074285498209</v>
      </c>
      <c r="Y112" s="572">
        <f t="shared" ca="1" si="172"/>
        <v>398.65843605301905</v>
      </c>
      <c r="Z112" s="572">
        <f t="shared" ca="1" si="172"/>
        <v>424.31846360649337</v>
      </c>
      <c r="AA112" s="572">
        <f t="shared" ca="1" si="172"/>
        <v>412.62389457183485</v>
      </c>
      <c r="AB112" s="572">
        <f t="shared" ca="1" si="172"/>
        <v>434.0532476731866</v>
      </c>
      <c r="AC112" s="572">
        <f t="shared" ca="1" si="172"/>
        <v>475.00250847450241</v>
      </c>
      <c r="AD112" s="572">
        <f t="shared" ca="1" si="172"/>
        <v>490.06765542037806</v>
      </c>
      <c r="AE112" s="572">
        <f t="shared" ca="1" si="172"/>
        <v>450.5552437340682</v>
      </c>
      <c r="AF112" s="572">
        <f t="shared" ca="1" si="172"/>
        <v>475.20901865052525</v>
      </c>
      <c r="AG112" s="572">
        <f t="shared" ca="1" si="172"/>
        <v>529.5809986723732</v>
      </c>
      <c r="AH112" s="572">
        <f t="shared" ca="1" si="172"/>
        <v>535.62997010847562</v>
      </c>
      <c r="AI112" s="572">
        <f t="shared" ca="1" si="172"/>
        <v>471.26437921043942</v>
      </c>
      <c r="AJ112" s="572">
        <f t="shared" ca="1" si="172"/>
        <v>497.73804434355776</v>
      </c>
      <c r="AK112" s="572">
        <f t="shared" ca="1" si="172"/>
        <v>560.00581836210995</v>
      </c>
      <c r="AL112" s="572">
        <f t="shared" ca="1" si="172"/>
        <v>560.5291253419756</v>
      </c>
      <c r="AN112" s="572">
        <f t="shared" si="167"/>
        <v>0</v>
      </c>
      <c r="AO112" s="572">
        <f t="shared" si="167"/>
        <v>633</v>
      </c>
      <c r="AP112" s="572">
        <f t="shared" ca="1" si="167"/>
        <v>351.66360672917762</v>
      </c>
      <c r="AQ112" s="572">
        <f t="shared" ca="1" si="167"/>
        <v>424.31846360649337</v>
      </c>
      <c r="AR112" s="572">
        <f t="shared" ca="1" si="167"/>
        <v>490.06765542037806</v>
      </c>
      <c r="AS112" s="572">
        <f t="shared" ca="1" si="167"/>
        <v>535.62997010847562</v>
      </c>
      <c r="AT112" s="572">
        <f t="shared" ca="1" si="167"/>
        <v>560.5291253419756</v>
      </c>
    </row>
    <row r="113" spans="2:46" x14ac:dyDescent="0.25">
      <c r="B113" s="551" t="s">
        <v>184</v>
      </c>
      <c r="H113" s="69" t="s">
        <v>296</v>
      </c>
      <c r="K113" s="571"/>
      <c r="L113" s="568">
        <v>897</v>
      </c>
      <c r="M113" s="568">
        <v>1008</v>
      </c>
      <c r="N113" s="569">
        <v>894</v>
      </c>
      <c r="O113" s="569">
        <v>1041</v>
      </c>
      <c r="P113" s="568">
        <v>1206</v>
      </c>
      <c r="Q113" s="568">
        <v>1591</v>
      </c>
      <c r="R113" s="568">
        <v>1507</v>
      </c>
      <c r="S113" s="572">
        <f>+R113</f>
        <v>1507</v>
      </c>
      <c r="T113" s="572">
        <f>+S113</f>
        <v>1507</v>
      </c>
      <c r="U113" s="572">
        <f>+T113</f>
        <v>1507</v>
      </c>
      <c r="V113" s="572">
        <f t="shared" ref="V113" si="173">+U113</f>
        <v>1507</v>
      </c>
      <c r="W113" s="572">
        <f t="shared" ref="W113" si="174">+V113</f>
        <v>1507</v>
      </c>
      <c r="X113" s="572">
        <f t="shared" ref="X113" si="175">+W113</f>
        <v>1507</v>
      </c>
      <c r="Y113" s="572">
        <f t="shared" ref="Y113" si="176">+X113</f>
        <v>1507</v>
      </c>
      <c r="Z113" s="572">
        <f t="shared" ref="Z113" si="177">+Y113</f>
        <v>1507</v>
      </c>
      <c r="AA113" s="572">
        <f t="shared" ref="AA113" si="178">+Z113</f>
        <v>1507</v>
      </c>
      <c r="AB113" s="572">
        <f t="shared" ref="AB113" si="179">+AA113</f>
        <v>1507</v>
      </c>
      <c r="AC113" s="572">
        <f t="shared" ref="AC113" si="180">+AB113</f>
        <v>1507</v>
      </c>
      <c r="AD113" s="572">
        <f t="shared" ref="AD113" si="181">+AC113</f>
        <v>1507</v>
      </c>
      <c r="AE113" s="572">
        <f t="shared" ref="AE113" si="182">+AD113</f>
        <v>1507</v>
      </c>
      <c r="AF113" s="572">
        <f t="shared" ref="AF113" si="183">+AE113</f>
        <v>1507</v>
      </c>
      <c r="AG113" s="572">
        <f t="shared" ref="AG113" si="184">+AF113</f>
        <v>1507</v>
      </c>
      <c r="AH113" s="572">
        <f t="shared" ref="AH113" si="185">+AG113</f>
        <v>1507</v>
      </c>
      <c r="AI113" s="572">
        <f t="shared" ref="AI113" si="186">+AH113</f>
        <v>1507</v>
      </c>
      <c r="AJ113" s="572">
        <f t="shared" ref="AJ113" si="187">+AI113</f>
        <v>1507</v>
      </c>
      <c r="AK113" s="572">
        <f t="shared" ref="AK113" si="188">+AJ113</f>
        <v>1507</v>
      </c>
      <c r="AL113" s="572">
        <f t="shared" ref="AL113" si="189">+AK113</f>
        <v>1507</v>
      </c>
      <c r="AN113" s="572">
        <f t="shared" si="167"/>
        <v>894</v>
      </c>
      <c r="AO113" s="572">
        <f t="shared" si="167"/>
        <v>1507</v>
      </c>
      <c r="AP113" s="572">
        <f t="shared" si="167"/>
        <v>1507</v>
      </c>
      <c r="AQ113" s="572">
        <f t="shared" si="167"/>
        <v>1507</v>
      </c>
      <c r="AR113" s="572">
        <f t="shared" si="167"/>
        <v>1507</v>
      </c>
      <c r="AS113" s="572">
        <f t="shared" si="167"/>
        <v>1507</v>
      </c>
      <c r="AT113" s="572">
        <f t="shared" si="167"/>
        <v>1507</v>
      </c>
    </row>
    <row r="114" spans="2:46" ht="16.5" thickBot="1" x14ac:dyDescent="0.3">
      <c r="B114" s="60" t="s">
        <v>185</v>
      </c>
      <c r="C114" s="134"/>
      <c r="D114" s="134"/>
      <c r="E114" s="134"/>
      <c r="F114" s="134"/>
      <c r="G114" s="134"/>
      <c r="H114" s="134" t="s">
        <v>89</v>
      </c>
      <c r="I114" s="134"/>
      <c r="J114" s="134"/>
      <c r="K114" s="577"/>
      <c r="L114" s="578">
        <f t="shared" ref="L114:AL114" si="190">SUM(L106:L113)+L104</f>
        <v>181693</v>
      </c>
      <c r="M114" s="578">
        <f t="shared" si="190"/>
        <v>617777</v>
      </c>
      <c r="N114" s="579">
        <f t="shared" si="190"/>
        <v>661311</v>
      </c>
      <c r="O114" s="579">
        <f t="shared" si="190"/>
        <v>684511</v>
      </c>
      <c r="P114" s="578">
        <f t="shared" si="190"/>
        <v>701050</v>
      </c>
      <c r="Q114" s="578">
        <f t="shared" si="190"/>
        <v>713699</v>
      </c>
      <c r="R114" s="578">
        <f t="shared" si="190"/>
        <v>747347</v>
      </c>
      <c r="S114" s="578">
        <f t="shared" ca="1" si="190"/>
        <v>767864.4566679718</v>
      </c>
      <c r="T114" s="578">
        <f t="shared" ca="1" si="190"/>
        <v>788566.79676234815</v>
      </c>
      <c r="U114" s="578">
        <f t="shared" ca="1" si="190"/>
        <v>6255177.9569730582</v>
      </c>
      <c r="V114" s="578">
        <f t="shared" ca="1" si="190"/>
        <v>6289293.3540634969</v>
      </c>
      <c r="W114" s="578">
        <f t="shared" ca="1" si="190"/>
        <v>6291391.3459525546</v>
      </c>
      <c r="X114" s="578">
        <f t="shared" ca="1" si="190"/>
        <v>6321907.8152651833</v>
      </c>
      <c r="Y114" s="578">
        <f t="shared" ca="1" si="190"/>
        <v>6333493.0870650625</v>
      </c>
      <c r="Z114" s="578">
        <f t="shared" ca="1" si="190"/>
        <v>6366892.1177321048</v>
      </c>
      <c r="AA114" s="578">
        <f t="shared" ca="1" si="190"/>
        <v>6361291.39047617</v>
      </c>
      <c r="AB114" s="578">
        <f t="shared" ca="1" si="190"/>
        <v>6392096.1974267261</v>
      </c>
      <c r="AC114" s="578">
        <f t="shared" ca="1" si="190"/>
        <v>6418010.6197179742</v>
      </c>
      <c r="AD114" s="578">
        <f t="shared" ca="1" si="190"/>
        <v>6445697.6202759799</v>
      </c>
      <c r="AE114" s="578">
        <f t="shared" ca="1" si="190"/>
        <v>6421709.9664677214</v>
      </c>
      <c r="AF114" s="578">
        <f t="shared" ca="1" si="190"/>
        <v>6454693.3042306583</v>
      </c>
      <c r="AG114" s="578">
        <f t="shared" ca="1" si="190"/>
        <v>6491432.2665472478</v>
      </c>
      <c r="AH114" s="578">
        <f t="shared" ca="1" si="190"/>
        <v>6513717.3707522294</v>
      </c>
      <c r="AI114" s="578">
        <f t="shared" ca="1" si="190"/>
        <v>6479969.2655905029</v>
      </c>
      <c r="AJ114" s="578">
        <f t="shared" ca="1" si="190"/>
        <v>6507208.4544870751</v>
      </c>
      <c r="AK114" s="578">
        <f t="shared" ca="1" si="190"/>
        <v>6548685.6962931538</v>
      </c>
      <c r="AL114" s="578">
        <f t="shared" ca="1" si="190"/>
        <v>6567275.3809595415</v>
      </c>
      <c r="AN114" s="777">
        <f t="shared" ref="AN114:AT114" si="191">SUM(AN106:AN113)+AN104</f>
        <v>661311</v>
      </c>
      <c r="AO114" s="777">
        <f t="shared" si="191"/>
        <v>747347</v>
      </c>
      <c r="AP114" s="777">
        <f t="shared" ca="1" si="191"/>
        <v>6289293.3540634969</v>
      </c>
      <c r="AQ114" s="777">
        <f t="shared" ca="1" si="191"/>
        <v>6366892.1177321048</v>
      </c>
      <c r="AR114" s="777">
        <f t="shared" ca="1" si="191"/>
        <v>6445697.6202759799</v>
      </c>
      <c r="AS114" s="777">
        <f t="shared" ca="1" si="191"/>
        <v>6513717.3707522294</v>
      </c>
      <c r="AT114" s="777">
        <f t="shared" ca="1" si="191"/>
        <v>6567275.3809595415</v>
      </c>
    </row>
    <row r="115" spans="2:46" ht="16.5" thickTop="1" x14ac:dyDescent="0.25">
      <c r="B115" s="60"/>
      <c r="C115" s="134"/>
      <c r="D115" s="134"/>
      <c r="E115" s="134"/>
      <c r="F115" s="134"/>
      <c r="G115" s="134"/>
      <c r="H115" s="134"/>
      <c r="I115" s="134"/>
      <c r="J115" s="134"/>
      <c r="K115" s="581"/>
      <c r="L115" s="582"/>
      <c r="M115" s="582"/>
      <c r="N115" s="583"/>
      <c r="O115" s="583"/>
      <c r="P115" s="582"/>
      <c r="Q115" s="582"/>
      <c r="R115" s="584"/>
      <c r="S115" s="573"/>
      <c r="T115" s="573"/>
      <c r="U115" s="584"/>
      <c r="V115" s="556"/>
      <c r="W115" s="556"/>
      <c r="X115" s="556"/>
      <c r="Y115" s="556"/>
      <c r="Z115" s="556"/>
      <c r="AA115" s="556"/>
      <c r="AB115" s="556"/>
      <c r="AC115" s="556"/>
      <c r="AD115" s="556"/>
      <c r="AE115" s="556"/>
      <c r="AF115" s="556"/>
      <c r="AG115" s="556"/>
      <c r="AH115" s="556"/>
      <c r="AI115" s="556"/>
      <c r="AJ115" s="556"/>
      <c r="AK115" s="556"/>
      <c r="AL115" s="556"/>
      <c r="AN115" s="778"/>
      <c r="AO115" s="778"/>
      <c r="AP115" s="778"/>
      <c r="AQ115" s="778"/>
      <c r="AR115" s="778"/>
      <c r="AS115" s="778"/>
      <c r="AT115" s="778"/>
    </row>
    <row r="116" spans="2:46" x14ac:dyDescent="0.25">
      <c r="B116" s="551" t="s">
        <v>186</v>
      </c>
      <c r="K116" s="581"/>
      <c r="L116" s="582"/>
      <c r="M116" s="582"/>
      <c r="N116" s="583"/>
      <c r="O116" s="583"/>
      <c r="P116" s="582"/>
      <c r="Q116" s="582"/>
      <c r="R116" s="584"/>
      <c r="S116" s="573"/>
      <c r="T116" s="573"/>
      <c r="U116" s="584"/>
      <c r="V116" s="556"/>
      <c r="W116" s="556"/>
      <c r="X116" s="556"/>
      <c r="Y116" s="556"/>
      <c r="Z116" s="556"/>
      <c r="AA116" s="556"/>
      <c r="AB116" s="556"/>
      <c r="AC116" s="556"/>
      <c r="AD116" s="556"/>
      <c r="AE116" s="556"/>
      <c r="AF116" s="556"/>
      <c r="AG116" s="556"/>
      <c r="AH116" s="556"/>
      <c r="AI116" s="556"/>
      <c r="AJ116" s="556"/>
      <c r="AK116" s="556"/>
      <c r="AL116" s="556"/>
      <c r="AN116" s="778"/>
      <c r="AO116" s="778"/>
      <c r="AP116" s="778"/>
      <c r="AQ116" s="778"/>
      <c r="AR116" s="778"/>
      <c r="AS116" s="778"/>
      <c r="AT116" s="778"/>
    </row>
    <row r="117" spans="2:46" x14ac:dyDescent="0.25">
      <c r="B117" s="551" t="s">
        <v>187</v>
      </c>
      <c r="K117" s="581"/>
      <c r="L117" s="582"/>
      <c r="M117" s="582"/>
      <c r="N117" s="583"/>
      <c r="O117" s="583"/>
      <c r="P117" s="582"/>
      <c r="Q117" s="582"/>
      <c r="R117" s="556"/>
      <c r="S117" s="570"/>
      <c r="T117" s="570"/>
      <c r="U117" s="556"/>
      <c r="V117" s="556"/>
      <c r="W117" s="556"/>
      <c r="X117" s="556"/>
      <c r="Y117" s="556"/>
      <c r="Z117" s="556"/>
      <c r="AA117" s="556"/>
      <c r="AB117" s="556"/>
      <c r="AC117" s="556"/>
      <c r="AD117" s="556"/>
      <c r="AE117" s="556"/>
      <c r="AF117" s="556"/>
      <c r="AG117" s="556"/>
      <c r="AH117" s="556"/>
      <c r="AI117" s="556"/>
      <c r="AJ117" s="556"/>
      <c r="AK117" s="556"/>
      <c r="AL117" s="556"/>
      <c r="AN117" s="778"/>
      <c r="AO117" s="778"/>
      <c r="AP117" s="778"/>
      <c r="AQ117" s="778"/>
      <c r="AR117" s="778"/>
      <c r="AS117" s="778"/>
      <c r="AT117" s="778"/>
    </row>
    <row r="118" spans="2:46" x14ac:dyDescent="0.25">
      <c r="B118" s="98" t="s">
        <v>188</v>
      </c>
      <c r="C118" s="76"/>
      <c r="D118" s="76"/>
      <c r="E118" s="76"/>
      <c r="F118" s="76"/>
      <c r="G118" s="76"/>
      <c r="H118" s="69" t="s">
        <v>297</v>
      </c>
      <c r="J118" s="76"/>
      <c r="K118" s="571"/>
      <c r="L118" s="568">
        <v>4266</v>
      </c>
      <c r="M118" s="569">
        <v>8708</v>
      </c>
      <c r="N118" s="569">
        <v>7818</v>
      </c>
      <c r="O118" s="569">
        <v>2018</v>
      </c>
      <c r="P118" s="568">
        <v>1504</v>
      </c>
      <c r="Q118" s="568">
        <v>3363</v>
      </c>
      <c r="R118" s="568">
        <v>1177</v>
      </c>
      <c r="S118" s="572">
        <f ca="1">+S202</f>
        <v>3828.0791501011713</v>
      </c>
      <c r="T118" s="572">
        <f t="shared" ref="T118:V118" ca="1" si="192">+T202</f>
        <v>3991.7237324892212</v>
      </c>
      <c r="U118" s="572">
        <f t="shared" ca="1" si="192"/>
        <v>3833.1596879259596</v>
      </c>
      <c r="V118" s="572">
        <f t="shared" ca="1" si="192"/>
        <v>4336.1423764287756</v>
      </c>
      <c r="W118" s="572">
        <f t="shared" ref="W118:AG118" ca="1" si="193">+W202</f>
        <v>4681.8762206799865</v>
      </c>
      <c r="X118" s="572">
        <f t="shared" ca="1" si="193"/>
        <v>4864.9132989712389</v>
      </c>
      <c r="Y118" s="572">
        <f t="shared" ca="1" si="193"/>
        <v>5156.2180318229839</v>
      </c>
      <c r="Z118" s="572">
        <f t="shared" ca="1" si="193"/>
        <v>5445.5059049777255</v>
      </c>
      <c r="AA118" s="572">
        <f t="shared" ca="1" si="193"/>
        <v>5399.1956488453097</v>
      </c>
      <c r="AB118" s="572">
        <f t="shared" ca="1" si="193"/>
        <v>5633.7101329632969</v>
      </c>
      <c r="AC118" s="572">
        <f t="shared" ca="1" si="193"/>
        <v>6143.6464849614986</v>
      </c>
      <c r="AD118" s="572">
        <f t="shared" ca="1" si="193"/>
        <v>6289.3004672668212</v>
      </c>
      <c r="AE118" s="572">
        <f t="shared" ca="1" si="193"/>
        <v>5895.5284546903895</v>
      </c>
      <c r="AF118" s="572">
        <f t="shared" ca="1" si="193"/>
        <v>6167.8834981618538</v>
      </c>
      <c r="AG118" s="572">
        <f t="shared" ca="1" si="193"/>
        <v>6849.5605453640947</v>
      </c>
      <c r="AH118" s="572">
        <f t="shared" ref="AH118:AL118" ca="1" si="194">+AH202</f>
        <v>6874.026032988565</v>
      </c>
      <c r="AI118" s="572">
        <f t="shared" ca="1" si="194"/>
        <v>6166.5080940818389</v>
      </c>
      <c r="AJ118" s="572">
        <f t="shared" ca="1" si="194"/>
        <v>6460.2946274714805</v>
      </c>
      <c r="AK118" s="572">
        <f t="shared" ca="1" si="194"/>
        <v>7243.0728599468939</v>
      </c>
      <c r="AL118" s="572">
        <f t="shared" ca="1" si="194"/>
        <v>7193.5702161488907</v>
      </c>
      <c r="AN118" s="572">
        <f t="shared" ref="AN118:AT122" si="195">INDEX($K118:$AL118,MATCH(AN$5,$K$5:$AL$5,0))</f>
        <v>7818</v>
      </c>
      <c r="AO118" s="572">
        <f t="shared" si="195"/>
        <v>1177</v>
      </c>
      <c r="AP118" s="572">
        <f t="shared" ca="1" si="195"/>
        <v>4336.1423764287756</v>
      </c>
      <c r="AQ118" s="572">
        <f t="shared" ca="1" si="195"/>
        <v>5445.5059049777255</v>
      </c>
      <c r="AR118" s="572">
        <f t="shared" ca="1" si="195"/>
        <v>6289.3004672668212</v>
      </c>
      <c r="AS118" s="572">
        <f t="shared" ca="1" si="195"/>
        <v>6874.026032988565</v>
      </c>
      <c r="AT118" s="572">
        <f t="shared" ca="1" si="195"/>
        <v>7193.5702161488907</v>
      </c>
    </row>
    <row r="119" spans="2:46" x14ac:dyDescent="0.25">
      <c r="B119" s="98" t="s">
        <v>189</v>
      </c>
      <c r="C119" s="76"/>
      <c r="D119" s="76"/>
      <c r="E119" s="76"/>
      <c r="F119" s="76"/>
      <c r="G119" s="76"/>
      <c r="H119" s="551" t="s">
        <v>290</v>
      </c>
      <c r="I119" s="551"/>
      <c r="J119" s="76"/>
      <c r="K119" s="541"/>
      <c r="L119" s="568">
        <v>70997</v>
      </c>
      <c r="M119" s="568">
        <v>80460</v>
      </c>
      <c r="N119" s="568">
        <v>98267</v>
      </c>
      <c r="O119" s="568">
        <v>119101</v>
      </c>
      <c r="P119" s="568">
        <v>128194</v>
      </c>
      <c r="Q119" s="568">
        <v>134944</v>
      </c>
      <c r="R119" s="572">
        <v>157550</v>
      </c>
      <c r="S119" s="572">
        <f ca="1">+S205</f>
        <v>165416.88861504965</v>
      </c>
      <c r="T119" s="572">
        <f ca="1">+T205</f>
        <v>172364.66628646778</v>
      </c>
      <c r="U119" s="572">
        <f t="shared" ref="U119:V119" ca="1" si="196">+U205</f>
        <v>176808.76428463508</v>
      </c>
      <c r="V119" s="572">
        <f t="shared" ca="1" si="196"/>
        <v>195789.97607316787</v>
      </c>
      <c r="W119" s="572">
        <f t="shared" ref="W119:AG119" ca="1" si="197">+W205</f>
        <v>199208.68271848309</v>
      </c>
      <c r="X119" s="572">
        <f t="shared" ca="1" si="197"/>
        <v>208682.79478183229</v>
      </c>
      <c r="Y119" s="572">
        <f t="shared" ca="1" si="197"/>
        <v>221954.51608473485</v>
      </c>
      <c r="Z119" s="572">
        <f t="shared" ca="1" si="197"/>
        <v>236240.82858508016</v>
      </c>
      <c r="AA119" s="572">
        <f t="shared" ca="1" si="197"/>
        <v>229729.83527309625</v>
      </c>
      <c r="AB119" s="572">
        <f t="shared" ca="1" si="197"/>
        <v>241660.70457743196</v>
      </c>
      <c r="AC119" s="572">
        <f t="shared" ca="1" si="197"/>
        <v>264459.35260096181</v>
      </c>
      <c r="AD119" s="572">
        <f t="shared" ca="1" si="197"/>
        <v>272846.92727070377</v>
      </c>
      <c r="AE119" s="572">
        <f t="shared" ca="1" si="197"/>
        <v>250848.25015250684</v>
      </c>
      <c r="AF119" s="572">
        <f t="shared" ca="1" si="197"/>
        <v>264574.32788315957</v>
      </c>
      <c r="AG119" s="572">
        <f t="shared" ca="1" si="197"/>
        <v>294846.12304144178</v>
      </c>
      <c r="AH119" s="572">
        <f t="shared" ref="AH119:AL119" ca="1" si="198">+AH205</f>
        <v>298213.90961383464</v>
      </c>
      <c r="AI119" s="572">
        <f t="shared" ca="1" si="198"/>
        <v>262378.13570741803</v>
      </c>
      <c r="AJ119" s="572">
        <f t="shared" ca="1" si="198"/>
        <v>277117.44385247165</v>
      </c>
      <c r="AK119" s="572">
        <f t="shared" ca="1" si="198"/>
        <v>311785.25067676598</v>
      </c>
      <c r="AL119" s="572">
        <f t="shared" ca="1" si="198"/>
        <v>312076.60371730314</v>
      </c>
      <c r="AN119" s="779">
        <f t="shared" si="195"/>
        <v>98267</v>
      </c>
      <c r="AO119" s="779">
        <f>INDEX($K119:$AL119,MATCH(AO$5,$K$5:$AL$5,0))</f>
        <v>157550</v>
      </c>
      <c r="AP119" s="779">
        <f t="shared" ca="1" si="195"/>
        <v>195789.97607316787</v>
      </c>
      <c r="AQ119" s="779">
        <f t="shared" ca="1" si="195"/>
        <v>236240.82858508016</v>
      </c>
      <c r="AR119" s="779">
        <f t="shared" ca="1" si="195"/>
        <v>272846.92727070377</v>
      </c>
      <c r="AS119" s="779">
        <f t="shared" ca="1" si="195"/>
        <v>298213.90961383464</v>
      </c>
      <c r="AT119" s="779">
        <f t="shared" ca="1" si="195"/>
        <v>312076.60371730314</v>
      </c>
    </row>
    <row r="120" spans="2:46" s="581" customFormat="1" x14ac:dyDescent="0.25">
      <c r="B120" s="98" t="s">
        <v>190</v>
      </c>
      <c r="C120" s="76"/>
      <c r="D120" s="76"/>
      <c r="E120" s="76"/>
      <c r="F120" s="76"/>
      <c r="G120" s="76"/>
      <c r="H120" s="69" t="s">
        <v>298</v>
      </c>
      <c r="I120" s="69"/>
      <c r="J120" s="76"/>
      <c r="K120" s="541"/>
      <c r="L120" s="568">
        <v>9</v>
      </c>
      <c r="M120" s="568">
        <v>25</v>
      </c>
      <c r="N120" s="568">
        <v>113</v>
      </c>
      <c r="O120" s="568">
        <v>138</v>
      </c>
      <c r="P120" s="568">
        <v>92</v>
      </c>
      <c r="Q120" s="568">
        <v>145</v>
      </c>
      <c r="R120" s="568">
        <v>1069</v>
      </c>
      <c r="S120" s="572">
        <f>R120</f>
        <v>1069</v>
      </c>
      <c r="T120" s="572">
        <f t="shared" ref="T120:U120" si="199">+S120</f>
        <v>1069</v>
      </c>
      <c r="U120" s="572">
        <f t="shared" si="199"/>
        <v>1069</v>
      </c>
      <c r="V120" s="572">
        <f t="shared" ref="V120:AL120" si="200">+U120</f>
        <v>1069</v>
      </c>
      <c r="W120" s="572">
        <f t="shared" si="200"/>
        <v>1069</v>
      </c>
      <c r="X120" s="572">
        <f t="shared" si="200"/>
        <v>1069</v>
      </c>
      <c r="Y120" s="572">
        <f t="shared" si="200"/>
        <v>1069</v>
      </c>
      <c r="Z120" s="572">
        <f t="shared" si="200"/>
        <v>1069</v>
      </c>
      <c r="AA120" s="572">
        <f t="shared" si="200"/>
        <v>1069</v>
      </c>
      <c r="AB120" s="572">
        <f t="shared" si="200"/>
        <v>1069</v>
      </c>
      <c r="AC120" s="572">
        <f t="shared" si="200"/>
        <v>1069</v>
      </c>
      <c r="AD120" s="572">
        <f t="shared" si="200"/>
        <v>1069</v>
      </c>
      <c r="AE120" s="572">
        <f t="shared" si="200"/>
        <v>1069</v>
      </c>
      <c r="AF120" s="572">
        <f t="shared" si="200"/>
        <v>1069</v>
      </c>
      <c r="AG120" s="572">
        <f t="shared" si="200"/>
        <v>1069</v>
      </c>
      <c r="AH120" s="572">
        <f t="shared" si="200"/>
        <v>1069</v>
      </c>
      <c r="AI120" s="572">
        <f t="shared" si="200"/>
        <v>1069</v>
      </c>
      <c r="AJ120" s="572">
        <f t="shared" si="200"/>
        <v>1069</v>
      </c>
      <c r="AK120" s="572">
        <f t="shared" si="200"/>
        <v>1069</v>
      </c>
      <c r="AL120" s="572">
        <f t="shared" si="200"/>
        <v>1069</v>
      </c>
      <c r="AM120" s="69"/>
      <c r="AN120" s="779">
        <f t="shared" si="195"/>
        <v>113</v>
      </c>
      <c r="AO120" s="779">
        <f t="shared" si="195"/>
        <v>1069</v>
      </c>
      <c r="AP120" s="779">
        <f t="shared" si="195"/>
        <v>1069</v>
      </c>
      <c r="AQ120" s="779">
        <f t="shared" si="195"/>
        <v>1069</v>
      </c>
      <c r="AR120" s="779">
        <f t="shared" si="195"/>
        <v>1069</v>
      </c>
      <c r="AS120" s="779">
        <f t="shared" si="195"/>
        <v>1069</v>
      </c>
      <c r="AT120" s="779">
        <f t="shared" si="195"/>
        <v>1069</v>
      </c>
    </row>
    <row r="121" spans="2:46" s="581" customFormat="1" x14ac:dyDescent="0.25">
      <c r="B121" s="98" t="s">
        <v>299</v>
      </c>
      <c r="C121" s="76"/>
      <c r="D121" s="76"/>
      <c r="E121" s="76"/>
      <c r="F121" s="76"/>
      <c r="G121" s="76"/>
      <c r="H121" s="69" t="s">
        <v>300</v>
      </c>
      <c r="I121" s="69"/>
      <c r="J121" s="76"/>
      <c r="K121" s="541"/>
      <c r="L121" s="572">
        <f>+L307</f>
        <v>0</v>
      </c>
      <c r="M121" s="572">
        <f>+L307</f>
        <v>0</v>
      </c>
      <c r="N121" s="572">
        <f t="shared" ref="N121:AL121" si="201">+M307</f>
        <v>0</v>
      </c>
      <c r="O121" s="572">
        <f t="shared" si="201"/>
        <v>0</v>
      </c>
      <c r="P121" s="572">
        <f t="shared" si="201"/>
        <v>0</v>
      </c>
      <c r="Q121" s="572">
        <f t="shared" si="201"/>
        <v>0</v>
      </c>
      <c r="R121" s="572">
        <f t="shared" si="201"/>
        <v>0</v>
      </c>
      <c r="S121" s="572">
        <f t="shared" ca="1" si="201"/>
        <v>0</v>
      </c>
      <c r="T121" s="572">
        <f t="shared" ca="1" si="201"/>
        <v>0</v>
      </c>
      <c r="U121" s="572">
        <f t="shared" ca="1" si="201"/>
        <v>0</v>
      </c>
      <c r="V121" s="572">
        <f t="shared" si="201"/>
        <v>0</v>
      </c>
      <c r="W121" s="572">
        <f t="shared" ca="1" si="201"/>
        <v>2122.3438557079335</v>
      </c>
      <c r="X121" s="572">
        <f t="shared" ca="1" si="201"/>
        <v>2122.3438557079335</v>
      </c>
      <c r="Y121" s="572">
        <f t="shared" ca="1" si="201"/>
        <v>5406.6692456257151</v>
      </c>
      <c r="Z121" s="572">
        <f t="shared" ca="1" si="201"/>
        <v>5406.6692456257151</v>
      </c>
      <c r="AA121" s="572">
        <f t="shared" ca="1" si="201"/>
        <v>8751.2232031911517</v>
      </c>
      <c r="AB121" s="572">
        <f t="shared" ca="1" si="201"/>
        <v>3344.5539575654366</v>
      </c>
      <c r="AC121" s="572">
        <f t="shared" ca="1" si="201"/>
        <v>7069.7670545123892</v>
      </c>
      <c r="AD121" s="572">
        <f t="shared" ca="1" si="201"/>
        <v>7069.7670545123892</v>
      </c>
      <c r="AE121" s="572">
        <f t="shared" ca="1" si="201"/>
        <v>10848.430912837461</v>
      </c>
      <c r="AF121" s="572">
        <f t="shared" ca="1" si="201"/>
        <v>3778.6638583250715</v>
      </c>
      <c r="AG121" s="572">
        <f t="shared" ca="1" si="201"/>
        <v>7761.9614652137689</v>
      </c>
      <c r="AH121" s="572">
        <f t="shared" ca="1" si="201"/>
        <v>7761.9614652137689</v>
      </c>
      <c r="AI121" s="572">
        <f t="shared" ca="1" si="201"/>
        <v>11791.325789239008</v>
      </c>
      <c r="AJ121" s="572">
        <f t="shared" ca="1" si="201"/>
        <v>4029.3643240252395</v>
      </c>
      <c r="AK121" s="572">
        <f t="shared" ca="1" si="201"/>
        <v>8032.6367797072435</v>
      </c>
      <c r="AL121" s="572">
        <f t="shared" ca="1" si="201"/>
        <v>8032.6367797072435</v>
      </c>
      <c r="AM121" s="69"/>
      <c r="AN121" s="779">
        <f t="shared" si="195"/>
        <v>0</v>
      </c>
      <c r="AO121" s="779">
        <f t="shared" si="195"/>
        <v>0</v>
      </c>
      <c r="AP121" s="779">
        <f t="shared" si="195"/>
        <v>0</v>
      </c>
      <c r="AQ121" s="779">
        <f t="shared" ca="1" si="195"/>
        <v>5406.6692456257151</v>
      </c>
      <c r="AR121" s="779">
        <f t="shared" ca="1" si="195"/>
        <v>7069.7670545123892</v>
      </c>
      <c r="AS121" s="779">
        <f t="shared" ca="1" si="195"/>
        <v>7761.9614652137689</v>
      </c>
      <c r="AT121" s="779">
        <f t="shared" ca="1" si="195"/>
        <v>8032.6367797072435</v>
      </c>
    </row>
    <row r="122" spans="2:46" x14ac:dyDescent="0.25">
      <c r="B122" s="742" t="s">
        <v>191</v>
      </c>
      <c r="C122" s="137"/>
      <c r="D122" s="137"/>
      <c r="E122" s="137"/>
      <c r="F122" s="137"/>
      <c r="G122" s="137"/>
      <c r="H122" s="585" t="s">
        <v>301</v>
      </c>
      <c r="I122" s="586"/>
      <c r="J122" s="137"/>
      <c r="K122" s="544"/>
      <c r="L122" s="569">
        <v>9779</v>
      </c>
      <c r="M122" s="569">
        <v>9452</v>
      </c>
      <c r="N122" s="569">
        <v>12933</v>
      </c>
      <c r="O122" s="569">
        <v>14518</v>
      </c>
      <c r="P122" s="569">
        <v>17536</v>
      </c>
      <c r="Q122" s="569">
        <v>17178</v>
      </c>
      <c r="R122" s="569">
        <v>21970</v>
      </c>
      <c r="S122" s="576">
        <f ca="1">+S300</f>
        <v>16206.921017488772</v>
      </c>
      <c r="T122" s="576">
        <f t="shared" ref="T122:AL122" ca="1" si="202">+T300</f>
        <v>16887.637992100645</v>
      </c>
      <c r="U122" s="576">
        <f t="shared" ca="1" si="202"/>
        <v>17323.053903095628</v>
      </c>
      <c r="V122" s="576">
        <f t="shared" ca="1" si="202"/>
        <v>19182.761233154732</v>
      </c>
      <c r="W122" s="576">
        <f t="shared" ca="1" si="202"/>
        <v>19517.713178185732</v>
      </c>
      <c r="X122" s="576">
        <f t="shared" ca="1" si="202"/>
        <v>20445.950840053883</v>
      </c>
      <c r="Y122" s="576">
        <f t="shared" ca="1" si="202"/>
        <v>21746.263889846647</v>
      </c>
      <c r="Z122" s="576">
        <f t="shared" ca="1" si="202"/>
        <v>23145.982747230555</v>
      </c>
      <c r="AA122" s="576">
        <f t="shared" ca="1" si="202"/>
        <v>22508.060251914561</v>
      </c>
      <c r="AB122" s="576">
        <f t="shared" ca="1" si="202"/>
        <v>23677.001694981685</v>
      </c>
      <c r="AC122" s="576">
        <f t="shared" ca="1" si="202"/>
        <v>25910.726986978611</v>
      </c>
      <c r="AD122" s="576">
        <f t="shared" ca="1" si="202"/>
        <v>26732.50982510914</v>
      </c>
      <c r="AE122" s="576">
        <f t="shared" ca="1" si="202"/>
        <v>24577.16265633512</v>
      </c>
      <c r="AF122" s="576">
        <f t="shared" ca="1" si="202"/>
        <v>25921.991830206796</v>
      </c>
      <c r="AG122" s="576">
        <f t="shared" ca="1" si="202"/>
        <v>28887.907809497214</v>
      </c>
      <c r="AH122" s="576">
        <f t="shared" ca="1" si="202"/>
        <v>29217.870798400661</v>
      </c>
      <c r="AI122" s="576">
        <f t="shared" ca="1" si="202"/>
        <v>25706.817228450735</v>
      </c>
      <c r="AJ122" s="576">
        <f t="shared" ca="1" si="202"/>
        <v>27150.918885538606</v>
      </c>
      <c r="AK122" s="576">
        <f t="shared" ca="1" si="202"/>
        <v>30547.539458897518</v>
      </c>
      <c r="AL122" s="576">
        <f t="shared" ca="1" si="202"/>
        <v>30576.085127696664</v>
      </c>
      <c r="AM122" s="581"/>
      <c r="AN122" s="779">
        <f t="shared" si="195"/>
        <v>12933</v>
      </c>
      <c r="AO122" s="779">
        <f t="shared" si="195"/>
        <v>21970</v>
      </c>
      <c r="AP122" s="779">
        <f t="shared" ca="1" si="195"/>
        <v>19182.761233154732</v>
      </c>
      <c r="AQ122" s="779">
        <f t="shared" ca="1" si="195"/>
        <v>23145.982747230555</v>
      </c>
      <c r="AR122" s="779">
        <f t="shared" ca="1" si="195"/>
        <v>26732.50982510914</v>
      </c>
      <c r="AS122" s="779">
        <f t="shared" ca="1" si="195"/>
        <v>29217.870798400661</v>
      </c>
      <c r="AT122" s="779">
        <f t="shared" ca="1" si="195"/>
        <v>30576.085127696664</v>
      </c>
    </row>
    <row r="123" spans="2:46" x14ac:dyDescent="0.25">
      <c r="B123" s="638" t="s">
        <v>192</v>
      </c>
      <c r="C123" s="138"/>
      <c r="D123" s="138"/>
      <c r="E123" s="138"/>
      <c r="F123" s="138"/>
      <c r="G123" s="138"/>
      <c r="H123" s="138"/>
      <c r="I123" s="138"/>
      <c r="J123" s="138"/>
      <c r="K123" s="574"/>
      <c r="L123" s="125">
        <f>SUM(L118:L122)</f>
        <v>85051</v>
      </c>
      <c r="M123" s="575">
        <f t="shared" ref="M123:R123" si="203">SUM(M118:M122)</f>
        <v>98645</v>
      </c>
      <c r="N123" s="575">
        <f t="shared" si="203"/>
        <v>119131</v>
      </c>
      <c r="O123" s="575">
        <f t="shared" si="203"/>
        <v>135775</v>
      </c>
      <c r="P123" s="125">
        <f t="shared" si="203"/>
        <v>147326</v>
      </c>
      <c r="Q123" s="125">
        <f t="shared" si="203"/>
        <v>155630</v>
      </c>
      <c r="R123" s="125">
        <f t="shared" si="203"/>
        <v>181766</v>
      </c>
      <c r="S123" s="125">
        <f t="shared" ref="S123:T123" ca="1" si="204">SUM(S118:S122)</f>
        <v>186520.88878263961</v>
      </c>
      <c r="T123" s="125">
        <f t="shared" ca="1" si="204"/>
        <v>194313.02801105764</v>
      </c>
      <c r="U123" s="125">
        <f t="shared" ref="U123:V123" ca="1" si="205">SUM(U118:U122)</f>
        <v>199033.97787565665</v>
      </c>
      <c r="V123" s="125">
        <f t="shared" ca="1" si="205"/>
        <v>220377.87968275137</v>
      </c>
      <c r="W123" s="125">
        <f t="shared" ref="W123:AG123" ca="1" si="206">SUM(W118:W122)</f>
        <v>226599.61597305676</v>
      </c>
      <c r="X123" s="125">
        <f t="shared" ca="1" si="206"/>
        <v>237185.00277656535</v>
      </c>
      <c r="Y123" s="125">
        <f t="shared" ca="1" si="206"/>
        <v>255332.66725203019</v>
      </c>
      <c r="Z123" s="125">
        <f t="shared" ca="1" si="206"/>
        <v>271307.98648291419</v>
      </c>
      <c r="AA123" s="125">
        <f t="shared" ca="1" si="206"/>
        <v>267457.3143770473</v>
      </c>
      <c r="AB123" s="125">
        <f t="shared" ca="1" si="206"/>
        <v>275384.97036294237</v>
      </c>
      <c r="AC123" s="125">
        <f t="shared" ca="1" si="206"/>
        <v>304652.49312741432</v>
      </c>
      <c r="AD123" s="125">
        <f t="shared" ca="1" si="206"/>
        <v>314007.50461759215</v>
      </c>
      <c r="AE123" s="125">
        <f t="shared" ca="1" si="206"/>
        <v>293238.37217636977</v>
      </c>
      <c r="AF123" s="125">
        <f t="shared" ca="1" si="206"/>
        <v>301511.86706985324</v>
      </c>
      <c r="AG123" s="125">
        <f t="shared" ca="1" si="206"/>
        <v>339414.55286151689</v>
      </c>
      <c r="AH123" s="125">
        <f t="shared" ref="AH123:AN123" ca="1" si="207">SUM(AH118:AH122)</f>
        <v>343136.76791043766</v>
      </c>
      <c r="AI123" s="125">
        <f t="shared" ca="1" si="207"/>
        <v>307111.78681918961</v>
      </c>
      <c r="AJ123" s="125">
        <f t="shared" ca="1" si="207"/>
        <v>315827.02168950695</v>
      </c>
      <c r="AK123" s="125">
        <f t="shared" ca="1" si="207"/>
        <v>358677.49977531761</v>
      </c>
      <c r="AL123" s="125">
        <f t="shared" ca="1" si="207"/>
        <v>358947.89584085596</v>
      </c>
      <c r="AN123" s="125">
        <f t="shared" si="207"/>
        <v>119131</v>
      </c>
      <c r="AO123" s="125">
        <f t="shared" ref="AO123:AT123" si="208">SUM(AO118:AO122)</f>
        <v>181766</v>
      </c>
      <c r="AP123" s="125">
        <f t="shared" ca="1" si="208"/>
        <v>220377.87968275137</v>
      </c>
      <c r="AQ123" s="125">
        <f t="shared" ca="1" si="208"/>
        <v>271307.98648291419</v>
      </c>
      <c r="AR123" s="125">
        <f t="shared" ca="1" si="208"/>
        <v>314007.50461759215</v>
      </c>
      <c r="AS123" s="125">
        <f t="shared" ca="1" si="208"/>
        <v>343136.76791043766</v>
      </c>
      <c r="AT123" s="125">
        <f t="shared" ca="1" si="208"/>
        <v>358947.89584085596</v>
      </c>
    </row>
    <row r="124" spans="2:46" x14ac:dyDescent="0.25">
      <c r="B124" s="638"/>
      <c r="C124" s="138"/>
      <c r="D124" s="138"/>
      <c r="E124" s="138"/>
      <c r="F124" s="138"/>
      <c r="G124" s="138"/>
      <c r="H124" s="138"/>
      <c r="I124" s="138"/>
      <c r="J124" s="138"/>
      <c r="K124" s="587"/>
      <c r="L124" s="570"/>
      <c r="M124" s="576"/>
      <c r="N124" s="576"/>
      <c r="O124" s="576"/>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c r="AK124" s="570"/>
      <c r="AL124" s="570"/>
      <c r="AN124" s="570"/>
      <c r="AO124" s="570"/>
      <c r="AP124" s="570"/>
      <c r="AQ124" s="570"/>
      <c r="AR124" s="570"/>
      <c r="AS124" s="570"/>
      <c r="AT124" s="570"/>
    </row>
    <row r="125" spans="2:46" x14ac:dyDescent="0.25">
      <c r="B125" s="60" t="s">
        <v>193</v>
      </c>
      <c r="C125" s="134"/>
      <c r="D125" s="134"/>
      <c r="E125" s="134"/>
      <c r="F125" s="134"/>
      <c r="G125" s="134"/>
      <c r="H125" s="134"/>
      <c r="I125" s="134"/>
      <c r="J125" s="134"/>
      <c r="K125" s="587"/>
      <c r="L125" s="570"/>
      <c r="M125" s="576"/>
      <c r="N125" s="576"/>
      <c r="O125" s="576"/>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0"/>
      <c r="AL125" s="570"/>
      <c r="AN125" s="570"/>
      <c r="AO125" s="570"/>
      <c r="AP125" s="570"/>
      <c r="AQ125" s="570"/>
      <c r="AR125" s="570"/>
      <c r="AS125" s="570"/>
      <c r="AT125" s="570"/>
    </row>
    <row r="126" spans="2:46" x14ac:dyDescent="0.25">
      <c r="B126" s="98" t="s">
        <v>194</v>
      </c>
      <c r="C126" s="76"/>
      <c r="D126" s="76"/>
      <c r="E126" s="76"/>
      <c r="F126" s="76"/>
      <c r="G126" s="76"/>
      <c r="H126" s="551" t="s">
        <v>302</v>
      </c>
      <c r="I126" s="551"/>
      <c r="J126" s="76"/>
      <c r="K126" s="571"/>
      <c r="L126" s="568">
        <v>7810</v>
      </c>
      <c r="M126" s="569">
        <v>8401</v>
      </c>
      <c r="N126" s="569">
        <v>29124</v>
      </c>
      <c r="O126" s="569">
        <v>28022</v>
      </c>
      <c r="P126" s="568">
        <v>25505</v>
      </c>
      <c r="Q126" s="568">
        <v>24243</v>
      </c>
      <c r="R126" s="568">
        <v>23503</v>
      </c>
      <c r="S126" s="572">
        <f ca="1">+S291</f>
        <v>30776.735133166814</v>
      </c>
      <c r="T126" s="572">
        <f t="shared" ref="T126:AL126" ca="1" si="209">+T291</f>
        <v>34240.42878399363</v>
      </c>
      <c r="U126" s="572">
        <f t="shared" ca="1" si="209"/>
        <v>32176.104124754394</v>
      </c>
      <c r="V126" s="572">
        <f t="shared" ca="1" si="209"/>
        <v>34841.200095204309</v>
      </c>
      <c r="W126" s="572">
        <f t="shared" ca="1" si="209"/>
        <v>34966.694542047648</v>
      </c>
      <c r="X126" s="572">
        <f t="shared" ca="1" si="209"/>
        <v>39258.132337273521</v>
      </c>
      <c r="Y126" s="572">
        <f t="shared" ca="1" si="209"/>
        <v>38055.189884598818</v>
      </c>
      <c r="Z126" s="572">
        <f t="shared" ca="1" si="209"/>
        <v>39552.453903779293</v>
      </c>
      <c r="AA126" s="572">
        <f t="shared" ca="1" si="209"/>
        <v>40324.010317066204</v>
      </c>
      <c r="AB126" s="572">
        <f t="shared" ca="1" si="209"/>
        <v>45462.051296264908</v>
      </c>
      <c r="AC126" s="572">
        <f t="shared" ca="1" si="209"/>
        <v>45342.852479494279</v>
      </c>
      <c r="AD126" s="572">
        <f t="shared" ca="1" si="209"/>
        <v>45681.204126727687</v>
      </c>
      <c r="AE126" s="572">
        <f t="shared" ca="1" si="209"/>
        <v>44030.882689412196</v>
      </c>
      <c r="AF126" s="572">
        <f t="shared" ca="1" si="209"/>
        <v>49772.641716539489</v>
      </c>
      <c r="AG126" s="572">
        <f t="shared" ca="1" si="209"/>
        <v>50552.813238529787</v>
      </c>
      <c r="AH126" s="572">
        <f t="shared" ca="1" si="209"/>
        <v>49928.253232565599</v>
      </c>
      <c r="AI126" s="572">
        <f t="shared" ca="1" si="209"/>
        <v>46054.700029106607</v>
      </c>
      <c r="AJ126" s="572">
        <f t="shared" ca="1" si="209"/>
        <v>52132.296268606529</v>
      </c>
      <c r="AK126" s="572">
        <f t="shared" ca="1" si="209"/>
        <v>53457.109713378813</v>
      </c>
      <c r="AL126" s="572">
        <f t="shared" ca="1" si="209"/>
        <v>52249.205003661176</v>
      </c>
      <c r="AN126" s="572">
        <f t="shared" ref="AN126:AT130" si="210">INDEX($K126:$AL126,MATCH(AN$5,$K$5:$AL$5,0))</f>
        <v>29124</v>
      </c>
      <c r="AO126" s="572">
        <f t="shared" si="210"/>
        <v>23503</v>
      </c>
      <c r="AP126" s="572">
        <f t="shared" ca="1" si="210"/>
        <v>34841.200095204309</v>
      </c>
      <c r="AQ126" s="572">
        <f t="shared" ca="1" si="210"/>
        <v>39552.453903779293</v>
      </c>
      <c r="AR126" s="572">
        <f t="shared" ca="1" si="210"/>
        <v>45681.204126727687</v>
      </c>
      <c r="AS126" s="572">
        <f t="shared" ca="1" si="210"/>
        <v>49928.253232565599</v>
      </c>
      <c r="AT126" s="572">
        <f t="shared" ca="1" si="210"/>
        <v>52249.205003661176</v>
      </c>
    </row>
    <row r="127" spans="2:46" x14ac:dyDescent="0.25">
      <c r="B127" s="60" t="s">
        <v>19</v>
      </c>
      <c r="C127" s="76"/>
      <c r="D127" s="76"/>
      <c r="E127" s="76"/>
      <c r="F127" s="76"/>
      <c r="G127" s="76"/>
      <c r="H127" s="69" t="s">
        <v>303</v>
      </c>
      <c r="J127" s="76"/>
      <c r="K127" s="571"/>
      <c r="L127" s="572">
        <f>+L328</f>
        <v>0</v>
      </c>
      <c r="M127" s="572">
        <f t="shared" ref="M127:AL127" si="211">+M328</f>
        <v>0</v>
      </c>
      <c r="N127" s="572">
        <f t="shared" si="211"/>
        <v>0</v>
      </c>
      <c r="O127" s="572">
        <f t="shared" si="211"/>
        <v>0</v>
      </c>
      <c r="P127" s="572">
        <f t="shared" si="211"/>
        <v>0</v>
      </c>
      <c r="Q127" s="572">
        <f t="shared" si="211"/>
        <v>0</v>
      </c>
      <c r="R127" s="572">
        <f t="shared" si="211"/>
        <v>0</v>
      </c>
      <c r="S127" s="572">
        <f t="shared" si="211"/>
        <v>0</v>
      </c>
      <c r="T127" s="572">
        <f t="shared" si="211"/>
        <v>0</v>
      </c>
      <c r="U127" s="572">
        <f t="shared" si="211"/>
        <v>0</v>
      </c>
      <c r="V127" s="572">
        <f t="shared" ca="1" si="211"/>
        <v>0</v>
      </c>
      <c r="W127" s="572">
        <f t="shared" ca="1" si="211"/>
        <v>0</v>
      </c>
      <c r="X127" s="572">
        <f t="shared" ca="1" si="211"/>
        <v>0</v>
      </c>
      <c r="Y127" s="572">
        <f t="shared" ca="1" si="211"/>
        <v>0</v>
      </c>
      <c r="Z127" s="572">
        <f t="shared" ca="1" si="211"/>
        <v>0</v>
      </c>
      <c r="AA127" s="572">
        <f t="shared" ca="1" si="211"/>
        <v>0</v>
      </c>
      <c r="AB127" s="572">
        <f t="shared" ca="1" si="211"/>
        <v>0</v>
      </c>
      <c r="AC127" s="572">
        <f t="shared" ca="1" si="211"/>
        <v>0</v>
      </c>
      <c r="AD127" s="572">
        <f t="shared" ca="1" si="211"/>
        <v>0</v>
      </c>
      <c r="AE127" s="572">
        <f t="shared" ca="1" si="211"/>
        <v>0</v>
      </c>
      <c r="AF127" s="572">
        <f t="shared" ca="1" si="211"/>
        <v>0</v>
      </c>
      <c r="AG127" s="572">
        <f t="shared" ca="1" si="211"/>
        <v>0</v>
      </c>
      <c r="AH127" s="572">
        <f t="shared" ca="1" si="211"/>
        <v>0</v>
      </c>
      <c r="AI127" s="572">
        <f t="shared" ca="1" si="211"/>
        <v>7752.5225485142055</v>
      </c>
      <c r="AJ127" s="572">
        <f t="shared" ca="1" si="211"/>
        <v>1135.6781653539301</v>
      </c>
      <c r="AK127" s="572">
        <f t="shared" ca="1" si="211"/>
        <v>0</v>
      </c>
      <c r="AL127" s="572">
        <f t="shared" ca="1" si="211"/>
        <v>0</v>
      </c>
      <c r="AN127" s="572">
        <f t="shared" si="210"/>
        <v>0</v>
      </c>
      <c r="AO127" s="572">
        <f t="shared" si="210"/>
        <v>0</v>
      </c>
      <c r="AP127" s="572">
        <f t="shared" ca="1" si="210"/>
        <v>0</v>
      </c>
      <c r="AQ127" s="572">
        <f t="shared" ca="1" si="210"/>
        <v>0</v>
      </c>
      <c r="AR127" s="572">
        <f t="shared" ca="1" si="210"/>
        <v>0</v>
      </c>
      <c r="AS127" s="572">
        <f t="shared" ca="1" si="210"/>
        <v>0</v>
      </c>
      <c r="AT127" s="572">
        <f t="shared" ca="1" si="210"/>
        <v>0</v>
      </c>
    </row>
    <row r="128" spans="2:46" x14ac:dyDescent="0.25">
      <c r="B128" s="60" t="s">
        <v>20</v>
      </c>
      <c r="C128" s="76"/>
      <c r="D128" s="76"/>
      <c r="E128" s="76"/>
      <c r="F128" s="76"/>
      <c r="G128" s="76"/>
      <c r="H128" s="69" t="s">
        <v>303</v>
      </c>
      <c r="J128" s="76"/>
      <c r="K128" s="571"/>
      <c r="L128" s="572">
        <f>+L351</f>
        <v>0</v>
      </c>
      <c r="M128" s="572">
        <f t="shared" ref="M128:AL128" si="212">+M351</f>
        <v>0</v>
      </c>
      <c r="N128" s="572">
        <f t="shared" si="212"/>
        <v>0</v>
      </c>
      <c r="O128" s="572">
        <f t="shared" si="212"/>
        <v>0</v>
      </c>
      <c r="P128" s="572">
        <f t="shared" si="212"/>
        <v>0</v>
      </c>
      <c r="Q128" s="572">
        <f t="shared" si="212"/>
        <v>0</v>
      </c>
      <c r="R128" s="572">
        <f t="shared" si="212"/>
        <v>0</v>
      </c>
      <c r="S128" s="572">
        <f t="shared" si="212"/>
        <v>0</v>
      </c>
      <c r="T128" s="572">
        <f t="shared" si="212"/>
        <v>0</v>
      </c>
      <c r="U128" s="572">
        <f t="shared" si="212"/>
        <v>0</v>
      </c>
      <c r="V128" s="572">
        <f t="shared" ca="1" si="212"/>
        <v>0</v>
      </c>
      <c r="W128" s="572">
        <f t="shared" ca="1" si="212"/>
        <v>0</v>
      </c>
      <c r="X128" s="572">
        <f t="shared" ca="1" si="212"/>
        <v>0</v>
      </c>
      <c r="Y128" s="572">
        <f t="shared" ca="1" si="212"/>
        <v>0</v>
      </c>
      <c r="Z128" s="572">
        <f t="shared" ca="1" si="212"/>
        <v>0</v>
      </c>
      <c r="AA128" s="572">
        <f t="shared" ca="1" si="212"/>
        <v>0</v>
      </c>
      <c r="AB128" s="572">
        <f t="shared" ca="1" si="212"/>
        <v>0</v>
      </c>
      <c r="AC128" s="572">
        <f t="shared" ca="1" si="212"/>
        <v>0</v>
      </c>
      <c r="AD128" s="572">
        <f t="shared" ca="1" si="212"/>
        <v>0</v>
      </c>
      <c r="AE128" s="572">
        <f t="shared" ca="1" si="212"/>
        <v>0</v>
      </c>
      <c r="AF128" s="572">
        <f t="shared" ca="1" si="212"/>
        <v>0</v>
      </c>
      <c r="AG128" s="572">
        <f t="shared" ca="1" si="212"/>
        <v>0</v>
      </c>
      <c r="AH128" s="572">
        <f t="shared" ca="1" si="212"/>
        <v>0</v>
      </c>
      <c r="AI128" s="572">
        <f t="shared" ca="1" si="212"/>
        <v>0</v>
      </c>
      <c r="AJ128" s="572">
        <f t="shared" ca="1" si="212"/>
        <v>0</v>
      </c>
      <c r="AK128" s="572">
        <f t="shared" ca="1" si="212"/>
        <v>0</v>
      </c>
      <c r="AL128" s="572">
        <f t="shared" ca="1" si="212"/>
        <v>0</v>
      </c>
      <c r="AN128" s="572">
        <f t="shared" si="210"/>
        <v>0</v>
      </c>
      <c r="AO128" s="572">
        <f t="shared" si="210"/>
        <v>0</v>
      </c>
      <c r="AP128" s="572">
        <f t="shared" ca="1" si="210"/>
        <v>0</v>
      </c>
      <c r="AQ128" s="572">
        <f t="shared" ca="1" si="210"/>
        <v>0</v>
      </c>
      <c r="AR128" s="572">
        <f t="shared" ca="1" si="210"/>
        <v>0</v>
      </c>
      <c r="AS128" s="572">
        <f t="shared" ca="1" si="210"/>
        <v>0</v>
      </c>
      <c r="AT128" s="572">
        <f t="shared" ca="1" si="210"/>
        <v>0</v>
      </c>
    </row>
    <row r="129" spans="2:46" x14ac:dyDescent="0.25">
      <c r="B129" s="60" t="s">
        <v>21</v>
      </c>
      <c r="C129" s="76"/>
      <c r="D129" s="76"/>
      <c r="E129" s="76"/>
      <c r="F129" s="76"/>
      <c r="G129" s="76"/>
      <c r="H129" s="69" t="s">
        <v>303</v>
      </c>
      <c r="J129" s="76"/>
      <c r="K129" s="571"/>
      <c r="L129" s="572">
        <f>+L360</f>
        <v>0</v>
      </c>
      <c r="M129" s="572">
        <f t="shared" ref="M129:AL129" si="213">+M360</f>
        <v>0</v>
      </c>
      <c r="N129" s="572">
        <f t="shared" si="213"/>
        <v>0</v>
      </c>
      <c r="O129" s="572">
        <f t="shared" si="213"/>
        <v>0</v>
      </c>
      <c r="P129" s="572">
        <f t="shared" si="213"/>
        <v>0</v>
      </c>
      <c r="Q129" s="572">
        <f t="shared" si="213"/>
        <v>0</v>
      </c>
      <c r="R129" s="572">
        <f t="shared" si="213"/>
        <v>0</v>
      </c>
      <c r="S129" s="572">
        <f t="shared" si="213"/>
        <v>0</v>
      </c>
      <c r="T129" s="572">
        <f t="shared" si="213"/>
        <v>0</v>
      </c>
      <c r="U129" s="572">
        <f t="shared" si="213"/>
        <v>0</v>
      </c>
      <c r="V129" s="572">
        <f t="shared" ca="1" si="213"/>
        <v>0</v>
      </c>
      <c r="W129" s="572">
        <f t="shared" ca="1" si="213"/>
        <v>0</v>
      </c>
      <c r="X129" s="572">
        <f t="shared" ca="1" si="213"/>
        <v>0</v>
      </c>
      <c r="Y129" s="572">
        <f t="shared" ca="1" si="213"/>
        <v>0</v>
      </c>
      <c r="Z129" s="572">
        <f t="shared" ca="1" si="213"/>
        <v>0</v>
      </c>
      <c r="AA129" s="572">
        <f t="shared" ca="1" si="213"/>
        <v>0</v>
      </c>
      <c r="AB129" s="572">
        <f t="shared" ca="1" si="213"/>
        <v>0</v>
      </c>
      <c r="AC129" s="572">
        <f t="shared" ca="1" si="213"/>
        <v>0</v>
      </c>
      <c r="AD129" s="572">
        <f t="shared" ca="1" si="213"/>
        <v>0</v>
      </c>
      <c r="AE129" s="572">
        <f t="shared" ca="1" si="213"/>
        <v>0</v>
      </c>
      <c r="AF129" s="572">
        <f t="shared" ca="1" si="213"/>
        <v>0</v>
      </c>
      <c r="AG129" s="572">
        <f t="shared" ca="1" si="213"/>
        <v>0</v>
      </c>
      <c r="AH129" s="572">
        <f t="shared" ca="1" si="213"/>
        <v>0</v>
      </c>
      <c r="AI129" s="572">
        <f t="shared" ca="1" si="213"/>
        <v>0</v>
      </c>
      <c r="AJ129" s="572">
        <f t="shared" ca="1" si="213"/>
        <v>0</v>
      </c>
      <c r="AK129" s="572">
        <f t="shared" ca="1" si="213"/>
        <v>0</v>
      </c>
      <c r="AL129" s="572">
        <f t="shared" ca="1" si="213"/>
        <v>0</v>
      </c>
      <c r="AN129" s="572">
        <f t="shared" si="210"/>
        <v>0</v>
      </c>
      <c r="AO129" s="572">
        <f t="shared" si="210"/>
        <v>0</v>
      </c>
      <c r="AP129" s="572">
        <f t="shared" ca="1" si="210"/>
        <v>0</v>
      </c>
      <c r="AQ129" s="572">
        <f t="shared" ca="1" si="210"/>
        <v>0</v>
      </c>
      <c r="AR129" s="572">
        <f t="shared" ca="1" si="210"/>
        <v>0</v>
      </c>
      <c r="AS129" s="572">
        <f t="shared" ca="1" si="210"/>
        <v>0</v>
      </c>
      <c r="AT129" s="572">
        <f t="shared" ca="1" si="210"/>
        <v>0</v>
      </c>
    </row>
    <row r="130" spans="2:46" x14ac:dyDescent="0.25">
      <c r="B130" s="60" t="s">
        <v>304</v>
      </c>
      <c r="C130" s="76"/>
      <c r="D130" s="76"/>
      <c r="E130" s="76"/>
      <c r="F130" s="76"/>
      <c r="G130" s="76"/>
      <c r="H130" s="69" t="s">
        <v>303</v>
      </c>
      <c r="J130" s="76"/>
      <c r="K130" s="571"/>
      <c r="L130" s="572">
        <f>+L368</f>
        <v>0</v>
      </c>
      <c r="M130" s="572">
        <f t="shared" ref="M130:AL130" si="214">+M368</f>
        <v>0</v>
      </c>
      <c r="N130" s="572">
        <f t="shared" si="214"/>
        <v>0</v>
      </c>
      <c r="O130" s="572">
        <f t="shared" si="214"/>
        <v>0</v>
      </c>
      <c r="P130" s="572">
        <f t="shared" si="214"/>
        <v>0</v>
      </c>
      <c r="Q130" s="572">
        <f t="shared" si="214"/>
        <v>0</v>
      </c>
      <c r="R130" s="572">
        <f t="shared" si="214"/>
        <v>0</v>
      </c>
      <c r="S130" s="572">
        <f t="shared" si="214"/>
        <v>0</v>
      </c>
      <c r="T130" s="572">
        <f t="shared" si="214"/>
        <v>0</v>
      </c>
      <c r="U130" s="572">
        <f t="shared" si="214"/>
        <v>500000</v>
      </c>
      <c r="V130" s="572">
        <f t="shared" ca="1" si="214"/>
        <v>500000</v>
      </c>
      <c r="W130" s="572">
        <f t="shared" ca="1" si="214"/>
        <v>500000</v>
      </c>
      <c r="X130" s="572">
        <f t="shared" ca="1" si="214"/>
        <v>500000</v>
      </c>
      <c r="Y130" s="572">
        <f t="shared" ca="1" si="214"/>
        <v>500000</v>
      </c>
      <c r="Z130" s="572">
        <f t="shared" ca="1" si="214"/>
        <v>500000</v>
      </c>
      <c r="AA130" s="572">
        <f t="shared" ca="1" si="214"/>
        <v>500000</v>
      </c>
      <c r="AB130" s="572">
        <f t="shared" ca="1" si="214"/>
        <v>500000</v>
      </c>
      <c r="AC130" s="572">
        <f t="shared" ca="1" si="214"/>
        <v>500000</v>
      </c>
      <c r="AD130" s="572">
        <f t="shared" ca="1" si="214"/>
        <v>500000</v>
      </c>
      <c r="AE130" s="572">
        <f t="shared" ca="1" si="214"/>
        <v>500000</v>
      </c>
      <c r="AF130" s="572">
        <f t="shared" ca="1" si="214"/>
        <v>500000</v>
      </c>
      <c r="AG130" s="572">
        <f t="shared" ca="1" si="214"/>
        <v>500000</v>
      </c>
      <c r="AH130" s="572">
        <f t="shared" ca="1" si="214"/>
        <v>500000</v>
      </c>
      <c r="AI130" s="572">
        <f t="shared" ca="1" si="214"/>
        <v>500000</v>
      </c>
      <c r="AJ130" s="572">
        <f t="shared" ca="1" si="214"/>
        <v>500000</v>
      </c>
      <c r="AK130" s="572">
        <f t="shared" ca="1" si="214"/>
        <v>500000</v>
      </c>
      <c r="AL130" s="572">
        <f t="shared" ca="1" si="214"/>
        <v>500000</v>
      </c>
      <c r="AN130" s="572">
        <f t="shared" si="210"/>
        <v>0</v>
      </c>
      <c r="AO130" s="572">
        <f t="shared" si="210"/>
        <v>0</v>
      </c>
      <c r="AP130" s="572">
        <f t="shared" ca="1" si="210"/>
        <v>500000</v>
      </c>
      <c r="AQ130" s="572">
        <f t="shared" ca="1" si="210"/>
        <v>500000</v>
      </c>
      <c r="AR130" s="572">
        <f t="shared" ca="1" si="210"/>
        <v>500000</v>
      </c>
      <c r="AS130" s="572">
        <f t="shared" ca="1" si="210"/>
        <v>500000</v>
      </c>
      <c r="AT130" s="572">
        <f t="shared" ca="1" si="210"/>
        <v>500000</v>
      </c>
    </row>
    <row r="131" spans="2:46" x14ac:dyDescent="0.25">
      <c r="B131" s="60" t="s">
        <v>195</v>
      </c>
      <c r="C131" s="134"/>
      <c r="D131" s="134"/>
      <c r="E131" s="134"/>
      <c r="F131" s="134"/>
      <c r="G131" s="134"/>
      <c r="H131" s="134"/>
      <c r="I131" s="134"/>
      <c r="J131" s="134"/>
      <c r="K131" s="589"/>
      <c r="L131" s="590">
        <f t="shared" ref="L131:AL131" si="215">SUM(L126:L130)+L123</f>
        <v>92861</v>
      </c>
      <c r="M131" s="591">
        <f t="shared" si="215"/>
        <v>107046</v>
      </c>
      <c r="N131" s="591">
        <f t="shared" si="215"/>
        <v>148255</v>
      </c>
      <c r="O131" s="591">
        <f t="shared" si="215"/>
        <v>163797</v>
      </c>
      <c r="P131" s="590">
        <f t="shared" si="215"/>
        <v>172831</v>
      </c>
      <c r="Q131" s="590">
        <f t="shared" si="215"/>
        <v>179873</v>
      </c>
      <c r="R131" s="590">
        <f t="shared" si="215"/>
        <v>205269</v>
      </c>
      <c r="S131" s="590">
        <f t="shared" ca="1" si="215"/>
        <v>217297.62391580641</v>
      </c>
      <c r="T131" s="590">
        <f t="shared" ca="1" si="215"/>
        <v>228553.45679505129</v>
      </c>
      <c r="U131" s="590">
        <f t="shared" ca="1" si="215"/>
        <v>731210.08200041112</v>
      </c>
      <c r="V131" s="590">
        <f t="shared" ca="1" si="215"/>
        <v>755219.07977795566</v>
      </c>
      <c r="W131" s="590">
        <f t="shared" ca="1" si="215"/>
        <v>761566.31051510444</v>
      </c>
      <c r="X131" s="590">
        <f t="shared" ca="1" si="215"/>
        <v>776443.13511383894</v>
      </c>
      <c r="Y131" s="590">
        <f t="shared" ca="1" si="215"/>
        <v>793387.85713662906</v>
      </c>
      <c r="Z131" s="590">
        <f t="shared" ca="1" si="215"/>
        <v>810860.44038669346</v>
      </c>
      <c r="AA131" s="590">
        <f t="shared" ca="1" si="215"/>
        <v>807781.32469411357</v>
      </c>
      <c r="AB131" s="590">
        <f t="shared" ca="1" si="215"/>
        <v>820847.0216592073</v>
      </c>
      <c r="AC131" s="590">
        <f t="shared" ca="1" si="215"/>
        <v>849995.34560690867</v>
      </c>
      <c r="AD131" s="590">
        <f t="shared" ca="1" si="215"/>
        <v>859688.70874431985</v>
      </c>
      <c r="AE131" s="590">
        <f t="shared" ca="1" si="215"/>
        <v>837269.25486578199</v>
      </c>
      <c r="AF131" s="590">
        <f t="shared" ca="1" si="215"/>
        <v>851284.50878639275</v>
      </c>
      <c r="AG131" s="590">
        <f t="shared" ca="1" si="215"/>
        <v>889967.36610004678</v>
      </c>
      <c r="AH131" s="590">
        <f t="shared" ca="1" si="215"/>
        <v>893065.02114300325</v>
      </c>
      <c r="AI131" s="590">
        <f t="shared" ca="1" si="215"/>
        <v>860919.00939681032</v>
      </c>
      <c r="AJ131" s="590">
        <f t="shared" ca="1" si="215"/>
        <v>869094.99612346746</v>
      </c>
      <c r="AK131" s="590">
        <f t="shared" ca="1" si="215"/>
        <v>912134.60948869644</v>
      </c>
      <c r="AL131" s="590">
        <f t="shared" ca="1" si="215"/>
        <v>911197.10084451712</v>
      </c>
      <c r="AN131" s="590">
        <f t="shared" ref="AN131:AT131" si="216">SUM(AN126:AN130)+AN123</f>
        <v>148255</v>
      </c>
      <c r="AO131" s="590">
        <f t="shared" si="216"/>
        <v>205269</v>
      </c>
      <c r="AP131" s="590">
        <f t="shared" ca="1" si="216"/>
        <v>755219.07977795566</v>
      </c>
      <c r="AQ131" s="590">
        <f t="shared" ca="1" si="216"/>
        <v>810860.44038669346</v>
      </c>
      <c r="AR131" s="590">
        <f t="shared" ca="1" si="216"/>
        <v>859688.70874431985</v>
      </c>
      <c r="AS131" s="590">
        <f t="shared" ca="1" si="216"/>
        <v>893065.02114300325</v>
      </c>
      <c r="AT131" s="590">
        <f t="shared" ca="1" si="216"/>
        <v>911197.10084451712</v>
      </c>
    </row>
    <row r="132" spans="2:46" x14ac:dyDescent="0.25">
      <c r="B132" s="60"/>
      <c r="C132" s="134"/>
      <c r="D132" s="134"/>
      <c r="E132" s="134"/>
      <c r="F132" s="134"/>
      <c r="G132" s="134"/>
      <c r="H132" s="134"/>
      <c r="I132" s="134"/>
      <c r="J132" s="134"/>
      <c r="K132" s="581"/>
      <c r="L132" s="582"/>
      <c r="M132" s="583"/>
      <c r="N132" s="583"/>
      <c r="O132" s="583"/>
      <c r="P132" s="582"/>
      <c r="Q132" s="582"/>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N132" s="556"/>
      <c r="AO132" s="556"/>
      <c r="AP132" s="556"/>
      <c r="AQ132" s="556"/>
      <c r="AR132" s="556"/>
      <c r="AS132" s="556"/>
      <c r="AT132" s="556"/>
    </row>
    <row r="133" spans="2:46" x14ac:dyDescent="0.25">
      <c r="B133" s="60" t="s">
        <v>196</v>
      </c>
      <c r="C133" s="134"/>
      <c r="D133" s="134"/>
      <c r="E133" s="134"/>
      <c r="F133" s="134"/>
      <c r="G133" s="134"/>
      <c r="H133" s="134"/>
      <c r="I133" s="134"/>
      <c r="J133" s="134"/>
      <c r="K133" s="581"/>
      <c r="L133" s="582"/>
      <c r="M133" s="583"/>
      <c r="N133" s="583"/>
      <c r="O133" s="583"/>
      <c r="P133" s="582"/>
      <c r="Q133" s="582"/>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N133" s="556"/>
      <c r="AO133" s="556"/>
      <c r="AP133" s="556"/>
      <c r="AQ133" s="556"/>
      <c r="AR133" s="556"/>
      <c r="AS133" s="556"/>
      <c r="AT133" s="556"/>
    </row>
    <row r="134" spans="2:46" x14ac:dyDescent="0.25">
      <c r="B134" s="98" t="s">
        <v>197</v>
      </c>
      <c r="C134" s="592"/>
      <c r="D134" s="592"/>
      <c r="E134" s="592"/>
      <c r="F134" s="592"/>
      <c r="G134" s="592"/>
      <c r="H134" s="69" t="s">
        <v>303</v>
      </c>
      <c r="K134" s="571"/>
      <c r="L134" s="568">
        <v>182609</v>
      </c>
      <c r="M134" s="568">
        <v>0</v>
      </c>
      <c r="N134" s="568">
        <v>0</v>
      </c>
      <c r="O134" s="568">
        <v>0</v>
      </c>
      <c r="P134" s="568">
        <v>0</v>
      </c>
      <c r="Q134" s="568">
        <v>0</v>
      </c>
      <c r="R134" s="568">
        <v>0</v>
      </c>
      <c r="S134" s="572">
        <f t="shared" ref="S134:AL134" si="217">IF(S$5&gt;Closing_Date,0,R134)</f>
        <v>0</v>
      </c>
      <c r="T134" s="572">
        <f t="shared" si="217"/>
        <v>0</v>
      </c>
      <c r="U134" s="572">
        <f t="shared" si="217"/>
        <v>0</v>
      </c>
      <c r="V134" s="572">
        <f t="shared" si="217"/>
        <v>0</v>
      </c>
      <c r="W134" s="572">
        <f t="shared" si="217"/>
        <v>0</v>
      </c>
      <c r="X134" s="572">
        <f t="shared" si="217"/>
        <v>0</v>
      </c>
      <c r="Y134" s="572">
        <f t="shared" si="217"/>
        <v>0</v>
      </c>
      <c r="Z134" s="572">
        <f t="shared" si="217"/>
        <v>0</v>
      </c>
      <c r="AA134" s="572">
        <f t="shared" si="217"/>
        <v>0</v>
      </c>
      <c r="AB134" s="572">
        <f t="shared" si="217"/>
        <v>0</v>
      </c>
      <c r="AC134" s="572">
        <f t="shared" si="217"/>
        <v>0</v>
      </c>
      <c r="AD134" s="572">
        <f t="shared" si="217"/>
        <v>0</v>
      </c>
      <c r="AE134" s="572">
        <f t="shared" si="217"/>
        <v>0</v>
      </c>
      <c r="AF134" s="572">
        <f t="shared" si="217"/>
        <v>0</v>
      </c>
      <c r="AG134" s="572">
        <f t="shared" si="217"/>
        <v>0</v>
      </c>
      <c r="AH134" s="572">
        <f t="shared" si="217"/>
        <v>0</v>
      </c>
      <c r="AI134" s="572">
        <f t="shared" si="217"/>
        <v>0</v>
      </c>
      <c r="AJ134" s="572">
        <f t="shared" si="217"/>
        <v>0</v>
      </c>
      <c r="AK134" s="572">
        <f t="shared" si="217"/>
        <v>0</v>
      </c>
      <c r="AL134" s="572">
        <f t="shared" si="217"/>
        <v>0</v>
      </c>
      <c r="AN134" s="572">
        <f t="shared" ref="AN134:AT142" si="218">INDEX($K134:$AL134,MATCH(AN$5,$K$5:$AL$5,0))</f>
        <v>0</v>
      </c>
      <c r="AO134" s="572">
        <f t="shared" si="218"/>
        <v>0</v>
      </c>
      <c r="AP134" s="572">
        <f t="shared" si="218"/>
        <v>0</v>
      </c>
      <c r="AQ134" s="572">
        <f t="shared" si="218"/>
        <v>0</v>
      </c>
      <c r="AR134" s="572">
        <f t="shared" si="218"/>
        <v>0</v>
      </c>
      <c r="AS134" s="572">
        <f t="shared" si="218"/>
        <v>0</v>
      </c>
      <c r="AT134" s="572">
        <f t="shared" si="218"/>
        <v>0</v>
      </c>
    </row>
    <row r="135" spans="2:46" x14ac:dyDescent="0.25">
      <c r="B135" s="636" t="s">
        <v>198</v>
      </c>
      <c r="C135" s="593"/>
      <c r="D135" s="593"/>
      <c r="E135" s="593"/>
      <c r="F135" s="593"/>
      <c r="G135" s="593"/>
      <c r="H135" s="69" t="s">
        <v>303</v>
      </c>
      <c r="K135" s="571"/>
      <c r="L135" s="568">
        <v>1</v>
      </c>
      <c r="M135" s="568">
        <v>4</v>
      </c>
      <c r="N135" s="568">
        <v>4</v>
      </c>
      <c r="O135" s="568">
        <v>4</v>
      </c>
      <c r="P135" s="568">
        <v>4</v>
      </c>
      <c r="Q135" s="568">
        <v>4</v>
      </c>
      <c r="R135" s="568">
        <v>4</v>
      </c>
      <c r="S135" s="572">
        <f t="shared" ref="S135:AL135" si="219">IF(S$5&gt;Closing_Date,0,R135)</f>
        <v>4</v>
      </c>
      <c r="T135" s="572">
        <f t="shared" si="219"/>
        <v>4</v>
      </c>
      <c r="U135" s="572">
        <f t="shared" si="219"/>
        <v>4</v>
      </c>
      <c r="V135" s="572">
        <f t="shared" si="219"/>
        <v>0</v>
      </c>
      <c r="W135" s="572">
        <f t="shared" si="219"/>
        <v>0</v>
      </c>
      <c r="X135" s="572">
        <f t="shared" si="219"/>
        <v>0</v>
      </c>
      <c r="Y135" s="572">
        <f t="shared" si="219"/>
        <v>0</v>
      </c>
      <c r="Z135" s="572">
        <f t="shared" si="219"/>
        <v>0</v>
      </c>
      <c r="AA135" s="572">
        <f t="shared" si="219"/>
        <v>0</v>
      </c>
      <c r="AB135" s="572">
        <f t="shared" si="219"/>
        <v>0</v>
      </c>
      <c r="AC135" s="572">
        <f t="shared" si="219"/>
        <v>0</v>
      </c>
      <c r="AD135" s="572">
        <f t="shared" si="219"/>
        <v>0</v>
      </c>
      <c r="AE135" s="572">
        <f t="shared" si="219"/>
        <v>0</v>
      </c>
      <c r="AF135" s="572">
        <f t="shared" si="219"/>
        <v>0</v>
      </c>
      <c r="AG135" s="572">
        <f t="shared" si="219"/>
        <v>0</v>
      </c>
      <c r="AH135" s="572">
        <f t="shared" si="219"/>
        <v>0</v>
      </c>
      <c r="AI135" s="572">
        <f t="shared" si="219"/>
        <v>0</v>
      </c>
      <c r="AJ135" s="572">
        <f t="shared" si="219"/>
        <v>0</v>
      </c>
      <c r="AK135" s="572">
        <f t="shared" si="219"/>
        <v>0</v>
      </c>
      <c r="AL135" s="572">
        <f t="shared" si="219"/>
        <v>0</v>
      </c>
      <c r="AN135" s="572">
        <f t="shared" si="218"/>
        <v>4</v>
      </c>
      <c r="AO135" s="572">
        <f t="shared" si="218"/>
        <v>4</v>
      </c>
      <c r="AP135" s="572">
        <f t="shared" si="218"/>
        <v>0</v>
      </c>
      <c r="AQ135" s="572">
        <f t="shared" si="218"/>
        <v>0</v>
      </c>
      <c r="AR135" s="572">
        <f t="shared" si="218"/>
        <v>0</v>
      </c>
      <c r="AS135" s="572">
        <f t="shared" si="218"/>
        <v>0</v>
      </c>
      <c r="AT135" s="572">
        <f t="shared" si="218"/>
        <v>0</v>
      </c>
    </row>
    <row r="136" spans="2:46" x14ac:dyDescent="0.25">
      <c r="B136" s="98" t="s">
        <v>199</v>
      </c>
      <c r="C136" s="76"/>
      <c r="D136" s="76"/>
      <c r="E136" s="76"/>
      <c r="F136" s="76"/>
      <c r="G136" s="76"/>
      <c r="H136" s="69" t="s">
        <v>303</v>
      </c>
      <c r="K136" s="571"/>
      <c r="L136" s="568">
        <v>30649</v>
      </c>
      <c r="M136" s="568">
        <v>664124</v>
      </c>
      <c r="N136" s="570">
        <f>426191+182607+40804+12480+30087</f>
        <v>692169</v>
      </c>
      <c r="O136" s="570">
        <f>+N136+14586+5226</f>
        <v>711981</v>
      </c>
      <c r="P136" s="570">
        <f>726328-P137</f>
        <v>734531</v>
      </c>
      <c r="Q136" s="570">
        <f>+P136+20488+3564</f>
        <v>758583</v>
      </c>
      <c r="R136" s="570">
        <f>+N136+73820+14776</f>
        <v>780765</v>
      </c>
      <c r="S136" s="572">
        <f t="shared" ref="S136:AL136" si="220">IF(S$5&gt;Closing_Date,0,R136)</f>
        <v>780765</v>
      </c>
      <c r="T136" s="572">
        <f t="shared" si="220"/>
        <v>780765</v>
      </c>
      <c r="U136" s="572">
        <f t="shared" si="220"/>
        <v>780765</v>
      </c>
      <c r="V136" s="572">
        <f t="shared" si="220"/>
        <v>0</v>
      </c>
      <c r="W136" s="572">
        <f t="shared" si="220"/>
        <v>0</v>
      </c>
      <c r="X136" s="572">
        <f t="shared" si="220"/>
        <v>0</v>
      </c>
      <c r="Y136" s="572">
        <f t="shared" si="220"/>
        <v>0</v>
      </c>
      <c r="Z136" s="572">
        <f t="shared" si="220"/>
        <v>0</v>
      </c>
      <c r="AA136" s="572">
        <f t="shared" si="220"/>
        <v>0</v>
      </c>
      <c r="AB136" s="572">
        <f t="shared" si="220"/>
        <v>0</v>
      </c>
      <c r="AC136" s="572">
        <f t="shared" si="220"/>
        <v>0</v>
      </c>
      <c r="AD136" s="572">
        <f t="shared" si="220"/>
        <v>0</v>
      </c>
      <c r="AE136" s="572">
        <f t="shared" si="220"/>
        <v>0</v>
      </c>
      <c r="AF136" s="572">
        <f t="shared" si="220"/>
        <v>0</v>
      </c>
      <c r="AG136" s="572">
        <f t="shared" si="220"/>
        <v>0</v>
      </c>
      <c r="AH136" s="572">
        <f t="shared" si="220"/>
        <v>0</v>
      </c>
      <c r="AI136" s="572">
        <f t="shared" si="220"/>
        <v>0</v>
      </c>
      <c r="AJ136" s="572">
        <f t="shared" si="220"/>
        <v>0</v>
      </c>
      <c r="AK136" s="572">
        <f t="shared" si="220"/>
        <v>0</v>
      </c>
      <c r="AL136" s="572">
        <f t="shared" si="220"/>
        <v>0</v>
      </c>
      <c r="AN136" s="572">
        <f t="shared" si="218"/>
        <v>692169</v>
      </c>
      <c r="AO136" s="572">
        <f t="shared" si="218"/>
        <v>780765</v>
      </c>
      <c r="AP136" s="572">
        <f t="shared" si="218"/>
        <v>0</v>
      </c>
      <c r="AQ136" s="572">
        <f t="shared" si="218"/>
        <v>0</v>
      </c>
      <c r="AR136" s="572">
        <f t="shared" si="218"/>
        <v>0</v>
      </c>
      <c r="AS136" s="572">
        <f t="shared" si="218"/>
        <v>0</v>
      </c>
      <c r="AT136" s="572">
        <f t="shared" si="218"/>
        <v>0</v>
      </c>
    </row>
    <row r="137" spans="2:46" x14ac:dyDescent="0.25">
      <c r="B137" s="98" t="s">
        <v>200</v>
      </c>
      <c r="C137" s="76"/>
      <c r="D137" s="76"/>
      <c r="E137" s="76"/>
      <c r="F137" s="76"/>
      <c r="G137" s="76"/>
      <c r="H137" s="69" t="s">
        <v>303</v>
      </c>
      <c r="K137" s="571"/>
      <c r="L137" s="568">
        <v>0</v>
      </c>
      <c r="M137" s="568">
        <v>0</v>
      </c>
      <c r="N137" s="570">
        <f>-7335-868</f>
        <v>-8203</v>
      </c>
      <c r="O137" s="570">
        <f>+N137</f>
        <v>-8203</v>
      </c>
      <c r="P137" s="570">
        <f t="shared" ref="P137:Q137" si="221">+O137</f>
        <v>-8203</v>
      </c>
      <c r="Q137" s="570">
        <f t="shared" si="221"/>
        <v>-8203</v>
      </c>
      <c r="R137" s="570">
        <f t="shared" ref="R137" si="222">+Q137</f>
        <v>-8203</v>
      </c>
      <c r="S137" s="572">
        <f t="shared" ref="S137:AL137" si="223">IF(S$5&gt;Closing_Date,0,R137)</f>
        <v>-8203</v>
      </c>
      <c r="T137" s="572">
        <f t="shared" si="223"/>
        <v>-8203</v>
      </c>
      <c r="U137" s="572">
        <f t="shared" si="223"/>
        <v>-8203</v>
      </c>
      <c r="V137" s="572">
        <f t="shared" si="223"/>
        <v>0</v>
      </c>
      <c r="W137" s="572">
        <f t="shared" si="223"/>
        <v>0</v>
      </c>
      <c r="X137" s="572">
        <f t="shared" si="223"/>
        <v>0</v>
      </c>
      <c r="Y137" s="572">
        <f t="shared" si="223"/>
        <v>0</v>
      </c>
      <c r="Z137" s="572">
        <f t="shared" si="223"/>
        <v>0</v>
      </c>
      <c r="AA137" s="572">
        <f t="shared" si="223"/>
        <v>0</v>
      </c>
      <c r="AB137" s="572">
        <f t="shared" si="223"/>
        <v>0</v>
      </c>
      <c r="AC137" s="572">
        <f t="shared" si="223"/>
        <v>0</v>
      </c>
      <c r="AD137" s="572">
        <f t="shared" si="223"/>
        <v>0</v>
      </c>
      <c r="AE137" s="572">
        <f t="shared" si="223"/>
        <v>0</v>
      </c>
      <c r="AF137" s="572">
        <f t="shared" si="223"/>
        <v>0</v>
      </c>
      <c r="AG137" s="572">
        <f t="shared" si="223"/>
        <v>0</v>
      </c>
      <c r="AH137" s="572">
        <f t="shared" si="223"/>
        <v>0</v>
      </c>
      <c r="AI137" s="572">
        <f t="shared" si="223"/>
        <v>0</v>
      </c>
      <c r="AJ137" s="572">
        <f t="shared" si="223"/>
        <v>0</v>
      </c>
      <c r="AK137" s="572">
        <f t="shared" si="223"/>
        <v>0</v>
      </c>
      <c r="AL137" s="572">
        <f t="shared" si="223"/>
        <v>0</v>
      </c>
      <c r="AN137" s="572">
        <f t="shared" si="218"/>
        <v>-8203</v>
      </c>
      <c r="AO137" s="572">
        <f t="shared" si="218"/>
        <v>-8203</v>
      </c>
      <c r="AP137" s="572">
        <f t="shared" si="218"/>
        <v>0</v>
      </c>
      <c r="AQ137" s="572">
        <f t="shared" si="218"/>
        <v>0</v>
      </c>
      <c r="AR137" s="572">
        <f t="shared" si="218"/>
        <v>0</v>
      </c>
      <c r="AS137" s="572">
        <f t="shared" si="218"/>
        <v>0</v>
      </c>
      <c r="AT137" s="572">
        <f t="shared" si="218"/>
        <v>0</v>
      </c>
    </row>
    <row r="138" spans="2:46" x14ac:dyDescent="0.25">
      <c r="B138" s="636" t="s">
        <v>305</v>
      </c>
      <c r="C138" s="76"/>
      <c r="D138" s="76"/>
      <c r="E138" s="76"/>
      <c r="F138" s="76"/>
      <c r="G138" s="76"/>
      <c r="H138" s="69" t="s">
        <v>303</v>
      </c>
      <c r="K138" s="571"/>
      <c r="L138" s="58">
        <f>IF(L$5=Closing_Date,SUM('Transaction Structure'!$F$109:$F$112),0)</f>
        <v>0</v>
      </c>
      <c r="M138" s="58">
        <f>IF(M$5=Closing_Date,SUM('Transaction Structure'!$F$109:$F$112),0)</f>
        <v>0</v>
      </c>
      <c r="N138" s="58">
        <f>IF(N$5=Closing_Date,SUM('Transaction Structure'!$F$109:$F$112),0)</f>
        <v>0</v>
      </c>
      <c r="O138" s="58">
        <f>IF(O$5=Closing_Date,SUM('Transaction Structure'!$F$109:$F$112),0)</f>
        <v>0</v>
      </c>
      <c r="P138" s="58">
        <f>IF(P$5=Closing_Date,SUM('Transaction Structure'!$F$109:$F$112),0)</f>
        <v>0</v>
      </c>
      <c r="Q138" s="58">
        <f>IF(Q$5=Closing_Date,SUM('Transaction Structure'!$F$109:$F$112),0)</f>
        <v>0</v>
      </c>
      <c r="R138" s="58">
        <f>IF(R$5=Closing_Date,SUM('Transaction Structure'!$F$109:$F$112),0)</f>
        <v>0</v>
      </c>
      <c r="S138" s="572">
        <f>IF(S$5=Closing_Date,SUM('Transaction Structure'!$F$109:$F$112),0)</f>
        <v>0</v>
      </c>
      <c r="T138" s="572">
        <f>IF(T$5=Closing_Date,SUM('Transaction Structure'!$F$109:$F$112),0)</f>
        <v>0</v>
      </c>
      <c r="U138" s="58">
        <f>IF(U$5=Closing_Date,SUM('Transaction Structure'!$F$109:$F$112),0)</f>
        <v>-772566</v>
      </c>
      <c r="V138" s="58">
        <f>IF(V$5=Closing_Date,SUM('Transaction Structure'!$F$109:$F$112),0)</f>
        <v>0</v>
      </c>
      <c r="W138" s="58">
        <f>IF(W$5=Closing_Date,SUM('Transaction Structure'!$F$109:$F$112),0)</f>
        <v>0</v>
      </c>
      <c r="X138" s="58">
        <f>IF(X$5=Closing_Date,SUM('Transaction Structure'!$F$109:$F$112),0)</f>
        <v>0</v>
      </c>
      <c r="Y138" s="58">
        <f>IF(Y$5=Closing_Date,SUM('Transaction Structure'!$F$109:$F$112),0)</f>
        <v>0</v>
      </c>
      <c r="Z138" s="58">
        <f>IF(Z$5=Closing_Date,SUM('Transaction Structure'!$F$109:$F$112),0)</f>
        <v>0</v>
      </c>
      <c r="AA138" s="58">
        <f>IF(AA$5=Closing_Date,SUM('Transaction Structure'!$F$109:$F$112),0)</f>
        <v>0</v>
      </c>
      <c r="AB138" s="58">
        <f>IF(AB$5=Closing_Date,SUM('Transaction Structure'!$F$109:$F$112),0)</f>
        <v>0</v>
      </c>
      <c r="AC138" s="58">
        <f>IF(AC$5=Closing_Date,SUM('Transaction Structure'!$F$109:$F$112),0)</f>
        <v>0</v>
      </c>
      <c r="AD138" s="58">
        <f>IF(AD$5=Closing_Date,SUM('Transaction Structure'!$F$109:$F$112),0)</f>
        <v>0</v>
      </c>
      <c r="AE138" s="58">
        <f>IF(AE$5=Closing_Date,SUM('Transaction Structure'!$F$109:$F$112),0)</f>
        <v>0</v>
      </c>
      <c r="AF138" s="58">
        <f>IF(AF$5=Closing_Date,SUM('Transaction Structure'!$F$109:$F$112),0)</f>
        <v>0</v>
      </c>
      <c r="AG138" s="58">
        <f>IF(AG$5=Closing_Date,SUM('Transaction Structure'!$F$109:$F$112),0)</f>
        <v>0</v>
      </c>
      <c r="AH138" s="58">
        <f>IF(AH$5=Closing_Date,SUM('Transaction Structure'!$F$109:$F$112),0)</f>
        <v>0</v>
      </c>
      <c r="AI138" s="58">
        <f>IF(AI$5=Closing_Date,SUM('Transaction Structure'!$F$109:$F$112),0)</f>
        <v>0</v>
      </c>
      <c r="AJ138" s="58">
        <f>IF(AJ$5=Closing_Date,SUM('Transaction Structure'!$F$109:$F$112),0)</f>
        <v>0</v>
      </c>
      <c r="AK138" s="58">
        <f>IF(AK$5=Closing_Date,SUM('Transaction Structure'!$F$109:$F$112),0)</f>
        <v>0</v>
      </c>
      <c r="AL138" s="58">
        <f>IF(AL$5=Closing_Date,SUM('Transaction Structure'!$F$109:$F$112),0)</f>
        <v>0</v>
      </c>
      <c r="AN138" s="58">
        <f t="shared" si="218"/>
        <v>0</v>
      </c>
      <c r="AO138" s="58">
        <f t="shared" si="218"/>
        <v>0</v>
      </c>
      <c r="AP138" s="58">
        <f t="shared" si="218"/>
        <v>0</v>
      </c>
      <c r="AQ138" s="58">
        <f t="shared" si="218"/>
        <v>0</v>
      </c>
      <c r="AR138" s="58">
        <f t="shared" si="218"/>
        <v>0</v>
      </c>
      <c r="AS138" s="58">
        <f t="shared" si="218"/>
        <v>0</v>
      </c>
      <c r="AT138" s="58">
        <f t="shared" si="218"/>
        <v>0</v>
      </c>
    </row>
    <row r="139" spans="2:46" x14ac:dyDescent="0.25">
      <c r="B139" s="60" t="s">
        <v>145</v>
      </c>
      <c r="C139" s="76"/>
      <c r="D139" s="76"/>
      <c r="E139" s="76"/>
      <c r="F139" s="76"/>
      <c r="G139" s="76"/>
      <c r="H139" s="69" t="s">
        <v>303</v>
      </c>
      <c r="K139" s="571"/>
      <c r="L139" s="58">
        <f>IF(L$5&gt;=Closing_Date,'Transaction Structure'!$J$116,0)</f>
        <v>0</v>
      </c>
      <c r="M139" s="58">
        <f>IF(M$5&gt;=Closing_Date,'Transaction Structure'!$J$116,0)</f>
        <v>0</v>
      </c>
      <c r="N139" s="58">
        <f>IF(N$5&gt;=Closing_Date,'Transaction Structure'!$J$116,0)</f>
        <v>0</v>
      </c>
      <c r="O139" s="58">
        <f>IF(O$5&gt;=Closing_Date,'Transaction Structure'!$J$116,0)</f>
        <v>0</v>
      </c>
      <c r="P139" s="58">
        <f>IF(P$5&gt;=Closing_Date,'Transaction Structure'!$J$116,0)</f>
        <v>0</v>
      </c>
      <c r="Q139" s="58">
        <f>IF(Q$5&gt;=Closing_Date,'Transaction Structure'!$J$116,0)</f>
        <v>0</v>
      </c>
      <c r="R139" s="58">
        <f>IF(R$5&gt;=Closing_Date,'Transaction Structure'!$J$116,0)</f>
        <v>0</v>
      </c>
      <c r="S139" s="572">
        <f>IF(S$5&gt;=Closing_Date,'Transaction Structure'!$J$116,0)</f>
        <v>0</v>
      </c>
      <c r="T139" s="572">
        <f>IF(T$5&gt;=Closing_Date,'Transaction Structure'!$J$116,0)</f>
        <v>0</v>
      </c>
      <c r="U139" s="58">
        <f>IF(U$5&gt;=Closing_Date,'Transaction Structure'!$J$116,0)</f>
        <v>1075000</v>
      </c>
      <c r="V139" s="58">
        <f>IF(V$5&gt;=Closing_Date,'Transaction Structure'!$J$116,0)</f>
        <v>1075000</v>
      </c>
      <c r="W139" s="58">
        <f>IF(W$5&gt;=Closing_Date,'Transaction Structure'!$J$116,0)</f>
        <v>1075000</v>
      </c>
      <c r="X139" s="58">
        <f>IF(X$5&gt;=Closing_Date,'Transaction Structure'!$J$116,0)</f>
        <v>1075000</v>
      </c>
      <c r="Y139" s="58">
        <f>IF(Y$5&gt;=Closing_Date,'Transaction Structure'!$J$116,0)</f>
        <v>1075000</v>
      </c>
      <c r="Z139" s="58">
        <f>IF(Z$5&gt;=Closing_Date,'Transaction Structure'!$J$116,0)</f>
        <v>1075000</v>
      </c>
      <c r="AA139" s="58">
        <f>IF(AA$5&gt;=Closing_Date,'Transaction Structure'!$J$116,0)</f>
        <v>1075000</v>
      </c>
      <c r="AB139" s="58">
        <f>IF(AB$5&gt;=Closing_Date,'Transaction Structure'!$J$116,0)</f>
        <v>1075000</v>
      </c>
      <c r="AC139" s="58">
        <f>IF(AC$5&gt;=Closing_Date,'Transaction Structure'!$J$116,0)</f>
        <v>1075000</v>
      </c>
      <c r="AD139" s="58">
        <f>IF(AD$5&gt;=Closing_Date,'Transaction Structure'!$J$116,0)</f>
        <v>1075000</v>
      </c>
      <c r="AE139" s="58">
        <f>IF(AE$5&gt;=Closing_Date,'Transaction Structure'!$J$116,0)</f>
        <v>1075000</v>
      </c>
      <c r="AF139" s="58">
        <f>IF(AF$5&gt;=Closing_Date,'Transaction Structure'!$J$116,0)</f>
        <v>1075000</v>
      </c>
      <c r="AG139" s="58">
        <f>IF(AG$5&gt;=Closing_Date,'Transaction Structure'!$J$116,0)</f>
        <v>1075000</v>
      </c>
      <c r="AH139" s="58">
        <f>IF(AH$5&gt;=Closing_Date,'Transaction Structure'!$J$116,0)</f>
        <v>1075000</v>
      </c>
      <c r="AI139" s="58">
        <f>IF(AI$5&gt;=Closing_Date,'Transaction Structure'!$J$116,0)</f>
        <v>1075000</v>
      </c>
      <c r="AJ139" s="58">
        <f>IF(AJ$5&gt;=Closing_Date,'Transaction Structure'!$J$116,0)</f>
        <v>1075000</v>
      </c>
      <c r="AK139" s="58">
        <f>IF(AK$5&gt;=Closing_Date,'Transaction Structure'!$J$116,0)</f>
        <v>1075000</v>
      </c>
      <c r="AL139" s="58">
        <f>IF(AL$5&gt;=Closing_Date,'Transaction Structure'!$J$116,0)</f>
        <v>1075000</v>
      </c>
      <c r="AN139" s="58">
        <f t="shared" si="218"/>
        <v>0</v>
      </c>
      <c r="AO139" s="58">
        <f t="shared" si="218"/>
        <v>0</v>
      </c>
      <c r="AP139" s="58">
        <f t="shared" si="218"/>
        <v>1075000</v>
      </c>
      <c r="AQ139" s="58">
        <f t="shared" si="218"/>
        <v>1075000</v>
      </c>
      <c r="AR139" s="58">
        <f t="shared" si="218"/>
        <v>1075000</v>
      </c>
      <c r="AS139" s="58">
        <f t="shared" si="218"/>
        <v>1075000</v>
      </c>
      <c r="AT139" s="58">
        <f t="shared" si="218"/>
        <v>1075000</v>
      </c>
    </row>
    <row r="140" spans="2:46" x14ac:dyDescent="0.25">
      <c r="B140" s="60" t="s">
        <v>306</v>
      </c>
      <c r="C140" s="76"/>
      <c r="D140" s="76"/>
      <c r="E140" s="76"/>
      <c r="F140" s="76"/>
      <c r="G140" s="76"/>
      <c r="H140" s="69" t="s">
        <v>303</v>
      </c>
      <c r="K140" s="571"/>
      <c r="L140" s="58">
        <f>IF(L$5&gt;=Closing_Date,'Transaction Structure'!$J$115,0)</f>
        <v>0</v>
      </c>
      <c r="M140" s="58">
        <f>IF(M$5&gt;=Closing_Date,'Transaction Structure'!$J$115,0)</f>
        <v>0</v>
      </c>
      <c r="N140" s="58">
        <f>IF(N$5&gt;=Closing_Date,'Transaction Structure'!$J$115,0)</f>
        <v>0</v>
      </c>
      <c r="O140" s="58">
        <f>IF(O$5&gt;=Closing_Date,'Transaction Structure'!$J$115,0)</f>
        <v>0</v>
      </c>
      <c r="P140" s="58">
        <f>IF(P$5&gt;=Closing_Date,'Transaction Structure'!$J$115,0)</f>
        <v>0</v>
      </c>
      <c r="Q140" s="58">
        <f>IF(Q$5&gt;=Closing_Date,'Transaction Structure'!$J$115,0)</f>
        <v>0</v>
      </c>
      <c r="R140" s="58">
        <f>IF(R$5&gt;=Closing_Date,'Transaction Structure'!$J$115,0)</f>
        <v>0</v>
      </c>
      <c r="S140" s="572">
        <f>IF(S$5&gt;=Closing_Date,'Transaction Structure'!$J$115,0)</f>
        <v>0</v>
      </c>
      <c r="T140" s="572">
        <f>IF(T$5&gt;=Closing_Date,'Transaction Structure'!$J$115,0)</f>
        <v>0</v>
      </c>
      <c r="U140" s="58">
        <f ca="1">IF(U$5&gt;=Closing_Date,'Transaction Structure'!$J$115,0)</f>
        <v>4581670.2123345677</v>
      </c>
      <c r="V140" s="58">
        <f ca="1">IF(V$5&gt;=Closing_Date,'Transaction Structure'!$J$115,0)</f>
        <v>4581670.2123345677</v>
      </c>
      <c r="W140" s="58">
        <f ca="1">IF(W$5&gt;=Closing_Date,'Transaction Structure'!$J$115,0)</f>
        <v>4581670.2123345677</v>
      </c>
      <c r="X140" s="58">
        <f ca="1">IF(X$5&gt;=Closing_Date,'Transaction Structure'!$J$115,0)</f>
        <v>4581670.2123345677</v>
      </c>
      <c r="Y140" s="58">
        <f ca="1">IF(Y$5&gt;=Closing_Date,'Transaction Structure'!$J$115,0)</f>
        <v>4581670.2123345677</v>
      </c>
      <c r="Z140" s="58">
        <f ca="1">IF(Z$5&gt;=Closing_Date,'Transaction Structure'!$J$115,0)</f>
        <v>4581670.2123345677</v>
      </c>
      <c r="AA140" s="58">
        <f ca="1">IF(AA$5&gt;=Closing_Date,'Transaction Structure'!$J$115,0)</f>
        <v>4581670.2123345677</v>
      </c>
      <c r="AB140" s="58">
        <f ca="1">IF(AB$5&gt;=Closing_Date,'Transaction Structure'!$J$115,0)</f>
        <v>4581670.2123345677</v>
      </c>
      <c r="AC140" s="58">
        <f ca="1">IF(AC$5&gt;=Closing_Date,'Transaction Structure'!$J$115,0)</f>
        <v>4581670.2123345677</v>
      </c>
      <c r="AD140" s="58">
        <f ca="1">IF(AD$5&gt;=Closing_Date,'Transaction Structure'!$J$115,0)</f>
        <v>4581670.2123345677</v>
      </c>
      <c r="AE140" s="58">
        <f ca="1">IF(AE$5&gt;=Closing_Date,'Transaction Structure'!$J$115,0)</f>
        <v>4581670.2123345677</v>
      </c>
      <c r="AF140" s="58">
        <f ca="1">IF(AF$5&gt;=Closing_Date,'Transaction Structure'!$J$115,0)</f>
        <v>4581670.2123345677</v>
      </c>
      <c r="AG140" s="58">
        <f ca="1">IF(AG$5&gt;=Closing_Date,'Transaction Structure'!$J$115,0)</f>
        <v>4581670.2123345677</v>
      </c>
      <c r="AH140" s="58">
        <f ca="1">IF(AH$5&gt;=Closing_Date,'Transaction Structure'!$J$115,0)</f>
        <v>4581670.2123345677</v>
      </c>
      <c r="AI140" s="58">
        <f ca="1">IF(AI$5&gt;=Closing_Date,'Transaction Structure'!$J$115,0)</f>
        <v>4581670.2123345677</v>
      </c>
      <c r="AJ140" s="58">
        <f ca="1">IF(AJ$5&gt;=Closing_Date,'Transaction Structure'!$J$115,0)</f>
        <v>4581670.2123345677</v>
      </c>
      <c r="AK140" s="58">
        <f ca="1">IF(AK$5&gt;=Closing_Date,'Transaction Structure'!$J$115,0)</f>
        <v>4581670.2123345677</v>
      </c>
      <c r="AL140" s="58">
        <f ca="1">IF(AL$5&gt;=Closing_Date,'Transaction Structure'!$J$115,0)</f>
        <v>4581670.2123345677</v>
      </c>
      <c r="AN140" s="58">
        <f t="shared" si="218"/>
        <v>0</v>
      </c>
      <c r="AO140" s="58">
        <f t="shared" si="218"/>
        <v>0</v>
      </c>
      <c r="AP140" s="58">
        <f t="shared" ca="1" si="218"/>
        <v>4581670.2123345677</v>
      </c>
      <c r="AQ140" s="58">
        <f t="shared" ca="1" si="218"/>
        <v>4581670.2123345677</v>
      </c>
      <c r="AR140" s="58">
        <f t="shared" ca="1" si="218"/>
        <v>4581670.2123345677</v>
      </c>
      <c r="AS140" s="58">
        <f t="shared" ca="1" si="218"/>
        <v>4581670.2123345677</v>
      </c>
      <c r="AT140" s="58">
        <f t="shared" ca="1" si="218"/>
        <v>4581670.2123345677</v>
      </c>
    </row>
    <row r="141" spans="2:46" x14ac:dyDescent="0.25">
      <c r="B141" s="98" t="s">
        <v>201</v>
      </c>
      <c r="C141" s="76"/>
      <c r="D141" s="76"/>
      <c r="E141" s="76"/>
      <c r="F141" s="76"/>
      <c r="G141" s="76"/>
      <c r="H141" s="69" t="s">
        <v>303</v>
      </c>
      <c r="K141" s="571"/>
      <c r="L141" s="568">
        <v>-124427</v>
      </c>
      <c r="M141" s="569">
        <v>-153397</v>
      </c>
      <c r="N141" s="569">
        <v>-170914</v>
      </c>
      <c r="O141" s="569">
        <v>-183068</v>
      </c>
      <c r="P141" s="568">
        <v>-198113</v>
      </c>
      <c r="Q141" s="568">
        <v>-216558</v>
      </c>
      <c r="R141" s="568">
        <v>-230488</v>
      </c>
      <c r="S141" s="572">
        <f t="shared" ref="S141:AL141" ca="1" si="224">IF(S$5=Closing_Date,SUM(R141,R142,S38,-S35),SUM(S38,R141,R142))</f>
        <v>-221999.16724783456</v>
      </c>
      <c r="T141" s="572">
        <f t="shared" ca="1" si="224"/>
        <v>-212552.66003270305</v>
      </c>
      <c r="U141" s="572">
        <f t="shared" ca="1" si="224"/>
        <v>-205936.74192546649</v>
      </c>
      <c r="V141" s="572">
        <f t="shared" ca="1" si="224"/>
        <v>-122595.9380490256</v>
      </c>
      <c r="W141" s="572">
        <f t="shared" ca="1" si="224"/>
        <v>-126845.17689711667</v>
      </c>
      <c r="X141" s="572">
        <f t="shared" ca="1" si="224"/>
        <v>-111205.53218322247</v>
      </c>
      <c r="Y141" s="572">
        <f t="shared" ca="1" si="224"/>
        <v>-116564.98240613448</v>
      </c>
      <c r="Z141" s="572">
        <f t="shared" ca="1" si="224"/>
        <v>-100638.53498915621</v>
      </c>
      <c r="AA141" s="572">
        <f t="shared" ca="1" si="224"/>
        <v>-103160.14655251152</v>
      </c>
      <c r="AB141" s="572">
        <f t="shared" ca="1" si="224"/>
        <v>-85421.036567049843</v>
      </c>
      <c r="AC141" s="572">
        <f t="shared" ca="1" si="224"/>
        <v>-88654.938223502162</v>
      </c>
      <c r="AD141" s="572">
        <f t="shared" ca="1" si="224"/>
        <v>-70661.300802906582</v>
      </c>
      <c r="AE141" s="572">
        <f t="shared" ca="1" si="224"/>
        <v>-72229.50073262857</v>
      </c>
      <c r="AF141" s="572">
        <f t="shared" ca="1" si="224"/>
        <v>-53261.416890301436</v>
      </c>
      <c r="AG141" s="572">
        <f t="shared" ca="1" si="224"/>
        <v>-55205.311887365919</v>
      </c>
      <c r="AH141" s="572">
        <f t="shared" ca="1" si="224"/>
        <v>-36017.862725340965</v>
      </c>
      <c r="AI141" s="572">
        <f t="shared" ca="1" si="224"/>
        <v>-37619.956140874478</v>
      </c>
      <c r="AJ141" s="572">
        <f t="shared" ca="1" si="224"/>
        <v>-18556.753970960173</v>
      </c>
      <c r="AK141" s="572">
        <f t="shared" ca="1" si="224"/>
        <v>-20119.125530109701</v>
      </c>
      <c r="AL141" s="572">
        <f t="shared" ca="1" si="224"/>
        <v>-591.93221954301771</v>
      </c>
      <c r="AN141" s="572">
        <f t="shared" si="218"/>
        <v>-170914</v>
      </c>
      <c r="AO141" s="572">
        <f t="shared" si="218"/>
        <v>-230488</v>
      </c>
      <c r="AP141" s="572">
        <f t="shared" ca="1" si="218"/>
        <v>-122595.9380490256</v>
      </c>
      <c r="AQ141" s="572">
        <f t="shared" ca="1" si="218"/>
        <v>-100638.53498915621</v>
      </c>
      <c r="AR141" s="572">
        <f t="shared" ca="1" si="218"/>
        <v>-70661.300802906582</v>
      </c>
      <c r="AS141" s="572">
        <f t="shared" ca="1" si="218"/>
        <v>-36017.862725340965</v>
      </c>
      <c r="AT141" s="572">
        <f t="shared" ca="1" si="218"/>
        <v>-591.93221954301771</v>
      </c>
    </row>
    <row r="142" spans="2:46" x14ac:dyDescent="0.25">
      <c r="B142" s="636" t="s">
        <v>307</v>
      </c>
      <c r="C142" s="76"/>
      <c r="D142" s="76"/>
      <c r="E142" s="76"/>
      <c r="F142" s="76"/>
      <c r="G142" s="76"/>
      <c r="K142" s="571"/>
      <c r="L142" s="58"/>
      <c r="M142" s="594"/>
      <c r="N142" s="594"/>
      <c r="O142" s="594"/>
      <c r="P142" s="58"/>
      <c r="Q142" s="58"/>
      <c r="R142" s="58"/>
      <c r="S142" s="58">
        <f>IF(S5=Closing_Date,SUM('Transaction Structure'!$D$113:$I$113),0)</f>
        <v>0</v>
      </c>
      <c r="T142" s="58">
        <f>IF(T5=Closing_Date,SUM('Transaction Structure'!$D$113:$I$113),0)</f>
        <v>0</v>
      </c>
      <c r="U142" s="58">
        <f ca="1">IF(U5=Closing_Date,SUM('Transaction Structure'!$D$113:$I$113),0)</f>
        <v>73234.404563545948</v>
      </c>
      <c r="V142" s="58">
        <f>IF(V5=Closing_Date,SUM('Transaction Structure'!$D$113:$I$113),0)</f>
        <v>0</v>
      </c>
      <c r="W142" s="58">
        <f>IF(W5=Closing_Date,SUM('Transaction Structure'!$D$113:$I$113),0)</f>
        <v>0</v>
      </c>
      <c r="X142" s="58">
        <f>IF(X5=Closing_Date,SUM('Transaction Structure'!$D$113:$I$113),0)</f>
        <v>0</v>
      </c>
      <c r="Y142" s="58">
        <f>IF(Y5=Closing_Date,SUM('Transaction Structure'!$D$113:$I$113),0)</f>
        <v>0</v>
      </c>
      <c r="Z142" s="58">
        <f>IF(Z5=Closing_Date,SUM('Transaction Structure'!$D$113:$I$113),0)</f>
        <v>0</v>
      </c>
      <c r="AA142" s="58">
        <f>IF(AA5=Closing_Date,SUM('Transaction Structure'!$D$113:$I$113),0)</f>
        <v>0</v>
      </c>
      <c r="AB142" s="58">
        <f>IF(AB5=Closing_Date,SUM('Transaction Structure'!$D$113:$I$113),0)</f>
        <v>0</v>
      </c>
      <c r="AC142" s="58">
        <f>IF(AC5=Closing_Date,SUM('Transaction Structure'!$D$113:$I$113),0)</f>
        <v>0</v>
      </c>
      <c r="AD142" s="58">
        <f>IF(AD5=Closing_Date,SUM('Transaction Structure'!$D$113:$I$113),0)</f>
        <v>0</v>
      </c>
      <c r="AE142" s="58">
        <f>IF(AE5=Closing_Date,SUM('Transaction Structure'!$D$113:$I$113),0)</f>
        <v>0</v>
      </c>
      <c r="AF142" s="58">
        <f>IF(AF5=Closing_Date,SUM('Transaction Structure'!$D$113:$I$113),0)</f>
        <v>0</v>
      </c>
      <c r="AG142" s="58">
        <f>IF(AG5=Closing_Date,SUM('Transaction Structure'!$D$113:$I$113),0)</f>
        <v>0</v>
      </c>
      <c r="AH142" s="58">
        <f>IF(AH5=Closing_Date,SUM('Transaction Structure'!$D$113:$I$113),0)</f>
        <v>0</v>
      </c>
      <c r="AI142" s="58">
        <f>IF(AI5=Closing_Date,SUM('Transaction Structure'!$D$113:$I$113),0)</f>
        <v>0</v>
      </c>
      <c r="AJ142" s="58">
        <f>IF(AJ5=Closing_Date,SUM('Transaction Structure'!$D$113:$I$113),0)</f>
        <v>0</v>
      </c>
      <c r="AK142" s="58">
        <f>IF(AK5=Closing_Date,SUM('Transaction Structure'!$D$113:$I$113),0)</f>
        <v>0</v>
      </c>
      <c r="AL142" s="58">
        <f>IF(AL5=Closing_Date,SUM('Transaction Structure'!$D$113:$I$113),0)</f>
        <v>0</v>
      </c>
      <c r="AN142" s="58">
        <f t="shared" si="218"/>
        <v>0</v>
      </c>
      <c r="AO142" s="58">
        <f t="shared" si="218"/>
        <v>0</v>
      </c>
      <c r="AP142" s="58">
        <f t="shared" si="218"/>
        <v>0</v>
      </c>
      <c r="AQ142" s="58">
        <f t="shared" si="218"/>
        <v>0</v>
      </c>
      <c r="AR142" s="58">
        <f t="shared" si="218"/>
        <v>0</v>
      </c>
      <c r="AS142" s="58">
        <f t="shared" si="218"/>
        <v>0</v>
      </c>
      <c r="AT142" s="58">
        <f t="shared" si="218"/>
        <v>0</v>
      </c>
    </row>
    <row r="143" spans="2:46" x14ac:dyDescent="0.25">
      <c r="B143" s="60" t="s">
        <v>203</v>
      </c>
      <c r="C143" s="134"/>
      <c r="D143" s="134"/>
      <c r="E143" s="134"/>
      <c r="F143" s="134"/>
      <c r="G143" s="134"/>
      <c r="H143" s="134" t="s">
        <v>308</v>
      </c>
      <c r="I143" s="134"/>
      <c r="J143" s="134"/>
      <c r="K143" s="589"/>
      <c r="L143" s="590">
        <f t="shared" ref="L143:AL143" si="225">SUM(L134:L142)</f>
        <v>88832</v>
      </c>
      <c r="M143" s="591">
        <f t="shared" si="225"/>
        <v>510731</v>
      </c>
      <c r="N143" s="591">
        <f t="shared" si="225"/>
        <v>513056</v>
      </c>
      <c r="O143" s="591">
        <f t="shared" si="225"/>
        <v>520714</v>
      </c>
      <c r="P143" s="590">
        <f t="shared" si="225"/>
        <v>528219</v>
      </c>
      <c r="Q143" s="590">
        <f t="shared" si="225"/>
        <v>533826</v>
      </c>
      <c r="R143" s="590">
        <f t="shared" si="225"/>
        <v>542078</v>
      </c>
      <c r="S143" s="590">
        <f t="shared" ca="1" si="225"/>
        <v>550566.83275216538</v>
      </c>
      <c r="T143" s="590">
        <f t="shared" ca="1" si="225"/>
        <v>560013.33996729692</v>
      </c>
      <c r="U143" s="590">
        <f t="shared" ca="1" si="225"/>
        <v>5523967.8749726471</v>
      </c>
      <c r="V143" s="590">
        <f t="shared" ca="1" si="225"/>
        <v>5534074.2742855418</v>
      </c>
      <c r="W143" s="590">
        <f t="shared" ca="1" si="225"/>
        <v>5529825.0354374507</v>
      </c>
      <c r="X143" s="590">
        <f t="shared" ca="1" si="225"/>
        <v>5545464.6801513452</v>
      </c>
      <c r="Y143" s="590">
        <f t="shared" ca="1" si="225"/>
        <v>5540105.229928433</v>
      </c>
      <c r="Z143" s="590">
        <f t="shared" ca="1" si="225"/>
        <v>5556031.6773454119</v>
      </c>
      <c r="AA143" s="590">
        <f t="shared" ca="1" si="225"/>
        <v>5553510.0657820562</v>
      </c>
      <c r="AB143" s="590">
        <f t="shared" ca="1" si="225"/>
        <v>5571249.1757675176</v>
      </c>
      <c r="AC143" s="590">
        <f t="shared" ca="1" si="225"/>
        <v>5568015.2741110651</v>
      </c>
      <c r="AD143" s="590">
        <f t="shared" ca="1" si="225"/>
        <v>5586008.9115316607</v>
      </c>
      <c r="AE143" s="590">
        <f t="shared" ca="1" si="225"/>
        <v>5584440.7116019391</v>
      </c>
      <c r="AF143" s="590">
        <f t="shared" ca="1" si="225"/>
        <v>5603408.7954442659</v>
      </c>
      <c r="AG143" s="590">
        <f t="shared" ca="1" si="225"/>
        <v>5601464.9004472019</v>
      </c>
      <c r="AH143" s="590">
        <f t="shared" ca="1" si="225"/>
        <v>5620652.3496092269</v>
      </c>
      <c r="AI143" s="590">
        <f t="shared" ca="1" si="225"/>
        <v>5619050.2561936928</v>
      </c>
      <c r="AJ143" s="590">
        <f t="shared" ca="1" si="225"/>
        <v>5638113.4583636075</v>
      </c>
      <c r="AK143" s="590">
        <f t="shared" ca="1" si="225"/>
        <v>5636551.0868044579</v>
      </c>
      <c r="AL143" s="590">
        <f t="shared" ca="1" si="225"/>
        <v>5656078.2801150251</v>
      </c>
      <c r="AN143" s="590">
        <f>SUM(AN134:AN142)</f>
        <v>513056</v>
      </c>
      <c r="AO143" s="590">
        <f t="shared" ref="AO143" si="226">SUM(AO134:AO142)</f>
        <v>542078</v>
      </c>
      <c r="AP143" s="590">
        <f t="shared" ref="AP143" ca="1" si="227">SUM(AP134:AP142)</f>
        <v>5534074.2742855418</v>
      </c>
      <c r="AQ143" s="590">
        <f t="shared" ref="AQ143" ca="1" si="228">SUM(AQ134:AQ142)</f>
        <v>5556031.6773454119</v>
      </c>
      <c r="AR143" s="590">
        <f t="shared" ref="AR143" ca="1" si="229">SUM(AR134:AR142)</f>
        <v>5586008.9115316607</v>
      </c>
      <c r="AS143" s="590">
        <f t="shared" ref="AS143" ca="1" si="230">SUM(AS134:AS142)</f>
        <v>5620652.3496092269</v>
      </c>
      <c r="AT143" s="590">
        <f t="shared" ref="AT143" ca="1" si="231">SUM(AT134:AT142)</f>
        <v>5656078.2801150251</v>
      </c>
    </row>
    <row r="145" spans="1:46" ht="16.5" thickBot="1" x14ac:dyDescent="0.3">
      <c r="B145" s="60" t="s">
        <v>204</v>
      </c>
      <c r="C145" s="134"/>
      <c r="D145" s="134"/>
      <c r="E145" s="134"/>
      <c r="F145" s="134"/>
      <c r="G145" s="134"/>
      <c r="H145" s="134" t="s">
        <v>308</v>
      </c>
      <c r="I145" s="134"/>
      <c r="J145" s="134"/>
      <c r="K145" s="577"/>
      <c r="L145" s="578">
        <f t="shared" ref="L145:AL145" si="232">+L143+L131</f>
        <v>181693</v>
      </c>
      <c r="M145" s="579">
        <f t="shared" si="232"/>
        <v>617777</v>
      </c>
      <c r="N145" s="579">
        <f t="shared" si="232"/>
        <v>661311</v>
      </c>
      <c r="O145" s="579">
        <f t="shared" si="232"/>
        <v>684511</v>
      </c>
      <c r="P145" s="578">
        <f t="shared" si="232"/>
        <v>701050</v>
      </c>
      <c r="Q145" s="578">
        <f t="shared" si="232"/>
        <v>713699</v>
      </c>
      <c r="R145" s="578">
        <f t="shared" si="232"/>
        <v>747347</v>
      </c>
      <c r="S145" s="580">
        <f t="shared" ca="1" si="232"/>
        <v>767864.4566679718</v>
      </c>
      <c r="T145" s="578">
        <f ca="1">+T143+T131</f>
        <v>788566.79676234815</v>
      </c>
      <c r="U145" s="578">
        <f t="shared" ca="1" si="232"/>
        <v>6255177.9569730582</v>
      </c>
      <c r="V145" s="578">
        <f ca="1">+V143+V131</f>
        <v>6289293.3540634979</v>
      </c>
      <c r="W145" s="578">
        <f t="shared" ca="1" si="232"/>
        <v>6291391.3459525555</v>
      </c>
      <c r="X145" s="578">
        <f t="shared" ca="1" si="232"/>
        <v>6321907.8152651843</v>
      </c>
      <c r="Y145" s="578">
        <f t="shared" ca="1" si="232"/>
        <v>6333493.0870650616</v>
      </c>
      <c r="Z145" s="578">
        <f t="shared" ca="1" si="232"/>
        <v>6366892.1177321058</v>
      </c>
      <c r="AA145" s="578">
        <f t="shared" ca="1" si="232"/>
        <v>6361291.39047617</v>
      </c>
      <c r="AB145" s="578">
        <f t="shared" ca="1" si="232"/>
        <v>6392096.1974267252</v>
      </c>
      <c r="AC145" s="578">
        <f t="shared" ca="1" si="232"/>
        <v>6418010.6197179742</v>
      </c>
      <c r="AD145" s="578">
        <f t="shared" ca="1" si="232"/>
        <v>6445697.6202759808</v>
      </c>
      <c r="AE145" s="578">
        <f t="shared" ca="1" si="232"/>
        <v>6421709.9664677214</v>
      </c>
      <c r="AF145" s="578">
        <f t="shared" ca="1" si="232"/>
        <v>6454693.3042306583</v>
      </c>
      <c r="AG145" s="578">
        <f t="shared" ca="1" si="232"/>
        <v>6491432.2665472487</v>
      </c>
      <c r="AH145" s="578">
        <f t="shared" ca="1" si="232"/>
        <v>6513717.3707522303</v>
      </c>
      <c r="AI145" s="578">
        <f t="shared" ca="1" si="232"/>
        <v>6479969.2655905029</v>
      </c>
      <c r="AJ145" s="578">
        <f t="shared" ca="1" si="232"/>
        <v>6507208.4544870751</v>
      </c>
      <c r="AK145" s="578">
        <f t="shared" ca="1" si="232"/>
        <v>6548685.6962931547</v>
      </c>
      <c r="AL145" s="578">
        <f t="shared" ca="1" si="232"/>
        <v>6567275.3809595425</v>
      </c>
      <c r="AN145" s="578">
        <f t="shared" ref="AN145:AS145" si="233">+AN143+AN131</f>
        <v>661311</v>
      </c>
      <c r="AO145" s="578">
        <f t="shared" si="233"/>
        <v>747347</v>
      </c>
      <c r="AP145" s="578">
        <f t="shared" ca="1" si="233"/>
        <v>6289293.3540634979</v>
      </c>
      <c r="AQ145" s="578">
        <f t="shared" ca="1" si="233"/>
        <v>6366892.1177321058</v>
      </c>
      <c r="AR145" s="578">
        <f t="shared" ca="1" si="233"/>
        <v>6445697.6202759808</v>
      </c>
      <c r="AS145" s="578">
        <f t="shared" ca="1" si="233"/>
        <v>6513717.3707522303</v>
      </c>
      <c r="AT145" s="578">
        <f ca="1">+AT143+AT131</f>
        <v>6567275.3809595425</v>
      </c>
    </row>
    <row r="146" spans="1:46" ht="16.5" thickTop="1" x14ac:dyDescent="0.25">
      <c r="B146" s="60" t="s">
        <v>205</v>
      </c>
      <c r="C146" s="134"/>
      <c r="D146" s="134"/>
      <c r="E146" s="134"/>
      <c r="F146" s="134"/>
      <c r="G146" s="134"/>
      <c r="H146" s="134" t="s">
        <v>308</v>
      </c>
      <c r="I146" s="134"/>
      <c r="J146" s="134"/>
      <c r="K146" s="541">
        <f t="shared" ref="K146:AT146" si="234">+ROUND(K114-K145,0)</f>
        <v>0</v>
      </c>
      <c r="L146" s="541">
        <f t="shared" si="234"/>
        <v>0</v>
      </c>
      <c r="M146" s="541">
        <f t="shared" si="234"/>
        <v>0</v>
      </c>
      <c r="N146" s="541">
        <f t="shared" si="234"/>
        <v>0</v>
      </c>
      <c r="O146" s="541">
        <f t="shared" si="234"/>
        <v>0</v>
      </c>
      <c r="P146" s="541">
        <f t="shared" si="234"/>
        <v>0</v>
      </c>
      <c r="Q146" s="541">
        <f t="shared" si="234"/>
        <v>0</v>
      </c>
      <c r="R146" s="541">
        <f t="shared" si="234"/>
        <v>0</v>
      </c>
      <c r="S146" s="541">
        <f t="shared" ca="1" si="234"/>
        <v>0</v>
      </c>
      <c r="T146" s="541">
        <f t="shared" ca="1" si="234"/>
        <v>0</v>
      </c>
      <c r="U146" s="541">
        <f t="shared" ca="1" si="234"/>
        <v>0</v>
      </c>
      <c r="V146" s="541">
        <f t="shared" ca="1" si="234"/>
        <v>0</v>
      </c>
      <c r="W146" s="541">
        <f t="shared" ca="1" si="234"/>
        <v>0</v>
      </c>
      <c r="X146" s="541">
        <f t="shared" ca="1" si="234"/>
        <v>0</v>
      </c>
      <c r="Y146" s="541">
        <f t="shared" ca="1" si="234"/>
        <v>0</v>
      </c>
      <c r="Z146" s="541">
        <f t="shared" ca="1" si="234"/>
        <v>0</v>
      </c>
      <c r="AA146" s="541">
        <f t="shared" ca="1" si="234"/>
        <v>0</v>
      </c>
      <c r="AB146" s="541">
        <f t="shared" ca="1" si="234"/>
        <v>0</v>
      </c>
      <c r="AC146" s="541">
        <f t="shared" ca="1" si="234"/>
        <v>0</v>
      </c>
      <c r="AD146" s="541">
        <f t="shared" ca="1" si="234"/>
        <v>0</v>
      </c>
      <c r="AE146" s="541">
        <f t="shared" ca="1" si="234"/>
        <v>0</v>
      </c>
      <c r="AF146" s="541">
        <f t="shared" ca="1" si="234"/>
        <v>0</v>
      </c>
      <c r="AG146" s="541">
        <f t="shared" ca="1" si="234"/>
        <v>0</v>
      </c>
      <c r="AH146" s="541">
        <f t="shared" ca="1" si="234"/>
        <v>0</v>
      </c>
      <c r="AI146" s="541">
        <f t="shared" ca="1" si="234"/>
        <v>0</v>
      </c>
      <c r="AJ146" s="541">
        <f t="shared" ca="1" si="234"/>
        <v>0</v>
      </c>
      <c r="AK146" s="541">
        <f t="shared" ca="1" si="234"/>
        <v>0</v>
      </c>
      <c r="AL146" s="541">
        <f t="shared" ca="1" si="234"/>
        <v>0</v>
      </c>
      <c r="AN146" s="541">
        <f t="shared" si="234"/>
        <v>0</v>
      </c>
      <c r="AO146" s="541">
        <f t="shared" si="234"/>
        <v>0</v>
      </c>
      <c r="AP146" s="541">
        <f t="shared" ca="1" si="234"/>
        <v>0</v>
      </c>
      <c r="AQ146" s="541">
        <f t="shared" ca="1" si="234"/>
        <v>0</v>
      </c>
      <c r="AR146" s="541">
        <f t="shared" ca="1" si="234"/>
        <v>0</v>
      </c>
      <c r="AS146" s="541">
        <f t="shared" ca="1" si="234"/>
        <v>0</v>
      </c>
      <c r="AT146" s="541">
        <f t="shared" ca="1" si="234"/>
        <v>0</v>
      </c>
    </row>
    <row r="147" spans="1:46" x14ac:dyDescent="0.25">
      <c r="A147" s="69" t="s">
        <v>207</v>
      </c>
    </row>
    <row r="148" spans="1:46" x14ac:dyDescent="0.25">
      <c r="B148" s="747" t="s">
        <v>309</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69" t="s">
        <v>207</v>
      </c>
      <c r="AN148" s="32"/>
      <c r="AO148" s="32"/>
      <c r="AP148" s="32"/>
      <c r="AQ148" s="32"/>
      <c r="AR148" s="32"/>
      <c r="AS148" s="32"/>
      <c r="AT148" s="32"/>
    </row>
    <row r="149" spans="1:46" x14ac:dyDescent="0.25">
      <c r="J149" s="69" t="s">
        <v>310</v>
      </c>
    </row>
    <row r="150" spans="1:46" x14ac:dyDescent="0.25">
      <c r="B150" s="60" t="s">
        <v>311</v>
      </c>
      <c r="C150" s="134"/>
      <c r="D150" s="134"/>
      <c r="E150" s="134"/>
      <c r="F150" s="134"/>
      <c r="G150" s="134"/>
      <c r="H150" s="134"/>
      <c r="I150" s="134"/>
      <c r="J150" s="595"/>
      <c r="V150" s="541"/>
      <c r="AQ150" s="541"/>
    </row>
    <row r="151" spans="1:46" x14ac:dyDescent="0.25">
      <c r="B151" s="638" t="s">
        <v>312</v>
      </c>
      <c r="C151" s="138"/>
      <c r="D151" s="138"/>
      <c r="E151" s="138"/>
      <c r="F151" s="138"/>
      <c r="G151" s="138"/>
      <c r="H151" s="138"/>
      <c r="I151" s="138"/>
      <c r="J151" s="595" t="s">
        <v>313</v>
      </c>
      <c r="K151" s="596"/>
      <c r="L151" s="596"/>
      <c r="M151" s="596"/>
      <c r="N151" s="596"/>
      <c r="O151" s="596"/>
      <c r="P151" s="596"/>
      <c r="Q151" s="596"/>
      <c r="R151" s="596"/>
      <c r="S151" s="541">
        <f t="shared" ref="S151:AL151" ca="1" si="235">+S41</f>
        <v>8488.8327521654373</v>
      </c>
      <c r="T151" s="541">
        <f t="shared" ca="1" si="235"/>
        <v>9446.5072151315017</v>
      </c>
      <c r="U151" s="541">
        <f t="shared" ca="1" si="235"/>
        <v>1615.9181072365591</v>
      </c>
      <c r="V151" s="541">
        <f t="shared" ca="1" si="235"/>
        <v>7984.0554571869889</v>
      </c>
      <c r="W151" s="541">
        <f t="shared" ca="1" si="235"/>
        <v>-4249.2388480910777</v>
      </c>
      <c r="X151" s="541">
        <f t="shared" ca="1" si="235"/>
        <v>12355.31932397642</v>
      </c>
      <c r="Y151" s="541">
        <f t="shared" ca="1" si="235"/>
        <v>-5359.4502229120117</v>
      </c>
      <c r="Z151" s="541">
        <f t="shared" ca="1" si="235"/>
        <v>12581.893459412837</v>
      </c>
      <c r="AA151" s="541">
        <f t="shared" ca="1" si="235"/>
        <v>-2521.6115633553127</v>
      </c>
      <c r="AB151" s="541">
        <f t="shared" ca="1" si="235"/>
        <v>14013.896888514724</v>
      </c>
      <c r="AC151" s="541">
        <f t="shared" ca="1" si="235"/>
        <v>-3233.901656452319</v>
      </c>
      <c r="AD151" s="541">
        <f t="shared" ca="1" si="235"/>
        <v>14214.973562270508</v>
      </c>
      <c r="AE151" s="541">
        <f t="shared" ca="1" si="235"/>
        <v>-1568.1999297219845</v>
      </c>
      <c r="AF151" s="541">
        <f t="shared" ca="1" si="235"/>
        <v>14984.786235438434</v>
      </c>
      <c r="AG151" s="541">
        <f t="shared" ca="1" si="235"/>
        <v>-1943.8949970644826</v>
      </c>
      <c r="AH151" s="541">
        <f t="shared" ca="1" si="235"/>
        <v>15158.084837999713</v>
      </c>
      <c r="AI151" s="541">
        <f t="shared" ca="1" si="235"/>
        <v>-1602.093415533509</v>
      </c>
      <c r="AJ151" s="541">
        <f t="shared" ca="1" si="235"/>
        <v>15059.929714232301</v>
      </c>
      <c r="AK151" s="541">
        <f t="shared" ca="1" si="235"/>
        <v>-1562.3715591495275</v>
      </c>
      <c r="AL151" s="541">
        <f t="shared" ca="1" si="235"/>
        <v>15426.48271534768</v>
      </c>
      <c r="AN151" s="571"/>
      <c r="AO151" s="571"/>
      <c r="AP151" s="541">
        <f ca="1">+AP41</f>
        <v>27535.678665190135</v>
      </c>
      <c r="AQ151" s="541">
        <f ca="1">+AQ41</f>
        <v>15328.742899950819</v>
      </c>
      <c r="AR151" s="541">
        <f ca="1">+AR41</f>
        <v>22473.521891140794</v>
      </c>
      <c r="AS151" s="541">
        <f ca="1">+AS41</f>
        <v>26630.875072105795</v>
      </c>
      <c r="AT151" s="541">
        <f ca="1">+AT41</f>
        <v>27321.996959348144</v>
      </c>
    </row>
    <row r="152" spans="1:46" x14ac:dyDescent="0.25">
      <c r="B152" s="638" t="s">
        <v>314</v>
      </c>
      <c r="C152" s="138"/>
      <c r="D152" s="138"/>
      <c r="E152" s="138"/>
      <c r="F152" s="138"/>
      <c r="G152" s="138"/>
      <c r="H152" s="138"/>
      <c r="I152" s="138"/>
      <c r="J152" s="138"/>
      <c r="K152" s="597"/>
      <c r="L152" s="597"/>
      <c r="M152" s="597"/>
      <c r="N152" s="597"/>
      <c r="O152" s="597"/>
      <c r="P152" s="597"/>
      <c r="Q152" s="597"/>
      <c r="R152" s="597"/>
      <c r="S152" s="541"/>
      <c r="T152" s="541"/>
      <c r="U152" s="541"/>
      <c r="V152" s="541"/>
      <c r="AN152" s="571"/>
      <c r="AO152" s="571"/>
      <c r="AP152" s="541">
        <f t="shared" ref="AP152:AT158" si="236">SUMIF($K$4:$AL$4,AP$4,$K152:$AL152)</f>
        <v>0</v>
      </c>
      <c r="AQ152" s="541">
        <f t="shared" si="236"/>
        <v>0</v>
      </c>
      <c r="AR152" s="541">
        <f t="shared" si="236"/>
        <v>0</v>
      </c>
      <c r="AS152" s="541">
        <f t="shared" si="236"/>
        <v>0</v>
      </c>
      <c r="AT152" s="541">
        <f t="shared" si="236"/>
        <v>0</v>
      </c>
    </row>
    <row r="153" spans="1:46" x14ac:dyDescent="0.25">
      <c r="B153" s="748" t="s">
        <v>228</v>
      </c>
      <c r="C153" s="598"/>
      <c r="D153" s="598"/>
      <c r="E153" s="598"/>
      <c r="F153" s="598"/>
      <c r="G153" s="598"/>
      <c r="H153" s="598"/>
      <c r="I153" s="598"/>
      <c r="J153" s="595" t="s">
        <v>313</v>
      </c>
      <c r="K153" s="597"/>
      <c r="L153" s="597"/>
      <c r="M153" s="597"/>
      <c r="N153" s="597"/>
      <c r="O153" s="597"/>
      <c r="P153" s="597"/>
      <c r="Q153" s="597"/>
      <c r="R153" s="597"/>
      <c r="S153" s="541">
        <f ca="1">-S242</f>
        <v>591.27139774980344</v>
      </c>
      <c r="T153" s="541">
        <f t="shared" ref="T153:AL153" ca="1" si="237">-T242</f>
        <v>690.81262874814558</v>
      </c>
      <c r="U153" s="541">
        <f t="shared" ca="1" si="237"/>
        <v>788.48770066009945</v>
      </c>
      <c r="V153" s="541">
        <f t="shared" ca="1" si="237"/>
        <v>816.36574445071983</v>
      </c>
      <c r="W153" s="541">
        <f t="shared" ca="1" si="237"/>
        <v>907.59867690051567</v>
      </c>
      <c r="X153" s="541">
        <f t="shared" ca="1" si="237"/>
        <v>1030.6747694689363</v>
      </c>
      <c r="Y153" s="541">
        <f t="shared" ca="1" si="237"/>
        <v>1160.5456820331833</v>
      </c>
      <c r="Z153" s="541">
        <f t="shared" ca="1" si="237"/>
        <v>1186.8482753032433</v>
      </c>
      <c r="AA153" s="541">
        <f t="shared" ca="1" si="237"/>
        <v>1291.0893920587714</v>
      </c>
      <c r="AB153" s="541">
        <f t="shared" ca="1" si="237"/>
        <v>1432.1322017510129</v>
      </c>
      <c r="AC153" s="541">
        <f t="shared" ca="1" si="237"/>
        <v>1582.5510513306908</v>
      </c>
      <c r="AD153" s="541">
        <f t="shared" ca="1" si="237"/>
        <v>1617.16516872891</v>
      </c>
      <c r="AE153" s="541">
        <f t="shared" ca="1" si="237"/>
        <v>1731.518348042498</v>
      </c>
      <c r="AF153" s="541">
        <f t="shared" ca="1" si="237"/>
        <v>1886.7461915290082</v>
      </c>
      <c r="AG153" s="541">
        <f t="shared" ca="1" si="237"/>
        <v>2056.8580606907049</v>
      </c>
      <c r="AH153" s="541">
        <f t="shared" ca="1" si="237"/>
        <v>2092.3754598758692</v>
      </c>
      <c r="AI153" s="541">
        <f t="shared" ca="1" si="237"/>
        <v>2211.7078178206343</v>
      </c>
      <c r="AJ153" s="541">
        <f t="shared" ca="1" si="237"/>
        <v>2373.8696993433755</v>
      </c>
      <c r="AK153" s="541">
        <f t="shared" ca="1" si="237"/>
        <v>2552.4805666478233</v>
      </c>
      <c r="AL153" s="541">
        <f t="shared" ca="1" si="237"/>
        <v>2590.8602439620017</v>
      </c>
      <c r="AN153" s="571"/>
      <c r="AO153" s="571"/>
      <c r="AP153" s="541">
        <f t="shared" ca="1" si="236"/>
        <v>2886.9374716087682</v>
      </c>
      <c r="AQ153" s="541">
        <f t="shared" ca="1" si="236"/>
        <v>4285.6674037058783</v>
      </c>
      <c r="AR153" s="541">
        <f t="shared" ca="1" si="236"/>
        <v>5922.9378138693846</v>
      </c>
      <c r="AS153" s="541">
        <f t="shared" ca="1" si="236"/>
        <v>7767.4980601380812</v>
      </c>
      <c r="AT153" s="541">
        <f t="shared" ca="1" si="236"/>
        <v>9728.9183277738339</v>
      </c>
    </row>
    <row r="154" spans="1:46" x14ac:dyDescent="0.25">
      <c r="B154" s="748" t="s">
        <v>230</v>
      </c>
      <c r="C154" s="598"/>
      <c r="D154" s="598"/>
      <c r="E154" s="598"/>
      <c r="F154" s="598"/>
      <c r="G154" s="598"/>
      <c r="H154" s="598"/>
      <c r="I154" s="598"/>
      <c r="J154" s="595" t="s">
        <v>313</v>
      </c>
      <c r="K154" s="597"/>
      <c r="L154" s="597"/>
      <c r="M154" s="597"/>
      <c r="N154" s="597"/>
      <c r="O154" s="597"/>
      <c r="P154" s="597"/>
      <c r="Q154" s="597"/>
      <c r="R154" s="597"/>
      <c r="S154" s="541">
        <f ca="1">-S279</f>
        <v>308.12449751332485</v>
      </c>
      <c r="T154" s="541">
        <f t="shared" ref="T154:AL154" ca="1" si="238">-T279</f>
        <v>298.72039376742487</v>
      </c>
      <c r="U154" s="541">
        <f t="shared" ca="1" si="238"/>
        <v>321.4814614477952</v>
      </c>
      <c r="V154" s="541">
        <f t="shared" ca="1" si="238"/>
        <v>370.36657774562934</v>
      </c>
      <c r="W154" s="541">
        <f t="shared" ca="1" si="238"/>
        <v>371.06897473913375</v>
      </c>
      <c r="X154" s="541">
        <f t="shared" ca="1" si="238"/>
        <v>361.66232890278712</v>
      </c>
      <c r="Y154" s="541">
        <f t="shared" ca="1" si="238"/>
        <v>403.5674503724785</v>
      </c>
      <c r="Z154" s="541">
        <f t="shared" ca="1" si="238"/>
        <v>446.88552990144046</v>
      </c>
      <c r="AA154" s="541">
        <f t="shared" ca="1" si="238"/>
        <v>427.92117933054635</v>
      </c>
      <c r="AB154" s="541">
        <f t="shared" ca="1" si="238"/>
        <v>418.81542420942981</v>
      </c>
      <c r="AC154" s="541">
        <f t="shared" ca="1" si="238"/>
        <v>480.85161112730668</v>
      </c>
      <c r="AD154" s="541">
        <f t="shared" ca="1" si="238"/>
        <v>516.13154426198469</v>
      </c>
      <c r="AE154" s="541">
        <f t="shared" ca="1" si="238"/>
        <v>467.25876467311269</v>
      </c>
      <c r="AF154" s="541">
        <f t="shared" ca="1" si="238"/>
        <v>458.5263854173927</v>
      </c>
      <c r="AG154" s="541">
        <f t="shared" ca="1" si="238"/>
        <v>536.1021718639787</v>
      </c>
      <c r="AH154" s="541">
        <f t="shared" ca="1" si="238"/>
        <v>564.11705724171054</v>
      </c>
      <c r="AI154" s="541">
        <f t="shared" ca="1" si="238"/>
        <v>488.73565389970605</v>
      </c>
      <c r="AJ154" s="541">
        <f t="shared" ca="1" si="238"/>
        <v>480.26450972180265</v>
      </c>
      <c r="AK154" s="541">
        <f t="shared" ca="1" si="238"/>
        <v>566.90163777217413</v>
      </c>
      <c r="AL154" s="541">
        <f t="shared" ca="1" si="238"/>
        <v>590.34045578545124</v>
      </c>
      <c r="AN154" s="571"/>
      <c r="AO154" s="571"/>
      <c r="AP154" s="541">
        <f t="shared" ca="1" si="236"/>
        <v>1298.6929304741743</v>
      </c>
      <c r="AQ154" s="541">
        <f t="shared" ca="1" si="236"/>
        <v>1583.1842839158398</v>
      </c>
      <c r="AR154" s="541">
        <f t="shared" ca="1" si="236"/>
        <v>1843.7197589292678</v>
      </c>
      <c r="AS154" s="541">
        <f t="shared" ca="1" si="236"/>
        <v>2026.0043791961943</v>
      </c>
      <c r="AT154" s="541">
        <f t="shared" ca="1" si="236"/>
        <v>2126.242257179134</v>
      </c>
    </row>
    <row r="155" spans="1:46" x14ac:dyDescent="0.25">
      <c r="B155" s="748" t="s">
        <v>194</v>
      </c>
      <c r="C155" s="598"/>
      <c r="D155" s="598"/>
      <c r="E155" s="598"/>
      <c r="F155" s="598"/>
      <c r="G155" s="598"/>
      <c r="H155" s="598"/>
      <c r="I155" s="598"/>
      <c r="J155" s="595" t="s">
        <v>313</v>
      </c>
      <c r="K155" s="597"/>
      <c r="L155" s="597"/>
      <c r="M155" s="597"/>
      <c r="N155" s="597"/>
      <c r="O155" s="597"/>
      <c r="P155" s="597"/>
      <c r="Q155" s="597"/>
      <c r="R155" s="597"/>
      <c r="S155" s="541">
        <f t="shared" ref="S155:AL155" ca="1" si="239">+S126-R126</f>
        <v>7273.7351331668142</v>
      </c>
      <c r="T155" s="541">
        <f t="shared" ca="1" si="239"/>
        <v>3463.6936508268154</v>
      </c>
      <c r="U155" s="541">
        <f t="shared" ca="1" si="239"/>
        <v>-2064.3246592392352</v>
      </c>
      <c r="V155" s="541">
        <f t="shared" ca="1" si="239"/>
        <v>2665.0959704499146</v>
      </c>
      <c r="W155" s="541">
        <f t="shared" ca="1" si="239"/>
        <v>125.49444684333866</v>
      </c>
      <c r="X155" s="541">
        <f t="shared" ca="1" si="239"/>
        <v>4291.4377952258728</v>
      </c>
      <c r="Y155" s="541">
        <f t="shared" ca="1" si="239"/>
        <v>-1202.9424526747025</v>
      </c>
      <c r="Z155" s="541">
        <f t="shared" ca="1" si="239"/>
        <v>1497.2640191804749</v>
      </c>
      <c r="AA155" s="541">
        <f t="shared" ca="1" si="239"/>
        <v>771.55641328691127</v>
      </c>
      <c r="AB155" s="541">
        <f t="shared" ca="1" si="239"/>
        <v>5138.040979198704</v>
      </c>
      <c r="AC155" s="541">
        <f t="shared" ca="1" si="239"/>
        <v>-119.19881677062949</v>
      </c>
      <c r="AD155" s="541">
        <f t="shared" ca="1" si="239"/>
        <v>338.35164723340858</v>
      </c>
      <c r="AE155" s="541">
        <f t="shared" ca="1" si="239"/>
        <v>-1650.3214373154915</v>
      </c>
      <c r="AF155" s="541">
        <f t="shared" ca="1" si="239"/>
        <v>5741.7590271272929</v>
      </c>
      <c r="AG155" s="541">
        <f t="shared" ca="1" si="239"/>
        <v>780.17152199029806</v>
      </c>
      <c r="AH155" s="541">
        <f t="shared" ca="1" si="239"/>
        <v>-624.56000596418744</v>
      </c>
      <c r="AI155" s="541">
        <f t="shared" ca="1" si="239"/>
        <v>-3873.5532034589924</v>
      </c>
      <c r="AJ155" s="541">
        <f t="shared" ca="1" si="239"/>
        <v>6077.5962394999224</v>
      </c>
      <c r="AK155" s="541">
        <f t="shared" ca="1" si="239"/>
        <v>1324.8134447722841</v>
      </c>
      <c r="AL155" s="541">
        <f t="shared" ca="1" si="239"/>
        <v>-1207.9047097176372</v>
      </c>
      <c r="AN155" s="571"/>
      <c r="AO155" s="571"/>
      <c r="AP155" s="541">
        <f t="shared" ca="1" si="236"/>
        <v>11338.200095204309</v>
      </c>
      <c r="AQ155" s="541">
        <f t="shared" ca="1" si="236"/>
        <v>4711.2538085749839</v>
      </c>
      <c r="AR155" s="541">
        <f t="shared" ca="1" si="236"/>
        <v>6128.7502229483944</v>
      </c>
      <c r="AS155" s="541">
        <f t="shared" ca="1" si="236"/>
        <v>4247.0491058379121</v>
      </c>
      <c r="AT155" s="541">
        <f t="shared" ca="1" si="236"/>
        <v>2320.951771095577</v>
      </c>
    </row>
    <row r="156" spans="1:46" x14ac:dyDescent="0.25">
      <c r="B156" s="748" t="s">
        <v>315</v>
      </c>
      <c r="C156" s="598"/>
      <c r="D156" s="598"/>
      <c r="E156" s="598"/>
      <c r="F156" s="598"/>
      <c r="G156" s="598"/>
      <c r="H156" s="598"/>
      <c r="I156" s="598"/>
      <c r="J156" s="595" t="s">
        <v>313</v>
      </c>
      <c r="K156" s="597"/>
      <c r="L156" s="597"/>
      <c r="M156" s="597"/>
      <c r="N156" s="597"/>
      <c r="O156" s="597"/>
      <c r="P156" s="597"/>
      <c r="Q156" s="597"/>
      <c r="R156" s="597"/>
      <c r="S156" s="541">
        <f t="shared" ref="S156:AL156" ca="1" si="240">+R111-S111</f>
        <v>-1878.4942046510841</v>
      </c>
      <c r="T156" s="541">
        <f t="shared" ca="1" si="240"/>
        <v>-2744.5193512923324</v>
      </c>
      <c r="U156" s="541">
        <f t="shared" ca="1" si="240"/>
        <v>1635.7044085811722</v>
      </c>
      <c r="V156" s="541">
        <f t="shared" ca="1" si="240"/>
        <v>-2111.7362565263211</v>
      </c>
      <c r="W156" s="541">
        <f t="shared" ca="1" si="240"/>
        <v>-99.437759964439465</v>
      </c>
      <c r="X156" s="541">
        <f t="shared" ca="1" si="240"/>
        <v>-3400.3971659136805</v>
      </c>
      <c r="Y156" s="541">
        <f t="shared" ca="1" si="240"/>
        <v>953.17287632197986</v>
      </c>
      <c r="Z156" s="541">
        <f t="shared" ca="1" si="240"/>
        <v>-1186.3838112974081</v>
      </c>
      <c r="AA156" s="541">
        <f t="shared" ca="1" si="240"/>
        <v>-611.35646519262809</v>
      </c>
      <c r="AB156" s="541">
        <f t="shared" ca="1" si="240"/>
        <v>-4071.2182764135941</v>
      </c>
      <c r="AC156" s="541">
        <f t="shared" ca="1" si="240"/>
        <v>94.449305353562522</v>
      </c>
      <c r="AD156" s="541">
        <f t="shared" ca="1" si="240"/>
        <v>-268.09895359887014</v>
      </c>
      <c r="AE156" s="541">
        <f t="shared" ca="1" si="240"/>
        <v>1307.6615824507899</v>
      </c>
      <c r="AF156" s="541">
        <f t="shared" ca="1" si="240"/>
        <v>-4549.5850236774277</v>
      </c>
      <c r="AG156" s="541">
        <f t="shared" ca="1" si="240"/>
        <v>-618.1828000055466</v>
      </c>
      <c r="AH156" s="541">
        <f t="shared" ca="1" si="240"/>
        <v>494.88124390065059</v>
      </c>
      <c r="AI156" s="541">
        <f t="shared" ca="1" si="240"/>
        <v>3069.2788672623719</v>
      </c>
      <c r="AJ156" s="541">
        <f t="shared" ca="1" si="240"/>
        <v>-4815.6916200332416</v>
      </c>
      <c r="AK156" s="541">
        <f t="shared" ca="1" si="240"/>
        <v>-1049.7395273862785</v>
      </c>
      <c r="AL156" s="541">
        <f t="shared" ca="1" si="240"/>
        <v>957.10480906585144</v>
      </c>
      <c r="AN156" s="571"/>
      <c r="AO156" s="571"/>
      <c r="AP156" s="541">
        <f t="shared" ca="1" si="236"/>
        <v>-5099.0454038885655</v>
      </c>
      <c r="AQ156" s="541">
        <f t="shared" ca="1" si="236"/>
        <v>-3733.0458608535482</v>
      </c>
      <c r="AR156" s="541">
        <f t="shared" ca="1" si="236"/>
        <v>-4856.2243898515298</v>
      </c>
      <c r="AS156" s="541">
        <f t="shared" ca="1" si="236"/>
        <v>-3365.2249973315338</v>
      </c>
      <c r="AT156" s="541">
        <f t="shared" ca="1" si="236"/>
        <v>-1839.0474710912968</v>
      </c>
    </row>
    <row r="157" spans="1:46" x14ac:dyDescent="0.25">
      <c r="B157" s="748" t="s">
        <v>316</v>
      </c>
      <c r="C157" s="598"/>
      <c r="D157" s="598"/>
      <c r="E157" s="598"/>
      <c r="F157" s="598"/>
      <c r="G157" s="598"/>
      <c r="H157" s="598"/>
      <c r="I157" s="598"/>
      <c r="J157" s="598"/>
      <c r="K157" s="597"/>
      <c r="L157" s="597"/>
      <c r="M157" s="597"/>
      <c r="N157" s="597"/>
      <c r="O157" s="597"/>
      <c r="P157" s="597"/>
      <c r="Q157" s="597"/>
      <c r="R157" s="597"/>
      <c r="S157" s="541">
        <f>+S393</f>
        <v>0</v>
      </c>
      <c r="T157" s="541">
        <f t="shared" ref="T157:AL157" si="241">+T393</f>
        <v>0</v>
      </c>
      <c r="U157" s="541">
        <f t="shared" si="241"/>
        <v>0</v>
      </c>
      <c r="V157" s="541">
        <f t="shared" si="241"/>
        <v>0</v>
      </c>
      <c r="W157" s="541">
        <f t="shared" ca="1" si="241"/>
        <v>0</v>
      </c>
      <c r="X157" s="541">
        <f t="shared" ca="1" si="241"/>
        <v>0</v>
      </c>
      <c r="Y157" s="541">
        <f t="shared" ca="1" si="241"/>
        <v>0</v>
      </c>
      <c r="Z157" s="541">
        <f t="shared" ca="1" si="241"/>
        <v>0</v>
      </c>
      <c r="AA157" s="541">
        <f t="shared" ca="1" si="241"/>
        <v>0</v>
      </c>
      <c r="AB157" s="541">
        <f t="shared" ca="1" si="241"/>
        <v>0</v>
      </c>
      <c r="AC157" s="541">
        <f t="shared" ca="1" si="241"/>
        <v>0</v>
      </c>
      <c r="AD157" s="541">
        <f t="shared" ca="1" si="241"/>
        <v>0</v>
      </c>
      <c r="AE157" s="541">
        <f t="shared" ca="1" si="241"/>
        <v>0</v>
      </c>
      <c r="AF157" s="541">
        <f t="shared" ca="1" si="241"/>
        <v>0</v>
      </c>
      <c r="AG157" s="541">
        <f t="shared" ca="1" si="241"/>
        <v>0</v>
      </c>
      <c r="AH157" s="541">
        <f t="shared" ca="1" si="241"/>
        <v>0</v>
      </c>
      <c r="AI157" s="541">
        <f t="shared" ca="1" si="241"/>
        <v>0</v>
      </c>
      <c r="AJ157" s="541">
        <f t="shared" ca="1" si="241"/>
        <v>0</v>
      </c>
      <c r="AK157" s="541">
        <f t="shared" ca="1" si="241"/>
        <v>0</v>
      </c>
      <c r="AL157" s="541">
        <f t="shared" ca="1" si="241"/>
        <v>0</v>
      </c>
      <c r="AN157" s="571"/>
      <c r="AO157" s="571"/>
      <c r="AP157" s="541">
        <f t="shared" si="236"/>
        <v>0</v>
      </c>
      <c r="AQ157" s="541">
        <f t="shared" ca="1" si="236"/>
        <v>0</v>
      </c>
      <c r="AR157" s="541">
        <f t="shared" ca="1" si="236"/>
        <v>0</v>
      </c>
      <c r="AS157" s="541">
        <f t="shared" ca="1" si="236"/>
        <v>0</v>
      </c>
      <c r="AT157" s="541">
        <f t="shared" ca="1" si="236"/>
        <v>0</v>
      </c>
    </row>
    <row r="158" spans="1:46" x14ac:dyDescent="0.25">
      <c r="B158" s="748" t="s">
        <v>317</v>
      </c>
      <c r="C158" s="598"/>
      <c r="D158" s="598"/>
      <c r="E158" s="598"/>
      <c r="F158" s="598"/>
      <c r="G158" s="598"/>
      <c r="H158" s="598"/>
      <c r="I158" s="598"/>
      <c r="J158" s="598"/>
      <c r="K158" s="541"/>
      <c r="L158" s="541"/>
      <c r="M158" s="541"/>
      <c r="N158" s="541"/>
      <c r="O158" s="541"/>
      <c r="P158" s="541"/>
      <c r="Q158" s="541"/>
      <c r="R158" s="541"/>
      <c r="S158" s="541">
        <f>+R110-S110</f>
        <v>0</v>
      </c>
      <c r="T158" s="541">
        <f t="shared" ref="T158:AL158" si="242">+S110-T110</f>
        <v>0</v>
      </c>
      <c r="U158" s="541">
        <f t="shared" si="242"/>
        <v>-5000</v>
      </c>
      <c r="V158" s="541">
        <f t="shared" si="242"/>
        <v>178.57142857142844</v>
      </c>
      <c r="W158" s="541">
        <f t="shared" si="242"/>
        <v>172.19387755102071</v>
      </c>
      <c r="X158" s="541">
        <f t="shared" si="242"/>
        <v>166.04409620991282</v>
      </c>
      <c r="Y158" s="541">
        <f t="shared" si="242"/>
        <v>160.11394991670113</v>
      </c>
      <c r="Z158" s="541">
        <f t="shared" si="242"/>
        <v>154.39559456253301</v>
      </c>
      <c r="AA158" s="541">
        <f t="shared" si="242"/>
        <v>148.88146618530027</v>
      </c>
      <c r="AB158" s="541">
        <f t="shared" si="242"/>
        <v>143.56427096439666</v>
      </c>
      <c r="AC158" s="541">
        <f t="shared" si="242"/>
        <v>138.43697557281075</v>
      </c>
      <c r="AD158" s="541">
        <f t="shared" si="242"/>
        <v>133.49279787378191</v>
      </c>
      <c r="AE158" s="541">
        <f t="shared" si="242"/>
        <v>128.72519794971822</v>
      </c>
      <c r="AF158" s="541">
        <f t="shared" si="242"/>
        <v>124.12786945151402</v>
      </c>
      <c r="AG158" s="541">
        <f t="shared" si="242"/>
        <v>119.69473125681725</v>
      </c>
      <c r="AH158" s="541">
        <f t="shared" si="242"/>
        <v>115.41991942621644</v>
      </c>
      <c r="AI158" s="541">
        <f t="shared" si="242"/>
        <v>111.29777944670877</v>
      </c>
      <c r="AJ158" s="541">
        <f t="shared" si="242"/>
        <v>107.32285875218349</v>
      </c>
      <c r="AK158" s="541">
        <f t="shared" si="242"/>
        <v>103.48989951103431</v>
      </c>
      <c r="AL158" s="541">
        <f t="shared" si="242"/>
        <v>99.793831671354383</v>
      </c>
      <c r="AN158" s="541"/>
      <c r="AP158" s="541">
        <f t="shared" si="236"/>
        <v>-4821.4285714285716</v>
      </c>
      <c r="AQ158" s="541">
        <f t="shared" si="236"/>
        <v>652.74751824016766</v>
      </c>
      <c r="AR158" s="541">
        <f t="shared" si="236"/>
        <v>564.37551059628959</v>
      </c>
      <c r="AS158" s="541">
        <f t="shared" si="236"/>
        <v>487.96771808426593</v>
      </c>
      <c r="AT158" s="541">
        <f t="shared" si="236"/>
        <v>421.90436938128096</v>
      </c>
    </row>
    <row r="159" spans="1:46" x14ac:dyDescent="0.25">
      <c r="B159" s="748" t="s">
        <v>318</v>
      </c>
      <c r="C159" s="598"/>
      <c r="D159" s="598"/>
      <c r="E159" s="598"/>
      <c r="F159" s="598"/>
      <c r="G159" s="598"/>
      <c r="H159" s="598"/>
      <c r="I159" s="598"/>
      <c r="J159" s="598"/>
      <c r="K159" s="597"/>
      <c r="L159" s="597"/>
      <c r="M159" s="597"/>
      <c r="N159" s="597"/>
      <c r="O159" s="597"/>
      <c r="P159" s="597"/>
      <c r="Q159" s="597"/>
      <c r="R159" s="597"/>
      <c r="S159" s="541"/>
      <c r="T159" s="541"/>
      <c r="U159" s="541"/>
      <c r="V159" s="541"/>
      <c r="AN159" s="563"/>
      <c r="AO159" s="563"/>
      <c r="AP159" s="541"/>
      <c r="AQ159" s="541"/>
      <c r="AR159" s="541"/>
      <c r="AS159" s="541"/>
      <c r="AT159" s="541"/>
    </row>
    <row r="160" spans="1:46" x14ac:dyDescent="0.25">
      <c r="B160" s="749" t="s">
        <v>173</v>
      </c>
      <c r="C160" s="599"/>
      <c r="D160" s="599"/>
      <c r="E160" s="599"/>
      <c r="F160" s="599"/>
      <c r="G160" s="599"/>
      <c r="H160" s="599"/>
      <c r="I160" s="599"/>
      <c r="J160" s="595" t="s">
        <v>313</v>
      </c>
      <c r="K160" s="597"/>
      <c r="L160" s="597"/>
      <c r="M160" s="597"/>
      <c r="N160" s="597"/>
      <c r="O160" s="597"/>
      <c r="P160" s="597"/>
      <c r="Q160" s="597"/>
      <c r="R160" s="597"/>
      <c r="S160" s="541">
        <f t="shared" ref="S160:AL160" ca="1" si="243">+R101-S101</f>
        <v>6331.5703645818867</v>
      </c>
      <c r="T160" s="541">
        <f t="shared" ca="1" si="243"/>
        <v>-1696.7155782933623</v>
      </c>
      <c r="U160" s="541">
        <f t="shared" ca="1" si="243"/>
        <v>-1085.2924001832143</v>
      </c>
      <c r="V160" s="541">
        <f t="shared" ca="1" si="243"/>
        <v>-4635.3984338009905</v>
      </c>
      <c r="W160" s="541">
        <f t="shared" ca="1" si="243"/>
        <v>-834.88175601585681</v>
      </c>
      <c r="X160" s="541">
        <f t="shared" ca="1" si="243"/>
        <v>-2313.6712613172276</v>
      </c>
      <c r="Y160" s="541">
        <f t="shared" ca="1" si="243"/>
        <v>-3241.0847540557806</v>
      </c>
      <c r="Z160" s="541">
        <f t="shared" ca="1" si="243"/>
        <v>-3488.8578941466549</v>
      </c>
      <c r="AA160" s="541">
        <f t="shared" ca="1" si="243"/>
        <v>1590.0485457462855</v>
      </c>
      <c r="AB160" s="541">
        <f t="shared" ca="1" si="243"/>
        <v>-2913.6355203946077</v>
      </c>
      <c r="AC160" s="541">
        <f t="shared" ca="1" si="243"/>
        <v>-5567.6538736528746</v>
      </c>
      <c r="AD160" s="541">
        <f t="shared" ca="1" si="243"/>
        <v>-2048.3281531582397</v>
      </c>
      <c r="AE160" s="541">
        <f t="shared" ca="1" si="243"/>
        <v>5372.2931178181607</v>
      </c>
      <c r="AF160" s="541">
        <f t="shared" ca="1" si="243"/>
        <v>-3352.0430583539855</v>
      </c>
      <c r="AG160" s="541">
        <f t="shared" ca="1" si="243"/>
        <v>-7392.6698373293038</v>
      </c>
      <c r="AH160" s="541">
        <f t="shared" ca="1" si="243"/>
        <v>-822.44657385243045</v>
      </c>
      <c r="AI160" s="541">
        <f t="shared" ca="1" si="243"/>
        <v>8751.4481209363512</v>
      </c>
      <c r="AJ160" s="541">
        <f t="shared" ca="1" si="243"/>
        <v>-3599.4838818545613</v>
      </c>
      <c r="AK160" s="541">
        <f t="shared" ca="1" si="243"/>
        <v>-8466.2190826896112</v>
      </c>
      <c r="AL160" s="541">
        <f t="shared" ca="1" si="243"/>
        <v>-71.151275420954335</v>
      </c>
      <c r="AN160" s="571"/>
      <c r="AO160" s="571"/>
      <c r="AP160" s="541">
        <f t="shared" ref="AP160:AT166" ca="1" si="244">SUMIF($K$4:$AL$4,AP$4,$K160:$AL160)</f>
        <v>-1085.8360476956805</v>
      </c>
      <c r="AQ160" s="541">
        <f t="shared" ca="1" si="244"/>
        <v>-9878.4956655355199</v>
      </c>
      <c r="AR160" s="541">
        <f t="shared" ca="1" si="244"/>
        <v>-8939.5690014594365</v>
      </c>
      <c r="AS160" s="541">
        <f t="shared" ca="1" si="244"/>
        <v>-6194.8663517175592</v>
      </c>
      <c r="AT160" s="541">
        <f t="shared" ca="1" si="244"/>
        <v>-3385.4061190287757</v>
      </c>
    </row>
    <row r="161" spans="2:46" x14ac:dyDescent="0.25">
      <c r="B161" s="749" t="s">
        <v>319</v>
      </c>
      <c r="C161" s="599"/>
      <c r="D161" s="599"/>
      <c r="E161" s="599"/>
      <c r="F161" s="599"/>
      <c r="G161" s="599"/>
      <c r="H161" s="600"/>
      <c r="I161" s="600"/>
      <c r="J161" s="595" t="s">
        <v>313</v>
      </c>
      <c r="K161" s="597"/>
      <c r="L161" s="597"/>
      <c r="M161" s="597"/>
      <c r="N161" s="597"/>
      <c r="O161" s="597"/>
      <c r="P161" s="597"/>
      <c r="Q161" s="597"/>
      <c r="R161" s="597"/>
      <c r="S161" s="541">
        <f t="shared" ref="S161:AL161" ca="1" si="245">+R102-S102</f>
        <v>-3464.1738387037694</v>
      </c>
      <c r="T161" s="541">
        <f t="shared" ca="1" si="245"/>
        <v>-1617.2797667183331</v>
      </c>
      <c r="U161" s="541">
        <f t="shared" ca="1" si="245"/>
        <v>-1034.4818319844635</v>
      </c>
      <c r="V161" s="541">
        <f t="shared" ca="1" si="245"/>
        <v>-4418.3811320956884</v>
      </c>
      <c r="W161" s="541">
        <f t="shared" ca="1" si="245"/>
        <v>-795.79476305913704</v>
      </c>
      <c r="X161" s="541">
        <f t="shared" ca="1" si="245"/>
        <v>-2205.3511888714856</v>
      </c>
      <c r="Y161" s="541">
        <f t="shared" ca="1" si="245"/>
        <v>-3089.3455933410442</v>
      </c>
      <c r="Z161" s="541">
        <f t="shared" ca="1" si="245"/>
        <v>-3325.5186392726973</v>
      </c>
      <c r="AA161" s="541">
        <f t="shared" ca="1" si="245"/>
        <v>1515.606607279442</v>
      </c>
      <c r="AB161" s="541">
        <f t="shared" ca="1" si="245"/>
        <v>-2777.2266813662209</v>
      </c>
      <c r="AC161" s="541">
        <f t="shared" ca="1" si="245"/>
        <v>-5306.9907963047517</v>
      </c>
      <c r="AD161" s="541">
        <f t="shared" ca="1" si="245"/>
        <v>-1952.4307550912272</v>
      </c>
      <c r="AE161" s="541">
        <f t="shared" ca="1" si="245"/>
        <v>5120.7763230810888</v>
      </c>
      <c r="AF161" s="541">
        <f t="shared" ca="1" si="245"/>
        <v>-3195.1091183458484</v>
      </c>
      <c r="AG161" s="541">
        <f t="shared" ca="1" si="245"/>
        <v>-7046.564257969243</v>
      </c>
      <c r="AH161" s="541">
        <f t="shared" ca="1" si="245"/>
        <v>-783.94176379062992</v>
      </c>
      <c r="AI161" s="541">
        <f t="shared" ca="1" si="245"/>
        <v>8341.7280754337553</v>
      </c>
      <c r="AJ161" s="541">
        <f t="shared" ca="1" si="245"/>
        <v>-3430.9654058858723</v>
      </c>
      <c r="AK161" s="541">
        <f t="shared" ca="1" si="245"/>
        <v>-8069.8527191050525</v>
      </c>
      <c r="AL161" s="541">
        <f t="shared" ca="1" si="245"/>
        <v>-67.820157713300432</v>
      </c>
      <c r="AN161" s="571"/>
      <c r="AO161" s="571"/>
      <c r="AP161" s="541">
        <f t="shared" ca="1" si="244"/>
        <v>-10534.316569502254</v>
      </c>
      <c r="AQ161" s="541">
        <f t="shared" ca="1" si="244"/>
        <v>-9416.0101845443642</v>
      </c>
      <c r="AR161" s="541">
        <f t="shared" ca="1" si="244"/>
        <v>-8521.0416254827578</v>
      </c>
      <c r="AS161" s="541">
        <f t="shared" ca="1" si="244"/>
        <v>-5904.8388170246326</v>
      </c>
      <c r="AT161" s="541">
        <f t="shared" ca="1" si="244"/>
        <v>-3226.91020727047</v>
      </c>
    </row>
    <row r="162" spans="2:46" x14ac:dyDescent="0.25">
      <c r="B162" s="749" t="s">
        <v>175</v>
      </c>
      <c r="C162" s="599"/>
      <c r="D162" s="599"/>
      <c r="E162" s="599"/>
      <c r="F162" s="599"/>
      <c r="G162" s="599"/>
      <c r="H162" s="599"/>
      <c r="I162" s="599"/>
      <c r="J162" s="595" t="s">
        <v>313</v>
      </c>
      <c r="K162" s="597"/>
      <c r="L162" s="597"/>
      <c r="M162" s="597"/>
      <c r="N162" s="597"/>
      <c r="O162" s="597"/>
      <c r="P162" s="597"/>
      <c r="Q162" s="597"/>
      <c r="R162" s="597"/>
      <c r="S162" s="541">
        <f t="shared" ref="S162:AL162" ca="1" si="246">+R103-S103</f>
        <v>-2989.2916712068745</v>
      </c>
      <c r="T162" s="541">
        <f t="shared" ca="1" si="246"/>
        <v>-429.39483505158751</v>
      </c>
      <c r="U162" s="541">
        <f t="shared" ca="1" si="246"/>
        <v>-274.65944034542372</v>
      </c>
      <c r="V162" s="541">
        <f t="shared" ca="1" si="246"/>
        <v>-1173.0994701436211</v>
      </c>
      <c r="W162" s="541">
        <f t="shared" ca="1" si="246"/>
        <v>-211.28698203655404</v>
      </c>
      <c r="X162" s="541">
        <f t="shared" ca="1" si="246"/>
        <v>-585.53036367839559</v>
      </c>
      <c r="Y162" s="541">
        <f t="shared" ca="1" si="246"/>
        <v>-820.23473536787424</v>
      </c>
      <c r="Z162" s="541">
        <f t="shared" ca="1" si="246"/>
        <v>-882.93970960200204</v>
      </c>
      <c r="AA162" s="541">
        <f t="shared" ca="1" si="246"/>
        <v>402.40016757051126</v>
      </c>
      <c r="AB162" s="541">
        <f t="shared" ca="1" si="246"/>
        <v>-737.36580231007792</v>
      </c>
      <c r="AC162" s="541">
        <f t="shared" ca="1" si="246"/>
        <v>-1409.02921343259</v>
      </c>
      <c r="AD162" s="541">
        <f t="shared" ca="1" si="246"/>
        <v>-518.37888489336001</v>
      </c>
      <c r="AE162" s="541">
        <f t="shared" ca="1" si="246"/>
        <v>1359.5884582462786</v>
      </c>
      <c r="AF162" s="541">
        <f t="shared" ca="1" si="246"/>
        <v>-848.31541275497875</v>
      </c>
      <c r="AG162" s="541">
        <f t="shared" ca="1" si="246"/>
        <v>-1870.8935581199839</v>
      </c>
      <c r="AH162" s="541">
        <f t="shared" ca="1" si="246"/>
        <v>-208.13995901029193</v>
      </c>
      <c r="AI162" s="541">
        <f t="shared" ca="1" si="246"/>
        <v>2214.7652030942045</v>
      </c>
      <c r="AJ162" s="541">
        <f t="shared" ca="1" si="246"/>
        <v>-910.93628625396013</v>
      </c>
      <c r="AK162" s="541">
        <f t="shared" ca="1" si="246"/>
        <v>-2142.5811096629004</v>
      </c>
      <c r="AL162" s="541">
        <f t="shared" ca="1" si="246"/>
        <v>-18.006547805623995</v>
      </c>
      <c r="AN162" s="571"/>
      <c r="AO162" s="571"/>
      <c r="AP162" s="541">
        <f t="shared" ca="1" si="244"/>
        <v>-4866.4454167475069</v>
      </c>
      <c r="AQ162" s="541">
        <f t="shared" ca="1" si="244"/>
        <v>-2499.9917906848259</v>
      </c>
      <c r="AR162" s="541">
        <f t="shared" ca="1" si="244"/>
        <v>-2262.3737330655167</v>
      </c>
      <c r="AS162" s="541">
        <f t="shared" ca="1" si="244"/>
        <v>-1567.760471638976</v>
      </c>
      <c r="AT162" s="541">
        <f t="shared" ca="1" si="244"/>
        <v>-856.75874062828007</v>
      </c>
    </row>
    <row r="163" spans="2:46" x14ac:dyDescent="0.25">
      <c r="B163" s="749" t="s">
        <v>188</v>
      </c>
      <c r="C163" s="599"/>
      <c r="D163" s="599"/>
      <c r="E163" s="599"/>
      <c r="F163" s="599"/>
      <c r="G163" s="599"/>
      <c r="H163" s="599"/>
      <c r="I163" s="599"/>
      <c r="J163" s="595" t="s">
        <v>313</v>
      </c>
      <c r="K163" s="597"/>
      <c r="L163" s="597"/>
      <c r="M163" s="597"/>
      <c r="N163" s="597"/>
      <c r="O163" s="597"/>
      <c r="P163" s="597"/>
      <c r="Q163" s="597"/>
      <c r="R163" s="597"/>
      <c r="S163" s="541">
        <f t="shared" ref="S163:AL163" ca="1" si="247">+S118-R118</f>
        <v>2651.0791501011713</v>
      </c>
      <c r="T163" s="541">
        <f t="shared" ca="1" si="247"/>
        <v>163.64458238804991</v>
      </c>
      <c r="U163" s="541">
        <f t="shared" ca="1" si="247"/>
        <v>-158.56404456326163</v>
      </c>
      <c r="V163" s="541">
        <f t="shared" ca="1" si="247"/>
        <v>502.98268850281602</v>
      </c>
      <c r="W163" s="541">
        <f t="shared" ca="1" si="247"/>
        <v>345.73384425121094</v>
      </c>
      <c r="X163" s="541">
        <f t="shared" ca="1" si="247"/>
        <v>183.03707829125233</v>
      </c>
      <c r="Y163" s="541">
        <f t="shared" ca="1" si="247"/>
        <v>291.30473285174503</v>
      </c>
      <c r="Z163" s="541">
        <f t="shared" ca="1" si="247"/>
        <v>289.28787315474165</v>
      </c>
      <c r="AA163" s="541">
        <f t="shared" ca="1" si="247"/>
        <v>-46.310256132415816</v>
      </c>
      <c r="AB163" s="541">
        <f t="shared" ca="1" si="247"/>
        <v>234.51448411798719</v>
      </c>
      <c r="AC163" s="541">
        <f t="shared" ca="1" si="247"/>
        <v>509.93635199820164</v>
      </c>
      <c r="AD163" s="541">
        <f t="shared" ca="1" si="247"/>
        <v>145.65398230532264</v>
      </c>
      <c r="AE163" s="541">
        <f t="shared" ca="1" si="247"/>
        <v>-393.77201257643173</v>
      </c>
      <c r="AF163" s="541">
        <f t="shared" ca="1" si="247"/>
        <v>272.35504347146434</v>
      </c>
      <c r="AG163" s="541">
        <f t="shared" ca="1" si="247"/>
        <v>681.67704720224083</v>
      </c>
      <c r="AH163" s="541">
        <f t="shared" ca="1" si="247"/>
        <v>24.46548762447037</v>
      </c>
      <c r="AI163" s="541">
        <f t="shared" ca="1" si="247"/>
        <v>-707.51793890672616</v>
      </c>
      <c r="AJ163" s="541">
        <f t="shared" ca="1" si="247"/>
        <v>293.78653338964159</v>
      </c>
      <c r="AK163" s="541">
        <f t="shared" ca="1" si="247"/>
        <v>782.77823247541346</v>
      </c>
      <c r="AL163" s="541">
        <f t="shared" ca="1" si="247"/>
        <v>-49.502643798003191</v>
      </c>
      <c r="AN163" s="571"/>
      <c r="AO163" s="571"/>
      <c r="AP163" s="541">
        <f t="shared" ca="1" si="244"/>
        <v>3159.1423764287756</v>
      </c>
      <c r="AQ163" s="541">
        <f t="shared" ca="1" si="244"/>
        <v>1109.3635285489499</v>
      </c>
      <c r="AR163" s="541">
        <f t="shared" ca="1" si="244"/>
        <v>843.79456228909567</v>
      </c>
      <c r="AS163" s="541">
        <f t="shared" ca="1" si="244"/>
        <v>584.72556572174381</v>
      </c>
      <c r="AT163" s="541">
        <f t="shared" ca="1" si="244"/>
        <v>319.5441831603257</v>
      </c>
    </row>
    <row r="164" spans="2:46" x14ac:dyDescent="0.25">
      <c r="B164" s="749" t="s">
        <v>320</v>
      </c>
      <c r="C164" s="599"/>
      <c r="D164" s="599"/>
      <c r="E164" s="599"/>
      <c r="F164" s="599"/>
      <c r="G164" s="599"/>
      <c r="H164" s="599"/>
      <c r="I164" s="599"/>
      <c r="J164" s="595" t="s">
        <v>313</v>
      </c>
      <c r="K164" s="597"/>
      <c r="L164" s="597"/>
      <c r="M164" s="597"/>
      <c r="N164" s="597"/>
      <c r="O164" s="597"/>
      <c r="P164" s="597"/>
      <c r="Q164" s="597"/>
      <c r="R164" s="597"/>
      <c r="S164" s="601">
        <f t="shared" ref="S164:AL164" ca="1" si="248">+S119-R119</f>
        <v>7866.8886150496546</v>
      </c>
      <c r="T164" s="601">
        <f t="shared" ca="1" si="248"/>
        <v>6947.7776714181236</v>
      </c>
      <c r="U164" s="601">
        <f t="shared" ca="1" si="248"/>
        <v>4444.0979981673008</v>
      </c>
      <c r="V164" s="601">
        <f t="shared" ca="1" si="248"/>
        <v>18981.21178853279</v>
      </c>
      <c r="W164" s="601">
        <f t="shared" ca="1" si="248"/>
        <v>3418.706645315222</v>
      </c>
      <c r="X164" s="601">
        <f t="shared" ca="1" si="248"/>
        <v>9474.1120633491955</v>
      </c>
      <c r="Y164" s="601">
        <f t="shared" ca="1" si="248"/>
        <v>13271.721302902559</v>
      </c>
      <c r="Z164" s="601">
        <f t="shared" ca="1" si="248"/>
        <v>14286.312500345317</v>
      </c>
      <c r="AA164" s="601">
        <f t="shared" ca="1" si="248"/>
        <v>-6510.9933119839116</v>
      </c>
      <c r="AB164" s="601">
        <f t="shared" ca="1" si="248"/>
        <v>11930.869304335705</v>
      </c>
      <c r="AC164" s="601">
        <f t="shared" ca="1" si="248"/>
        <v>22798.648023529851</v>
      </c>
      <c r="AD164" s="601">
        <f t="shared" ca="1" si="248"/>
        <v>8387.5746697419672</v>
      </c>
      <c r="AE164" s="601">
        <f t="shared" ca="1" si="248"/>
        <v>-21998.677118196938</v>
      </c>
      <c r="AF164" s="601">
        <f t="shared" ca="1" si="248"/>
        <v>13726.077730652731</v>
      </c>
      <c r="AG164" s="601">
        <f t="shared" ca="1" si="248"/>
        <v>30271.795158282213</v>
      </c>
      <c r="AH164" s="601">
        <f t="shared" ca="1" si="248"/>
        <v>3367.7865723928553</v>
      </c>
      <c r="AI164" s="601">
        <f t="shared" ca="1" si="248"/>
        <v>-35835.773906416609</v>
      </c>
      <c r="AJ164" s="601">
        <f t="shared" ca="1" si="248"/>
        <v>14739.308145053627</v>
      </c>
      <c r="AK164" s="601">
        <f t="shared" ca="1" si="248"/>
        <v>34667.806824294326</v>
      </c>
      <c r="AL164" s="601">
        <f t="shared" ca="1" si="248"/>
        <v>291.35304053715663</v>
      </c>
      <c r="AN164" s="571"/>
      <c r="AO164" s="571"/>
      <c r="AP164" s="541">
        <f t="shared" ca="1" si="244"/>
        <v>38239.976073167869</v>
      </c>
      <c r="AQ164" s="541">
        <f t="shared" ca="1" si="244"/>
        <v>40450.852511912293</v>
      </c>
      <c r="AR164" s="541">
        <f t="shared" ca="1" si="244"/>
        <v>36606.098685623612</v>
      </c>
      <c r="AS164" s="541">
        <f t="shared" ca="1" si="244"/>
        <v>25366.982343130861</v>
      </c>
      <c r="AT164" s="541">
        <f t="shared" ca="1" si="244"/>
        <v>13862.694103468501</v>
      </c>
    </row>
    <row r="165" spans="2:46" s="581" customFormat="1" x14ac:dyDescent="0.25">
      <c r="B165" s="749" t="s">
        <v>321</v>
      </c>
      <c r="C165" s="599"/>
      <c r="D165" s="599"/>
      <c r="E165" s="599"/>
      <c r="F165" s="599"/>
      <c r="G165" s="599"/>
      <c r="H165" s="599"/>
      <c r="I165" s="599"/>
      <c r="J165" s="595" t="s">
        <v>313</v>
      </c>
      <c r="K165" s="597"/>
      <c r="L165" s="597"/>
      <c r="M165" s="597"/>
      <c r="N165" s="597"/>
      <c r="O165" s="597"/>
      <c r="P165" s="597"/>
      <c r="Q165" s="597"/>
      <c r="R165" s="597"/>
      <c r="S165" s="541">
        <f t="shared" ref="S165:AL165" si="249">+S120-R120</f>
        <v>0</v>
      </c>
      <c r="T165" s="541">
        <f t="shared" si="249"/>
        <v>0</v>
      </c>
      <c r="U165" s="541">
        <f t="shared" si="249"/>
        <v>0</v>
      </c>
      <c r="V165" s="541">
        <f t="shared" si="249"/>
        <v>0</v>
      </c>
      <c r="W165" s="541">
        <f t="shared" si="249"/>
        <v>0</v>
      </c>
      <c r="X165" s="541">
        <f t="shared" si="249"/>
        <v>0</v>
      </c>
      <c r="Y165" s="541">
        <f t="shared" si="249"/>
        <v>0</v>
      </c>
      <c r="Z165" s="541">
        <f t="shared" si="249"/>
        <v>0</v>
      </c>
      <c r="AA165" s="541">
        <f t="shared" si="249"/>
        <v>0</v>
      </c>
      <c r="AB165" s="541">
        <f t="shared" si="249"/>
        <v>0</v>
      </c>
      <c r="AC165" s="541">
        <f t="shared" si="249"/>
        <v>0</v>
      </c>
      <c r="AD165" s="541">
        <f t="shared" si="249"/>
        <v>0</v>
      </c>
      <c r="AE165" s="541">
        <f t="shared" si="249"/>
        <v>0</v>
      </c>
      <c r="AF165" s="541">
        <f t="shared" si="249"/>
        <v>0</v>
      </c>
      <c r="AG165" s="541">
        <f t="shared" si="249"/>
        <v>0</v>
      </c>
      <c r="AH165" s="541">
        <f t="shared" si="249"/>
        <v>0</v>
      </c>
      <c r="AI165" s="541">
        <f t="shared" si="249"/>
        <v>0</v>
      </c>
      <c r="AJ165" s="541">
        <f t="shared" si="249"/>
        <v>0</v>
      </c>
      <c r="AK165" s="541">
        <f t="shared" si="249"/>
        <v>0</v>
      </c>
      <c r="AL165" s="541">
        <f t="shared" si="249"/>
        <v>0</v>
      </c>
      <c r="AM165" s="69"/>
      <c r="AN165" s="571"/>
      <c r="AO165" s="571"/>
      <c r="AP165" s="541">
        <f t="shared" si="244"/>
        <v>0</v>
      </c>
      <c r="AQ165" s="541">
        <f t="shared" si="244"/>
        <v>0</v>
      </c>
      <c r="AR165" s="541">
        <f t="shared" si="244"/>
        <v>0</v>
      </c>
      <c r="AS165" s="541">
        <f t="shared" si="244"/>
        <v>0</v>
      </c>
      <c r="AT165" s="541">
        <f t="shared" si="244"/>
        <v>0</v>
      </c>
    </row>
    <row r="166" spans="2:46" s="581" customFormat="1" x14ac:dyDescent="0.25">
      <c r="B166" s="769" t="s">
        <v>299</v>
      </c>
      <c r="C166" s="599"/>
      <c r="D166" s="599"/>
      <c r="E166" s="599"/>
      <c r="F166" s="599"/>
      <c r="G166" s="599"/>
      <c r="H166" s="599"/>
      <c r="I166" s="599"/>
      <c r="J166" s="595"/>
      <c r="K166" s="597"/>
      <c r="L166" s="597"/>
      <c r="M166" s="597"/>
      <c r="N166" s="597"/>
      <c r="O166" s="597"/>
      <c r="P166" s="597"/>
      <c r="Q166" s="597"/>
      <c r="R166" s="597"/>
      <c r="S166" s="541">
        <f ca="1">+S121-R121</f>
        <v>0</v>
      </c>
      <c r="T166" s="541">
        <f t="shared" ref="T166:AL166" ca="1" si="250">+T121-S121</f>
        <v>0</v>
      </c>
      <c r="U166" s="541">
        <f ca="1">+U121-T121</f>
        <v>0</v>
      </c>
      <c r="V166" s="541">
        <f t="shared" ca="1" si="250"/>
        <v>0</v>
      </c>
      <c r="W166" s="541">
        <f t="shared" ca="1" si="250"/>
        <v>2122.3438557079335</v>
      </c>
      <c r="X166" s="541">
        <f t="shared" ca="1" si="250"/>
        <v>0</v>
      </c>
      <c r="Y166" s="541">
        <f t="shared" ca="1" si="250"/>
        <v>3284.3253899177816</v>
      </c>
      <c r="Z166" s="541">
        <f t="shared" ca="1" si="250"/>
        <v>0</v>
      </c>
      <c r="AA166" s="541">
        <f t="shared" ca="1" si="250"/>
        <v>3344.5539575654366</v>
      </c>
      <c r="AB166" s="541">
        <f t="shared" ca="1" si="250"/>
        <v>-5406.6692456257151</v>
      </c>
      <c r="AC166" s="541">
        <f t="shared" ca="1" si="250"/>
        <v>3725.2130969469526</v>
      </c>
      <c r="AD166" s="541">
        <f t="shared" ca="1" si="250"/>
        <v>0</v>
      </c>
      <c r="AE166" s="541">
        <f t="shared" ca="1" si="250"/>
        <v>3778.6638583250715</v>
      </c>
      <c r="AF166" s="541">
        <f t="shared" ca="1" si="250"/>
        <v>-7069.7670545123892</v>
      </c>
      <c r="AG166" s="541">
        <f t="shared" ca="1" si="250"/>
        <v>3983.2976068886974</v>
      </c>
      <c r="AH166" s="541">
        <f t="shared" ca="1" si="250"/>
        <v>0</v>
      </c>
      <c r="AI166" s="541">
        <f t="shared" ca="1" si="250"/>
        <v>4029.3643240252395</v>
      </c>
      <c r="AJ166" s="541">
        <f t="shared" ca="1" si="250"/>
        <v>-7761.9614652137689</v>
      </c>
      <c r="AK166" s="541">
        <f t="shared" ca="1" si="250"/>
        <v>4003.272455682004</v>
      </c>
      <c r="AL166" s="541">
        <f t="shared" ca="1" si="250"/>
        <v>0</v>
      </c>
      <c r="AM166" s="69"/>
      <c r="AN166" s="571"/>
      <c r="AO166" s="571"/>
      <c r="AP166" s="541">
        <f t="shared" ca="1" si="244"/>
        <v>0</v>
      </c>
      <c r="AQ166" s="541">
        <f t="shared" ca="1" si="244"/>
        <v>5406.6692456257151</v>
      </c>
      <c r="AR166" s="541">
        <f t="shared" ca="1" si="244"/>
        <v>1663.0978088866741</v>
      </c>
      <c r="AS166" s="541">
        <f t="shared" ca="1" si="244"/>
        <v>692.19441070137964</v>
      </c>
      <c r="AT166" s="541">
        <f t="shared" ca="1" si="244"/>
        <v>270.67531449347462</v>
      </c>
    </row>
    <row r="167" spans="2:46" x14ac:dyDescent="0.25">
      <c r="B167" s="750" t="s">
        <v>191</v>
      </c>
      <c r="C167" s="600"/>
      <c r="D167" s="600"/>
      <c r="E167" s="600"/>
      <c r="F167" s="600"/>
      <c r="G167" s="600"/>
      <c r="H167" s="600"/>
      <c r="I167" s="600"/>
      <c r="J167" s="595" t="s">
        <v>313</v>
      </c>
      <c r="K167" s="597"/>
      <c r="L167" s="597"/>
      <c r="M167" s="597"/>
      <c r="N167" s="597"/>
      <c r="O167" s="597"/>
      <c r="P167" s="597"/>
      <c r="Q167" s="597"/>
      <c r="R167" s="597"/>
      <c r="S167" s="544">
        <f ca="1">+S122-R122</f>
        <v>-5763.0789825112279</v>
      </c>
      <c r="T167" s="541">
        <f ca="1">+T122-S122</f>
        <v>680.7169746118725</v>
      </c>
      <c r="U167" s="544">
        <f ca="1">+U122-T122</f>
        <v>435.41591099498328</v>
      </c>
      <c r="V167" s="544">
        <f t="shared" ref="V167:AL167" ca="1" si="251">+V122-U122</f>
        <v>1859.7073300591037</v>
      </c>
      <c r="W167" s="544">
        <f t="shared" ca="1" si="251"/>
        <v>334.95194503099992</v>
      </c>
      <c r="X167" s="544">
        <f t="shared" ca="1" si="251"/>
        <v>928.23766186815192</v>
      </c>
      <c r="Y167" s="544">
        <f t="shared" ca="1" si="251"/>
        <v>1300.3130497927632</v>
      </c>
      <c r="Z167" s="544">
        <f t="shared" ca="1" si="251"/>
        <v>1399.7188573839085</v>
      </c>
      <c r="AA167" s="544">
        <f t="shared" ca="1" si="251"/>
        <v>-637.92249531599373</v>
      </c>
      <c r="AB167" s="544">
        <f t="shared" ca="1" si="251"/>
        <v>1168.9414430671241</v>
      </c>
      <c r="AC167" s="544">
        <f t="shared" ca="1" si="251"/>
        <v>2233.7252919969251</v>
      </c>
      <c r="AD167" s="544">
        <f t="shared" ca="1" si="251"/>
        <v>821.78283813052985</v>
      </c>
      <c r="AE167" s="544">
        <f t="shared" ca="1" si="251"/>
        <v>-2155.3471687740202</v>
      </c>
      <c r="AF167" s="544">
        <f t="shared" ca="1" si="251"/>
        <v>1344.8291738716762</v>
      </c>
      <c r="AG167" s="544">
        <f t="shared" ca="1" si="251"/>
        <v>2965.9159792904175</v>
      </c>
      <c r="AH167" s="544">
        <f t="shared" ca="1" si="251"/>
        <v>329.96298890344769</v>
      </c>
      <c r="AI167" s="544">
        <f t="shared" ca="1" si="251"/>
        <v>-3511.0535699499269</v>
      </c>
      <c r="AJ167" s="544">
        <f t="shared" ca="1" si="251"/>
        <v>1444.101657087871</v>
      </c>
      <c r="AK167" s="544">
        <f t="shared" ca="1" si="251"/>
        <v>3396.6205733589122</v>
      </c>
      <c r="AL167" s="544">
        <f t="shared" ca="1" si="251"/>
        <v>28.54566879914637</v>
      </c>
      <c r="AM167" s="581"/>
      <c r="AN167" s="571"/>
      <c r="AO167" s="571"/>
      <c r="AP167" s="541">
        <f t="shared" ref="AP167:AT168" ca="1" si="252">SUMIF($K$4:$AL$4,AP$4,$K167:$AL167)</f>
        <v>-2787.2387668452684</v>
      </c>
      <c r="AQ167" s="541">
        <f t="shared" ca="1" si="252"/>
        <v>3963.2215140758235</v>
      </c>
      <c r="AR167" s="541">
        <f t="shared" ca="1" si="252"/>
        <v>3586.5270778785853</v>
      </c>
      <c r="AS167" s="541">
        <f t="shared" ca="1" si="252"/>
        <v>2485.3609732915211</v>
      </c>
      <c r="AT167" s="541">
        <f t="shared" ca="1" si="252"/>
        <v>1358.2143292960027</v>
      </c>
    </row>
    <row r="168" spans="2:46" x14ac:dyDescent="0.25">
      <c r="B168" s="749" t="s">
        <v>183</v>
      </c>
      <c r="C168" s="599"/>
      <c r="D168" s="599"/>
      <c r="E168" s="599"/>
      <c r="F168" s="599"/>
      <c r="G168" s="599"/>
      <c r="H168" s="599"/>
      <c r="I168" s="599"/>
      <c r="J168" s="595" t="s">
        <v>313</v>
      </c>
      <c r="K168" s="597"/>
      <c r="L168" s="597"/>
      <c r="M168" s="597"/>
      <c r="N168" s="597"/>
      <c r="O168" s="597"/>
      <c r="P168" s="597"/>
      <c r="Q168" s="597"/>
      <c r="R168" s="597"/>
      <c r="S168" s="541">
        <f t="shared" ref="S168:AL168" ca="1" si="253">+R112-S112</f>
        <v>335.89030709852011</v>
      </c>
      <c r="T168" s="541">
        <f t="shared" ca="1" si="253"/>
        <v>-12.479089091722869</v>
      </c>
      <c r="U168" s="541">
        <f t="shared" ca="1" si="253"/>
        <v>-7.9821631425573401</v>
      </c>
      <c r="V168" s="541">
        <f t="shared" ca="1" si="253"/>
        <v>-34.092661593417517</v>
      </c>
      <c r="W168" s="541">
        <f t="shared" ca="1" si="253"/>
        <v>-6.1404303394535305</v>
      </c>
      <c r="X168" s="541">
        <f t="shared" ca="1" si="253"/>
        <v>-17.01670578635094</v>
      </c>
      <c r="Y168" s="541">
        <f t="shared" ca="1" si="253"/>
        <v>-23.837693198036959</v>
      </c>
      <c r="Z168" s="541">
        <f t="shared" ca="1" si="253"/>
        <v>-25.660027553474322</v>
      </c>
      <c r="AA168" s="541">
        <f t="shared" ca="1" si="253"/>
        <v>11.694569034658514</v>
      </c>
      <c r="AB168" s="541">
        <f t="shared" ca="1" si="253"/>
        <v>-21.429353101351751</v>
      </c>
      <c r="AC168" s="541">
        <f t="shared" ca="1" si="253"/>
        <v>-40.949260801315802</v>
      </c>
      <c r="AD168" s="541">
        <f t="shared" ca="1" si="253"/>
        <v>-15.065146945875654</v>
      </c>
      <c r="AE168" s="541">
        <f t="shared" ca="1" si="253"/>
        <v>39.512411686309861</v>
      </c>
      <c r="AF168" s="541">
        <f t="shared" ca="1" si="253"/>
        <v>-24.653774916457053</v>
      </c>
      <c r="AG168" s="541">
        <f t="shared" ca="1" si="253"/>
        <v>-54.371980021847946</v>
      </c>
      <c r="AH168" s="541">
        <f t="shared" ca="1" si="253"/>
        <v>-6.0489714361024198</v>
      </c>
      <c r="AI168" s="541">
        <f t="shared" ca="1" si="253"/>
        <v>64.365590898036203</v>
      </c>
      <c r="AJ168" s="541">
        <f t="shared" ca="1" si="253"/>
        <v>-26.473665133118345</v>
      </c>
      <c r="AK168" s="541">
        <f t="shared" ca="1" si="253"/>
        <v>-62.267774018552188</v>
      </c>
      <c r="AL168" s="541">
        <f t="shared" ca="1" si="253"/>
        <v>-0.52330697986565156</v>
      </c>
      <c r="AN168" s="571"/>
      <c r="AO168" s="571"/>
      <c r="AP168" s="541">
        <f t="shared" ca="1" si="252"/>
        <v>281.33639327082238</v>
      </c>
      <c r="AQ168" s="541">
        <f t="shared" ca="1" si="252"/>
        <v>-72.654856877315751</v>
      </c>
      <c r="AR168" s="541">
        <f t="shared" ca="1" si="252"/>
        <v>-65.749191813884693</v>
      </c>
      <c r="AS168" s="541">
        <f t="shared" ca="1" si="252"/>
        <v>-45.562314688097558</v>
      </c>
      <c r="AT168" s="541">
        <f t="shared" ca="1" si="252"/>
        <v>-24.899155233499982</v>
      </c>
    </row>
    <row r="169" spans="2:46" ht="16.5" thickBot="1" x14ac:dyDescent="0.3">
      <c r="B169" s="746" t="s">
        <v>322</v>
      </c>
      <c r="C169" s="83"/>
      <c r="D169" s="83"/>
      <c r="E169" s="83"/>
      <c r="F169" s="83"/>
      <c r="G169" s="83"/>
      <c r="H169" s="83"/>
      <c r="I169" s="83"/>
      <c r="J169" s="83"/>
      <c r="K169" s="602"/>
      <c r="L169" s="602"/>
      <c r="M169" s="602"/>
      <c r="N169" s="602"/>
      <c r="O169" s="602"/>
      <c r="P169" s="602"/>
      <c r="Q169" s="602"/>
      <c r="R169" s="602"/>
      <c r="S169" s="605">
        <f t="shared" ref="S169:AL169" ca="1" si="254">SUM(S151:S168)</f>
        <v>19752.353520353663</v>
      </c>
      <c r="T169" s="605">
        <f t="shared" ca="1" si="254"/>
        <v>15191.484496444597</v>
      </c>
      <c r="U169" s="605">
        <f t="shared" ca="1" si="254"/>
        <v>-384.19895237024576</v>
      </c>
      <c r="V169" s="605">
        <f t="shared" ca="1" si="254"/>
        <v>20985.649031339351</v>
      </c>
      <c r="W169" s="603">
        <f t="shared" ca="1" si="254"/>
        <v>1601.3117268328563</v>
      </c>
      <c r="X169" s="603">
        <f t="shared" ca="1" si="254"/>
        <v>20268.558431725389</v>
      </c>
      <c r="Y169" s="603">
        <f t="shared" ca="1" si="254"/>
        <v>7088.1689825597423</v>
      </c>
      <c r="Z169" s="603">
        <f t="shared" ca="1" si="254"/>
        <v>22933.246027372261</v>
      </c>
      <c r="AA169" s="603">
        <f t="shared" ca="1" si="254"/>
        <v>-824.4417939223988</v>
      </c>
      <c r="AB169" s="603">
        <f t="shared" ca="1" si="254"/>
        <v>18553.230116947521</v>
      </c>
      <c r="AC169" s="603">
        <f t="shared" ca="1" si="254"/>
        <v>15886.088090441821</v>
      </c>
      <c r="AD169" s="603">
        <f t="shared" ca="1" si="254"/>
        <v>21372.824316858845</v>
      </c>
      <c r="AE169" s="603">
        <f t="shared" ca="1" si="254"/>
        <v>-8460.3196043118387</v>
      </c>
      <c r="AF169" s="603">
        <f t="shared" ca="1" si="254"/>
        <v>19499.734214398424</v>
      </c>
      <c r="AG169" s="603">
        <f t="shared" ca="1" si="254"/>
        <v>22468.934846954959</v>
      </c>
      <c r="AH169" s="603">
        <f t="shared" ca="1" si="254"/>
        <v>19701.95629331129</v>
      </c>
      <c r="AI169" s="603">
        <f t="shared" ca="1" si="254"/>
        <v>-16247.300601448758</v>
      </c>
      <c r="AJ169" s="603">
        <f t="shared" ca="1" si="254"/>
        <v>20030.667032706202</v>
      </c>
      <c r="AK169" s="603">
        <f t="shared" ca="1" si="254"/>
        <v>26045.131862502047</v>
      </c>
      <c r="AL169" s="603">
        <f t="shared" ca="1" si="254"/>
        <v>18569.572123733258</v>
      </c>
      <c r="AN169" s="604"/>
      <c r="AO169" s="604"/>
      <c r="AP169" s="605">
        <f ca="1">SUM(AP151:AP168)</f>
        <v>55545.653229237018</v>
      </c>
      <c r="AQ169" s="605">
        <f ca="1">SUM(AQ151:AQ168)</f>
        <v>51891.504356054895</v>
      </c>
      <c r="AR169" s="605">
        <f ca="1">SUM(AR151:AR168)</f>
        <v>54987.86539048898</v>
      </c>
      <c r="AS169" s="605">
        <f ca="1">SUM(AS151:AS168)</f>
        <v>53210.404675806953</v>
      </c>
      <c r="AT169" s="605">
        <f ca="1">SUM(AT151:AT168)</f>
        <v>48398.119921943951</v>
      </c>
    </row>
    <row r="170" spans="2:46" x14ac:dyDescent="0.25">
      <c r="B170" s="751"/>
      <c r="C170" s="606"/>
      <c r="D170" s="606"/>
      <c r="E170" s="606"/>
      <c r="F170" s="606"/>
      <c r="G170" s="606"/>
      <c r="H170" s="606"/>
      <c r="I170" s="606"/>
      <c r="J170" s="606"/>
      <c r="K170" s="116"/>
      <c r="L170" s="116"/>
      <c r="M170" s="116"/>
      <c r="N170" s="116"/>
      <c r="O170" s="116"/>
      <c r="P170" s="116"/>
      <c r="Q170" s="116"/>
      <c r="R170" s="116"/>
      <c r="S170" s="764"/>
      <c r="T170" s="541"/>
      <c r="U170" s="541"/>
      <c r="V170" s="541"/>
    </row>
    <row r="171" spans="2:46" x14ac:dyDescent="0.25">
      <c r="B171" s="60" t="s">
        <v>323</v>
      </c>
      <c r="C171" s="134"/>
      <c r="D171" s="134"/>
      <c r="E171" s="134"/>
      <c r="F171" s="134"/>
      <c r="G171" s="134"/>
      <c r="H171" s="134"/>
      <c r="I171" s="134"/>
      <c r="J171" s="134"/>
      <c r="K171" s="116"/>
      <c r="L171" s="116"/>
      <c r="M171" s="116"/>
      <c r="N171" s="116"/>
      <c r="O171" s="116"/>
      <c r="P171" s="116"/>
      <c r="Q171" s="116"/>
      <c r="R171" s="116"/>
      <c r="S171" s="541"/>
      <c r="T171" s="541"/>
      <c r="U171" s="541"/>
      <c r="V171" s="541"/>
    </row>
    <row r="172" spans="2:46" x14ac:dyDescent="0.25">
      <c r="B172" s="98" t="s">
        <v>324</v>
      </c>
      <c r="C172" s="76"/>
      <c r="D172" s="76"/>
      <c r="E172" s="76"/>
      <c r="F172" s="76"/>
      <c r="G172" s="76"/>
      <c r="H172" s="76"/>
      <c r="I172" s="76"/>
      <c r="J172" s="595" t="s">
        <v>313</v>
      </c>
      <c r="K172" s="597"/>
      <c r="L172" s="597"/>
      <c r="M172" s="597"/>
      <c r="N172" s="597"/>
      <c r="O172" s="597"/>
      <c r="P172" s="597"/>
      <c r="Q172" s="597"/>
      <c r="R172" s="597"/>
      <c r="S172" s="541">
        <f ca="1">+-S278</f>
        <v>-1803.7889788702992</v>
      </c>
      <c r="T172" s="541">
        <f t="shared" ref="T172:AL172" ca="1" si="255">+-T278</f>
        <v>-1718.91370017136</v>
      </c>
      <c r="U172" s="541">
        <f t="shared" ca="1" si="255"/>
        <v>-1313.0796825876735</v>
      </c>
      <c r="V172" s="541">
        <f t="shared" ca="1" si="255"/>
        <v>-960.64605473606832</v>
      </c>
      <c r="W172" s="541">
        <f t="shared" ca="1" si="255"/>
        <v>-2172.2717032786586</v>
      </c>
      <c r="X172" s="541">
        <f t="shared" ca="1" si="255"/>
        <v>-2081.0977253561496</v>
      </c>
      <c r="Y172" s="541">
        <f t="shared" ca="1" si="255"/>
        <v>-1648.3570071236065</v>
      </c>
      <c r="Z172" s="541">
        <f t="shared" ca="1" si="255"/>
        <v>-1159.1186867657964</v>
      </c>
      <c r="AA172" s="541">
        <f t="shared" ca="1" si="255"/>
        <v>-2505.0897066963671</v>
      </c>
      <c r="AB172" s="541">
        <f t="shared" ca="1" si="255"/>
        <v>-2409.9712826341815</v>
      </c>
      <c r="AC172" s="541">
        <f t="shared" ca="1" si="255"/>
        <v>-1964.0214339804058</v>
      </c>
      <c r="AD172" s="541">
        <f t="shared" ca="1" si="255"/>
        <v>-1338.7269843248191</v>
      </c>
      <c r="AE172" s="541">
        <f t="shared" ca="1" si="255"/>
        <v>-2735.3755277490163</v>
      </c>
      <c r="AF172" s="541">
        <f t="shared" ca="1" si="255"/>
        <v>-2638.4783303333952</v>
      </c>
      <c r="AG172" s="541">
        <f t="shared" ca="1" si="255"/>
        <v>-2189.6903992394846</v>
      </c>
      <c r="AH172" s="541">
        <f t="shared" ca="1" si="255"/>
        <v>-1463.1904119079629</v>
      </c>
      <c r="AI172" s="541">
        <f t="shared" ca="1" si="255"/>
        <v>-2861.1032008162056</v>
      </c>
      <c r="AJ172" s="541">
        <f t="shared" ca="1" si="255"/>
        <v>-2763.5650685089295</v>
      </c>
      <c r="AK172" s="541">
        <f t="shared" ca="1" si="255"/>
        <v>-2315.4897306736248</v>
      </c>
      <c r="AL172" s="541">
        <f t="shared" ca="1" si="255"/>
        <v>-1531.2079001655502</v>
      </c>
      <c r="AN172" s="571"/>
      <c r="AO172" s="571"/>
      <c r="AP172" s="541">
        <f t="shared" ref="AP172:AT175" ca="1" si="256">SUMIF($K$4:$AL$4,AP$4,$K172:$AL172)</f>
        <v>-5796.4284163654011</v>
      </c>
      <c r="AQ172" s="541">
        <f t="shared" ca="1" si="256"/>
        <v>-7060.8451225242106</v>
      </c>
      <c r="AR172" s="541">
        <f t="shared" ca="1" si="256"/>
        <v>-8217.8094076357738</v>
      </c>
      <c r="AS172" s="541">
        <f t="shared" ca="1" si="256"/>
        <v>-9026.7346692298597</v>
      </c>
      <c r="AT172" s="541">
        <f t="shared" ca="1" si="256"/>
        <v>-9471.36590016431</v>
      </c>
    </row>
    <row r="173" spans="2:46" x14ac:dyDescent="0.25">
      <c r="B173" s="98" t="s">
        <v>325</v>
      </c>
      <c r="C173" s="76"/>
      <c r="D173" s="76"/>
      <c r="E173" s="76"/>
      <c r="F173" s="76"/>
      <c r="G173" s="76"/>
      <c r="H173" s="76"/>
      <c r="I173" s="76"/>
      <c r="J173" s="595" t="s">
        <v>313</v>
      </c>
      <c r="K173" s="597"/>
      <c r="L173" s="597"/>
      <c r="M173" s="597"/>
      <c r="N173" s="597"/>
      <c r="O173" s="597"/>
      <c r="P173" s="597"/>
      <c r="Q173" s="597"/>
      <c r="R173" s="597"/>
      <c r="S173" s="541">
        <f ca="1">-S239</f>
        <v>-1849.5502497677542</v>
      </c>
      <c r="T173" s="541">
        <f t="shared" ref="T173:V173" ca="1" si="257">-T239</f>
        <v>-2475.8649262792719</v>
      </c>
      <c r="U173" s="541">
        <f t="shared" ca="1" si="257"/>
        <v>-2429.4484033720632</v>
      </c>
      <c r="V173" s="541">
        <f t="shared" ca="1" si="257"/>
        <v>-693.40383017389115</v>
      </c>
      <c r="W173" s="541">
        <f t="shared" ref="W173:AG173" ca="1" si="258">-W239</f>
        <v>-2269.2146290396745</v>
      </c>
      <c r="X173" s="541">
        <f t="shared" ca="1" si="258"/>
        <v>-3061.2418371511662</v>
      </c>
      <c r="Y173" s="541">
        <f t="shared" ca="1" si="258"/>
        <v>-3230.2477489660123</v>
      </c>
      <c r="Z173" s="541">
        <f t="shared" ca="1" si="258"/>
        <v>-654.21803100481804</v>
      </c>
      <c r="AA173" s="541">
        <f t="shared" ca="1" si="258"/>
        <v>-2592.764046242231</v>
      </c>
      <c r="AB173" s="541">
        <f t="shared" ca="1" si="258"/>
        <v>-3508.1236400092216</v>
      </c>
      <c r="AC173" s="541">
        <f t="shared" ca="1" si="258"/>
        <v>-3741.3316089270052</v>
      </c>
      <c r="AD173" s="541">
        <f t="shared" ca="1" si="258"/>
        <v>-860.94855730476979</v>
      </c>
      <c r="AE173" s="541">
        <f t="shared" ca="1" si="258"/>
        <v>-2844.2789287561868</v>
      </c>
      <c r="AF173" s="541">
        <f t="shared" ca="1" si="258"/>
        <v>-3860.9445494663441</v>
      </c>
      <c r="AG173" s="541">
        <f t="shared" ca="1" si="258"/>
        <v>-4231.1513146574098</v>
      </c>
      <c r="AH173" s="541">
        <f t="shared" ref="AH173:AL173" ca="1" si="259">-AH239</f>
        <v>-883.41566638525364</v>
      </c>
      <c r="AI173" s="541">
        <f t="shared" ca="1" si="259"/>
        <v>-2968.1248327195021</v>
      </c>
      <c r="AJ173" s="541">
        <f t="shared" ca="1" si="259"/>
        <v>-4033.4131978767218</v>
      </c>
      <c r="AK173" s="541">
        <f t="shared" ca="1" si="259"/>
        <v>-4442.5448367096069</v>
      </c>
      <c r="AL173" s="541">
        <f t="shared" ca="1" si="259"/>
        <v>-954.60841694506212</v>
      </c>
      <c r="AN173" s="571"/>
      <c r="AO173" s="571"/>
      <c r="AP173" s="541">
        <f t="shared" ca="1" si="256"/>
        <v>-7448.2674095929797</v>
      </c>
      <c r="AQ173" s="541">
        <f t="shared" ca="1" si="256"/>
        <v>-9214.9222461616719</v>
      </c>
      <c r="AR173" s="541">
        <f t="shared" ca="1" si="256"/>
        <v>-10703.167852483228</v>
      </c>
      <c r="AS173" s="541">
        <f t="shared" ca="1" si="256"/>
        <v>-11819.790459265196</v>
      </c>
      <c r="AT173" s="541">
        <f t="shared" ca="1" si="256"/>
        <v>-12398.691284250894</v>
      </c>
    </row>
    <row r="174" spans="2:46" x14ac:dyDescent="0.25">
      <c r="B174" s="98" t="s">
        <v>326</v>
      </c>
      <c r="C174" s="76"/>
      <c r="D174" s="76"/>
      <c r="E174" s="76"/>
      <c r="F174" s="76"/>
      <c r="G174" s="76"/>
      <c r="H174" s="76"/>
      <c r="I174" s="76"/>
      <c r="J174" s="595" t="s">
        <v>313</v>
      </c>
      <c r="K174" s="597"/>
      <c r="L174" s="597"/>
      <c r="M174" s="597"/>
      <c r="N174" s="597"/>
      <c r="O174" s="597"/>
      <c r="P174" s="597"/>
      <c r="Q174" s="597"/>
      <c r="R174" s="597"/>
      <c r="S174" s="541">
        <f t="shared" ref="S174:AL174" si="260">+R107-S107</f>
        <v>0</v>
      </c>
      <c r="T174" s="541">
        <f t="shared" si="260"/>
        <v>0</v>
      </c>
      <c r="U174" s="541">
        <f t="shared" si="260"/>
        <v>0</v>
      </c>
      <c r="V174" s="601">
        <f t="shared" si="260"/>
        <v>4050</v>
      </c>
      <c r="W174" s="541">
        <f t="shared" si="260"/>
        <v>0</v>
      </c>
      <c r="X174" s="541">
        <f t="shared" si="260"/>
        <v>0</v>
      </c>
      <c r="Y174" s="541">
        <f t="shared" si="260"/>
        <v>0</v>
      </c>
      <c r="Z174" s="541">
        <f t="shared" si="260"/>
        <v>0</v>
      </c>
      <c r="AA174" s="541">
        <f t="shared" si="260"/>
        <v>0</v>
      </c>
      <c r="AB174" s="541">
        <f t="shared" si="260"/>
        <v>0</v>
      </c>
      <c r="AC174" s="541">
        <f t="shared" si="260"/>
        <v>0</v>
      </c>
      <c r="AD174" s="541">
        <f t="shared" si="260"/>
        <v>0</v>
      </c>
      <c r="AE174" s="541">
        <f t="shared" si="260"/>
        <v>0</v>
      </c>
      <c r="AF174" s="541">
        <f t="shared" si="260"/>
        <v>0</v>
      </c>
      <c r="AG174" s="541">
        <f t="shared" si="260"/>
        <v>0</v>
      </c>
      <c r="AH174" s="541">
        <f t="shared" si="260"/>
        <v>0</v>
      </c>
      <c r="AI174" s="541">
        <f t="shared" si="260"/>
        <v>0</v>
      </c>
      <c r="AJ174" s="541">
        <f t="shared" si="260"/>
        <v>0</v>
      </c>
      <c r="AK174" s="541">
        <f t="shared" si="260"/>
        <v>0</v>
      </c>
      <c r="AL174" s="541">
        <f t="shared" si="260"/>
        <v>0</v>
      </c>
      <c r="AN174" s="571"/>
      <c r="AO174" s="571"/>
      <c r="AP174" s="541">
        <f t="shared" si="256"/>
        <v>4050</v>
      </c>
      <c r="AQ174" s="541">
        <f t="shared" si="256"/>
        <v>0</v>
      </c>
      <c r="AR174" s="541">
        <f t="shared" si="256"/>
        <v>0</v>
      </c>
      <c r="AS174" s="541">
        <f t="shared" si="256"/>
        <v>0</v>
      </c>
      <c r="AT174" s="541">
        <f t="shared" si="256"/>
        <v>0</v>
      </c>
    </row>
    <row r="175" spans="2:46" x14ac:dyDescent="0.25">
      <c r="B175" s="98" t="s">
        <v>179</v>
      </c>
      <c r="C175" s="76"/>
      <c r="D175" s="76"/>
      <c r="E175" s="76"/>
      <c r="F175" s="76"/>
      <c r="G175" s="76"/>
      <c r="H175" s="76"/>
      <c r="I175" s="76"/>
      <c r="J175" s="76"/>
      <c r="K175" s="597"/>
      <c r="L175" s="597"/>
      <c r="M175" s="597"/>
      <c r="N175" s="597"/>
      <c r="O175" s="597"/>
      <c r="P175" s="597"/>
      <c r="Q175" s="597"/>
      <c r="R175" s="597"/>
      <c r="S175" s="541">
        <f t="shared" ref="S175:AL175" si="261">+R108-S108</f>
        <v>0</v>
      </c>
      <c r="T175" s="541">
        <f t="shared" si="261"/>
        <v>0</v>
      </c>
      <c r="U175" s="541">
        <f t="shared" ca="1" si="261"/>
        <v>-6068487.6100214934</v>
      </c>
      <c r="V175" s="541">
        <f t="shared" ca="1" si="261"/>
        <v>0</v>
      </c>
      <c r="W175" s="541">
        <f t="shared" ca="1" si="261"/>
        <v>0</v>
      </c>
      <c r="X175" s="541">
        <f t="shared" ca="1" si="261"/>
        <v>0</v>
      </c>
      <c r="Y175" s="541">
        <f t="shared" ca="1" si="261"/>
        <v>0</v>
      </c>
      <c r="Z175" s="541">
        <f t="shared" ca="1" si="261"/>
        <v>0</v>
      </c>
      <c r="AA175" s="541">
        <f t="shared" ca="1" si="261"/>
        <v>0</v>
      </c>
      <c r="AB175" s="541">
        <f t="shared" ca="1" si="261"/>
        <v>0</v>
      </c>
      <c r="AC175" s="541">
        <f t="shared" ca="1" si="261"/>
        <v>0</v>
      </c>
      <c r="AD175" s="541">
        <f t="shared" ca="1" si="261"/>
        <v>0</v>
      </c>
      <c r="AE175" s="541">
        <f t="shared" ca="1" si="261"/>
        <v>0</v>
      </c>
      <c r="AF175" s="541">
        <f t="shared" ca="1" si="261"/>
        <v>0</v>
      </c>
      <c r="AG175" s="541">
        <f t="shared" ca="1" si="261"/>
        <v>0</v>
      </c>
      <c r="AH175" s="541">
        <f t="shared" ca="1" si="261"/>
        <v>0</v>
      </c>
      <c r="AI175" s="541">
        <f t="shared" ca="1" si="261"/>
        <v>0</v>
      </c>
      <c r="AJ175" s="541">
        <f t="shared" ca="1" si="261"/>
        <v>0</v>
      </c>
      <c r="AK175" s="541">
        <f t="shared" ca="1" si="261"/>
        <v>0</v>
      </c>
      <c r="AL175" s="541">
        <f t="shared" ca="1" si="261"/>
        <v>0</v>
      </c>
      <c r="AN175" s="571"/>
      <c r="AO175" s="571"/>
      <c r="AP175" s="541">
        <f t="shared" ca="1" si="256"/>
        <v>-6068487.6100214934</v>
      </c>
      <c r="AQ175" s="541">
        <f t="shared" ca="1" si="256"/>
        <v>0</v>
      </c>
      <c r="AR175" s="541">
        <f t="shared" ca="1" si="256"/>
        <v>0</v>
      </c>
      <c r="AS175" s="541">
        <f t="shared" ca="1" si="256"/>
        <v>0</v>
      </c>
      <c r="AT175" s="541">
        <f t="shared" ca="1" si="256"/>
        <v>0</v>
      </c>
    </row>
    <row r="176" spans="2:46" ht="16.5" thickBot="1" x14ac:dyDescent="0.3">
      <c r="B176" s="752" t="s">
        <v>327</v>
      </c>
      <c r="C176" s="607"/>
      <c r="D176" s="607"/>
      <c r="E176" s="607"/>
      <c r="F176" s="607"/>
      <c r="G176" s="607"/>
      <c r="H176" s="607"/>
      <c r="I176" s="607"/>
      <c r="J176" s="607"/>
      <c r="K176" s="602"/>
      <c r="L176" s="602"/>
      <c r="M176" s="602"/>
      <c r="N176" s="602"/>
      <c r="O176" s="602"/>
      <c r="P176" s="602"/>
      <c r="Q176" s="602"/>
      <c r="R176" s="602"/>
      <c r="S176" s="605">
        <f ca="1">SUM(S172:S175)</f>
        <v>-3653.3392286380531</v>
      </c>
      <c r="T176" s="605">
        <f t="shared" ref="T176:AL176" ca="1" si="262">SUM(T172:T175)</f>
        <v>-4194.7786264506321</v>
      </c>
      <c r="U176" s="605">
        <f t="shared" ca="1" si="262"/>
        <v>-6072230.1381074535</v>
      </c>
      <c r="V176" s="605">
        <f t="shared" ca="1" si="262"/>
        <v>2395.9501150900405</v>
      </c>
      <c r="W176" s="603">
        <f t="shared" ca="1" si="262"/>
        <v>-4441.4863323183326</v>
      </c>
      <c r="X176" s="603">
        <f t="shared" ca="1" si="262"/>
        <v>-5142.3395625073153</v>
      </c>
      <c r="Y176" s="603">
        <f t="shared" ca="1" si="262"/>
        <v>-4878.6047560896186</v>
      </c>
      <c r="Z176" s="603">
        <f t="shared" ca="1" si="262"/>
        <v>-1813.3367177706145</v>
      </c>
      <c r="AA176" s="603">
        <f t="shared" ca="1" si="262"/>
        <v>-5097.8537529385976</v>
      </c>
      <c r="AB176" s="603">
        <f t="shared" ca="1" si="262"/>
        <v>-5918.0949226434032</v>
      </c>
      <c r="AC176" s="603">
        <f t="shared" ca="1" si="262"/>
        <v>-5705.3530429074108</v>
      </c>
      <c r="AD176" s="603">
        <f t="shared" ca="1" si="262"/>
        <v>-2199.6755416295891</v>
      </c>
      <c r="AE176" s="603">
        <f t="shared" ca="1" si="262"/>
        <v>-5579.6544565052027</v>
      </c>
      <c r="AF176" s="603">
        <f t="shared" ca="1" si="262"/>
        <v>-6499.4228797997393</v>
      </c>
      <c r="AG176" s="603">
        <f t="shared" ca="1" si="262"/>
        <v>-6420.8417138968944</v>
      </c>
      <c r="AH176" s="603">
        <f t="shared" ca="1" si="262"/>
        <v>-2346.6060782932163</v>
      </c>
      <c r="AI176" s="603">
        <f t="shared" ca="1" si="262"/>
        <v>-5829.2280335357082</v>
      </c>
      <c r="AJ176" s="603">
        <f t="shared" ca="1" si="262"/>
        <v>-6796.9782663856513</v>
      </c>
      <c r="AK176" s="603">
        <f t="shared" ca="1" si="262"/>
        <v>-6758.0345673832317</v>
      </c>
      <c r="AL176" s="603">
        <f t="shared" ca="1" si="262"/>
        <v>-2485.8163171106125</v>
      </c>
      <c r="AN176" s="605">
        <f t="shared" ref="AN176:AT176" si="263">SUM(AN172:AN175)</f>
        <v>0</v>
      </c>
      <c r="AO176" s="605">
        <f t="shared" si="263"/>
        <v>0</v>
      </c>
      <c r="AP176" s="605">
        <f t="shared" ca="1" si="263"/>
        <v>-6077682.305847452</v>
      </c>
      <c r="AQ176" s="605">
        <f t="shared" ca="1" si="263"/>
        <v>-16275.767368685883</v>
      </c>
      <c r="AR176" s="605">
        <f t="shared" ca="1" si="263"/>
        <v>-18920.977260119002</v>
      </c>
      <c r="AS176" s="605">
        <f t="shared" ca="1" si="263"/>
        <v>-20846.525128495057</v>
      </c>
      <c r="AT176" s="605">
        <f t="shared" ca="1" si="263"/>
        <v>-21870.057184415204</v>
      </c>
    </row>
    <row r="178" spans="2:46" x14ac:dyDescent="0.25">
      <c r="B178" s="752" t="s">
        <v>328</v>
      </c>
      <c r="C178" s="607"/>
      <c r="D178" s="607"/>
      <c r="E178" s="607"/>
      <c r="F178" s="607"/>
      <c r="G178" s="607"/>
      <c r="H178" s="607"/>
      <c r="I178" s="607"/>
      <c r="J178" s="607"/>
      <c r="K178" s="116"/>
      <c r="L178" s="116"/>
      <c r="M178" s="116"/>
      <c r="N178" s="116"/>
      <c r="O178" s="116"/>
      <c r="P178" s="116"/>
      <c r="Q178" s="116"/>
      <c r="R178" s="116"/>
      <c r="S178" s="541"/>
      <c r="T178" s="541"/>
      <c r="U178" s="541"/>
      <c r="V178" s="541"/>
    </row>
    <row r="179" spans="2:46" x14ac:dyDescent="0.25">
      <c r="B179" s="636" t="s">
        <v>19</v>
      </c>
      <c r="C179" s="76"/>
      <c r="D179" s="76"/>
      <c r="E179" s="76"/>
      <c r="F179" s="76"/>
      <c r="G179" s="76"/>
      <c r="H179" s="76"/>
      <c r="I179" s="76"/>
      <c r="J179" s="76"/>
      <c r="K179" s="597"/>
      <c r="L179" s="597"/>
      <c r="M179" s="597"/>
      <c r="N179" s="597"/>
      <c r="O179" s="597"/>
      <c r="P179" s="597"/>
      <c r="Q179" s="597"/>
      <c r="R179" s="597"/>
      <c r="S179" s="541">
        <f t="shared" ref="S179:AL179" si="264">+S127-R127</f>
        <v>0</v>
      </c>
      <c r="T179" s="541">
        <f t="shared" si="264"/>
        <v>0</v>
      </c>
      <c r="U179" s="541">
        <f t="shared" si="264"/>
        <v>0</v>
      </c>
      <c r="V179" s="541">
        <f t="shared" ca="1" si="264"/>
        <v>0</v>
      </c>
      <c r="W179" s="541">
        <f t="shared" ca="1" si="264"/>
        <v>0</v>
      </c>
      <c r="X179" s="541">
        <f t="shared" ca="1" si="264"/>
        <v>0</v>
      </c>
      <c r="Y179" s="541">
        <f t="shared" ca="1" si="264"/>
        <v>0</v>
      </c>
      <c r="Z179" s="541">
        <f t="shared" ca="1" si="264"/>
        <v>0</v>
      </c>
      <c r="AA179" s="541">
        <f t="shared" ca="1" si="264"/>
        <v>0</v>
      </c>
      <c r="AB179" s="541">
        <f t="shared" ca="1" si="264"/>
        <v>0</v>
      </c>
      <c r="AC179" s="541">
        <f t="shared" ca="1" si="264"/>
        <v>0</v>
      </c>
      <c r="AD179" s="541">
        <f t="shared" ca="1" si="264"/>
        <v>0</v>
      </c>
      <c r="AE179" s="541">
        <f t="shared" ca="1" si="264"/>
        <v>0</v>
      </c>
      <c r="AF179" s="541">
        <f t="shared" ca="1" si="264"/>
        <v>0</v>
      </c>
      <c r="AG179" s="541">
        <f t="shared" ca="1" si="264"/>
        <v>0</v>
      </c>
      <c r="AH179" s="541">
        <f t="shared" ca="1" si="264"/>
        <v>0</v>
      </c>
      <c r="AI179" s="541">
        <f t="shared" ca="1" si="264"/>
        <v>7752.5225485142055</v>
      </c>
      <c r="AJ179" s="541">
        <f t="shared" ca="1" si="264"/>
        <v>-6616.8443831602754</v>
      </c>
      <c r="AK179" s="541">
        <f t="shared" ca="1" si="264"/>
        <v>-1135.6781653539301</v>
      </c>
      <c r="AL179" s="541">
        <f t="shared" ca="1" si="264"/>
        <v>0</v>
      </c>
      <c r="AN179" s="571"/>
      <c r="AO179" s="571"/>
      <c r="AP179" s="541">
        <f t="shared" ref="AP179:AT188" ca="1" si="265">SUMIF($K$4:$AL$4,AP$4,$K179:$AL179)</f>
        <v>0</v>
      </c>
      <c r="AQ179" s="541">
        <f t="shared" ca="1" si="265"/>
        <v>0</v>
      </c>
      <c r="AR179" s="541">
        <f t="shared" ca="1" si="265"/>
        <v>0</v>
      </c>
      <c r="AS179" s="541">
        <f t="shared" ca="1" si="265"/>
        <v>0</v>
      </c>
      <c r="AT179" s="541">
        <f t="shared" ca="1" si="265"/>
        <v>0</v>
      </c>
    </row>
    <row r="180" spans="2:46" x14ac:dyDescent="0.25">
      <c r="B180" s="636" t="s">
        <v>20</v>
      </c>
      <c r="C180" s="76"/>
      <c r="D180" s="76"/>
      <c r="E180" s="76"/>
      <c r="F180" s="76"/>
      <c r="G180" s="76"/>
      <c r="H180" s="76"/>
      <c r="I180" s="76"/>
      <c r="J180" s="76"/>
      <c r="K180" s="597"/>
      <c r="L180" s="597"/>
      <c r="M180" s="597"/>
      <c r="N180" s="597"/>
      <c r="O180" s="597"/>
      <c r="P180" s="597"/>
      <c r="Q180" s="597"/>
      <c r="R180" s="597"/>
      <c r="S180" s="541">
        <f t="shared" ref="S180:AL180" si="266">+S128-R128</f>
        <v>0</v>
      </c>
      <c r="T180" s="541">
        <f t="shared" si="266"/>
        <v>0</v>
      </c>
      <c r="U180" s="541">
        <f t="shared" si="266"/>
        <v>0</v>
      </c>
      <c r="V180" s="541">
        <f t="shared" ca="1" si="266"/>
        <v>0</v>
      </c>
      <c r="W180" s="541">
        <f t="shared" ca="1" si="266"/>
        <v>0</v>
      </c>
      <c r="X180" s="541">
        <f t="shared" ca="1" si="266"/>
        <v>0</v>
      </c>
      <c r="Y180" s="541">
        <f t="shared" ca="1" si="266"/>
        <v>0</v>
      </c>
      <c r="Z180" s="541">
        <f t="shared" ca="1" si="266"/>
        <v>0</v>
      </c>
      <c r="AA180" s="541">
        <f t="shared" ca="1" si="266"/>
        <v>0</v>
      </c>
      <c r="AB180" s="541">
        <f t="shared" ca="1" si="266"/>
        <v>0</v>
      </c>
      <c r="AC180" s="541">
        <f t="shared" ca="1" si="266"/>
        <v>0</v>
      </c>
      <c r="AD180" s="541">
        <f t="shared" ca="1" si="266"/>
        <v>0</v>
      </c>
      <c r="AE180" s="541">
        <f t="shared" ca="1" si="266"/>
        <v>0</v>
      </c>
      <c r="AF180" s="541">
        <f t="shared" ca="1" si="266"/>
        <v>0</v>
      </c>
      <c r="AG180" s="541">
        <f t="shared" ca="1" si="266"/>
        <v>0</v>
      </c>
      <c r="AH180" s="541">
        <f t="shared" ca="1" si="266"/>
        <v>0</v>
      </c>
      <c r="AI180" s="541">
        <f t="shared" ca="1" si="266"/>
        <v>0</v>
      </c>
      <c r="AJ180" s="541">
        <f t="shared" ca="1" si="266"/>
        <v>0</v>
      </c>
      <c r="AK180" s="541">
        <f t="shared" ca="1" si="266"/>
        <v>0</v>
      </c>
      <c r="AL180" s="541">
        <f t="shared" ca="1" si="266"/>
        <v>0</v>
      </c>
      <c r="AN180" s="571"/>
      <c r="AO180" s="571"/>
      <c r="AP180" s="541">
        <f t="shared" ca="1" si="265"/>
        <v>0</v>
      </c>
      <c r="AQ180" s="541">
        <f t="shared" ca="1" si="265"/>
        <v>0</v>
      </c>
      <c r="AR180" s="541">
        <f t="shared" ca="1" si="265"/>
        <v>0</v>
      </c>
      <c r="AS180" s="541">
        <f t="shared" ca="1" si="265"/>
        <v>0</v>
      </c>
      <c r="AT180" s="541">
        <f t="shared" ca="1" si="265"/>
        <v>0</v>
      </c>
    </row>
    <row r="181" spans="2:46" ht="16.5" customHeight="1" x14ac:dyDescent="0.25">
      <c r="B181" s="636" t="s">
        <v>22</v>
      </c>
      <c r="C181" s="76"/>
      <c r="D181" s="76"/>
      <c r="E181" s="76"/>
      <c r="F181" s="76"/>
      <c r="G181" s="76"/>
      <c r="H181" s="76"/>
      <c r="I181" s="76"/>
      <c r="J181" s="76"/>
      <c r="K181" s="597"/>
      <c r="L181" s="597"/>
      <c r="M181" s="597"/>
      <c r="N181" s="597"/>
      <c r="O181" s="597"/>
      <c r="P181" s="597"/>
      <c r="Q181" s="597"/>
      <c r="R181" s="597"/>
      <c r="S181" s="541">
        <f t="shared" ref="S181:AL181" si="267">+S130-R130</f>
        <v>0</v>
      </c>
      <c r="T181" s="541">
        <f t="shared" si="267"/>
        <v>0</v>
      </c>
      <c r="U181" s="541">
        <f t="shared" si="267"/>
        <v>500000</v>
      </c>
      <c r="V181" s="541">
        <f t="shared" ca="1" si="267"/>
        <v>0</v>
      </c>
      <c r="W181" s="541">
        <f t="shared" ca="1" si="267"/>
        <v>0</v>
      </c>
      <c r="X181" s="541">
        <f t="shared" ca="1" si="267"/>
        <v>0</v>
      </c>
      <c r="Y181" s="541">
        <f t="shared" ca="1" si="267"/>
        <v>0</v>
      </c>
      <c r="Z181" s="541">
        <f t="shared" ca="1" si="267"/>
        <v>0</v>
      </c>
      <c r="AA181" s="541">
        <f t="shared" ca="1" si="267"/>
        <v>0</v>
      </c>
      <c r="AB181" s="541">
        <f t="shared" ca="1" si="267"/>
        <v>0</v>
      </c>
      <c r="AC181" s="541">
        <f t="shared" ca="1" si="267"/>
        <v>0</v>
      </c>
      <c r="AD181" s="541">
        <f t="shared" ca="1" si="267"/>
        <v>0</v>
      </c>
      <c r="AE181" s="541">
        <f t="shared" ca="1" si="267"/>
        <v>0</v>
      </c>
      <c r="AF181" s="541">
        <f t="shared" ca="1" si="267"/>
        <v>0</v>
      </c>
      <c r="AG181" s="541">
        <f t="shared" ca="1" si="267"/>
        <v>0</v>
      </c>
      <c r="AH181" s="541">
        <f t="shared" ca="1" si="267"/>
        <v>0</v>
      </c>
      <c r="AI181" s="541">
        <f t="shared" ca="1" si="267"/>
        <v>0</v>
      </c>
      <c r="AJ181" s="541">
        <f t="shared" ca="1" si="267"/>
        <v>0</v>
      </c>
      <c r="AK181" s="541">
        <f t="shared" ca="1" si="267"/>
        <v>0</v>
      </c>
      <c r="AL181" s="541">
        <f t="shared" ca="1" si="267"/>
        <v>0</v>
      </c>
      <c r="AN181" s="571"/>
      <c r="AO181" s="571"/>
      <c r="AP181" s="541">
        <f t="shared" ca="1" si="265"/>
        <v>500000</v>
      </c>
      <c r="AQ181" s="541">
        <f t="shared" ca="1" si="265"/>
        <v>0</v>
      </c>
      <c r="AR181" s="541">
        <f t="shared" ca="1" si="265"/>
        <v>0</v>
      </c>
      <c r="AS181" s="541">
        <f t="shared" ca="1" si="265"/>
        <v>0</v>
      </c>
      <c r="AT181" s="541">
        <f t="shared" ca="1" si="265"/>
        <v>0</v>
      </c>
    </row>
    <row r="182" spans="2:46" x14ac:dyDescent="0.25">
      <c r="B182" s="636" t="s">
        <v>21</v>
      </c>
      <c r="C182" s="76"/>
      <c r="D182" s="76"/>
      <c r="E182" s="76"/>
      <c r="F182" s="76"/>
      <c r="G182" s="76"/>
      <c r="H182" s="76"/>
      <c r="I182" s="76"/>
      <c r="J182" s="76"/>
      <c r="K182" s="597"/>
      <c r="L182" s="597"/>
      <c r="M182" s="597"/>
      <c r="N182" s="597"/>
      <c r="O182" s="597"/>
      <c r="P182" s="597"/>
      <c r="Q182" s="597"/>
      <c r="R182" s="597"/>
      <c r="S182" s="541">
        <f t="shared" ref="S182:AL182" si="268">+ROUND(S129-R129-S358,0)</f>
        <v>0</v>
      </c>
      <c r="T182" s="541">
        <f t="shared" si="268"/>
        <v>0</v>
      </c>
      <c r="U182" s="541">
        <f t="shared" si="268"/>
        <v>0</v>
      </c>
      <c r="V182" s="541">
        <f t="shared" ca="1" si="268"/>
        <v>0</v>
      </c>
      <c r="W182" s="541">
        <f t="shared" ca="1" si="268"/>
        <v>0</v>
      </c>
      <c r="X182" s="541">
        <f t="shared" ca="1" si="268"/>
        <v>0</v>
      </c>
      <c r="Y182" s="541">
        <f t="shared" ca="1" si="268"/>
        <v>0</v>
      </c>
      <c r="Z182" s="541">
        <f t="shared" ca="1" si="268"/>
        <v>0</v>
      </c>
      <c r="AA182" s="541">
        <f t="shared" ca="1" si="268"/>
        <v>0</v>
      </c>
      <c r="AB182" s="541">
        <f t="shared" ca="1" si="268"/>
        <v>0</v>
      </c>
      <c r="AC182" s="541">
        <f t="shared" ca="1" si="268"/>
        <v>0</v>
      </c>
      <c r="AD182" s="541">
        <f t="shared" ca="1" si="268"/>
        <v>0</v>
      </c>
      <c r="AE182" s="541">
        <f t="shared" ca="1" si="268"/>
        <v>0</v>
      </c>
      <c r="AF182" s="541">
        <f t="shared" ca="1" si="268"/>
        <v>0</v>
      </c>
      <c r="AG182" s="541">
        <f t="shared" ca="1" si="268"/>
        <v>0</v>
      </c>
      <c r="AH182" s="541">
        <f t="shared" ca="1" si="268"/>
        <v>0</v>
      </c>
      <c r="AI182" s="541">
        <f t="shared" ca="1" si="268"/>
        <v>0</v>
      </c>
      <c r="AJ182" s="541">
        <f t="shared" ca="1" si="268"/>
        <v>0</v>
      </c>
      <c r="AK182" s="541">
        <f t="shared" ca="1" si="268"/>
        <v>0</v>
      </c>
      <c r="AL182" s="541">
        <f t="shared" ca="1" si="268"/>
        <v>0</v>
      </c>
      <c r="AN182" s="571"/>
      <c r="AO182" s="571"/>
      <c r="AP182" s="541">
        <f t="shared" ca="1" si="265"/>
        <v>0</v>
      </c>
      <c r="AQ182" s="541">
        <f t="shared" ca="1" si="265"/>
        <v>0</v>
      </c>
      <c r="AR182" s="541">
        <f t="shared" ca="1" si="265"/>
        <v>0</v>
      </c>
      <c r="AS182" s="541">
        <f t="shared" ca="1" si="265"/>
        <v>0</v>
      </c>
      <c r="AT182" s="541">
        <f t="shared" ca="1" si="265"/>
        <v>0</v>
      </c>
    </row>
    <row r="183" spans="2:46" x14ac:dyDescent="0.25">
      <c r="B183" s="636" t="s">
        <v>329</v>
      </c>
      <c r="C183" s="76"/>
      <c r="D183" s="76"/>
      <c r="E183" s="76"/>
      <c r="F183" s="76"/>
      <c r="G183" s="76"/>
      <c r="H183" s="76"/>
      <c r="I183" s="76"/>
      <c r="J183" s="595" t="s">
        <v>313</v>
      </c>
      <c r="K183" s="597"/>
      <c r="L183" s="597"/>
      <c r="M183" s="597"/>
      <c r="N183" s="597"/>
      <c r="O183" s="597"/>
      <c r="P183" s="597"/>
      <c r="Q183" s="597"/>
      <c r="R183" s="597"/>
      <c r="S183" s="541">
        <f t="shared" ref="S183:AL183" si="269">+SUM(S134:S137)-SUM(R134:R137)</f>
        <v>0</v>
      </c>
      <c r="T183" s="541">
        <f t="shared" si="269"/>
        <v>0</v>
      </c>
      <c r="U183" s="541">
        <f t="shared" si="269"/>
        <v>0</v>
      </c>
      <c r="V183" s="541">
        <f t="shared" si="269"/>
        <v>-772566</v>
      </c>
      <c r="W183" s="541">
        <f t="shared" si="269"/>
        <v>0</v>
      </c>
      <c r="X183" s="541">
        <f t="shared" si="269"/>
        <v>0</v>
      </c>
      <c r="Y183" s="541">
        <f t="shared" si="269"/>
        <v>0</v>
      </c>
      <c r="Z183" s="541">
        <f t="shared" si="269"/>
        <v>0</v>
      </c>
      <c r="AA183" s="541">
        <f t="shared" si="269"/>
        <v>0</v>
      </c>
      <c r="AB183" s="541">
        <f t="shared" si="269"/>
        <v>0</v>
      </c>
      <c r="AC183" s="541">
        <f t="shared" si="269"/>
        <v>0</v>
      </c>
      <c r="AD183" s="541">
        <f t="shared" si="269"/>
        <v>0</v>
      </c>
      <c r="AE183" s="541">
        <f t="shared" si="269"/>
        <v>0</v>
      </c>
      <c r="AF183" s="541">
        <f t="shared" si="269"/>
        <v>0</v>
      </c>
      <c r="AG183" s="541">
        <f t="shared" si="269"/>
        <v>0</v>
      </c>
      <c r="AH183" s="541">
        <f t="shared" si="269"/>
        <v>0</v>
      </c>
      <c r="AI183" s="541">
        <f t="shared" si="269"/>
        <v>0</v>
      </c>
      <c r="AJ183" s="541">
        <f t="shared" si="269"/>
        <v>0</v>
      </c>
      <c r="AK183" s="541">
        <f t="shared" si="269"/>
        <v>0</v>
      </c>
      <c r="AL183" s="541">
        <f t="shared" si="269"/>
        <v>0</v>
      </c>
      <c r="AN183" s="571"/>
      <c r="AO183" s="571"/>
      <c r="AP183" s="541">
        <f t="shared" si="265"/>
        <v>-772566</v>
      </c>
      <c r="AQ183" s="541">
        <f t="shared" si="265"/>
        <v>0</v>
      </c>
      <c r="AR183" s="541">
        <f t="shared" si="265"/>
        <v>0</v>
      </c>
      <c r="AS183" s="541">
        <f t="shared" si="265"/>
        <v>0</v>
      </c>
      <c r="AT183" s="541">
        <f t="shared" si="265"/>
        <v>0</v>
      </c>
    </row>
    <row r="184" spans="2:46" x14ac:dyDescent="0.25">
      <c r="B184" s="636" t="s">
        <v>305</v>
      </c>
      <c r="C184" s="76"/>
      <c r="D184" s="76"/>
      <c r="E184" s="76"/>
      <c r="F184" s="76"/>
      <c r="G184" s="76"/>
      <c r="H184" s="76"/>
      <c r="I184" s="76"/>
      <c r="J184" s="76"/>
      <c r="K184" s="597"/>
      <c r="L184" s="597"/>
      <c r="M184" s="597"/>
      <c r="N184" s="597"/>
      <c r="O184" s="597"/>
      <c r="P184" s="597"/>
      <c r="Q184" s="597"/>
      <c r="R184" s="597"/>
      <c r="S184" s="541">
        <f t="shared" ref="S184:AL184" si="270">+SUM(S138)-SUM(R138)</f>
        <v>0</v>
      </c>
      <c r="T184" s="541">
        <f t="shared" si="270"/>
        <v>0</v>
      </c>
      <c r="U184" s="541">
        <f t="shared" si="270"/>
        <v>-772566</v>
      </c>
      <c r="V184" s="541">
        <f t="shared" si="270"/>
        <v>772566</v>
      </c>
      <c r="W184" s="541">
        <f t="shared" si="270"/>
        <v>0</v>
      </c>
      <c r="X184" s="541">
        <f t="shared" si="270"/>
        <v>0</v>
      </c>
      <c r="Y184" s="541">
        <f t="shared" si="270"/>
        <v>0</v>
      </c>
      <c r="Z184" s="541">
        <f t="shared" si="270"/>
        <v>0</v>
      </c>
      <c r="AA184" s="541">
        <f t="shared" si="270"/>
        <v>0</v>
      </c>
      <c r="AB184" s="541">
        <f t="shared" si="270"/>
        <v>0</v>
      </c>
      <c r="AC184" s="541">
        <f t="shared" si="270"/>
        <v>0</v>
      </c>
      <c r="AD184" s="541">
        <f t="shared" si="270"/>
        <v>0</v>
      </c>
      <c r="AE184" s="541">
        <f t="shared" si="270"/>
        <v>0</v>
      </c>
      <c r="AF184" s="541">
        <f t="shared" si="270"/>
        <v>0</v>
      </c>
      <c r="AG184" s="541">
        <f t="shared" si="270"/>
        <v>0</v>
      </c>
      <c r="AH184" s="541">
        <f t="shared" si="270"/>
        <v>0</v>
      </c>
      <c r="AI184" s="541">
        <f t="shared" si="270"/>
        <v>0</v>
      </c>
      <c r="AJ184" s="541">
        <f t="shared" si="270"/>
        <v>0</v>
      </c>
      <c r="AK184" s="541">
        <f t="shared" si="270"/>
        <v>0</v>
      </c>
      <c r="AL184" s="541">
        <f t="shared" si="270"/>
        <v>0</v>
      </c>
      <c r="AN184" s="571"/>
      <c r="AO184" s="571"/>
      <c r="AP184" s="541">
        <f t="shared" si="265"/>
        <v>0</v>
      </c>
      <c r="AQ184" s="541">
        <f t="shared" si="265"/>
        <v>0</v>
      </c>
      <c r="AR184" s="541">
        <f t="shared" si="265"/>
        <v>0</v>
      </c>
      <c r="AS184" s="541">
        <f t="shared" si="265"/>
        <v>0</v>
      </c>
      <c r="AT184" s="541">
        <f t="shared" si="265"/>
        <v>0</v>
      </c>
    </row>
    <row r="185" spans="2:46" x14ac:dyDescent="0.25">
      <c r="B185" s="636" t="s">
        <v>145</v>
      </c>
      <c r="C185" s="76"/>
      <c r="D185" s="76"/>
      <c r="E185" s="76"/>
      <c r="F185" s="76"/>
      <c r="G185" s="76"/>
      <c r="H185" s="76"/>
      <c r="I185" s="76"/>
      <c r="J185" s="76"/>
      <c r="K185" s="597"/>
      <c r="L185" s="597"/>
      <c r="M185" s="597"/>
      <c r="N185" s="597"/>
      <c r="O185" s="597"/>
      <c r="P185" s="597"/>
      <c r="Q185" s="597"/>
      <c r="R185" s="597"/>
      <c r="S185" s="541">
        <f>+S139-R139</f>
        <v>0</v>
      </c>
      <c r="T185" s="541">
        <f>+T139-S139</f>
        <v>0</v>
      </c>
      <c r="U185" s="541">
        <f t="shared" ref="U185:AL185" si="271">+SUM(U139)-SUM(T139)</f>
        <v>1075000</v>
      </c>
      <c r="V185" s="541">
        <f t="shared" si="271"/>
        <v>0</v>
      </c>
      <c r="W185" s="541">
        <f t="shared" si="271"/>
        <v>0</v>
      </c>
      <c r="X185" s="541">
        <f t="shared" si="271"/>
        <v>0</v>
      </c>
      <c r="Y185" s="541">
        <f t="shared" si="271"/>
        <v>0</v>
      </c>
      <c r="Z185" s="541">
        <f t="shared" si="271"/>
        <v>0</v>
      </c>
      <c r="AA185" s="541">
        <f t="shared" si="271"/>
        <v>0</v>
      </c>
      <c r="AB185" s="541">
        <f t="shared" si="271"/>
        <v>0</v>
      </c>
      <c r="AC185" s="541">
        <f t="shared" si="271"/>
        <v>0</v>
      </c>
      <c r="AD185" s="541">
        <f t="shared" si="271"/>
        <v>0</v>
      </c>
      <c r="AE185" s="541">
        <f t="shared" si="271"/>
        <v>0</v>
      </c>
      <c r="AF185" s="541">
        <f t="shared" si="271"/>
        <v>0</v>
      </c>
      <c r="AG185" s="541">
        <f t="shared" si="271"/>
        <v>0</v>
      </c>
      <c r="AH185" s="541">
        <f t="shared" si="271"/>
        <v>0</v>
      </c>
      <c r="AI185" s="541">
        <f t="shared" si="271"/>
        <v>0</v>
      </c>
      <c r="AJ185" s="541">
        <f t="shared" si="271"/>
        <v>0</v>
      </c>
      <c r="AK185" s="541">
        <f t="shared" si="271"/>
        <v>0</v>
      </c>
      <c r="AL185" s="541">
        <f t="shared" si="271"/>
        <v>0</v>
      </c>
      <c r="AN185" s="571"/>
      <c r="AO185" s="571"/>
      <c r="AP185" s="541">
        <f t="shared" si="265"/>
        <v>1075000</v>
      </c>
      <c r="AQ185" s="541">
        <f t="shared" si="265"/>
        <v>0</v>
      </c>
      <c r="AR185" s="541">
        <f t="shared" si="265"/>
        <v>0</v>
      </c>
      <c r="AS185" s="541">
        <f t="shared" si="265"/>
        <v>0</v>
      </c>
      <c r="AT185" s="541">
        <f t="shared" si="265"/>
        <v>0</v>
      </c>
    </row>
    <row r="186" spans="2:46" x14ac:dyDescent="0.25">
      <c r="B186" s="636" t="s">
        <v>144</v>
      </c>
      <c r="C186" s="76"/>
      <c r="D186" s="76"/>
      <c r="E186" s="76"/>
      <c r="F186" s="76"/>
      <c r="G186" s="76"/>
      <c r="H186" s="76"/>
      <c r="I186" s="76"/>
      <c r="J186" s="76"/>
      <c r="K186" s="597"/>
      <c r="L186" s="597"/>
      <c r="M186" s="597"/>
      <c r="N186" s="597"/>
      <c r="O186" s="597"/>
      <c r="P186" s="597"/>
      <c r="Q186" s="597"/>
      <c r="R186" s="597"/>
      <c r="S186" s="541">
        <f>+S140-R140</f>
        <v>0</v>
      </c>
      <c r="T186" s="541">
        <f>+T140-S140</f>
        <v>0</v>
      </c>
      <c r="U186" s="541">
        <f t="shared" ref="U186:AL186" ca="1" si="272">+U140-T140</f>
        <v>4581670.2123345677</v>
      </c>
      <c r="V186" s="541">
        <f t="shared" ca="1" si="272"/>
        <v>0</v>
      </c>
      <c r="W186" s="541">
        <f t="shared" ca="1" si="272"/>
        <v>0</v>
      </c>
      <c r="X186" s="541">
        <f t="shared" ca="1" si="272"/>
        <v>0</v>
      </c>
      <c r="Y186" s="541">
        <f t="shared" ca="1" si="272"/>
        <v>0</v>
      </c>
      <c r="Z186" s="541">
        <f t="shared" ca="1" si="272"/>
        <v>0</v>
      </c>
      <c r="AA186" s="541">
        <f t="shared" ca="1" si="272"/>
        <v>0</v>
      </c>
      <c r="AB186" s="541">
        <f t="shared" ca="1" si="272"/>
        <v>0</v>
      </c>
      <c r="AC186" s="541">
        <f t="shared" ca="1" si="272"/>
        <v>0</v>
      </c>
      <c r="AD186" s="541">
        <f t="shared" ca="1" si="272"/>
        <v>0</v>
      </c>
      <c r="AE186" s="541">
        <f t="shared" ca="1" si="272"/>
        <v>0</v>
      </c>
      <c r="AF186" s="541">
        <f t="shared" ca="1" si="272"/>
        <v>0</v>
      </c>
      <c r="AG186" s="541">
        <f t="shared" ca="1" si="272"/>
        <v>0</v>
      </c>
      <c r="AH186" s="541">
        <f t="shared" ca="1" si="272"/>
        <v>0</v>
      </c>
      <c r="AI186" s="541">
        <f t="shared" ca="1" si="272"/>
        <v>0</v>
      </c>
      <c r="AJ186" s="541">
        <f t="shared" ca="1" si="272"/>
        <v>0</v>
      </c>
      <c r="AK186" s="541">
        <f t="shared" ca="1" si="272"/>
        <v>0</v>
      </c>
      <c r="AL186" s="541">
        <f t="shared" ca="1" si="272"/>
        <v>0</v>
      </c>
      <c r="AN186" s="571"/>
      <c r="AO186" s="571"/>
      <c r="AP186" s="541">
        <f t="shared" ca="1" si="265"/>
        <v>4581670.2123345677</v>
      </c>
      <c r="AQ186" s="541">
        <f t="shared" ca="1" si="265"/>
        <v>0</v>
      </c>
      <c r="AR186" s="541">
        <f t="shared" ca="1" si="265"/>
        <v>0</v>
      </c>
      <c r="AS186" s="541">
        <f t="shared" ca="1" si="265"/>
        <v>0</v>
      </c>
      <c r="AT186" s="541">
        <f t="shared" ca="1" si="265"/>
        <v>0</v>
      </c>
    </row>
    <row r="187" spans="2:46" x14ac:dyDescent="0.25">
      <c r="B187" s="636" t="s">
        <v>330</v>
      </c>
      <c r="C187" s="76"/>
      <c r="D187" s="76"/>
      <c r="E187" s="76"/>
      <c r="F187" s="76"/>
      <c r="G187" s="76"/>
      <c r="H187" s="76"/>
      <c r="I187" s="76"/>
      <c r="J187" s="595" t="s">
        <v>313</v>
      </c>
      <c r="K187" s="597"/>
      <c r="L187" s="597"/>
      <c r="M187" s="597"/>
      <c r="N187" s="597"/>
      <c r="O187" s="597"/>
      <c r="P187" s="597"/>
      <c r="Q187" s="597"/>
      <c r="R187" s="597"/>
      <c r="S187" s="541">
        <f ca="1">+S141-R141-S41+S40</f>
        <v>5.4569682106375694E-12</v>
      </c>
      <c r="T187" s="541">
        <f ca="1">+T141-S141-T41</f>
        <v>0</v>
      </c>
      <c r="U187" s="541">
        <f t="shared" ref="U187:AL187" ca="1" si="273">+U141-T141-U41</f>
        <v>5000.0000000000018</v>
      </c>
      <c r="V187" s="541">
        <f t="shared" ca="1" si="273"/>
        <v>75356.748419253898</v>
      </c>
      <c r="W187" s="541">
        <f t="shared" ca="1" si="273"/>
        <v>0</v>
      </c>
      <c r="X187" s="541">
        <f t="shared" ca="1" si="273"/>
        <v>3284.3253899177816</v>
      </c>
      <c r="Y187" s="541">
        <f t="shared" ca="1" si="273"/>
        <v>0</v>
      </c>
      <c r="Z187" s="541">
        <f t="shared" ca="1" si="273"/>
        <v>3344.5539575654402</v>
      </c>
      <c r="AA187" s="541">
        <f t="shared" ca="1" si="273"/>
        <v>0</v>
      </c>
      <c r="AB187" s="541">
        <f t="shared" ca="1" si="273"/>
        <v>3725.2130969469526</v>
      </c>
      <c r="AC187" s="541">
        <f t="shared" ca="1" si="273"/>
        <v>0</v>
      </c>
      <c r="AD187" s="541">
        <f t="shared" ca="1" si="273"/>
        <v>3778.6638583250715</v>
      </c>
      <c r="AE187" s="541">
        <f t="shared" ca="1" si="273"/>
        <v>-3.637978807091713E-12</v>
      </c>
      <c r="AF187" s="541">
        <f t="shared" ca="1" si="273"/>
        <v>3983.2976068887001</v>
      </c>
      <c r="AG187" s="541">
        <f t="shared" ca="1" si="273"/>
        <v>0</v>
      </c>
      <c r="AH187" s="541">
        <f t="shared" ca="1" si="273"/>
        <v>4029.3643240252404</v>
      </c>
      <c r="AI187" s="541">
        <f t="shared" ca="1" si="273"/>
        <v>-3.637978807091713E-12</v>
      </c>
      <c r="AJ187" s="541">
        <f t="shared" ca="1" si="273"/>
        <v>4003.2724556820031</v>
      </c>
      <c r="AK187" s="541">
        <f t="shared" ca="1" si="273"/>
        <v>0</v>
      </c>
      <c r="AL187" s="541">
        <f t="shared" ca="1" si="273"/>
        <v>4100.7105952190032</v>
      </c>
      <c r="AN187" s="571"/>
      <c r="AO187" s="571"/>
      <c r="AP187" s="541">
        <f t="shared" ca="1" si="265"/>
        <v>80356.748419253912</v>
      </c>
      <c r="AQ187" s="541">
        <f t="shared" ca="1" si="265"/>
        <v>6628.8793474832219</v>
      </c>
      <c r="AR187" s="541">
        <f t="shared" ca="1" si="265"/>
        <v>7503.8769552720241</v>
      </c>
      <c r="AS187" s="541">
        <f t="shared" ca="1" si="265"/>
        <v>8012.6619309139369</v>
      </c>
      <c r="AT187" s="541">
        <f t="shared" ca="1" si="265"/>
        <v>8103.9830509010026</v>
      </c>
    </row>
    <row r="188" spans="2:46" x14ac:dyDescent="0.25">
      <c r="B188" s="636" t="s">
        <v>331</v>
      </c>
      <c r="C188" s="76"/>
      <c r="D188" s="76"/>
      <c r="E188" s="76"/>
      <c r="F188" s="76"/>
      <c r="G188" s="76"/>
      <c r="H188" s="76"/>
      <c r="I188" s="76"/>
      <c r="K188" s="597"/>
      <c r="L188" s="597"/>
      <c r="M188" s="597"/>
      <c r="N188" s="597"/>
      <c r="O188" s="597"/>
      <c r="P188" s="597"/>
      <c r="Q188" s="597"/>
      <c r="R188" s="597"/>
      <c r="S188" s="541">
        <f>+S142-R142-S42</f>
        <v>0</v>
      </c>
      <c r="T188" s="541">
        <f>+T142-S142-T42</f>
        <v>0</v>
      </c>
      <c r="U188" s="541">
        <f t="shared" ref="U188:AL188" ca="1" si="274">+U142-T142-U42</f>
        <v>73234.404563545948</v>
      </c>
      <c r="V188" s="541">
        <f t="shared" ca="1" si="274"/>
        <v>-73234.404563545948</v>
      </c>
      <c r="W188" s="541">
        <f t="shared" si="274"/>
        <v>0</v>
      </c>
      <c r="X188" s="541">
        <f t="shared" si="274"/>
        <v>0</v>
      </c>
      <c r="Y188" s="541">
        <f t="shared" si="274"/>
        <v>0</v>
      </c>
      <c r="Z188" s="541">
        <f t="shared" si="274"/>
        <v>0</v>
      </c>
      <c r="AA188" s="541">
        <f t="shared" si="274"/>
        <v>0</v>
      </c>
      <c r="AB188" s="541">
        <f t="shared" si="274"/>
        <v>0</v>
      </c>
      <c r="AC188" s="541">
        <f t="shared" si="274"/>
        <v>0</v>
      </c>
      <c r="AD188" s="541">
        <f t="shared" si="274"/>
        <v>0</v>
      </c>
      <c r="AE188" s="541">
        <f t="shared" si="274"/>
        <v>0</v>
      </c>
      <c r="AF188" s="541">
        <f t="shared" si="274"/>
        <v>0</v>
      </c>
      <c r="AG188" s="541">
        <f t="shared" si="274"/>
        <v>0</v>
      </c>
      <c r="AH188" s="541">
        <f t="shared" si="274"/>
        <v>0</v>
      </c>
      <c r="AI188" s="541">
        <f t="shared" si="274"/>
        <v>0</v>
      </c>
      <c r="AJ188" s="541">
        <f t="shared" si="274"/>
        <v>0</v>
      </c>
      <c r="AK188" s="541">
        <f t="shared" si="274"/>
        <v>0</v>
      </c>
      <c r="AL188" s="541">
        <f t="shared" si="274"/>
        <v>0</v>
      </c>
      <c r="AN188" s="571"/>
      <c r="AO188" s="571"/>
      <c r="AP188" s="541">
        <f t="shared" ca="1" si="265"/>
        <v>0</v>
      </c>
      <c r="AQ188" s="541">
        <f t="shared" si="265"/>
        <v>0</v>
      </c>
      <c r="AR188" s="541">
        <f t="shared" si="265"/>
        <v>0</v>
      </c>
      <c r="AS188" s="541">
        <f t="shared" si="265"/>
        <v>0</v>
      </c>
      <c r="AT188" s="541">
        <f t="shared" si="265"/>
        <v>0</v>
      </c>
    </row>
    <row r="189" spans="2:46" ht="16.5" thickBot="1" x14ac:dyDescent="0.3">
      <c r="B189" s="551" t="s">
        <v>332</v>
      </c>
      <c r="K189" s="602"/>
      <c r="L189" s="602"/>
      <c r="M189" s="602"/>
      <c r="N189" s="602"/>
      <c r="O189" s="602"/>
      <c r="P189" s="602"/>
      <c r="Q189" s="602"/>
      <c r="R189" s="602"/>
      <c r="S189" s="605">
        <f t="shared" ref="S189:AL189" ca="1" si="275">SUM(S179:S188)</f>
        <v>5.4569682106375694E-12</v>
      </c>
      <c r="T189" s="605">
        <f t="shared" ca="1" si="275"/>
        <v>0</v>
      </c>
      <c r="U189" s="605">
        <f t="shared" ca="1" si="275"/>
        <v>5462338.6168981139</v>
      </c>
      <c r="V189" s="605">
        <f t="shared" ca="1" si="275"/>
        <v>2122.3438557079498</v>
      </c>
      <c r="W189" s="605">
        <f t="shared" ca="1" si="275"/>
        <v>0</v>
      </c>
      <c r="X189" s="605">
        <f t="shared" ca="1" si="275"/>
        <v>3284.3253899177816</v>
      </c>
      <c r="Y189" s="605">
        <f t="shared" ca="1" si="275"/>
        <v>0</v>
      </c>
      <c r="Z189" s="605">
        <f t="shared" ca="1" si="275"/>
        <v>3344.5539575654402</v>
      </c>
      <c r="AA189" s="605">
        <f t="shared" ca="1" si="275"/>
        <v>0</v>
      </c>
      <c r="AB189" s="605">
        <f t="shared" ca="1" si="275"/>
        <v>3725.2130969469526</v>
      </c>
      <c r="AC189" s="605">
        <f t="shared" ca="1" si="275"/>
        <v>0</v>
      </c>
      <c r="AD189" s="605">
        <f t="shared" ca="1" si="275"/>
        <v>3778.6638583250715</v>
      </c>
      <c r="AE189" s="605">
        <f t="shared" ca="1" si="275"/>
        <v>-3.637978807091713E-12</v>
      </c>
      <c r="AF189" s="605">
        <f t="shared" ca="1" si="275"/>
        <v>3983.2976068887001</v>
      </c>
      <c r="AG189" s="605">
        <f t="shared" ca="1" si="275"/>
        <v>0</v>
      </c>
      <c r="AH189" s="605">
        <f t="shared" ca="1" si="275"/>
        <v>4029.3643240252404</v>
      </c>
      <c r="AI189" s="605">
        <f t="shared" ca="1" si="275"/>
        <v>7752.5225485142018</v>
      </c>
      <c r="AJ189" s="605">
        <f t="shared" ca="1" si="275"/>
        <v>-2613.5719274782723</v>
      </c>
      <c r="AK189" s="605">
        <f t="shared" ca="1" si="275"/>
        <v>-1135.6781653539301</v>
      </c>
      <c r="AL189" s="605">
        <f t="shared" ca="1" si="275"/>
        <v>4100.7105952190032</v>
      </c>
      <c r="AN189" s="605">
        <f>SUM(AN179:AN188)</f>
        <v>0</v>
      </c>
      <c r="AO189" s="605">
        <f t="shared" ref="AO189" si="276">SUM(AO179:AO188)</f>
        <v>0</v>
      </c>
      <c r="AP189" s="605">
        <f t="shared" ref="AP189" ca="1" si="277">SUM(AP179:AP188)</f>
        <v>5464460.9607538218</v>
      </c>
      <c r="AQ189" s="605">
        <f t="shared" ref="AQ189" ca="1" si="278">SUM(AQ179:AQ188)</f>
        <v>6628.8793474832219</v>
      </c>
      <c r="AR189" s="605">
        <f t="shared" ref="AR189" ca="1" si="279">SUM(AR179:AR188)</f>
        <v>7503.8769552720241</v>
      </c>
      <c r="AS189" s="605">
        <f t="shared" ref="AS189" ca="1" si="280">SUM(AS179:AS188)</f>
        <v>8012.6619309139369</v>
      </c>
      <c r="AT189" s="605">
        <f t="shared" ref="AT189" ca="1" si="281">SUM(AT179:AT188)</f>
        <v>8103.9830509010026</v>
      </c>
    </row>
    <row r="190" spans="2:46" x14ac:dyDescent="0.25">
      <c r="K190" s="116"/>
      <c r="L190" s="116"/>
      <c r="M190" s="116"/>
      <c r="N190" s="116"/>
      <c r="O190" s="116"/>
      <c r="P190" s="116"/>
      <c r="Q190" s="116"/>
      <c r="R190" s="116"/>
      <c r="S190" s="541"/>
      <c r="T190" s="541"/>
      <c r="U190" s="541"/>
      <c r="V190" s="541"/>
    </row>
    <row r="191" spans="2:46" x14ac:dyDescent="0.25">
      <c r="B191" s="551" t="s">
        <v>333</v>
      </c>
      <c r="K191" s="597"/>
      <c r="L191" s="597"/>
      <c r="M191" s="597"/>
      <c r="N191" s="597"/>
      <c r="O191" s="597"/>
      <c r="P191" s="597"/>
      <c r="Q191" s="597"/>
      <c r="R191" s="597"/>
      <c r="S191" s="541">
        <f ca="1">+S169+S176+S189</f>
        <v>16099.014291715615</v>
      </c>
      <c r="T191" s="541">
        <f t="shared" ref="T191:AL191" ca="1" si="282">+T169+T176+T189</f>
        <v>10996.705869993964</v>
      </c>
      <c r="U191" s="541">
        <f t="shared" ca="1" si="282"/>
        <v>-610275.72016170993</v>
      </c>
      <c r="V191" s="541">
        <f t="shared" ca="1" si="282"/>
        <v>25503.943002137341</v>
      </c>
      <c r="W191" s="541">
        <f t="shared" ca="1" si="282"/>
        <v>-2840.1746054854766</v>
      </c>
      <c r="X191" s="541">
        <f t="shared" ca="1" si="282"/>
        <v>18410.544259135855</v>
      </c>
      <c r="Y191" s="541">
        <f t="shared" ca="1" si="282"/>
        <v>2209.5642264701237</v>
      </c>
      <c r="Z191" s="541">
        <f t="shared" ca="1" si="282"/>
        <v>24464.463267167088</v>
      </c>
      <c r="AA191" s="541">
        <f t="shared" ca="1" si="282"/>
        <v>-5922.2955468609962</v>
      </c>
      <c r="AB191" s="541">
        <f t="shared" ca="1" si="282"/>
        <v>16360.348291251072</v>
      </c>
      <c r="AC191" s="541">
        <f t="shared" ca="1" si="282"/>
        <v>10180.73504753441</v>
      </c>
      <c r="AD191" s="541">
        <f t="shared" ca="1" si="282"/>
        <v>22951.812633554327</v>
      </c>
      <c r="AE191" s="541">
        <f t="shared" ca="1" si="282"/>
        <v>-14039.974060817045</v>
      </c>
      <c r="AF191" s="541">
        <f t="shared" ca="1" si="282"/>
        <v>16983.608941487386</v>
      </c>
      <c r="AG191" s="541">
        <f t="shared" ca="1" si="282"/>
        <v>16048.093133058064</v>
      </c>
      <c r="AH191" s="541">
        <f t="shared" ca="1" si="282"/>
        <v>21384.714539043314</v>
      </c>
      <c r="AI191" s="541">
        <f t="shared" ca="1" si="282"/>
        <v>-14324.006086470266</v>
      </c>
      <c r="AJ191" s="541">
        <f t="shared" ca="1" si="282"/>
        <v>10620.116838842278</v>
      </c>
      <c r="AK191" s="541">
        <f t="shared" ca="1" si="282"/>
        <v>18151.419129764887</v>
      </c>
      <c r="AL191" s="541">
        <f t="shared" ca="1" si="282"/>
        <v>20184.466401841648</v>
      </c>
      <c r="AN191" s="571"/>
      <c r="AO191" s="571"/>
      <c r="AP191" s="570">
        <f ca="1">+AP169+AP176+AP189</f>
        <v>-557675.69186439365</v>
      </c>
      <c r="AQ191" s="570">
        <f t="shared" ref="AQ191:AT191" ca="1" si="283">+AQ169+AQ176+AQ189</f>
        <v>42244.616334852231</v>
      </c>
      <c r="AR191" s="570">
        <f t="shared" ca="1" si="283"/>
        <v>43570.765085642</v>
      </c>
      <c r="AS191" s="570">
        <f t="shared" ca="1" si="283"/>
        <v>40376.54147822583</v>
      </c>
      <c r="AT191" s="570">
        <f t="shared" ca="1" si="283"/>
        <v>34632.04578842975</v>
      </c>
    </row>
    <row r="192" spans="2:46" ht="16.5" thickBot="1" x14ac:dyDescent="0.3">
      <c r="B192" s="551" t="s">
        <v>334</v>
      </c>
      <c r="K192" s="602"/>
      <c r="L192" s="602"/>
      <c r="M192" s="602"/>
      <c r="N192" s="602"/>
      <c r="O192" s="602"/>
      <c r="P192" s="602"/>
      <c r="Q192" s="602"/>
      <c r="R192" s="602"/>
      <c r="S192" s="605">
        <f>+R99</f>
        <v>608180</v>
      </c>
      <c r="T192" s="605">
        <f ca="1">+S193</f>
        <v>624279.01429171558</v>
      </c>
      <c r="U192" s="605">
        <f ca="1">+T193</f>
        <v>635275.72016170959</v>
      </c>
      <c r="V192" s="605">
        <f t="shared" ref="V192:AL192" ca="1" si="284">+U193</f>
        <v>24999.999999999651</v>
      </c>
      <c r="W192" s="605">
        <f t="shared" ca="1" si="284"/>
        <v>50503.943002136992</v>
      </c>
      <c r="X192" s="605">
        <f t="shared" ca="1" si="284"/>
        <v>47663.768396651518</v>
      </c>
      <c r="Y192" s="605">
        <f t="shared" ca="1" si="284"/>
        <v>66074.312655787377</v>
      </c>
      <c r="Z192" s="605">
        <f t="shared" ca="1" si="284"/>
        <v>68283.876882257493</v>
      </c>
      <c r="AA192" s="605">
        <f t="shared" ca="1" si="284"/>
        <v>92748.340149424577</v>
      </c>
      <c r="AB192" s="605">
        <f t="shared" ca="1" si="284"/>
        <v>86826.044602563576</v>
      </c>
      <c r="AC192" s="605">
        <f t="shared" ca="1" si="284"/>
        <v>103186.39289381464</v>
      </c>
      <c r="AD192" s="605">
        <f t="shared" ca="1" si="284"/>
        <v>113367.12794134906</v>
      </c>
      <c r="AE192" s="605">
        <f t="shared" ca="1" si="284"/>
        <v>136318.94057490339</v>
      </c>
      <c r="AF192" s="605">
        <f t="shared" ca="1" si="284"/>
        <v>122278.96651408635</v>
      </c>
      <c r="AG192" s="605">
        <f t="shared" ca="1" si="284"/>
        <v>139262.57545557374</v>
      </c>
      <c r="AH192" s="605">
        <f t="shared" ca="1" si="284"/>
        <v>155310.66858863179</v>
      </c>
      <c r="AI192" s="605">
        <f t="shared" ca="1" si="284"/>
        <v>176695.3831276751</v>
      </c>
      <c r="AJ192" s="605">
        <f t="shared" ca="1" si="284"/>
        <v>162371.37704120483</v>
      </c>
      <c r="AK192" s="605">
        <f t="shared" ca="1" si="284"/>
        <v>172991.49388004711</v>
      </c>
      <c r="AL192" s="605">
        <f t="shared" ca="1" si="284"/>
        <v>191142.91300981201</v>
      </c>
      <c r="AN192" s="605">
        <f>+AM193</f>
        <v>0</v>
      </c>
      <c r="AO192" s="605">
        <f t="shared" ref="AO192" si="285">+AN193</f>
        <v>0</v>
      </c>
      <c r="AP192" s="605">
        <f>+AO99</f>
        <v>608180</v>
      </c>
      <c r="AQ192" s="605">
        <f t="shared" ref="AQ192" ca="1" si="286">+AP193</f>
        <v>50504.308135606349</v>
      </c>
      <c r="AR192" s="605">
        <f t="shared" ref="AR192" ca="1" si="287">+AQ193</f>
        <v>92748.924470458587</v>
      </c>
      <c r="AS192" s="605">
        <f t="shared" ref="AS192" ca="1" si="288">+AR193</f>
        <v>136319.68955610058</v>
      </c>
      <c r="AT192" s="605">
        <f t="shared" ref="AT192" ca="1" si="289">+AS193</f>
        <v>176696.23103432643</v>
      </c>
    </row>
    <row r="193" spans="1:46" ht="16.5" thickBot="1" x14ac:dyDescent="0.3">
      <c r="B193" s="551" t="s">
        <v>335</v>
      </c>
      <c r="K193" s="608"/>
      <c r="L193" s="608"/>
      <c r="M193" s="608"/>
      <c r="N193" s="608"/>
      <c r="O193" s="608"/>
      <c r="P193" s="608"/>
      <c r="Q193" s="608"/>
      <c r="R193" s="608"/>
      <c r="S193" s="609">
        <f ca="1">+S191+S192</f>
        <v>624279.01429171558</v>
      </c>
      <c r="T193" s="609">
        <f t="shared" ref="T193:V193" ca="1" si="290">+T191+T192</f>
        <v>635275.72016170959</v>
      </c>
      <c r="U193" s="609">
        <f t="shared" ca="1" si="290"/>
        <v>24999.999999999651</v>
      </c>
      <c r="V193" s="609">
        <f t="shared" ca="1" si="290"/>
        <v>50503.943002136992</v>
      </c>
      <c r="W193" s="609">
        <f t="shared" ref="W193" ca="1" si="291">+W191+W192</f>
        <v>47663.768396651518</v>
      </c>
      <c r="X193" s="609">
        <f t="shared" ref="X193" ca="1" si="292">+X191+X192</f>
        <v>66074.312655787377</v>
      </c>
      <c r="Y193" s="609">
        <f t="shared" ref="Y193" ca="1" si="293">+Y191+Y192</f>
        <v>68283.876882257493</v>
      </c>
      <c r="Z193" s="609">
        <f t="shared" ref="Z193" ca="1" si="294">+Z191+Z192</f>
        <v>92748.340149424577</v>
      </c>
      <c r="AA193" s="609">
        <f t="shared" ref="AA193" ca="1" si="295">+AA191+AA192</f>
        <v>86826.044602563576</v>
      </c>
      <c r="AB193" s="609">
        <f t="shared" ref="AB193" ca="1" si="296">+AB191+AB192</f>
        <v>103186.39289381464</v>
      </c>
      <c r="AC193" s="609">
        <f t="shared" ref="AC193" ca="1" si="297">+AC191+AC192</f>
        <v>113367.12794134906</v>
      </c>
      <c r="AD193" s="609">
        <f t="shared" ref="AD193" ca="1" si="298">+AD191+AD192</f>
        <v>136318.94057490339</v>
      </c>
      <c r="AE193" s="609">
        <f t="shared" ref="AE193" ca="1" si="299">+AE191+AE192</f>
        <v>122278.96651408635</v>
      </c>
      <c r="AF193" s="609">
        <f t="shared" ref="AF193" ca="1" si="300">+AF191+AF192</f>
        <v>139262.57545557374</v>
      </c>
      <c r="AG193" s="609">
        <f t="shared" ref="AG193" ca="1" si="301">+AG191+AG192</f>
        <v>155310.66858863179</v>
      </c>
      <c r="AH193" s="609">
        <f t="shared" ref="AH193" ca="1" si="302">+AH191+AH192</f>
        <v>176695.3831276751</v>
      </c>
      <c r="AI193" s="609">
        <f t="shared" ref="AI193" ca="1" si="303">+AI191+AI192</f>
        <v>162371.37704120483</v>
      </c>
      <c r="AJ193" s="609">
        <f t="shared" ref="AJ193" ca="1" si="304">+AJ191+AJ192</f>
        <v>172991.49388004711</v>
      </c>
      <c r="AK193" s="609">
        <f t="shared" ref="AK193" ca="1" si="305">+AK191+AK192</f>
        <v>191142.91300981201</v>
      </c>
      <c r="AL193" s="609">
        <f t="shared" ref="AL193:AN193" ca="1" si="306">+AL191+AL192</f>
        <v>211327.37941165364</v>
      </c>
      <c r="AN193" s="609">
        <f t="shared" si="306"/>
        <v>0</v>
      </c>
      <c r="AO193" s="609">
        <f t="shared" ref="AO193:AP193" si="307">+AO191+AO192</f>
        <v>0</v>
      </c>
      <c r="AP193" s="609">
        <f t="shared" ca="1" si="307"/>
        <v>50504.308135606349</v>
      </c>
      <c r="AQ193" s="609">
        <f t="shared" ref="AQ193:AT193" ca="1" si="308">+AQ191+AQ192</f>
        <v>92748.924470458587</v>
      </c>
      <c r="AR193" s="609">
        <f t="shared" ca="1" si="308"/>
        <v>136319.68955610058</v>
      </c>
      <c r="AS193" s="609">
        <f t="shared" ca="1" si="308"/>
        <v>176696.23103432643</v>
      </c>
      <c r="AT193" s="609">
        <f t="shared" ca="1" si="308"/>
        <v>211328.27682275616</v>
      </c>
    </row>
    <row r="194" spans="1:46" ht="16.5" thickTop="1" x14ac:dyDescent="0.25">
      <c r="B194" s="551" t="s">
        <v>336</v>
      </c>
      <c r="S194" s="541">
        <f t="shared" ref="S194:AL194" ca="1" si="309">+ROUND(S99-S193+S100,0)</f>
        <v>0</v>
      </c>
      <c r="T194" s="541">
        <f t="shared" ca="1" si="309"/>
        <v>0</v>
      </c>
      <c r="U194" s="541">
        <f t="shared" ca="1" si="309"/>
        <v>0</v>
      </c>
      <c r="V194" s="541">
        <f t="shared" ca="1" si="309"/>
        <v>0</v>
      </c>
      <c r="W194" s="541">
        <f t="shared" ca="1" si="309"/>
        <v>0</v>
      </c>
      <c r="X194" s="541">
        <f t="shared" ca="1" si="309"/>
        <v>0</v>
      </c>
      <c r="Y194" s="541">
        <f t="shared" ca="1" si="309"/>
        <v>0</v>
      </c>
      <c r="Z194" s="541">
        <f t="shared" ca="1" si="309"/>
        <v>0</v>
      </c>
      <c r="AA194" s="541">
        <f t="shared" ca="1" si="309"/>
        <v>0</v>
      </c>
      <c r="AB194" s="541">
        <f t="shared" ca="1" si="309"/>
        <v>0</v>
      </c>
      <c r="AC194" s="541">
        <f t="shared" ca="1" si="309"/>
        <v>0</v>
      </c>
      <c r="AD194" s="541">
        <f t="shared" ca="1" si="309"/>
        <v>0</v>
      </c>
      <c r="AE194" s="541">
        <f t="shared" ca="1" si="309"/>
        <v>0</v>
      </c>
      <c r="AF194" s="541">
        <f t="shared" ca="1" si="309"/>
        <v>0</v>
      </c>
      <c r="AG194" s="541">
        <f t="shared" ca="1" si="309"/>
        <v>0</v>
      </c>
      <c r="AH194" s="541">
        <f t="shared" ca="1" si="309"/>
        <v>0</v>
      </c>
      <c r="AI194" s="541">
        <f t="shared" ca="1" si="309"/>
        <v>0</v>
      </c>
      <c r="AJ194" s="541">
        <f t="shared" ca="1" si="309"/>
        <v>0</v>
      </c>
      <c r="AK194" s="541">
        <f t="shared" ca="1" si="309"/>
        <v>0</v>
      </c>
      <c r="AL194" s="541">
        <f t="shared" ca="1" si="309"/>
        <v>0</v>
      </c>
      <c r="AN194" s="541"/>
      <c r="AO194" s="541"/>
      <c r="AP194" s="544">
        <f ca="1">+ROUND(AP99-AP193+AP100,0)</f>
        <v>0</v>
      </c>
      <c r="AQ194" s="544">
        <f t="shared" ref="AQ194:AT194" ca="1" si="310">+ROUND(AQ99-AQ193+AQ100,0)</f>
        <v>-1</v>
      </c>
      <c r="AR194" s="544">
        <f t="shared" ca="1" si="310"/>
        <v>-1</v>
      </c>
      <c r="AS194" s="544">
        <f t="shared" ca="1" si="310"/>
        <v>-1</v>
      </c>
      <c r="AT194" s="544">
        <f t="shared" ca="1" si="310"/>
        <v>-1</v>
      </c>
    </row>
    <row r="195" spans="1:46" x14ac:dyDescent="0.25">
      <c r="A195" s="610"/>
    </row>
    <row r="196" spans="1:46" x14ac:dyDescent="0.25">
      <c r="A196" s="69" t="s">
        <v>207</v>
      </c>
      <c r="B196" s="65" t="s">
        <v>337</v>
      </c>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9" t="s">
        <v>207</v>
      </c>
      <c r="AN196" s="65"/>
      <c r="AO196" s="65"/>
      <c r="AP196" s="65"/>
      <c r="AQ196" s="65"/>
      <c r="AR196" s="65"/>
      <c r="AS196" s="65"/>
      <c r="AT196" s="65"/>
    </row>
    <row r="197" spans="1:46" x14ac:dyDescent="0.25">
      <c r="B197" s="753" t="s">
        <v>338</v>
      </c>
      <c r="C197" s="611"/>
      <c r="D197" s="611"/>
      <c r="E197" s="611"/>
      <c r="F197" s="611"/>
      <c r="G197" s="611"/>
      <c r="H197" s="611"/>
      <c r="I197" s="611"/>
      <c r="J197" s="611"/>
      <c r="K197" s="611"/>
      <c r="L197" s="611"/>
      <c r="M197" s="611"/>
      <c r="N197" s="611"/>
      <c r="O197" s="611"/>
      <c r="P197" s="611"/>
      <c r="Q197" s="611"/>
      <c r="R197" s="611"/>
      <c r="S197" s="611"/>
      <c r="T197" s="611"/>
      <c r="U197" s="611"/>
      <c r="V197" s="611"/>
      <c r="W197" s="611"/>
      <c r="X197" s="611"/>
      <c r="Y197" s="611"/>
      <c r="Z197" s="611"/>
      <c r="AA197" s="611"/>
      <c r="AB197" s="611"/>
      <c r="AC197" s="611"/>
      <c r="AD197" s="611"/>
      <c r="AE197" s="611"/>
      <c r="AF197" s="611"/>
      <c r="AG197" s="611"/>
      <c r="AH197" s="611"/>
      <c r="AI197" s="611"/>
      <c r="AJ197" s="611"/>
      <c r="AK197" s="611"/>
      <c r="AL197" s="611"/>
      <c r="AN197" s="611"/>
      <c r="AO197" s="611"/>
      <c r="AP197" s="611"/>
      <c r="AQ197" s="611"/>
      <c r="AR197" s="611"/>
      <c r="AS197" s="611"/>
      <c r="AT197" s="611"/>
    </row>
    <row r="198" spans="1:46" x14ac:dyDescent="0.25">
      <c r="B198" s="551" t="s">
        <v>339</v>
      </c>
      <c r="K198" s="538"/>
      <c r="L198" s="537">
        <f t="shared" ref="L198:AL198" si="311">+L7</f>
        <v>58803</v>
      </c>
      <c r="M198" s="537">
        <f t="shared" si="311"/>
        <v>63595</v>
      </c>
      <c r="N198" s="537">
        <f t="shared" si="311"/>
        <v>73014</v>
      </c>
      <c r="O198" s="537">
        <f t="shared" si="311"/>
        <v>81220</v>
      </c>
      <c r="P198" s="537">
        <f t="shared" si="311"/>
        <v>88386</v>
      </c>
      <c r="Q198" s="537">
        <f t="shared" si="311"/>
        <v>96065</v>
      </c>
      <c r="R198" s="537">
        <f t="shared" si="311"/>
        <v>103824</v>
      </c>
      <c r="S198" s="537">
        <f t="shared" ca="1" si="311"/>
        <v>117455.30093506495</v>
      </c>
      <c r="T198" s="537">
        <f t="shared" ca="1" si="311"/>
        <v>122388.61411764707</v>
      </c>
      <c r="U198" s="537">
        <f t="shared" ca="1" si="311"/>
        <v>125544.1738197425</v>
      </c>
      <c r="V198" s="537">
        <f t="shared" ca="1" si="311"/>
        <v>139021.90249303763</v>
      </c>
      <c r="W198" s="537">
        <f t="shared" ca="1" si="311"/>
        <v>141449.37662337665</v>
      </c>
      <c r="X198" s="537">
        <f t="shared" ca="1" si="311"/>
        <v>148176.52941176473</v>
      </c>
      <c r="Y198" s="537">
        <f t="shared" ca="1" si="311"/>
        <v>157600.19849785409</v>
      </c>
      <c r="Z198" s="537">
        <f t="shared" ca="1" si="311"/>
        <v>167744.28443750326</v>
      </c>
      <c r="AA198" s="537">
        <f t="shared" ca="1" si="311"/>
        <v>163121.11273328293</v>
      </c>
      <c r="AB198" s="537">
        <f t="shared" ca="1" si="311"/>
        <v>171592.70143435456</v>
      </c>
      <c r="AC198" s="537">
        <f t="shared" ca="1" si="311"/>
        <v>187781.02468802198</v>
      </c>
      <c r="AD198" s="537">
        <f t="shared" ca="1" si="311"/>
        <v>193736.67477428674</v>
      </c>
      <c r="AE198" s="537">
        <f t="shared" ca="1" si="311"/>
        <v>178116.37588748935</v>
      </c>
      <c r="AF198" s="537">
        <f t="shared" ca="1" si="311"/>
        <v>187862.66360943863</v>
      </c>
      <c r="AG198" s="537">
        <f t="shared" ca="1" si="311"/>
        <v>209357.34193357918</v>
      </c>
      <c r="AH198" s="537">
        <f t="shared" ca="1" si="311"/>
        <v>211748.6599462521</v>
      </c>
      <c r="AI198" s="537">
        <f t="shared" ca="1" si="311"/>
        <v>186303.24355824146</v>
      </c>
      <c r="AJ198" s="537">
        <f t="shared" ca="1" si="311"/>
        <v>196768.98190120302</v>
      </c>
      <c r="AK198" s="537">
        <f t="shared" ca="1" si="311"/>
        <v>221385.07592520662</v>
      </c>
      <c r="AL198" s="537">
        <f t="shared" ca="1" si="311"/>
        <v>221591.95298196396</v>
      </c>
      <c r="AN198" s="537">
        <f t="shared" ref="AN198:AT198" si="312">+AN7</f>
        <v>250772</v>
      </c>
      <c r="AO198" s="537">
        <f t="shared" si="312"/>
        <v>369495</v>
      </c>
      <c r="AP198" s="537">
        <f t="shared" ca="1" si="312"/>
        <v>504409.99136549217</v>
      </c>
      <c r="AQ198" s="537">
        <f t="shared" ca="1" si="312"/>
        <v>614970.38897049869</v>
      </c>
      <c r="AR198" s="537">
        <f t="shared" ca="1" si="312"/>
        <v>716231.51362994616</v>
      </c>
      <c r="AS198" s="537">
        <f t="shared" ca="1" si="312"/>
        <v>787085.0413767593</v>
      </c>
      <c r="AT198" s="537">
        <f t="shared" ca="1" si="312"/>
        <v>826049.25436661509</v>
      </c>
    </row>
    <row r="199" spans="1:46" x14ac:dyDescent="0.25">
      <c r="B199" s="551" t="s">
        <v>340</v>
      </c>
      <c r="K199" s="538"/>
      <c r="L199" s="537">
        <f t="shared" ref="L199:AL199" si="313">+L11</f>
        <v>-16137</v>
      </c>
      <c r="M199" s="537">
        <f t="shared" si="313"/>
        <v>-18072</v>
      </c>
      <c r="N199" s="537">
        <f t="shared" si="313"/>
        <v>-19952</v>
      </c>
      <c r="O199" s="537">
        <f t="shared" si="313"/>
        <v>-21484</v>
      </c>
      <c r="P199" s="537">
        <f t="shared" si="313"/>
        <v>-23586</v>
      </c>
      <c r="Q199" s="537">
        <f t="shared" si="313"/>
        <v>-26017</v>
      </c>
      <c r="R199" s="537">
        <f t="shared" si="313"/>
        <v>-27436</v>
      </c>
      <c r="S199" s="537">
        <f t="shared" ca="1" si="313"/>
        <v>-31910.599636363637</v>
      </c>
      <c r="T199" s="537">
        <f t="shared" ca="1" si="313"/>
        <v>-33274.729411764696</v>
      </c>
      <c r="U199" s="537">
        <f t="shared" ca="1" si="313"/>
        <v>-31952.950643776829</v>
      </c>
      <c r="V199" s="537">
        <f t="shared" ca="1" si="313"/>
        <v>-36145.779100944696</v>
      </c>
      <c r="W199" s="537">
        <f t="shared" ca="1" si="313"/>
        <v>-39027.792207792212</v>
      </c>
      <c r="X199" s="537">
        <f t="shared" ca="1" si="313"/>
        <v>-40553.576470588232</v>
      </c>
      <c r="Y199" s="537">
        <f t="shared" ca="1" si="313"/>
        <v>-42981.872317596572</v>
      </c>
      <c r="Z199" s="537">
        <f t="shared" ca="1" si="313"/>
        <v>-45393.355763452739</v>
      </c>
      <c r="AA199" s="537">
        <f t="shared" ca="1" si="313"/>
        <v>-45007.316712389773</v>
      </c>
      <c r="AB199" s="537">
        <f t="shared" ca="1" si="313"/>
        <v>-46962.213024139142</v>
      </c>
      <c r="AC199" s="537">
        <f t="shared" ca="1" si="313"/>
        <v>-51213.006733096903</v>
      </c>
      <c r="AD199" s="537">
        <f t="shared" ca="1" si="313"/>
        <v>-52427.168126458972</v>
      </c>
      <c r="AE199" s="537">
        <f t="shared" ca="1" si="313"/>
        <v>-49144.712213550389</v>
      </c>
      <c r="AF199" s="537">
        <f t="shared" ca="1" si="313"/>
        <v>-51415.044777320029</v>
      </c>
      <c r="AG199" s="537">
        <f t="shared" ca="1" si="313"/>
        <v>-57097.456890976144</v>
      </c>
      <c r="AH199" s="537">
        <f t="shared" ca="1" si="313"/>
        <v>-57301.399481993954</v>
      </c>
      <c r="AI199" s="537">
        <f t="shared" ca="1" si="313"/>
        <v>-51403.579505256785</v>
      </c>
      <c r="AJ199" s="537">
        <f t="shared" ca="1" si="313"/>
        <v>-53852.563467697648</v>
      </c>
      <c r="AK199" s="537">
        <f t="shared" ca="1" si="313"/>
        <v>-60377.747979601787</v>
      </c>
      <c r="AL199" s="537">
        <f t="shared" ca="1" si="313"/>
        <v>-59965.097408586851</v>
      </c>
      <c r="AN199" s="537">
        <f t="shared" ref="AN199:AT199" si="314">+AN11</f>
        <v>-69178</v>
      </c>
      <c r="AO199" s="537">
        <f t="shared" si="314"/>
        <v>-98523</v>
      </c>
      <c r="AP199" s="537">
        <f t="shared" ca="1" si="314"/>
        <v>-133284.05879284986</v>
      </c>
      <c r="AQ199" s="537">
        <f t="shared" ca="1" si="314"/>
        <v>-167956.59675942975</v>
      </c>
      <c r="AR199" s="537">
        <f t="shared" ca="1" si="314"/>
        <v>-195609.7045960848</v>
      </c>
      <c r="AS199" s="537">
        <f t="shared" ca="1" si="314"/>
        <v>-214958.61336384053</v>
      </c>
      <c r="AT199" s="537">
        <f t="shared" ca="1" si="314"/>
        <v>-225598.98836114307</v>
      </c>
    </row>
    <row r="201" spans="1:46" x14ac:dyDescent="0.25">
      <c r="B201" s="551" t="str">
        <f>+B101</f>
        <v>Accounts receivable</v>
      </c>
      <c r="K201" s="571"/>
      <c r="L201" s="541">
        <f t="shared" ref="L201:R201" si="315">+L101</f>
        <v>25129</v>
      </c>
      <c r="M201" s="541">
        <f t="shared" si="315"/>
        <v>20737</v>
      </c>
      <c r="N201" s="541">
        <f t="shared" si="315"/>
        <v>33163</v>
      </c>
      <c r="O201" s="541">
        <f t="shared" si="315"/>
        <v>28573</v>
      </c>
      <c r="P201" s="541">
        <f t="shared" si="315"/>
        <v>28209</v>
      </c>
      <c r="Q201" s="541">
        <f t="shared" si="315"/>
        <v>30197</v>
      </c>
      <c r="R201" s="541">
        <f t="shared" si="315"/>
        <v>46728</v>
      </c>
      <c r="S201" s="612">
        <f t="shared" ref="S201:AL201" ca="1" si="316">+(S198/$H$207)*S208</f>
        <v>40396.429635418113</v>
      </c>
      <c r="T201" s="613">
        <f t="shared" ca="1" si="316"/>
        <v>42093.145213711476</v>
      </c>
      <c r="U201" s="613">
        <f t="shared" ca="1" si="316"/>
        <v>43178.43761389469</v>
      </c>
      <c r="V201" s="613">
        <f t="shared" ca="1" si="316"/>
        <v>47813.83604769568</v>
      </c>
      <c r="W201" s="613">
        <f t="shared" ca="1" si="316"/>
        <v>48648.717803711537</v>
      </c>
      <c r="X201" s="613">
        <f t="shared" ca="1" si="316"/>
        <v>50962.389065028765</v>
      </c>
      <c r="Y201" s="613">
        <f t="shared" ca="1" si="316"/>
        <v>54203.473819084546</v>
      </c>
      <c r="Z201" s="613">
        <f t="shared" ca="1" si="316"/>
        <v>57692.3317132312</v>
      </c>
      <c r="AA201" s="613">
        <f t="shared" ca="1" si="316"/>
        <v>56102.283167484915</v>
      </c>
      <c r="AB201" s="613">
        <f t="shared" ca="1" si="316"/>
        <v>59015.918687879523</v>
      </c>
      <c r="AC201" s="613">
        <f t="shared" ca="1" si="316"/>
        <v>64583.572561532397</v>
      </c>
      <c r="AD201" s="613">
        <f t="shared" ca="1" si="316"/>
        <v>66631.900714690637</v>
      </c>
      <c r="AE201" s="613">
        <f t="shared" ca="1" si="316"/>
        <v>61259.607596872476</v>
      </c>
      <c r="AF201" s="613">
        <f t="shared" ca="1" si="316"/>
        <v>64611.650655226462</v>
      </c>
      <c r="AG201" s="613">
        <f t="shared" ca="1" si="316"/>
        <v>72004.320492555766</v>
      </c>
      <c r="AH201" s="613">
        <f t="shared" ca="1" si="316"/>
        <v>72826.767066408196</v>
      </c>
      <c r="AI201" s="613">
        <f t="shared" ca="1" si="316"/>
        <v>64075.318945471845</v>
      </c>
      <c r="AJ201" s="613">
        <f t="shared" ca="1" si="316"/>
        <v>67674.802827326406</v>
      </c>
      <c r="AK201" s="613">
        <f t="shared" ca="1" si="316"/>
        <v>76141.021910016018</v>
      </c>
      <c r="AL201" s="613">
        <f t="shared" ca="1" si="316"/>
        <v>76212.173185436972</v>
      </c>
      <c r="AN201" s="537">
        <f t="shared" ref="AN201:AT205" si="317">INDEX($K201:$AL201,MATCH(AN$5,$K$5:$AL$5,0))</f>
        <v>33163</v>
      </c>
      <c r="AO201" s="537">
        <f t="shared" si="317"/>
        <v>46728</v>
      </c>
      <c r="AP201" s="537">
        <f t="shared" ca="1" si="317"/>
        <v>47813.83604769568</v>
      </c>
      <c r="AQ201" s="537">
        <f t="shared" ca="1" si="317"/>
        <v>57692.3317132312</v>
      </c>
      <c r="AR201" s="537">
        <f t="shared" ca="1" si="317"/>
        <v>66631.900714690637</v>
      </c>
      <c r="AS201" s="537">
        <f t="shared" ca="1" si="317"/>
        <v>72826.767066408196</v>
      </c>
      <c r="AT201" s="537">
        <f t="shared" ca="1" si="317"/>
        <v>76212.173185436972</v>
      </c>
    </row>
    <row r="202" spans="1:46" x14ac:dyDescent="0.25">
      <c r="B202" s="551" t="str">
        <f>+B118</f>
        <v>Accounts payable</v>
      </c>
      <c r="K202" s="563"/>
      <c r="L202" s="541">
        <f t="shared" ref="L202:R202" si="318">+L118</f>
        <v>4266</v>
      </c>
      <c r="M202" s="541">
        <f t="shared" si="318"/>
        <v>8708</v>
      </c>
      <c r="N202" s="541">
        <f t="shared" si="318"/>
        <v>7818</v>
      </c>
      <c r="O202" s="541">
        <f t="shared" si="318"/>
        <v>2018</v>
      </c>
      <c r="P202" s="541">
        <f t="shared" si="318"/>
        <v>1504</v>
      </c>
      <c r="Q202" s="541">
        <f t="shared" si="318"/>
        <v>3363</v>
      </c>
      <c r="R202" s="541">
        <f t="shared" si="318"/>
        <v>1177</v>
      </c>
      <c r="S202" s="612">
        <f t="shared" ref="S202:AL202" ca="1" si="319">+-S199/$H$207*S209</f>
        <v>3828.0791501011713</v>
      </c>
      <c r="T202" s="613">
        <f t="shared" ca="1" si="319"/>
        <v>3991.7237324892212</v>
      </c>
      <c r="U202" s="613">
        <f t="shared" ca="1" si="319"/>
        <v>3833.1596879259596</v>
      </c>
      <c r="V202" s="613">
        <f t="shared" ca="1" si="319"/>
        <v>4336.1423764287756</v>
      </c>
      <c r="W202" s="613">
        <f t="shared" ca="1" si="319"/>
        <v>4681.8762206799865</v>
      </c>
      <c r="X202" s="613">
        <f t="shared" ca="1" si="319"/>
        <v>4864.9132989712389</v>
      </c>
      <c r="Y202" s="613">
        <f t="shared" ca="1" si="319"/>
        <v>5156.2180318229839</v>
      </c>
      <c r="Z202" s="613">
        <f t="shared" ca="1" si="319"/>
        <v>5445.5059049777255</v>
      </c>
      <c r="AA202" s="613">
        <f t="shared" ca="1" si="319"/>
        <v>5399.1956488453097</v>
      </c>
      <c r="AB202" s="613">
        <f t="shared" ca="1" si="319"/>
        <v>5633.7101329632969</v>
      </c>
      <c r="AC202" s="613">
        <f t="shared" ca="1" si="319"/>
        <v>6143.6464849614986</v>
      </c>
      <c r="AD202" s="613">
        <f t="shared" ca="1" si="319"/>
        <v>6289.3004672668212</v>
      </c>
      <c r="AE202" s="613">
        <f t="shared" ca="1" si="319"/>
        <v>5895.5284546903895</v>
      </c>
      <c r="AF202" s="613">
        <f t="shared" ca="1" si="319"/>
        <v>6167.8834981618538</v>
      </c>
      <c r="AG202" s="613">
        <f t="shared" ca="1" si="319"/>
        <v>6849.5605453640947</v>
      </c>
      <c r="AH202" s="613">
        <f t="shared" ca="1" si="319"/>
        <v>6874.026032988565</v>
      </c>
      <c r="AI202" s="613">
        <f t="shared" ca="1" si="319"/>
        <v>6166.5080940818389</v>
      </c>
      <c r="AJ202" s="613">
        <f t="shared" ca="1" si="319"/>
        <v>6460.2946274714805</v>
      </c>
      <c r="AK202" s="613">
        <f t="shared" ca="1" si="319"/>
        <v>7243.0728599468939</v>
      </c>
      <c r="AL202" s="613">
        <f t="shared" ca="1" si="319"/>
        <v>7193.5702161488907</v>
      </c>
      <c r="AN202" s="537">
        <f t="shared" si="317"/>
        <v>7818</v>
      </c>
      <c r="AO202" s="537">
        <f t="shared" si="317"/>
        <v>1177</v>
      </c>
      <c r="AP202" s="537">
        <f t="shared" ca="1" si="317"/>
        <v>4336.1423764287756</v>
      </c>
      <c r="AQ202" s="537">
        <f t="shared" ca="1" si="317"/>
        <v>5445.5059049777255</v>
      </c>
      <c r="AR202" s="537">
        <f t="shared" ca="1" si="317"/>
        <v>6289.3004672668212</v>
      </c>
      <c r="AS202" s="537">
        <f t="shared" ca="1" si="317"/>
        <v>6874.026032988565</v>
      </c>
      <c r="AT202" s="537">
        <f t="shared" ca="1" si="317"/>
        <v>7193.5702161488907</v>
      </c>
    </row>
    <row r="203" spans="1:46" x14ac:dyDescent="0.25">
      <c r="B203" s="551" t="str">
        <f>+B103</f>
        <v>Prepaid expenses and other current assets</v>
      </c>
      <c r="K203" s="563"/>
      <c r="L203" s="541">
        <f t="shared" ref="L203:R203" si="320">+L103</f>
        <v>5635</v>
      </c>
      <c r="M203" s="541">
        <f t="shared" si="320"/>
        <v>6441</v>
      </c>
      <c r="N203" s="541">
        <f t="shared" si="320"/>
        <v>7967</v>
      </c>
      <c r="O203" s="541">
        <f t="shared" si="320"/>
        <v>6951</v>
      </c>
      <c r="P203" s="541">
        <f t="shared" si="320"/>
        <v>6563</v>
      </c>
      <c r="Q203" s="541">
        <f t="shared" si="320"/>
        <v>7909</v>
      </c>
      <c r="R203" s="541">
        <f t="shared" si="320"/>
        <v>7234</v>
      </c>
      <c r="S203" s="612">
        <f t="shared" ref="S203:AL203" ca="1" si="321">+S198*S210</f>
        <v>10223.291671206875</v>
      </c>
      <c r="T203" s="613">
        <f t="shared" ca="1" si="321"/>
        <v>10652.686506258462</v>
      </c>
      <c r="U203" s="613">
        <f t="shared" ca="1" si="321"/>
        <v>10927.345946603886</v>
      </c>
      <c r="V203" s="613">
        <f t="shared" ca="1" si="321"/>
        <v>12100.445416747507</v>
      </c>
      <c r="W203" s="613">
        <f t="shared" ca="1" si="321"/>
        <v>12311.732398784061</v>
      </c>
      <c r="X203" s="613">
        <f t="shared" ca="1" si="321"/>
        <v>12897.262762462457</v>
      </c>
      <c r="Y203" s="613">
        <f t="shared" ca="1" si="321"/>
        <v>13717.497497830331</v>
      </c>
      <c r="Z203" s="613">
        <f t="shared" ca="1" si="321"/>
        <v>14600.437207432333</v>
      </c>
      <c r="AA203" s="613">
        <f t="shared" ca="1" si="321"/>
        <v>14198.037039861822</v>
      </c>
      <c r="AB203" s="613">
        <f t="shared" ca="1" si="321"/>
        <v>14935.402842171899</v>
      </c>
      <c r="AC203" s="613">
        <f t="shared" ca="1" si="321"/>
        <v>16344.43205560449</v>
      </c>
      <c r="AD203" s="613">
        <f t="shared" ca="1" si="321"/>
        <v>16862.81094049785</v>
      </c>
      <c r="AE203" s="613">
        <f t="shared" ca="1" si="321"/>
        <v>15503.222482251571</v>
      </c>
      <c r="AF203" s="613">
        <f t="shared" ca="1" si="321"/>
        <v>16351.53789500655</v>
      </c>
      <c r="AG203" s="613">
        <f t="shared" ca="1" si="321"/>
        <v>18222.431453126534</v>
      </c>
      <c r="AH203" s="613">
        <f t="shared" ca="1" si="321"/>
        <v>18430.571412136826</v>
      </c>
      <c r="AI203" s="613">
        <f t="shared" ca="1" si="321"/>
        <v>16215.806209042621</v>
      </c>
      <c r="AJ203" s="613">
        <f t="shared" ca="1" si="321"/>
        <v>17126.742495296581</v>
      </c>
      <c r="AK203" s="613">
        <f t="shared" ca="1" si="321"/>
        <v>19269.323604959482</v>
      </c>
      <c r="AL203" s="613">
        <f t="shared" ca="1" si="321"/>
        <v>19287.330152765106</v>
      </c>
      <c r="AN203" s="537">
        <f t="shared" si="317"/>
        <v>7967</v>
      </c>
      <c r="AO203" s="537">
        <f t="shared" si="317"/>
        <v>7234</v>
      </c>
      <c r="AP203" s="537">
        <f t="shared" ca="1" si="317"/>
        <v>12100.445416747507</v>
      </c>
      <c r="AQ203" s="537">
        <f t="shared" ca="1" si="317"/>
        <v>14600.437207432333</v>
      </c>
      <c r="AR203" s="537">
        <f t="shared" ca="1" si="317"/>
        <v>16862.81094049785</v>
      </c>
      <c r="AS203" s="537">
        <f t="shared" ca="1" si="317"/>
        <v>18430.571412136826</v>
      </c>
      <c r="AT203" s="537">
        <f t="shared" ca="1" si="317"/>
        <v>19287.330152765106</v>
      </c>
    </row>
    <row r="204" spans="1:46" x14ac:dyDescent="0.25">
      <c r="B204" s="551" t="str">
        <f>+B102</f>
        <v>Deferred cost of revenues</v>
      </c>
      <c r="C204" s="551"/>
      <c r="D204" s="551"/>
      <c r="E204" s="551"/>
      <c r="F204" s="551"/>
      <c r="G204" s="551"/>
      <c r="H204" s="551"/>
      <c r="I204" s="551"/>
      <c r="J204" s="551"/>
      <c r="K204" s="563"/>
      <c r="L204" s="601">
        <f t="shared" ref="L204:R204" si="322">+L102</f>
        <v>17168</v>
      </c>
      <c r="M204" s="601">
        <f t="shared" si="322"/>
        <v>19726</v>
      </c>
      <c r="N204" s="601">
        <f t="shared" si="322"/>
        <v>24219</v>
      </c>
      <c r="O204" s="601">
        <f t="shared" si="322"/>
        <v>27780</v>
      </c>
      <c r="P204" s="601">
        <f t="shared" si="322"/>
        <v>29218</v>
      </c>
      <c r="Q204" s="601">
        <f t="shared" si="322"/>
        <v>30258</v>
      </c>
      <c r="R204" s="601">
        <f t="shared" si="322"/>
        <v>35041</v>
      </c>
      <c r="S204" s="614">
        <f t="shared" ref="S204:AL204" ca="1" si="323">+S198*S212</f>
        <v>38505.173838703769</v>
      </c>
      <c r="T204" s="615">
        <f t="shared" ca="1" si="323"/>
        <v>40122.453605422103</v>
      </c>
      <c r="U204" s="615">
        <f t="shared" ca="1" si="323"/>
        <v>41156.935437406566</v>
      </c>
      <c r="V204" s="615">
        <f t="shared" ca="1" si="323"/>
        <v>45575.316569502254</v>
      </c>
      <c r="W204" s="615">
        <f t="shared" ca="1" si="323"/>
        <v>46371.111332561391</v>
      </c>
      <c r="X204" s="615">
        <f t="shared" ca="1" si="323"/>
        <v>48576.462521432877</v>
      </c>
      <c r="Y204" s="615">
        <f t="shared" ca="1" si="323"/>
        <v>51665.808114773921</v>
      </c>
      <c r="Z204" s="615">
        <f t="shared" ca="1" si="323"/>
        <v>54991.326754046619</v>
      </c>
      <c r="AA204" s="615">
        <f t="shared" ca="1" si="323"/>
        <v>53475.720146767177</v>
      </c>
      <c r="AB204" s="615">
        <f t="shared" ca="1" si="323"/>
        <v>56252.946828133398</v>
      </c>
      <c r="AC204" s="615">
        <f t="shared" ca="1" si="323"/>
        <v>61559.937624438149</v>
      </c>
      <c r="AD204" s="615">
        <f t="shared" ca="1" si="323"/>
        <v>63512.368379529376</v>
      </c>
      <c r="AE204" s="615">
        <f t="shared" ca="1" si="323"/>
        <v>58391.592056448288</v>
      </c>
      <c r="AF204" s="615">
        <f t="shared" ca="1" si="323"/>
        <v>61586.701174794136</v>
      </c>
      <c r="AG204" s="615">
        <f t="shared" ca="1" si="323"/>
        <v>68633.265432763379</v>
      </c>
      <c r="AH204" s="615">
        <f t="shared" ca="1" si="323"/>
        <v>69417.207196554009</v>
      </c>
      <c r="AI204" s="615">
        <f t="shared" ca="1" si="323"/>
        <v>61075.479121120254</v>
      </c>
      <c r="AJ204" s="615">
        <f t="shared" ca="1" si="323"/>
        <v>64506.444527006126</v>
      </c>
      <c r="AK204" s="615">
        <f t="shared" ca="1" si="323"/>
        <v>72576.297246111179</v>
      </c>
      <c r="AL204" s="615">
        <f t="shared" ca="1" si="323"/>
        <v>72644.117403824479</v>
      </c>
      <c r="AN204" s="537">
        <f t="shared" si="317"/>
        <v>24219</v>
      </c>
      <c r="AO204" s="537">
        <f t="shared" si="317"/>
        <v>35041</v>
      </c>
      <c r="AP204" s="537">
        <f t="shared" ca="1" si="317"/>
        <v>45575.316569502254</v>
      </c>
      <c r="AQ204" s="537">
        <f t="shared" ca="1" si="317"/>
        <v>54991.326754046619</v>
      </c>
      <c r="AR204" s="537">
        <f t="shared" ca="1" si="317"/>
        <v>63512.368379529376</v>
      </c>
      <c r="AS204" s="537">
        <f t="shared" ca="1" si="317"/>
        <v>69417.207196554009</v>
      </c>
      <c r="AT204" s="537">
        <f t="shared" ca="1" si="317"/>
        <v>72644.117403824479</v>
      </c>
    </row>
    <row r="205" spans="1:46" x14ac:dyDescent="0.25">
      <c r="B205" s="551" t="str">
        <f>+B119</f>
        <v>Deferred revenues</v>
      </c>
      <c r="C205" s="551"/>
      <c r="D205" s="551"/>
      <c r="E205" s="551"/>
      <c r="F205" s="551"/>
      <c r="G205" s="551"/>
      <c r="H205" s="551"/>
      <c r="I205" s="551"/>
      <c r="J205" s="551"/>
      <c r="K205" s="563"/>
      <c r="L205" s="601">
        <f t="shared" ref="L205:R205" si="324">+L119</f>
        <v>70997</v>
      </c>
      <c r="M205" s="601">
        <f t="shared" si="324"/>
        <v>80460</v>
      </c>
      <c r="N205" s="601">
        <f t="shared" si="324"/>
        <v>98267</v>
      </c>
      <c r="O205" s="601">
        <f t="shared" si="324"/>
        <v>119101</v>
      </c>
      <c r="P205" s="601">
        <f t="shared" si="324"/>
        <v>128194</v>
      </c>
      <c r="Q205" s="601">
        <f t="shared" si="324"/>
        <v>134944</v>
      </c>
      <c r="R205" s="601">
        <f t="shared" si="324"/>
        <v>157550</v>
      </c>
      <c r="S205" s="614">
        <f t="shared" ref="S205:AL205" ca="1" si="325">+S198*S213</f>
        <v>165416.88861504965</v>
      </c>
      <c r="T205" s="615">
        <f t="shared" ca="1" si="325"/>
        <v>172364.66628646778</v>
      </c>
      <c r="U205" s="615">
        <f t="shared" ca="1" si="325"/>
        <v>176808.76428463508</v>
      </c>
      <c r="V205" s="615">
        <f t="shared" ca="1" si="325"/>
        <v>195789.97607316787</v>
      </c>
      <c r="W205" s="615">
        <f t="shared" ca="1" si="325"/>
        <v>199208.68271848309</v>
      </c>
      <c r="X205" s="615">
        <f t="shared" ca="1" si="325"/>
        <v>208682.79478183229</v>
      </c>
      <c r="Y205" s="615">
        <f t="shared" ca="1" si="325"/>
        <v>221954.51608473485</v>
      </c>
      <c r="Z205" s="615">
        <f t="shared" ca="1" si="325"/>
        <v>236240.82858508016</v>
      </c>
      <c r="AA205" s="615">
        <f t="shared" ca="1" si="325"/>
        <v>229729.83527309625</v>
      </c>
      <c r="AB205" s="615">
        <f t="shared" ca="1" si="325"/>
        <v>241660.70457743196</v>
      </c>
      <c r="AC205" s="615">
        <f t="shared" ca="1" si="325"/>
        <v>264459.35260096181</v>
      </c>
      <c r="AD205" s="615">
        <f t="shared" ca="1" si="325"/>
        <v>272846.92727070377</v>
      </c>
      <c r="AE205" s="615">
        <f t="shared" ca="1" si="325"/>
        <v>250848.25015250684</v>
      </c>
      <c r="AF205" s="615">
        <f t="shared" ca="1" si="325"/>
        <v>264574.32788315957</v>
      </c>
      <c r="AG205" s="615">
        <f t="shared" ca="1" si="325"/>
        <v>294846.12304144178</v>
      </c>
      <c r="AH205" s="615">
        <f t="shared" ca="1" si="325"/>
        <v>298213.90961383464</v>
      </c>
      <c r="AI205" s="615">
        <f t="shared" ca="1" si="325"/>
        <v>262378.13570741803</v>
      </c>
      <c r="AJ205" s="615">
        <f t="shared" ca="1" si="325"/>
        <v>277117.44385247165</v>
      </c>
      <c r="AK205" s="615">
        <f t="shared" ca="1" si="325"/>
        <v>311785.25067676598</v>
      </c>
      <c r="AL205" s="615">
        <f t="shared" ca="1" si="325"/>
        <v>312076.60371730314</v>
      </c>
      <c r="AN205" s="537">
        <f t="shared" si="317"/>
        <v>98267</v>
      </c>
      <c r="AO205" s="537">
        <f t="shared" si="317"/>
        <v>157550</v>
      </c>
      <c r="AP205" s="537">
        <f t="shared" ca="1" si="317"/>
        <v>195789.97607316787</v>
      </c>
      <c r="AQ205" s="537">
        <f t="shared" ca="1" si="317"/>
        <v>236240.82858508016</v>
      </c>
      <c r="AR205" s="537">
        <f t="shared" ca="1" si="317"/>
        <v>272846.92727070377</v>
      </c>
      <c r="AS205" s="537">
        <f t="shared" ca="1" si="317"/>
        <v>298213.90961383464</v>
      </c>
      <c r="AT205" s="537">
        <f t="shared" ca="1" si="317"/>
        <v>312076.60371730314</v>
      </c>
    </row>
    <row r="207" spans="1:46" x14ac:dyDescent="0.25">
      <c r="B207" s="551" t="s">
        <v>341</v>
      </c>
      <c r="H207" s="616">
        <v>90</v>
      </c>
      <c r="I207" s="617"/>
      <c r="J207" s="617"/>
    </row>
    <row r="208" spans="1:46" x14ac:dyDescent="0.25">
      <c r="B208" s="551" t="s">
        <v>342</v>
      </c>
      <c r="H208" s="69" t="s">
        <v>343</v>
      </c>
      <c r="K208" s="563"/>
      <c r="L208" s="618"/>
      <c r="M208" s="619">
        <f t="shared" ref="M208:R208" si="326">(AVERAGE(L201:M201)/M198)*$H$207</f>
        <v>32.454909977199463</v>
      </c>
      <c r="N208" s="619">
        <f t="shared" si="326"/>
        <v>33.219656504232063</v>
      </c>
      <c r="O208" s="619">
        <f t="shared" si="326"/>
        <v>34.204875646392509</v>
      </c>
      <c r="P208" s="619">
        <f t="shared" si="326"/>
        <v>28.90944267191637</v>
      </c>
      <c r="Q208" s="619">
        <f t="shared" si="326"/>
        <v>27.359287982095459</v>
      </c>
      <c r="R208" s="619">
        <f t="shared" si="326"/>
        <v>33.341279472954234</v>
      </c>
      <c r="S208" s="620">
        <f>+AVERAGE(O208:R208)</f>
        <v>30.953721443339639</v>
      </c>
      <c r="T208" s="621">
        <f t="shared" ref="T208:U213" si="327">+S208</f>
        <v>30.953721443339639</v>
      </c>
      <c r="U208" s="621">
        <f t="shared" si="327"/>
        <v>30.953721443339639</v>
      </c>
      <c r="V208" s="621">
        <f t="shared" ref="V208" si="328">+U208</f>
        <v>30.953721443339639</v>
      </c>
      <c r="W208" s="621">
        <f t="shared" ref="W208:W213" si="329">+V208</f>
        <v>30.953721443339639</v>
      </c>
      <c r="X208" s="621">
        <f t="shared" ref="X208:X213" si="330">+W208</f>
        <v>30.953721443339639</v>
      </c>
      <c r="Y208" s="621">
        <f t="shared" ref="Y208:Y213" si="331">+X208</f>
        <v>30.953721443339639</v>
      </c>
      <c r="Z208" s="621">
        <f t="shared" ref="Z208:Z213" si="332">+Y208</f>
        <v>30.953721443339639</v>
      </c>
      <c r="AA208" s="621">
        <f t="shared" ref="AA208:AA213" si="333">+Z208</f>
        <v>30.953721443339639</v>
      </c>
      <c r="AB208" s="621">
        <f t="shared" ref="AB208:AB213" si="334">+AA208</f>
        <v>30.953721443339639</v>
      </c>
      <c r="AC208" s="621">
        <f t="shared" ref="AC208:AC213" si="335">+AB208</f>
        <v>30.953721443339639</v>
      </c>
      <c r="AD208" s="621">
        <f t="shared" ref="AD208:AD213" si="336">+AC208</f>
        <v>30.953721443339639</v>
      </c>
      <c r="AE208" s="621">
        <f t="shared" ref="AE208:AE213" si="337">+AD208</f>
        <v>30.953721443339639</v>
      </c>
      <c r="AF208" s="621">
        <f t="shared" ref="AF208:AF213" si="338">+AE208</f>
        <v>30.953721443339639</v>
      </c>
      <c r="AG208" s="621">
        <f t="shared" ref="AG208:AG213" si="339">+AF208</f>
        <v>30.953721443339639</v>
      </c>
      <c r="AH208" s="621">
        <f t="shared" ref="AH208:AH213" si="340">+AG208</f>
        <v>30.953721443339639</v>
      </c>
      <c r="AI208" s="621">
        <f t="shared" ref="AI208:AI213" si="341">+AH208</f>
        <v>30.953721443339639</v>
      </c>
      <c r="AJ208" s="621">
        <f t="shared" ref="AJ208:AJ213" si="342">+AI208</f>
        <v>30.953721443339639</v>
      </c>
      <c r="AK208" s="621">
        <f t="shared" ref="AK208:AK213" si="343">+AJ208</f>
        <v>30.953721443339639</v>
      </c>
      <c r="AL208" s="621">
        <f t="shared" ref="AL208:AL213" si="344">+AK208</f>
        <v>30.953721443339639</v>
      </c>
      <c r="AN208" s="619">
        <f t="shared" ref="AN208:AT213" si="345">INDEX($K208:$AL208,MATCH(AN$5,$K$5:$AL$5,0))</f>
        <v>33.219656504232063</v>
      </c>
      <c r="AO208" s="619">
        <f t="shared" si="345"/>
        <v>33.341279472954234</v>
      </c>
      <c r="AP208" s="619">
        <f t="shared" si="345"/>
        <v>30.953721443339639</v>
      </c>
      <c r="AQ208" s="619">
        <f t="shared" si="345"/>
        <v>30.953721443339639</v>
      </c>
      <c r="AR208" s="619">
        <f t="shared" si="345"/>
        <v>30.953721443339639</v>
      </c>
      <c r="AS208" s="619">
        <f t="shared" si="345"/>
        <v>30.953721443339639</v>
      </c>
      <c r="AT208" s="619">
        <f t="shared" si="345"/>
        <v>30.953721443339639</v>
      </c>
    </row>
    <row r="209" spans="2:46" x14ac:dyDescent="0.25">
      <c r="B209" s="551" t="s">
        <v>344</v>
      </c>
      <c r="H209" s="69" t="s">
        <v>343</v>
      </c>
      <c r="K209" s="563"/>
      <c r="L209" s="563"/>
      <c r="M209" s="619">
        <f t="shared" ref="M209:R209" si="346">-(AVERAGE(L202:M202)/M199)*$H$207</f>
        <v>32.305776892430281</v>
      </c>
      <c r="N209" s="619">
        <f t="shared" si="346"/>
        <v>37.272955092221331</v>
      </c>
      <c r="O209" s="619">
        <f t="shared" si="346"/>
        <v>20.602308694842673</v>
      </c>
      <c r="P209" s="619">
        <f t="shared" si="346"/>
        <v>6.7196642075807675</v>
      </c>
      <c r="Q209" s="619">
        <f t="shared" si="346"/>
        <v>8.4181496713687203</v>
      </c>
      <c r="R209" s="619">
        <f t="shared" si="346"/>
        <v>7.4464207610438837</v>
      </c>
      <c r="S209" s="620">
        <f>+AVERAGE(O209:R209)</f>
        <v>10.796635833709011</v>
      </c>
      <c r="T209" s="621">
        <f t="shared" si="327"/>
        <v>10.796635833709011</v>
      </c>
      <c r="U209" s="621">
        <f t="shared" si="327"/>
        <v>10.796635833709011</v>
      </c>
      <c r="V209" s="621">
        <f t="shared" ref="V209" si="347">+U209</f>
        <v>10.796635833709011</v>
      </c>
      <c r="W209" s="621">
        <f t="shared" si="329"/>
        <v>10.796635833709011</v>
      </c>
      <c r="X209" s="621">
        <f t="shared" si="330"/>
        <v>10.796635833709011</v>
      </c>
      <c r="Y209" s="621">
        <f t="shared" si="331"/>
        <v>10.796635833709011</v>
      </c>
      <c r="Z209" s="621">
        <f t="shared" si="332"/>
        <v>10.796635833709011</v>
      </c>
      <c r="AA209" s="621">
        <f t="shared" si="333"/>
        <v>10.796635833709011</v>
      </c>
      <c r="AB209" s="621">
        <f t="shared" si="334"/>
        <v>10.796635833709011</v>
      </c>
      <c r="AC209" s="621">
        <f t="shared" si="335"/>
        <v>10.796635833709011</v>
      </c>
      <c r="AD209" s="621">
        <f t="shared" si="336"/>
        <v>10.796635833709011</v>
      </c>
      <c r="AE209" s="621">
        <f t="shared" si="337"/>
        <v>10.796635833709011</v>
      </c>
      <c r="AF209" s="621">
        <f t="shared" si="338"/>
        <v>10.796635833709011</v>
      </c>
      <c r="AG209" s="621">
        <f t="shared" si="339"/>
        <v>10.796635833709011</v>
      </c>
      <c r="AH209" s="621">
        <f t="shared" si="340"/>
        <v>10.796635833709011</v>
      </c>
      <c r="AI209" s="621">
        <f t="shared" si="341"/>
        <v>10.796635833709011</v>
      </c>
      <c r="AJ209" s="621">
        <f t="shared" si="342"/>
        <v>10.796635833709011</v>
      </c>
      <c r="AK209" s="621">
        <f t="shared" si="343"/>
        <v>10.796635833709011</v>
      </c>
      <c r="AL209" s="621">
        <f t="shared" si="344"/>
        <v>10.796635833709011</v>
      </c>
      <c r="AN209" s="619">
        <f t="shared" si="345"/>
        <v>37.272955092221331</v>
      </c>
      <c r="AO209" s="619">
        <f t="shared" si="345"/>
        <v>7.4464207610438837</v>
      </c>
      <c r="AP209" s="619">
        <f t="shared" si="345"/>
        <v>10.796635833709011</v>
      </c>
      <c r="AQ209" s="619">
        <f t="shared" si="345"/>
        <v>10.796635833709011</v>
      </c>
      <c r="AR209" s="619">
        <f t="shared" si="345"/>
        <v>10.796635833709011</v>
      </c>
      <c r="AS209" s="619">
        <f t="shared" si="345"/>
        <v>10.796635833709011</v>
      </c>
      <c r="AT209" s="619">
        <f t="shared" si="345"/>
        <v>10.796635833709011</v>
      </c>
    </row>
    <row r="210" spans="2:46" x14ac:dyDescent="0.25">
      <c r="B210" s="551" t="s">
        <v>345</v>
      </c>
      <c r="H210" s="69" t="s">
        <v>346</v>
      </c>
      <c r="K210" s="563"/>
      <c r="L210" s="563"/>
      <c r="M210" s="539">
        <f t="shared" ref="M210:R210" si="348">+M$203/M$198</f>
        <v>0.10128154729145374</v>
      </c>
      <c r="N210" s="539">
        <f t="shared" si="348"/>
        <v>0.10911605993371135</v>
      </c>
      <c r="O210" s="539">
        <f t="shared" si="348"/>
        <v>8.5582368874661419E-2</v>
      </c>
      <c r="P210" s="539">
        <f t="shared" si="348"/>
        <v>7.4253841106057525E-2</v>
      </c>
      <c r="Q210" s="539">
        <f t="shared" si="348"/>
        <v>8.2329672617498573E-2</v>
      </c>
      <c r="R210" s="539">
        <f t="shared" si="348"/>
        <v>6.9675604869779625E-2</v>
      </c>
      <c r="S210" s="566">
        <f>AVERAGE(M210:R210)</f>
        <v>8.7039849115527035E-2</v>
      </c>
      <c r="T210" s="622">
        <f t="shared" si="327"/>
        <v>8.7039849115527035E-2</v>
      </c>
      <c r="U210" s="622">
        <f t="shared" si="327"/>
        <v>8.7039849115527035E-2</v>
      </c>
      <c r="V210" s="622">
        <f t="shared" ref="V210:V211" si="349">+U210</f>
        <v>8.7039849115527035E-2</v>
      </c>
      <c r="W210" s="622">
        <f t="shared" si="329"/>
        <v>8.7039849115527035E-2</v>
      </c>
      <c r="X210" s="622">
        <f t="shared" si="330"/>
        <v>8.7039849115527035E-2</v>
      </c>
      <c r="Y210" s="622">
        <f t="shared" si="331"/>
        <v>8.7039849115527035E-2</v>
      </c>
      <c r="Z210" s="622">
        <f t="shared" si="332"/>
        <v>8.7039849115527035E-2</v>
      </c>
      <c r="AA210" s="622">
        <f t="shared" si="333"/>
        <v>8.7039849115527035E-2</v>
      </c>
      <c r="AB210" s="622">
        <f t="shared" si="334"/>
        <v>8.7039849115527035E-2</v>
      </c>
      <c r="AC210" s="622">
        <f t="shared" si="335"/>
        <v>8.7039849115527035E-2</v>
      </c>
      <c r="AD210" s="622">
        <f t="shared" si="336"/>
        <v>8.7039849115527035E-2</v>
      </c>
      <c r="AE210" s="622">
        <f t="shared" si="337"/>
        <v>8.7039849115527035E-2</v>
      </c>
      <c r="AF210" s="622">
        <f t="shared" si="338"/>
        <v>8.7039849115527035E-2</v>
      </c>
      <c r="AG210" s="622">
        <f t="shared" si="339"/>
        <v>8.7039849115527035E-2</v>
      </c>
      <c r="AH210" s="622">
        <f t="shared" si="340"/>
        <v>8.7039849115527035E-2</v>
      </c>
      <c r="AI210" s="622">
        <f t="shared" si="341"/>
        <v>8.7039849115527035E-2</v>
      </c>
      <c r="AJ210" s="622">
        <f t="shared" si="342"/>
        <v>8.7039849115527035E-2</v>
      </c>
      <c r="AK210" s="622">
        <f t="shared" si="343"/>
        <v>8.7039849115527035E-2</v>
      </c>
      <c r="AL210" s="622">
        <f t="shared" si="344"/>
        <v>8.7039849115527035E-2</v>
      </c>
      <c r="AN210" s="539">
        <f t="shared" si="345"/>
        <v>0.10911605993371135</v>
      </c>
      <c r="AO210" s="539">
        <f t="shared" si="345"/>
        <v>6.9675604869779625E-2</v>
      </c>
      <c r="AP210" s="539">
        <f t="shared" si="345"/>
        <v>8.7039849115527035E-2</v>
      </c>
      <c r="AQ210" s="539">
        <f t="shared" si="345"/>
        <v>8.7039849115527035E-2</v>
      </c>
      <c r="AR210" s="539">
        <f t="shared" si="345"/>
        <v>8.7039849115527035E-2</v>
      </c>
      <c r="AS210" s="539">
        <f t="shared" si="345"/>
        <v>8.7039849115527035E-2</v>
      </c>
      <c r="AT210" s="539">
        <f t="shared" si="345"/>
        <v>8.7039849115527035E-2</v>
      </c>
    </row>
    <row r="211" spans="2:46" x14ac:dyDescent="0.25">
      <c r="B211" s="551" t="str">
        <f>+B112</f>
        <v>Deferred Tax Assets</v>
      </c>
      <c r="C211" s="551"/>
      <c r="D211" s="551"/>
      <c r="E211" s="551"/>
      <c r="F211" s="551"/>
      <c r="G211" s="551"/>
      <c r="H211" s="551" t="s">
        <v>346</v>
      </c>
      <c r="I211" s="551"/>
      <c r="K211" s="563"/>
      <c r="L211" s="563"/>
      <c r="M211" s="539">
        <f t="shared" ref="M211:R211" si="350">+M112/M198</f>
        <v>0</v>
      </c>
      <c r="N211" s="539">
        <f t="shared" si="350"/>
        <v>0</v>
      </c>
      <c r="O211" s="539">
        <f t="shared" si="350"/>
        <v>0</v>
      </c>
      <c r="P211" s="539">
        <f t="shared" si="350"/>
        <v>4.7292557644875886E-3</v>
      </c>
      <c r="Q211" s="539">
        <f t="shared" si="350"/>
        <v>4.3512205277676571E-3</v>
      </c>
      <c r="R211" s="539">
        <f t="shared" si="350"/>
        <v>6.0968562182154417E-3</v>
      </c>
      <c r="S211" s="566">
        <f>AVERAGE(M211:R211)</f>
        <v>2.5295554184117811E-3</v>
      </c>
      <c r="T211" s="622">
        <f t="shared" si="327"/>
        <v>2.5295554184117811E-3</v>
      </c>
      <c r="U211" s="622">
        <f t="shared" si="327"/>
        <v>2.5295554184117811E-3</v>
      </c>
      <c r="V211" s="622">
        <f t="shared" si="349"/>
        <v>2.5295554184117811E-3</v>
      </c>
      <c r="W211" s="622">
        <f t="shared" si="329"/>
        <v>2.5295554184117811E-3</v>
      </c>
      <c r="X211" s="622">
        <f t="shared" si="330"/>
        <v>2.5295554184117811E-3</v>
      </c>
      <c r="Y211" s="622">
        <f t="shared" si="331"/>
        <v>2.5295554184117811E-3</v>
      </c>
      <c r="Z211" s="622">
        <f t="shared" si="332"/>
        <v>2.5295554184117811E-3</v>
      </c>
      <c r="AA211" s="622">
        <f t="shared" si="333"/>
        <v>2.5295554184117811E-3</v>
      </c>
      <c r="AB211" s="622">
        <f t="shared" si="334"/>
        <v>2.5295554184117811E-3</v>
      </c>
      <c r="AC211" s="622">
        <f t="shared" si="335"/>
        <v>2.5295554184117811E-3</v>
      </c>
      <c r="AD211" s="622">
        <f t="shared" si="336"/>
        <v>2.5295554184117811E-3</v>
      </c>
      <c r="AE211" s="622">
        <f t="shared" si="337"/>
        <v>2.5295554184117811E-3</v>
      </c>
      <c r="AF211" s="622">
        <f t="shared" si="338"/>
        <v>2.5295554184117811E-3</v>
      </c>
      <c r="AG211" s="622">
        <f t="shared" si="339"/>
        <v>2.5295554184117811E-3</v>
      </c>
      <c r="AH211" s="622">
        <f t="shared" si="340"/>
        <v>2.5295554184117811E-3</v>
      </c>
      <c r="AI211" s="622">
        <f t="shared" si="341"/>
        <v>2.5295554184117811E-3</v>
      </c>
      <c r="AJ211" s="622">
        <f t="shared" si="342"/>
        <v>2.5295554184117811E-3</v>
      </c>
      <c r="AK211" s="622">
        <f t="shared" si="343"/>
        <v>2.5295554184117811E-3</v>
      </c>
      <c r="AL211" s="622">
        <f t="shared" si="344"/>
        <v>2.5295554184117811E-3</v>
      </c>
      <c r="AN211" s="539">
        <f t="shared" si="345"/>
        <v>0</v>
      </c>
      <c r="AO211" s="539">
        <f t="shared" si="345"/>
        <v>6.0968562182154417E-3</v>
      </c>
      <c r="AP211" s="539">
        <f t="shared" si="345"/>
        <v>2.5295554184117811E-3</v>
      </c>
      <c r="AQ211" s="539">
        <f t="shared" si="345"/>
        <v>2.5295554184117811E-3</v>
      </c>
      <c r="AR211" s="539">
        <f t="shared" si="345"/>
        <v>2.5295554184117811E-3</v>
      </c>
      <c r="AS211" s="539">
        <f t="shared" si="345"/>
        <v>2.5295554184117811E-3</v>
      </c>
      <c r="AT211" s="539">
        <f t="shared" si="345"/>
        <v>2.5295554184117811E-3</v>
      </c>
    </row>
    <row r="212" spans="2:46" x14ac:dyDescent="0.25">
      <c r="B212" s="585" t="s">
        <v>347</v>
      </c>
      <c r="C212" s="551"/>
      <c r="D212" s="551"/>
      <c r="E212" s="551"/>
      <c r="F212" s="551"/>
      <c r="G212" s="551"/>
      <c r="H212" s="551" t="s">
        <v>346</v>
      </c>
      <c r="I212" s="551"/>
      <c r="J212" s="94"/>
      <c r="K212" s="563"/>
      <c r="L212" s="563"/>
      <c r="M212" s="695">
        <f t="shared" ref="M212:R213" si="351">+M204/M$198</f>
        <v>0.31018161805173361</v>
      </c>
      <c r="N212" s="695">
        <f t="shared" si="351"/>
        <v>0.33170350891609829</v>
      </c>
      <c r="O212" s="695">
        <f t="shared" si="351"/>
        <v>0.34203398177788724</v>
      </c>
      <c r="P212" s="695">
        <f t="shared" si="351"/>
        <v>0.33057271513588127</v>
      </c>
      <c r="Q212" s="695">
        <f t="shared" si="351"/>
        <v>0.31497423619424347</v>
      </c>
      <c r="R212" s="695">
        <f t="shared" si="351"/>
        <v>0.3375038526737556</v>
      </c>
      <c r="S212" s="1211">
        <f t="shared" ref="S212:S213" si="352">AVERAGE(M212:R212)</f>
        <v>0.32782831879159985</v>
      </c>
      <c r="T212" s="1212">
        <f t="shared" si="327"/>
        <v>0.32782831879159985</v>
      </c>
      <c r="U212" s="1212">
        <f t="shared" si="327"/>
        <v>0.32782831879159985</v>
      </c>
      <c r="V212" s="1212">
        <f t="shared" ref="V212:V213" si="353">+U212</f>
        <v>0.32782831879159985</v>
      </c>
      <c r="W212" s="1212">
        <f t="shared" si="329"/>
        <v>0.32782831879159985</v>
      </c>
      <c r="X212" s="1212">
        <f t="shared" si="330"/>
        <v>0.32782831879159985</v>
      </c>
      <c r="Y212" s="1212">
        <f t="shared" si="331"/>
        <v>0.32782831879159985</v>
      </c>
      <c r="Z212" s="1212">
        <f t="shared" si="332"/>
        <v>0.32782831879159985</v>
      </c>
      <c r="AA212" s="1212">
        <f t="shared" si="333"/>
        <v>0.32782831879159985</v>
      </c>
      <c r="AB212" s="1212">
        <f t="shared" si="334"/>
        <v>0.32782831879159985</v>
      </c>
      <c r="AC212" s="1212">
        <f t="shared" si="335"/>
        <v>0.32782831879159985</v>
      </c>
      <c r="AD212" s="1212">
        <f t="shared" si="336"/>
        <v>0.32782831879159985</v>
      </c>
      <c r="AE212" s="1212">
        <f t="shared" si="337"/>
        <v>0.32782831879159985</v>
      </c>
      <c r="AF212" s="1212">
        <f t="shared" si="338"/>
        <v>0.32782831879159985</v>
      </c>
      <c r="AG212" s="1212">
        <f t="shared" si="339"/>
        <v>0.32782831879159985</v>
      </c>
      <c r="AH212" s="1212">
        <f t="shared" si="340"/>
        <v>0.32782831879159985</v>
      </c>
      <c r="AI212" s="1212">
        <f t="shared" si="341"/>
        <v>0.32782831879159985</v>
      </c>
      <c r="AJ212" s="1212">
        <f t="shared" si="342"/>
        <v>0.32782831879159985</v>
      </c>
      <c r="AK212" s="1212">
        <f t="shared" si="343"/>
        <v>0.32782831879159985</v>
      </c>
      <c r="AL212" s="1212">
        <f t="shared" si="344"/>
        <v>0.32782831879159985</v>
      </c>
      <c r="AM212" s="551"/>
      <c r="AN212" s="695">
        <f t="shared" si="345"/>
        <v>0.33170350891609829</v>
      </c>
      <c r="AO212" s="695">
        <f t="shared" si="345"/>
        <v>0.3375038526737556</v>
      </c>
      <c r="AP212" s="695">
        <f t="shared" si="345"/>
        <v>0.32782831879159985</v>
      </c>
      <c r="AQ212" s="695">
        <f t="shared" si="345"/>
        <v>0.32782831879159985</v>
      </c>
      <c r="AR212" s="695">
        <f t="shared" si="345"/>
        <v>0.32782831879159985</v>
      </c>
      <c r="AS212" s="695">
        <f t="shared" si="345"/>
        <v>0.32782831879159985</v>
      </c>
      <c r="AT212" s="695">
        <f t="shared" si="345"/>
        <v>0.32782831879159985</v>
      </c>
    </row>
    <row r="213" spans="2:46" x14ac:dyDescent="0.25">
      <c r="B213" s="585" t="s">
        <v>348</v>
      </c>
      <c r="C213" s="551"/>
      <c r="D213" s="551"/>
      <c r="E213" s="551"/>
      <c r="F213" s="551"/>
      <c r="G213" s="551"/>
      <c r="H213" s="551" t="s">
        <v>346</v>
      </c>
      <c r="I213" s="551"/>
      <c r="J213" s="94"/>
      <c r="K213" s="563"/>
      <c r="L213" s="563"/>
      <c r="M213" s="695">
        <f t="shared" si="351"/>
        <v>1.2651938045443825</v>
      </c>
      <c r="N213" s="695">
        <f t="shared" si="351"/>
        <v>1.3458651765414853</v>
      </c>
      <c r="O213" s="695">
        <f t="shared" si="351"/>
        <v>1.466399901502093</v>
      </c>
      <c r="P213" s="695">
        <f t="shared" si="351"/>
        <v>1.4503880705089041</v>
      </c>
      <c r="Q213" s="695">
        <f t="shared" si="351"/>
        <v>1.4047155571748295</v>
      </c>
      <c r="R213" s="695">
        <f t="shared" si="351"/>
        <v>1.5174718754815841</v>
      </c>
      <c r="S213" s="1211">
        <f t="shared" si="352"/>
        <v>1.4083390642922129</v>
      </c>
      <c r="T213" s="1212">
        <f t="shared" si="327"/>
        <v>1.4083390642922129</v>
      </c>
      <c r="U213" s="1212">
        <f t="shared" si="327"/>
        <v>1.4083390642922129</v>
      </c>
      <c r="V213" s="1212">
        <f t="shared" si="353"/>
        <v>1.4083390642922129</v>
      </c>
      <c r="W213" s="1212">
        <f t="shared" si="329"/>
        <v>1.4083390642922129</v>
      </c>
      <c r="X213" s="1212">
        <f t="shared" si="330"/>
        <v>1.4083390642922129</v>
      </c>
      <c r="Y213" s="1212">
        <f t="shared" si="331"/>
        <v>1.4083390642922129</v>
      </c>
      <c r="Z213" s="1212">
        <f t="shared" si="332"/>
        <v>1.4083390642922129</v>
      </c>
      <c r="AA213" s="1212">
        <f t="shared" si="333"/>
        <v>1.4083390642922129</v>
      </c>
      <c r="AB213" s="1212">
        <f t="shared" si="334"/>
        <v>1.4083390642922129</v>
      </c>
      <c r="AC213" s="1212">
        <f t="shared" si="335"/>
        <v>1.4083390642922129</v>
      </c>
      <c r="AD213" s="1212">
        <f t="shared" si="336"/>
        <v>1.4083390642922129</v>
      </c>
      <c r="AE213" s="1212">
        <f t="shared" si="337"/>
        <v>1.4083390642922129</v>
      </c>
      <c r="AF213" s="1212">
        <f t="shared" si="338"/>
        <v>1.4083390642922129</v>
      </c>
      <c r="AG213" s="1212">
        <f t="shared" si="339"/>
        <v>1.4083390642922129</v>
      </c>
      <c r="AH213" s="1212">
        <f t="shared" si="340"/>
        <v>1.4083390642922129</v>
      </c>
      <c r="AI213" s="1212">
        <f t="shared" si="341"/>
        <v>1.4083390642922129</v>
      </c>
      <c r="AJ213" s="1212">
        <f t="shared" si="342"/>
        <v>1.4083390642922129</v>
      </c>
      <c r="AK213" s="1212">
        <f t="shared" si="343"/>
        <v>1.4083390642922129</v>
      </c>
      <c r="AL213" s="1212">
        <f t="shared" si="344"/>
        <v>1.4083390642922129</v>
      </c>
      <c r="AM213" s="551"/>
      <c r="AN213" s="695">
        <f t="shared" si="345"/>
        <v>1.3458651765414853</v>
      </c>
      <c r="AO213" s="695">
        <f t="shared" si="345"/>
        <v>1.5174718754815841</v>
      </c>
      <c r="AP213" s="695">
        <f t="shared" si="345"/>
        <v>1.4083390642922129</v>
      </c>
      <c r="AQ213" s="695">
        <f t="shared" si="345"/>
        <v>1.4083390642922129</v>
      </c>
      <c r="AR213" s="695">
        <f t="shared" si="345"/>
        <v>1.4083390642922129</v>
      </c>
      <c r="AS213" s="695">
        <f t="shared" si="345"/>
        <v>1.4083390642922129</v>
      </c>
      <c r="AT213" s="695">
        <f t="shared" si="345"/>
        <v>1.4083390642922129</v>
      </c>
    </row>
    <row r="214" spans="2:46" x14ac:dyDescent="0.25">
      <c r="K214" s="563"/>
      <c r="L214" s="563"/>
      <c r="M214" s="543"/>
      <c r="N214" s="543"/>
      <c r="O214" s="543"/>
      <c r="P214" s="543"/>
      <c r="Q214" s="543"/>
      <c r="R214" s="543"/>
      <c r="S214" s="543"/>
    </row>
    <row r="215" spans="2:46" x14ac:dyDescent="0.25">
      <c r="K215" s="563"/>
      <c r="L215" s="563"/>
      <c r="M215" s="543"/>
      <c r="N215" s="543"/>
      <c r="O215" s="543"/>
      <c r="P215" s="543"/>
      <c r="Q215" s="543"/>
      <c r="R215" s="543"/>
      <c r="S215" s="543"/>
    </row>
    <row r="216" spans="2:46" x14ac:dyDescent="0.25">
      <c r="B216" s="551" t="s">
        <v>349</v>
      </c>
      <c r="K216" s="563"/>
      <c r="L216" s="563"/>
      <c r="M216" s="623">
        <f t="shared" ref="M216:AL216" si="354">+M104/M123</f>
        <v>6.0453545542095393</v>
      </c>
      <c r="N216" s="623">
        <f t="shared" si="354"/>
        <v>5.1982355558167059</v>
      </c>
      <c r="O216" s="623">
        <f t="shared" si="354"/>
        <v>4.7183575768735038</v>
      </c>
      <c r="P216" s="623">
        <f t="shared" si="354"/>
        <v>4.4469407979582698</v>
      </c>
      <c r="Q216" s="623">
        <f t="shared" si="354"/>
        <v>4.2943584141874958</v>
      </c>
      <c r="R216" s="623">
        <f t="shared" si="354"/>
        <v>3.8356073193006393</v>
      </c>
      <c r="S216" s="623">
        <f t="shared" ca="1" si="354"/>
        <v>3.8247936415765365</v>
      </c>
      <c r="T216" s="623">
        <f t="shared" ca="1" si="354"/>
        <v>3.7472732165218767</v>
      </c>
      <c r="U216" s="623">
        <f t="shared" ca="1" si="354"/>
        <v>0.60423210288766682</v>
      </c>
      <c r="V216" s="623">
        <f t="shared" ca="1" si="354"/>
        <v>0.70784572961971282</v>
      </c>
      <c r="W216" s="623">
        <f t="shared" ca="1" si="354"/>
        <v>0.68400526305454024</v>
      </c>
      <c r="X216" s="623">
        <f t="shared" ca="1" si="354"/>
        <v>0.75262105493606224</v>
      </c>
      <c r="Y216" s="623">
        <f t="shared" ca="1" si="354"/>
        <v>0.7357877796674781</v>
      </c>
      <c r="Z216" s="623">
        <f t="shared" ca="1" si="354"/>
        <v>0.81100611403487544</v>
      </c>
      <c r="AA216" s="623">
        <f t="shared" ca="1" si="354"/>
        <v>0.78742316487849617</v>
      </c>
      <c r="AB216" s="623">
        <f t="shared" ca="1" si="354"/>
        <v>0.8475068953269429</v>
      </c>
      <c r="AC216" s="623">
        <f t="shared" ca="1" si="354"/>
        <v>0.83982595237097979</v>
      </c>
      <c r="AD216" s="623">
        <f t="shared" ca="1" si="354"/>
        <v>0.90229060275060702</v>
      </c>
      <c r="AE216" s="623">
        <f t="shared" ca="1" si="354"/>
        <v>0.87789802793893579</v>
      </c>
      <c r="AF216" s="623">
        <f t="shared" ca="1" si="354"/>
        <v>0.93466458855933365</v>
      </c>
      <c r="AG216" s="623">
        <f t="shared" ca="1" si="354"/>
        <v>0.9256252665608623</v>
      </c>
      <c r="AH216" s="623">
        <f t="shared" ca="1" si="354"/>
        <v>0.98319375931998998</v>
      </c>
      <c r="AI216" s="623">
        <f t="shared" ca="1" si="354"/>
        <v>0.98901440567523247</v>
      </c>
      <c r="AJ216" s="623">
        <f t="shared" ca="1" si="354"/>
        <v>1.0204936930524344</v>
      </c>
      <c r="AK216" s="623">
        <f t="shared" ca="1" si="354"/>
        <v>1.0012603411027015</v>
      </c>
      <c r="AL216" s="623">
        <f t="shared" ca="1" si="354"/>
        <v>1.0571757197928342</v>
      </c>
      <c r="AN216" s="623">
        <f t="shared" ref="AN216:AT217" si="355">INDEX($K216:$AL216,MATCH(AN$5,$K$5:$AL$5,0))</f>
        <v>5.1982355558167059</v>
      </c>
      <c r="AO216" s="623">
        <f t="shared" si="355"/>
        <v>3.8356073193006393</v>
      </c>
      <c r="AP216" s="623">
        <f t="shared" ca="1" si="355"/>
        <v>0.70784572961971282</v>
      </c>
      <c r="AQ216" s="623">
        <f t="shared" ca="1" si="355"/>
        <v>0.81100611403487544</v>
      </c>
      <c r="AR216" s="623">
        <f t="shared" ca="1" si="355"/>
        <v>0.90229060275060702</v>
      </c>
      <c r="AS216" s="623">
        <f t="shared" ca="1" si="355"/>
        <v>0.98319375931998998</v>
      </c>
      <c r="AT216" s="623">
        <f t="shared" ca="1" si="355"/>
        <v>1.0571757197928342</v>
      </c>
    </row>
    <row r="217" spans="2:46" x14ac:dyDescent="0.25">
      <c r="B217" s="551" t="s">
        <v>350</v>
      </c>
      <c r="K217" s="563"/>
      <c r="L217" s="563"/>
      <c r="M217" s="619">
        <f t="shared" ref="M217:AL217" si="356">+M208-M209</f>
        <v>0.14913308476918274</v>
      </c>
      <c r="N217" s="619">
        <f t="shared" si="356"/>
        <v>-4.0532985879892678</v>
      </c>
      <c r="O217" s="619">
        <f t="shared" si="356"/>
        <v>13.602566951549836</v>
      </c>
      <c r="P217" s="619">
        <f t="shared" si="356"/>
        <v>22.189778464335603</v>
      </c>
      <c r="Q217" s="619">
        <f t="shared" si="356"/>
        <v>18.941138310726739</v>
      </c>
      <c r="R217" s="619">
        <f t="shared" si="356"/>
        <v>25.894858711910352</v>
      </c>
      <c r="S217" s="619">
        <f t="shared" si="356"/>
        <v>20.157085609630627</v>
      </c>
      <c r="T217" s="619">
        <f t="shared" si="356"/>
        <v>20.157085609630627</v>
      </c>
      <c r="U217" s="619">
        <f t="shared" si="356"/>
        <v>20.157085609630627</v>
      </c>
      <c r="V217" s="619">
        <f t="shared" si="356"/>
        <v>20.157085609630627</v>
      </c>
      <c r="W217" s="619">
        <f t="shared" si="356"/>
        <v>20.157085609630627</v>
      </c>
      <c r="X217" s="619">
        <f t="shared" si="356"/>
        <v>20.157085609630627</v>
      </c>
      <c r="Y217" s="619">
        <f t="shared" si="356"/>
        <v>20.157085609630627</v>
      </c>
      <c r="Z217" s="619">
        <f t="shared" si="356"/>
        <v>20.157085609630627</v>
      </c>
      <c r="AA217" s="619">
        <f t="shared" si="356"/>
        <v>20.157085609630627</v>
      </c>
      <c r="AB217" s="619">
        <f t="shared" si="356"/>
        <v>20.157085609630627</v>
      </c>
      <c r="AC217" s="619">
        <f t="shared" si="356"/>
        <v>20.157085609630627</v>
      </c>
      <c r="AD217" s="619">
        <f t="shared" si="356"/>
        <v>20.157085609630627</v>
      </c>
      <c r="AE217" s="619">
        <f t="shared" si="356"/>
        <v>20.157085609630627</v>
      </c>
      <c r="AF217" s="619">
        <f t="shared" si="356"/>
        <v>20.157085609630627</v>
      </c>
      <c r="AG217" s="619">
        <f t="shared" si="356"/>
        <v>20.157085609630627</v>
      </c>
      <c r="AH217" s="619">
        <f t="shared" si="356"/>
        <v>20.157085609630627</v>
      </c>
      <c r="AI217" s="619">
        <f t="shared" si="356"/>
        <v>20.157085609630627</v>
      </c>
      <c r="AJ217" s="619">
        <f t="shared" si="356"/>
        <v>20.157085609630627</v>
      </c>
      <c r="AK217" s="619">
        <f t="shared" si="356"/>
        <v>20.157085609630627</v>
      </c>
      <c r="AL217" s="619">
        <f t="shared" si="356"/>
        <v>20.157085609630627</v>
      </c>
      <c r="AN217" s="619">
        <f t="shared" si="355"/>
        <v>-4.0532985879892678</v>
      </c>
      <c r="AO217" s="619">
        <f t="shared" si="355"/>
        <v>25.894858711910352</v>
      </c>
      <c r="AP217" s="619">
        <f t="shared" si="355"/>
        <v>20.157085609630627</v>
      </c>
      <c r="AQ217" s="619">
        <f t="shared" si="355"/>
        <v>20.157085609630627</v>
      </c>
      <c r="AR217" s="619">
        <f t="shared" si="355"/>
        <v>20.157085609630627</v>
      </c>
      <c r="AS217" s="619">
        <f t="shared" si="355"/>
        <v>20.157085609630627</v>
      </c>
      <c r="AT217" s="619">
        <f t="shared" si="355"/>
        <v>20.157085609630627</v>
      </c>
    </row>
    <row r="218" spans="2:46" x14ac:dyDescent="0.25">
      <c r="K218" s="563"/>
      <c r="L218" s="563"/>
    </row>
    <row r="219" spans="2:46" x14ac:dyDescent="0.25">
      <c r="B219" s="624" t="s">
        <v>351</v>
      </c>
      <c r="C219" s="625"/>
      <c r="D219" s="625"/>
      <c r="E219" s="625"/>
      <c r="F219" s="625"/>
      <c r="G219" s="625"/>
      <c r="H219" s="625"/>
      <c r="I219" s="625"/>
      <c r="J219" s="625"/>
      <c r="K219" s="626"/>
      <c r="L219" s="627">
        <f t="shared" ref="L219:AL219" si="357">+SUM(L101:L103)-SUM(L118:L122)</f>
        <v>-37119</v>
      </c>
      <c r="M219" s="627">
        <f t="shared" si="357"/>
        <v>-51741</v>
      </c>
      <c r="N219" s="627">
        <f t="shared" si="357"/>
        <v>-53782</v>
      </c>
      <c r="O219" s="627">
        <f t="shared" si="357"/>
        <v>-72471</v>
      </c>
      <c r="P219" s="627">
        <f t="shared" si="357"/>
        <v>-83336</v>
      </c>
      <c r="Q219" s="627">
        <f t="shared" si="357"/>
        <v>-87266</v>
      </c>
      <c r="R219" s="627">
        <f t="shared" si="357"/>
        <v>-92763</v>
      </c>
      <c r="S219" s="627">
        <f t="shared" ca="1" si="357"/>
        <v>-97395.99363731085</v>
      </c>
      <c r="T219" s="627">
        <f t="shared" ca="1" si="357"/>
        <v>-101444.74268566561</v>
      </c>
      <c r="U219" s="627">
        <f t="shared" ca="1" si="357"/>
        <v>-103771.2588777515</v>
      </c>
      <c r="V219" s="627">
        <f t="shared" ca="1" si="357"/>
        <v>-114888.28164880593</v>
      </c>
      <c r="W219" s="627">
        <f t="shared" ca="1" si="357"/>
        <v>-119268.05443799977</v>
      </c>
      <c r="X219" s="627">
        <f t="shared" ca="1" si="357"/>
        <v>-124748.88842764124</v>
      </c>
      <c r="Y219" s="627">
        <f t="shared" ca="1" si="357"/>
        <v>-135745.88782034139</v>
      </c>
      <c r="Z219" s="627">
        <f t="shared" ca="1" si="357"/>
        <v>-144023.89080820401</v>
      </c>
      <c r="AA219" s="627">
        <f t="shared" ca="1" si="357"/>
        <v>-143681.27402293339</v>
      </c>
      <c r="AB219" s="627">
        <f t="shared" ca="1" si="357"/>
        <v>-145180.70200475756</v>
      </c>
      <c r="AC219" s="627">
        <f t="shared" ca="1" si="357"/>
        <v>-162164.55088583927</v>
      </c>
      <c r="AD219" s="627">
        <f t="shared" ca="1" si="357"/>
        <v>-167000.42458287429</v>
      </c>
      <c r="AE219" s="627">
        <f t="shared" ca="1" si="357"/>
        <v>-158083.95004079741</v>
      </c>
      <c r="AF219" s="627">
        <f t="shared" ca="1" si="357"/>
        <v>-158961.9773448261</v>
      </c>
      <c r="AG219" s="627">
        <f t="shared" ca="1" si="357"/>
        <v>-180554.5354830712</v>
      </c>
      <c r="AH219" s="627">
        <f t="shared" ca="1" si="357"/>
        <v>-182462.22223533862</v>
      </c>
      <c r="AI219" s="627">
        <f t="shared" ca="1" si="357"/>
        <v>-165745.1825435549</v>
      </c>
      <c r="AJ219" s="627">
        <f t="shared" ca="1" si="357"/>
        <v>-166519.03183987783</v>
      </c>
      <c r="AK219" s="627">
        <f t="shared" ca="1" si="357"/>
        <v>-190690.85701423095</v>
      </c>
      <c r="AL219" s="627">
        <f t="shared" ca="1" si="357"/>
        <v>-190804.27509882941</v>
      </c>
      <c r="AN219" s="627">
        <f t="shared" ref="AN219:AT219" si="358">+SUM(AN101:AN103)-SUM(AN118:AN122)</f>
        <v>-53782</v>
      </c>
      <c r="AO219" s="627">
        <f t="shared" si="358"/>
        <v>-92763</v>
      </c>
      <c r="AP219" s="627">
        <f ca="1">+SUM(AP101:AP103)-SUM(AP118:AP122)</f>
        <v>-114888.28164880593</v>
      </c>
      <c r="AQ219" s="627">
        <f t="shared" ca="1" si="358"/>
        <v>-144023.89080820401</v>
      </c>
      <c r="AR219" s="627">
        <f t="shared" ca="1" si="358"/>
        <v>-167000.42458287429</v>
      </c>
      <c r="AS219" s="627">
        <f t="shared" ca="1" si="358"/>
        <v>-182462.22223533862</v>
      </c>
      <c r="AT219" s="627">
        <f t="shared" ca="1" si="358"/>
        <v>-190804.27509882941</v>
      </c>
    </row>
    <row r="220" spans="2:46" x14ac:dyDescent="0.25">
      <c r="B220" s="551" t="s">
        <v>352</v>
      </c>
      <c r="C220" s="94"/>
      <c r="D220" s="94"/>
      <c r="E220" s="94"/>
      <c r="F220" s="94"/>
      <c r="G220" s="94"/>
      <c r="H220" s="94"/>
      <c r="I220" s="94"/>
      <c r="J220" s="94"/>
      <c r="K220" s="78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N220" s="601">
        <f t="shared" ref="AN220:AT220" si="359">SUM(AN101,AN103)-SUM(AN118,AN120,AN122)</f>
        <v>20266</v>
      </c>
      <c r="AO220" s="601">
        <f t="shared" si="359"/>
        <v>29746</v>
      </c>
      <c r="AP220" s="601">
        <f t="shared" ca="1" si="359"/>
        <v>35326.377854859675</v>
      </c>
      <c r="AQ220" s="601">
        <f t="shared" ca="1" si="359"/>
        <v>42632.280268455259</v>
      </c>
      <c r="AR220" s="601">
        <f t="shared" ca="1" si="359"/>
        <v>49403.901362812525</v>
      </c>
      <c r="AS220" s="601">
        <f t="shared" ca="1" si="359"/>
        <v>54096.441647155792</v>
      </c>
      <c r="AT220" s="601">
        <f t="shared" ca="1" si="359"/>
        <v>56660.847994356518</v>
      </c>
    </row>
    <row r="221" spans="2:46" x14ac:dyDescent="0.25">
      <c r="B221" s="98" t="s">
        <v>353</v>
      </c>
      <c r="C221" s="628"/>
      <c r="D221" s="628"/>
      <c r="E221" s="628"/>
      <c r="F221" s="628"/>
      <c r="G221" s="628"/>
      <c r="H221" s="94"/>
      <c r="I221" s="94"/>
      <c r="J221" s="94"/>
      <c r="K221" s="629"/>
      <c r="L221" s="629"/>
      <c r="M221" s="630"/>
      <c r="N221" s="629"/>
      <c r="O221" s="601">
        <f>+AVERAGE(L219:O219)</f>
        <v>-53778.25</v>
      </c>
      <c r="P221" s="601">
        <f t="shared" ref="P221:AL221" si="360">+AVERAGE(M219:P219)</f>
        <v>-65332.5</v>
      </c>
      <c r="Q221" s="601">
        <f t="shared" si="360"/>
        <v>-74213.75</v>
      </c>
      <c r="R221" s="601">
        <f t="shared" si="360"/>
        <v>-83959</v>
      </c>
      <c r="S221" s="601">
        <f t="shared" ca="1" si="360"/>
        <v>-90190.248409327716</v>
      </c>
      <c r="T221" s="601">
        <f ca="1">+AVERAGE(Q219:T219)</f>
        <v>-94717.434080744119</v>
      </c>
      <c r="U221" s="601">
        <f ca="1">+AVERAGE(R219:U219)</f>
        <v>-98843.748800181987</v>
      </c>
      <c r="V221" s="601">
        <f ca="1">+AVERAGE(S219:V219)</f>
        <v>-104375.06921238347</v>
      </c>
      <c r="W221" s="601">
        <f ca="1">+AVERAGE(T219:W219)</f>
        <v>-109843.08441255571</v>
      </c>
      <c r="X221" s="601">
        <f t="shared" ca="1" si="360"/>
        <v>-115669.12084804961</v>
      </c>
      <c r="Y221" s="601">
        <f t="shared" ca="1" si="360"/>
        <v>-123662.77808369708</v>
      </c>
      <c r="Z221" s="601">
        <f t="shared" ca="1" si="360"/>
        <v>-130946.68037354661</v>
      </c>
      <c r="AA221" s="601">
        <f t="shared" ca="1" si="360"/>
        <v>-137049.98526978001</v>
      </c>
      <c r="AB221" s="601">
        <f t="shared" ca="1" si="360"/>
        <v>-142157.9386640591</v>
      </c>
      <c r="AC221" s="601">
        <f t="shared" ca="1" si="360"/>
        <v>-148762.60443043357</v>
      </c>
      <c r="AD221" s="601">
        <f t="shared" ca="1" si="360"/>
        <v>-154506.73787410112</v>
      </c>
      <c r="AE221" s="601">
        <f t="shared" ca="1" si="360"/>
        <v>-158107.40687856713</v>
      </c>
      <c r="AF221" s="601">
        <f t="shared" ca="1" si="360"/>
        <v>-161552.72571358428</v>
      </c>
      <c r="AG221" s="601">
        <f t="shared" ca="1" si="360"/>
        <v>-166150.22186289224</v>
      </c>
      <c r="AH221" s="601">
        <f t="shared" ca="1" si="360"/>
        <v>-170015.67127600833</v>
      </c>
      <c r="AI221" s="601">
        <f t="shared" ca="1" si="360"/>
        <v>-171930.97940169772</v>
      </c>
      <c r="AJ221" s="601">
        <f t="shared" ca="1" si="360"/>
        <v>-173820.24302546063</v>
      </c>
      <c r="AK221" s="601">
        <f t="shared" ca="1" si="360"/>
        <v>-176354.32340825058</v>
      </c>
      <c r="AL221" s="601">
        <f t="shared" ca="1" si="360"/>
        <v>-178439.83662412327</v>
      </c>
      <c r="AN221" s="537">
        <f t="shared" ref="AN221:AT223" si="361">INDEX($K221:$AL221,MATCH(AN$5,$K$5:$AL$5,0))</f>
        <v>0</v>
      </c>
      <c r="AO221" s="537">
        <f t="shared" si="361"/>
        <v>-83959</v>
      </c>
      <c r="AP221" s="537">
        <f t="shared" ca="1" si="361"/>
        <v>-104375.06921238347</v>
      </c>
      <c r="AQ221" s="537">
        <f t="shared" ca="1" si="361"/>
        <v>-130946.68037354661</v>
      </c>
      <c r="AR221" s="537">
        <f t="shared" ca="1" si="361"/>
        <v>-154506.73787410112</v>
      </c>
      <c r="AS221" s="537">
        <f t="shared" ca="1" si="361"/>
        <v>-170015.67127600833</v>
      </c>
      <c r="AT221" s="537">
        <f t="shared" ca="1" si="361"/>
        <v>-178439.83662412327</v>
      </c>
    </row>
    <row r="222" spans="2:46" x14ac:dyDescent="0.25">
      <c r="B222" s="98" t="s">
        <v>354</v>
      </c>
      <c r="C222" s="628"/>
      <c r="D222" s="628"/>
      <c r="E222" s="628"/>
      <c r="F222" s="628"/>
      <c r="G222" s="628"/>
      <c r="H222" s="94"/>
      <c r="I222" s="94"/>
      <c r="J222" s="94"/>
      <c r="K222" s="629"/>
      <c r="L222" s="629"/>
      <c r="M222" s="601">
        <f>+AVERAGE(L219:M219)</f>
        <v>-44430</v>
      </c>
      <c r="N222" s="601">
        <f>+AVERAGE(M219:N219)</f>
        <v>-52761.5</v>
      </c>
      <c r="O222" s="601">
        <f>+AVERAGE(N219:O219)</f>
        <v>-63126.5</v>
      </c>
      <c r="P222" s="601">
        <f t="shared" ref="P222:AL222" si="362">+AVERAGE(O219:P219)</f>
        <v>-77903.5</v>
      </c>
      <c r="Q222" s="601">
        <f t="shared" si="362"/>
        <v>-85301</v>
      </c>
      <c r="R222" s="601">
        <f t="shared" si="362"/>
        <v>-90014.5</v>
      </c>
      <c r="S222" s="601">
        <f t="shared" ca="1" si="362"/>
        <v>-95079.496818655432</v>
      </c>
      <c r="T222" s="601">
        <f ca="1">+AVERAGE(S219:T219)</f>
        <v>-99420.368161488237</v>
      </c>
      <c r="U222" s="601">
        <f ca="1">+AVERAGE(T219:U219)</f>
        <v>-102608.00078170856</v>
      </c>
      <c r="V222" s="601">
        <f t="shared" ca="1" si="362"/>
        <v>-109329.77026327871</v>
      </c>
      <c r="W222" s="601">
        <f t="shared" ca="1" si="362"/>
        <v>-117078.16804340285</v>
      </c>
      <c r="X222" s="601">
        <f t="shared" ca="1" si="362"/>
        <v>-122008.47143282052</v>
      </c>
      <c r="Y222" s="601">
        <f t="shared" ca="1" si="362"/>
        <v>-130247.38812399132</v>
      </c>
      <c r="Z222" s="601">
        <f t="shared" ca="1" si="362"/>
        <v>-139884.8893142727</v>
      </c>
      <c r="AA222" s="601">
        <f t="shared" ca="1" si="362"/>
        <v>-143852.5824155687</v>
      </c>
      <c r="AB222" s="601">
        <f t="shared" ca="1" si="362"/>
        <v>-144430.98801384546</v>
      </c>
      <c r="AC222" s="601">
        <f t="shared" ca="1" si="362"/>
        <v>-153672.62644529843</v>
      </c>
      <c r="AD222" s="601">
        <f t="shared" ca="1" si="362"/>
        <v>-164582.48773435678</v>
      </c>
      <c r="AE222" s="601">
        <f t="shared" ca="1" si="362"/>
        <v>-162542.18731183585</v>
      </c>
      <c r="AF222" s="601">
        <f t="shared" ca="1" si="362"/>
        <v>-158522.96369281175</v>
      </c>
      <c r="AG222" s="601">
        <f t="shared" ca="1" si="362"/>
        <v>-169758.25641394866</v>
      </c>
      <c r="AH222" s="601">
        <f t="shared" ca="1" si="362"/>
        <v>-181508.37885920491</v>
      </c>
      <c r="AI222" s="601">
        <f t="shared" ca="1" si="362"/>
        <v>-174103.70238944676</v>
      </c>
      <c r="AJ222" s="601">
        <f t="shared" ca="1" si="362"/>
        <v>-166132.10719171638</v>
      </c>
      <c r="AK222" s="601">
        <f t="shared" ca="1" si="362"/>
        <v>-178604.94442705438</v>
      </c>
      <c r="AL222" s="601">
        <f t="shared" ca="1" si="362"/>
        <v>-190747.56605653017</v>
      </c>
      <c r="AN222" s="537">
        <f t="shared" si="361"/>
        <v>-52761.5</v>
      </c>
      <c r="AO222" s="537">
        <f t="shared" si="361"/>
        <v>-90014.5</v>
      </c>
      <c r="AP222" s="537">
        <f t="shared" ca="1" si="361"/>
        <v>-109329.77026327871</v>
      </c>
      <c r="AQ222" s="537">
        <f t="shared" ca="1" si="361"/>
        <v>-139884.8893142727</v>
      </c>
      <c r="AR222" s="537">
        <f t="shared" ca="1" si="361"/>
        <v>-164582.48773435678</v>
      </c>
      <c r="AS222" s="537">
        <f t="shared" ca="1" si="361"/>
        <v>-181508.37885920491</v>
      </c>
      <c r="AT222" s="537">
        <f t="shared" ca="1" si="361"/>
        <v>-190747.56605653017</v>
      </c>
    </row>
    <row r="223" spans="2:46" x14ac:dyDescent="0.25">
      <c r="B223" s="98" t="s">
        <v>355</v>
      </c>
      <c r="C223" s="628"/>
      <c r="D223" s="628"/>
      <c r="E223" s="628"/>
      <c r="F223" s="628"/>
      <c r="G223" s="628"/>
      <c r="H223" s="94"/>
      <c r="I223" s="94"/>
      <c r="J223" s="94"/>
      <c r="K223" s="629"/>
      <c r="L223" s="629"/>
      <c r="M223" s="601">
        <f>+M219</f>
        <v>-51741</v>
      </c>
      <c r="N223" s="601">
        <f>+N219</f>
        <v>-53782</v>
      </c>
      <c r="O223" s="601">
        <f>+O219</f>
        <v>-72471</v>
      </c>
      <c r="P223" s="601">
        <f t="shared" ref="P223:AL223" si="363">+P219</f>
        <v>-83336</v>
      </c>
      <c r="Q223" s="601">
        <f t="shared" si="363"/>
        <v>-87266</v>
      </c>
      <c r="R223" s="601">
        <f t="shared" si="363"/>
        <v>-92763</v>
      </c>
      <c r="S223" s="601">
        <f t="shared" ca="1" si="363"/>
        <v>-97395.99363731085</v>
      </c>
      <c r="T223" s="601">
        <f t="shared" ca="1" si="363"/>
        <v>-101444.74268566561</v>
      </c>
      <c r="U223" s="601">
        <f t="shared" ca="1" si="363"/>
        <v>-103771.2588777515</v>
      </c>
      <c r="V223" s="601">
        <f t="shared" ca="1" si="363"/>
        <v>-114888.28164880593</v>
      </c>
      <c r="W223" s="601">
        <f t="shared" ca="1" si="363"/>
        <v>-119268.05443799977</v>
      </c>
      <c r="X223" s="601">
        <f t="shared" ca="1" si="363"/>
        <v>-124748.88842764124</v>
      </c>
      <c r="Y223" s="601">
        <f t="shared" ca="1" si="363"/>
        <v>-135745.88782034139</v>
      </c>
      <c r="Z223" s="601">
        <f t="shared" ca="1" si="363"/>
        <v>-144023.89080820401</v>
      </c>
      <c r="AA223" s="601">
        <f t="shared" ca="1" si="363"/>
        <v>-143681.27402293339</v>
      </c>
      <c r="AB223" s="601">
        <f t="shared" ca="1" si="363"/>
        <v>-145180.70200475756</v>
      </c>
      <c r="AC223" s="601">
        <f t="shared" ca="1" si="363"/>
        <v>-162164.55088583927</v>
      </c>
      <c r="AD223" s="601">
        <f t="shared" ca="1" si="363"/>
        <v>-167000.42458287429</v>
      </c>
      <c r="AE223" s="601">
        <f t="shared" ca="1" si="363"/>
        <v>-158083.95004079741</v>
      </c>
      <c r="AF223" s="601">
        <f t="shared" ca="1" si="363"/>
        <v>-158961.9773448261</v>
      </c>
      <c r="AG223" s="601">
        <f t="shared" ca="1" si="363"/>
        <v>-180554.5354830712</v>
      </c>
      <c r="AH223" s="601">
        <f t="shared" ca="1" si="363"/>
        <v>-182462.22223533862</v>
      </c>
      <c r="AI223" s="601">
        <f t="shared" ca="1" si="363"/>
        <v>-165745.1825435549</v>
      </c>
      <c r="AJ223" s="601">
        <f t="shared" ca="1" si="363"/>
        <v>-166519.03183987783</v>
      </c>
      <c r="AK223" s="601">
        <f t="shared" ca="1" si="363"/>
        <v>-190690.85701423095</v>
      </c>
      <c r="AL223" s="601">
        <f t="shared" ca="1" si="363"/>
        <v>-190804.27509882941</v>
      </c>
      <c r="AN223" s="537">
        <f t="shared" si="361"/>
        <v>-53782</v>
      </c>
      <c r="AO223" s="537">
        <f t="shared" si="361"/>
        <v>-92763</v>
      </c>
      <c r="AP223" s="537">
        <f t="shared" ca="1" si="361"/>
        <v>-114888.28164880593</v>
      </c>
      <c r="AQ223" s="537">
        <f t="shared" ca="1" si="361"/>
        <v>-144023.89080820401</v>
      </c>
      <c r="AR223" s="537">
        <f t="shared" ca="1" si="361"/>
        <v>-167000.42458287429</v>
      </c>
      <c r="AS223" s="537">
        <f t="shared" ca="1" si="361"/>
        <v>-182462.22223533862</v>
      </c>
      <c r="AT223" s="537">
        <f t="shared" ca="1" si="361"/>
        <v>-190804.27509882941</v>
      </c>
    </row>
    <row r="225" spans="1:46" ht="15" customHeight="1" x14ac:dyDescent="0.25">
      <c r="A225" s="69" t="s">
        <v>207</v>
      </c>
      <c r="B225" s="753" t="s">
        <v>356</v>
      </c>
      <c r="C225" s="611"/>
      <c r="D225" s="611"/>
      <c r="E225" s="611"/>
      <c r="F225" s="611"/>
      <c r="G225" s="611"/>
      <c r="H225" s="611"/>
      <c r="I225" s="611"/>
      <c r="J225" s="611"/>
      <c r="K225" s="611"/>
      <c r="L225" s="611"/>
      <c r="M225" s="611"/>
      <c r="N225" s="611"/>
      <c r="O225" s="611"/>
      <c r="P225" s="611"/>
      <c r="Q225" s="611"/>
      <c r="R225" s="611"/>
      <c r="S225" s="611"/>
      <c r="T225" s="611"/>
      <c r="U225" s="611"/>
      <c r="V225" s="611"/>
      <c r="W225" s="611"/>
      <c r="X225" s="611"/>
      <c r="Y225" s="611"/>
      <c r="Z225" s="611"/>
      <c r="AA225" s="611"/>
      <c r="AB225" s="611"/>
      <c r="AC225" s="611"/>
      <c r="AD225" s="611"/>
      <c r="AE225" s="611"/>
      <c r="AF225" s="611"/>
      <c r="AG225" s="611"/>
      <c r="AH225" s="611"/>
      <c r="AI225" s="611"/>
      <c r="AJ225" s="611"/>
      <c r="AK225" s="611"/>
      <c r="AL225" s="611"/>
      <c r="AM225" s="69" t="s">
        <v>207</v>
      </c>
      <c r="AN225" s="611"/>
      <c r="AO225" s="611"/>
      <c r="AP225" s="611"/>
      <c r="AQ225" s="611"/>
      <c r="AR225" s="611"/>
      <c r="AS225" s="611"/>
      <c r="AT225" s="611"/>
    </row>
    <row r="226" spans="1:46" ht="15" customHeight="1" outlineLevel="1" x14ac:dyDescent="0.25">
      <c r="B226" s="551" t="s">
        <v>357</v>
      </c>
      <c r="C226" s="551"/>
      <c r="D226" s="551"/>
      <c r="E226" s="551"/>
      <c r="F226" s="551"/>
      <c r="G226" s="551"/>
      <c r="L226" s="541"/>
      <c r="M226" s="541"/>
      <c r="N226" s="541"/>
      <c r="O226" s="541"/>
      <c r="P226" s="541"/>
      <c r="Q226" s="541"/>
      <c r="R226" s="541"/>
      <c r="S226" s="541">
        <f>+R106</f>
        <v>12969</v>
      </c>
      <c r="T226" s="541">
        <f ca="1">+S243</f>
        <v>14227.278852017949</v>
      </c>
      <c r="U226" s="541">
        <f ca="1">+T243</f>
        <v>16012.331149549074</v>
      </c>
      <c r="V226" s="541">
        <f t="shared" ref="V226" ca="1" si="364">+U243</f>
        <v>17653.291852261038</v>
      </c>
      <c r="W226" s="541">
        <f t="shared" ref="W226" ca="1" si="365">+V243</f>
        <v>17530.32993798421</v>
      </c>
      <c r="X226" s="541">
        <f t="shared" ref="X226" ca="1" si="366">+W243</f>
        <v>18891.94589012337</v>
      </c>
      <c r="Y226" s="541">
        <f t="shared" ref="Y226" ca="1" si="367">+X243</f>
        <v>20922.512957805597</v>
      </c>
      <c r="Z226" s="541">
        <f t="shared" ref="Z226" ca="1" si="368">+Y243</f>
        <v>22992.215024738427</v>
      </c>
      <c r="AA226" s="541">
        <f t="shared" ref="AA226" ca="1" si="369">+Z243</f>
        <v>22459.58478044</v>
      </c>
      <c r="AB226" s="541">
        <f t="shared" ref="AB226" ca="1" si="370">+AA243</f>
        <v>23761.259434623462</v>
      </c>
      <c r="AC226" s="541">
        <f t="shared" ref="AC226" ca="1" si="371">+AB243</f>
        <v>25837.250872881668</v>
      </c>
      <c r="AD226" s="541">
        <f t="shared" ref="AD226" ca="1" si="372">+AC243</f>
        <v>27996.031430477982</v>
      </c>
      <c r="AE226" s="541">
        <f t="shared" ref="AE226" ca="1" si="373">+AD243</f>
        <v>27239.814819053845</v>
      </c>
      <c r="AF226" s="541">
        <f t="shared" ref="AF226" ca="1" si="374">+AE243</f>
        <v>28352.575399767535</v>
      </c>
      <c r="AG226" s="541">
        <f t="shared" ref="AG226" ca="1" si="375">+AF243</f>
        <v>30326.773757704872</v>
      </c>
      <c r="AH226" s="541">
        <f t="shared" ref="AH226" ca="1" si="376">+AG243</f>
        <v>32501.067011671577</v>
      </c>
      <c r="AI226" s="541">
        <f t="shared" ref="AI226" ca="1" si="377">+AH243</f>
        <v>31292.107218180965</v>
      </c>
      <c r="AJ226" s="541">
        <f t="shared" ref="AJ226" ca="1" si="378">+AI243</f>
        <v>32048.524233079836</v>
      </c>
      <c r="AK226" s="541">
        <f t="shared" ref="AK226" ca="1" si="379">+AJ243</f>
        <v>33708.067731613177</v>
      </c>
      <c r="AL226" s="541">
        <f t="shared" ref="AL226" ca="1" si="380">+AK243</f>
        <v>35598.132001674967</v>
      </c>
      <c r="AN226" s="541">
        <f>+AM243</f>
        <v>0</v>
      </c>
      <c r="AO226" s="541">
        <f t="shared" ref="AO226" si="381">+AN243</f>
        <v>0</v>
      </c>
      <c r="AP226" s="541">
        <f t="shared" ref="AP226" si="382">+AO243</f>
        <v>0</v>
      </c>
      <c r="AQ226" s="541">
        <f t="shared" ref="AQ226" ca="1" si="383">+AP243</f>
        <v>4561.3299379842138</v>
      </c>
      <c r="AR226" s="541">
        <f t="shared" ref="AR226" ca="1" si="384">+AQ243</f>
        <v>9490.5847804400055</v>
      </c>
      <c r="AS226" s="541">
        <f t="shared" ref="AS226" ca="1" si="385">+AR243</f>
        <v>14270.814819053847</v>
      </c>
      <c r="AT226" s="541">
        <f t="shared" ref="AT226" ca="1" si="386">+AS243</f>
        <v>18323.107218180965</v>
      </c>
    </row>
    <row r="227" spans="1:46" ht="15" customHeight="1" outlineLevel="1" x14ac:dyDescent="0.25">
      <c r="B227" s="98" t="s">
        <v>358</v>
      </c>
      <c r="C227" s="551"/>
      <c r="D227" s="551"/>
      <c r="E227" s="551"/>
      <c r="F227" s="551"/>
      <c r="G227" s="551"/>
      <c r="K227" s="588"/>
      <c r="L227" s="631">
        <v>9336</v>
      </c>
      <c r="M227" s="631">
        <v>9862</v>
      </c>
      <c r="N227" s="631">
        <v>10258</v>
      </c>
      <c r="O227" s="631">
        <v>12058</v>
      </c>
      <c r="P227" s="631">
        <v>15306</v>
      </c>
      <c r="Q227" s="631">
        <v>15602</v>
      </c>
      <c r="R227" s="631">
        <v>15983</v>
      </c>
      <c r="S227" s="632"/>
      <c r="T227" s="632"/>
      <c r="U227" s="632"/>
      <c r="V227" s="632"/>
      <c r="W227" s="632"/>
      <c r="X227" s="632"/>
      <c r="Y227" s="632"/>
      <c r="Z227" s="632"/>
      <c r="AA227" s="632"/>
      <c r="AB227" s="632"/>
      <c r="AC227" s="632"/>
      <c r="AD227" s="632"/>
      <c r="AE227" s="632"/>
      <c r="AF227" s="632"/>
      <c r="AG227" s="632"/>
      <c r="AH227" s="632"/>
      <c r="AI227" s="632"/>
      <c r="AJ227" s="632"/>
      <c r="AK227" s="632"/>
      <c r="AL227" s="632"/>
      <c r="AN227" s="632"/>
      <c r="AO227" s="632"/>
      <c r="AP227" s="632"/>
      <c r="AQ227" s="632"/>
      <c r="AR227" s="632"/>
      <c r="AS227" s="632"/>
      <c r="AT227" s="632"/>
    </row>
    <row r="228" spans="1:46" ht="15" customHeight="1" outlineLevel="1" x14ac:dyDescent="0.25">
      <c r="B228" s="98" t="s">
        <v>359</v>
      </c>
      <c r="C228" s="551"/>
      <c r="D228" s="551"/>
      <c r="E228" s="551"/>
      <c r="F228" s="551"/>
      <c r="G228" s="551"/>
      <c r="K228" s="588"/>
      <c r="L228" s="631">
        <v>2364</v>
      </c>
      <c r="M228" s="631">
        <v>2699</v>
      </c>
      <c r="N228" s="631">
        <v>3023</v>
      </c>
      <c r="O228" s="631">
        <v>3861</v>
      </c>
      <c r="P228" s="631">
        <v>4403</v>
      </c>
      <c r="Q228" s="631">
        <v>4942</v>
      </c>
      <c r="R228" s="631">
        <v>5204</v>
      </c>
      <c r="S228" s="632"/>
      <c r="T228" s="632"/>
      <c r="U228" s="632"/>
      <c r="V228" s="632"/>
      <c r="W228" s="632"/>
      <c r="X228" s="632"/>
      <c r="Y228" s="632"/>
      <c r="Z228" s="632"/>
      <c r="AA228" s="632"/>
      <c r="AB228" s="632"/>
      <c r="AC228" s="632"/>
      <c r="AD228" s="632"/>
      <c r="AE228" s="632"/>
      <c r="AF228" s="632"/>
      <c r="AG228" s="632"/>
      <c r="AH228" s="632"/>
      <c r="AI228" s="632"/>
      <c r="AJ228" s="632"/>
      <c r="AK228" s="632"/>
      <c r="AL228" s="632"/>
      <c r="AN228" s="632"/>
      <c r="AO228" s="632"/>
      <c r="AP228" s="632"/>
      <c r="AQ228" s="632"/>
      <c r="AR228" s="632"/>
      <c r="AS228" s="632"/>
      <c r="AT228" s="632"/>
    </row>
    <row r="229" spans="1:46" ht="15" customHeight="1" outlineLevel="1" x14ac:dyDescent="0.25">
      <c r="B229" s="551" t="s">
        <v>360</v>
      </c>
      <c r="C229" s="551"/>
      <c r="D229" s="551"/>
      <c r="E229" s="551"/>
      <c r="F229" s="551"/>
      <c r="G229" s="551"/>
      <c r="K229" s="588"/>
      <c r="L229" s="633">
        <f t="shared" ref="L229:N229" si="387">SUM(L227:L228)</f>
        <v>11700</v>
      </c>
      <c r="M229" s="633">
        <f t="shared" si="387"/>
        <v>12561</v>
      </c>
      <c r="N229" s="633">
        <f t="shared" si="387"/>
        <v>13281</v>
      </c>
      <c r="O229" s="633">
        <f>SUM(O227:O228)</f>
        <v>15919</v>
      </c>
      <c r="P229" s="633">
        <f t="shared" ref="P229:R229" si="388">SUM(P227:P228)</f>
        <v>19709</v>
      </c>
      <c r="Q229" s="633">
        <f t="shared" si="388"/>
        <v>20544</v>
      </c>
      <c r="R229" s="633">
        <f t="shared" si="388"/>
        <v>21187</v>
      </c>
      <c r="S229" s="597"/>
      <c r="T229" s="597"/>
      <c r="U229" s="597"/>
      <c r="V229" s="597"/>
      <c r="W229" s="597"/>
      <c r="X229" s="597"/>
      <c r="Y229" s="597"/>
      <c r="Z229" s="597"/>
      <c r="AA229" s="597"/>
      <c r="AB229" s="597"/>
      <c r="AC229" s="597"/>
      <c r="AD229" s="597"/>
      <c r="AE229" s="597"/>
      <c r="AF229" s="597"/>
      <c r="AG229" s="597"/>
      <c r="AH229" s="597"/>
      <c r="AI229" s="597"/>
      <c r="AJ229" s="597"/>
      <c r="AK229" s="597"/>
      <c r="AL229" s="597"/>
      <c r="AN229" s="597"/>
      <c r="AO229" s="597"/>
      <c r="AP229" s="597"/>
      <c r="AQ229" s="597"/>
      <c r="AR229" s="597"/>
      <c r="AS229" s="597"/>
      <c r="AT229" s="597"/>
    </row>
    <row r="230" spans="1:46" ht="15" customHeight="1" outlineLevel="1" x14ac:dyDescent="0.25">
      <c r="B230" s="98" t="s">
        <v>361</v>
      </c>
      <c r="C230" s="551"/>
      <c r="D230" s="551"/>
      <c r="E230" s="551"/>
      <c r="F230" s="551"/>
      <c r="G230" s="551"/>
      <c r="K230" s="543"/>
      <c r="L230" s="543">
        <f t="shared" ref="L230:R232" si="389">+L227/L$229</f>
        <v>0.79794871794871791</v>
      </c>
      <c r="M230" s="543">
        <f t="shared" si="389"/>
        <v>0.78512857256587854</v>
      </c>
      <c r="N230" s="543">
        <f t="shared" si="389"/>
        <v>0.77238159777125215</v>
      </c>
      <c r="O230" s="543">
        <f t="shared" si="389"/>
        <v>0.75745963942458694</v>
      </c>
      <c r="P230" s="543">
        <f t="shared" si="389"/>
        <v>0.77659952306053071</v>
      </c>
      <c r="Q230" s="543">
        <f t="shared" si="389"/>
        <v>0.75944314641744548</v>
      </c>
      <c r="R230" s="543">
        <f t="shared" si="389"/>
        <v>0.75437768442913111</v>
      </c>
      <c r="S230" s="634"/>
      <c r="T230" s="634"/>
      <c r="U230" s="634"/>
      <c r="V230" s="634"/>
      <c r="W230" s="634"/>
      <c r="X230" s="634"/>
      <c r="Y230" s="634"/>
      <c r="Z230" s="634"/>
      <c r="AA230" s="634"/>
      <c r="AB230" s="634"/>
      <c r="AC230" s="634"/>
      <c r="AD230" s="634"/>
      <c r="AE230" s="634"/>
      <c r="AF230" s="634"/>
      <c r="AG230" s="634"/>
      <c r="AH230" s="634"/>
      <c r="AI230" s="634"/>
      <c r="AJ230" s="634"/>
      <c r="AK230" s="634"/>
      <c r="AL230" s="634"/>
      <c r="AN230" s="634"/>
      <c r="AO230" s="634"/>
      <c r="AP230" s="634"/>
      <c r="AQ230" s="634"/>
      <c r="AR230" s="634"/>
      <c r="AS230" s="634"/>
      <c r="AT230" s="634"/>
    </row>
    <row r="231" spans="1:46" ht="15" customHeight="1" outlineLevel="1" x14ac:dyDescent="0.25">
      <c r="B231" s="98" t="s">
        <v>362</v>
      </c>
      <c r="C231" s="551"/>
      <c r="D231" s="551"/>
      <c r="E231" s="551"/>
      <c r="F231" s="551"/>
      <c r="G231" s="551"/>
      <c r="K231" s="543"/>
      <c r="L231" s="543">
        <f t="shared" si="389"/>
        <v>0.20205128205128206</v>
      </c>
      <c r="M231" s="543">
        <f t="shared" si="389"/>
        <v>0.21487142743412149</v>
      </c>
      <c r="N231" s="543">
        <f t="shared" si="389"/>
        <v>0.22761840222874782</v>
      </c>
      <c r="O231" s="543">
        <f t="shared" si="389"/>
        <v>0.24254036057541303</v>
      </c>
      <c r="P231" s="543">
        <f t="shared" si="389"/>
        <v>0.22340047693946927</v>
      </c>
      <c r="Q231" s="543">
        <f t="shared" si="389"/>
        <v>0.24055685358255452</v>
      </c>
      <c r="R231" s="543">
        <f t="shared" si="389"/>
        <v>0.24562231557086892</v>
      </c>
      <c r="S231" s="634"/>
      <c r="T231" s="634"/>
      <c r="U231" s="634"/>
      <c r="V231" s="634"/>
      <c r="W231" s="634"/>
      <c r="X231" s="634"/>
      <c r="Y231" s="634"/>
      <c r="Z231" s="634"/>
      <c r="AA231" s="634"/>
      <c r="AB231" s="634"/>
      <c r="AC231" s="634"/>
      <c r="AD231" s="634"/>
      <c r="AE231" s="634"/>
      <c r="AF231" s="634"/>
      <c r="AG231" s="634"/>
      <c r="AH231" s="634"/>
      <c r="AI231" s="634"/>
      <c r="AJ231" s="634"/>
      <c r="AK231" s="634"/>
      <c r="AL231" s="634"/>
      <c r="AN231" s="634"/>
      <c r="AO231" s="634"/>
      <c r="AP231" s="634"/>
      <c r="AQ231" s="634"/>
      <c r="AR231" s="634"/>
      <c r="AS231" s="634"/>
      <c r="AT231" s="634"/>
    </row>
    <row r="232" spans="1:46" ht="15" customHeight="1" outlineLevel="1" x14ac:dyDescent="0.25">
      <c r="B232" s="551" t="s">
        <v>363</v>
      </c>
      <c r="C232" s="551"/>
      <c r="D232" s="551"/>
      <c r="E232" s="551"/>
      <c r="F232" s="551"/>
      <c r="G232" s="551"/>
      <c r="K232" s="543"/>
      <c r="L232" s="635">
        <f t="shared" si="389"/>
        <v>1</v>
      </c>
      <c r="M232" s="635">
        <f t="shared" si="389"/>
        <v>1</v>
      </c>
      <c r="N232" s="635">
        <f t="shared" si="389"/>
        <v>1</v>
      </c>
      <c r="O232" s="635">
        <f t="shared" si="389"/>
        <v>1</v>
      </c>
      <c r="P232" s="635">
        <f t="shared" si="389"/>
        <v>1</v>
      </c>
      <c r="Q232" s="635">
        <f t="shared" si="389"/>
        <v>1</v>
      </c>
      <c r="R232" s="635">
        <f t="shared" si="389"/>
        <v>1</v>
      </c>
      <c r="S232" s="634"/>
      <c r="T232" s="634"/>
      <c r="U232" s="634"/>
      <c r="V232" s="634"/>
      <c r="W232" s="634"/>
      <c r="X232" s="634"/>
      <c r="Y232" s="634"/>
      <c r="Z232" s="634"/>
      <c r="AA232" s="634"/>
      <c r="AB232" s="634"/>
      <c r="AC232" s="634"/>
      <c r="AD232" s="634"/>
      <c r="AE232" s="634"/>
      <c r="AF232" s="634"/>
      <c r="AG232" s="634"/>
      <c r="AH232" s="634"/>
      <c r="AI232" s="634"/>
      <c r="AJ232" s="634"/>
      <c r="AK232" s="634"/>
      <c r="AL232" s="634"/>
      <c r="AN232" s="634"/>
      <c r="AO232" s="634"/>
      <c r="AP232" s="634"/>
      <c r="AQ232" s="634"/>
      <c r="AR232" s="634"/>
      <c r="AS232" s="634"/>
      <c r="AT232" s="634"/>
    </row>
    <row r="233" spans="1:46" ht="15.75" customHeight="1" outlineLevel="1" x14ac:dyDescent="0.25">
      <c r="B233" s="98" t="s">
        <v>364</v>
      </c>
      <c r="C233" s="551"/>
      <c r="D233" s="551"/>
      <c r="E233" s="551"/>
      <c r="F233" s="551"/>
      <c r="G233" s="551"/>
      <c r="K233" s="588"/>
      <c r="L233" s="541"/>
      <c r="M233" s="541"/>
      <c r="N233" s="541"/>
      <c r="O233" s="541"/>
      <c r="P233" s="541"/>
      <c r="Q233" s="541"/>
      <c r="R233" s="541">
        <v>-8330</v>
      </c>
      <c r="S233" s="541"/>
      <c r="T233" s="541"/>
      <c r="U233" s="541"/>
      <c r="V233" s="541"/>
      <c r="W233" s="541"/>
      <c r="X233" s="541"/>
      <c r="Y233" s="541"/>
      <c r="Z233" s="541"/>
      <c r="AA233" s="541"/>
      <c r="AB233" s="541"/>
      <c r="AC233" s="541"/>
      <c r="AD233" s="541"/>
      <c r="AE233" s="541"/>
      <c r="AF233" s="541"/>
      <c r="AG233" s="541"/>
      <c r="AH233" s="541"/>
      <c r="AI233" s="541"/>
      <c r="AJ233" s="541"/>
      <c r="AK233" s="541"/>
      <c r="AL233" s="541"/>
      <c r="AN233" s="541"/>
      <c r="AO233" s="541"/>
      <c r="AP233" s="541"/>
      <c r="AQ233" s="541"/>
      <c r="AR233" s="541"/>
      <c r="AS233" s="541"/>
      <c r="AT233" s="541"/>
    </row>
    <row r="234" spans="1:46" ht="16.5" thickBot="1" x14ac:dyDescent="0.3">
      <c r="B234" s="636" t="s">
        <v>365</v>
      </c>
      <c r="H234" s="69" t="s">
        <v>366</v>
      </c>
      <c r="R234" s="553">
        <f>+R229+R233</f>
        <v>12857</v>
      </c>
      <c r="S234" s="541"/>
      <c r="T234" s="541"/>
      <c r="U234" s="541"/>
      <c r="V234" s="541"/>
      <c r="W234" s="541"/>
      <c r="X234" s="541"/>
      <c r="Y234" s="541"/>
      <c r="Z234" s="541"/>
      <c r="AA234" s="541"/>
      <c r="AB234" s="541"/>
      <c r="AC234" s="541"/>
      <c r="AD234" s="541"/>
      <c r="AE234" s="541"/>
      <c r="AF234" s="541"/>
      <c r="AG234" s="541"/>
      <c r="AH234" s="541"/>
      <c r="AI234" s="541"/>
      <c r="AJ234" s="541"/>
      <c r="AK234" s="541"/>
      <c r="AL234" s="541"/>
      <c r="AN234" s="541"/>
      <c r="AO234" s="541"/>
      <c r="AP234" s="541"/>
      <c r="AQ234" s="541"/>
      <c r="AR234" s="541"/>
      <c r="AS234" s="541"/>
      <c r="AT234" s="541"/>
    </row>
    <row r="235" spans="1:46" ht="16.5" thickTop="1" x14ac:dyDescent="0.25">
      <c r="B235" s="637" t="s">
        <v>367</v>
      </c>
      <c r="H235" s="69" t="s">
        <v>368</v>
      </c>
      <c r="R235" s="541">
        <f>+R234*R230</f>
        <v>9699.0338887053385</v>
      </c>
      <c r="S235" s="541">
        <f>+R235/D249</f>
        <v>404.12641202938909</v>
      </c>
      <c r="T235" s="541">
        <f>+S235</f>
        <v>404.12641202938909</v>
      </c>
      <c r="U235" s="541">
        <f>+T235</f>
        <v>404.12641202938909</v>
      </c>
      <c r="V235" s="541">
        <f t="shared" ref="V235:AL235" si="390">+U235</f>
        <v>404.12641202938909</v>
      </c>
      <c r="W235" s="541">
        <f t="shared" si="390"/>
        <v>404.12641202938909</v>
      </c>
      <c r="X235" s="541">
        <f t="shared" si="390"/>
        <v>404.12641202938909</v>
      </c>
      <c r="Y235" s="541">
        <f t="shared" si="390"/>
        <v>404.12641202938909</v>
      </c>
      <c r="Z235" s="541">
        <f t="shared" si="390"/>
        <v>404.12641202938909</v>
      </c>
      <c r="AA235" s="541">
        <f t="shared" si="390"/>
        <v>404.12641202938909</v>
      </c>
      <c r="AB235" s="541">
        <f t="shared" si="390"/>
        <v>404.12641202938909</v>
      </c>
      <c r="AC235" s="541">
        <f t="shared" si="390"/>
        <v>404.12641202938909</v>
      </c>
      <c r="AD235" s="541">
        <f t="shared" si="390"/>
        <v>404.12641202938909</v>
      </c>
      <c r="AE235" s="541">
        <f t="shared" si="390"/>
        <v>404.12641202938909</v>
      </c>
      <c r="AF235" s="541">
        <f t="shared" si="390"/>
        <v>404.12641202938909</v>
      </c>
      <c r="AG235" s="541">
        <f t="shared" si="390"/>
        <v>404.12641202938909</v>
      </c>
      <c r="AH235" s="541">
        <f t="shared" si="390"/>
        <v>404.12641202938909</v>
      </c>
      <c r="AI235" s="541">
        <f t="shared" si="390"/>
        <v>404.12641202938909</v>
      </c>
      <c r="AJ235" s="541">
        <f t="shared" si="390"/>
        <v>404.12641202938909</v>
      </c>
      <c r="AK235" s="541">
        <f t="shared" si="390"/>
        <v>404.12641202938909</v>
      </c>
      <c r="AL235" s="541">
        <f t="shared" si="390"/>
        <v>404.12641202938909</v>
      </c>
      <c r="AN235" s="571"/>
      <c r="AO235" s="571"/>
      <c r="AP235" s="541">
        <f t="shared" ref="AP235:AT236" si="391">SUMIF($K$4:$AL$4,AP$4,$K235:$AL235)</f>
        <v>1616.5056481175563</v>
      </c>
      <c r="AQ235" s="541">
        <f t="shared" si="391"/>
        <v>1616.5056481175563</v>
      </c>
      <c r="AR235" s="541">
        <f t="shared" si="391"/>
        <v>1616.5056481175563</v>
      </c>
      <c r="AS235" s="541">
        <f t="shared" si="391"/>
        <v>1616.5056481175563</v>
      </c>
      <c r="AT235" s="541">
        <f t="shared" si="391"/>
        <v>1616.5056481175563</v>
      </c>
    </row>
    <row r="236" spans="1:46" x14ac:dyDescent="0.25">
      <c r="B236" s="638" t="s">
        <v>369</v>
      </c>
      <c r="H236" s="69" t="s">
        <v>370</v>
      </c>
      <c r="R236" s="570">
        <f>+R231*R234</f>
        <v>3157.9661112946615</v>
      </c>
      <c r="S236" s="541">
        <f>+R236/H249</f>
        <v>112.78450397480934</v>
      </c>
      <c r="T236" s="541">
        <f>+S236</f>
        <v>112.78450397480934</v>
      </c>
      <c r="U236" s="541">
        <f>+T236</f>
        <v>112.78450397480934</v>
      </c>
      <c r="V236" s="541">
        <f t="shared" ref="V236:AL236" si="392">+U236</f>
        <v>112.78450397480934</v>
      </c>
      <c r="W236" s="541">
        <f t="shared" si="392"/>
        <v>112.78450397480934</v>
      </c>
      <c r="X236" s="541">
        <f t="shared" si="392"/>
        <v>112.78450397480934</v>
      </c>
      <c r="Y236" s="541">
        <f t="shared" si="392"/>
        <v>112.78450397480934</v>
      </c>
      <c r="Z236" s="541">
        <f t="shared" si="392"/>
        <v>112.78450397480934</v>
      </c>
      <c r="AA236" s="541">
        <f t="shared" si="392"/>
        <v>112.78450397480934</v>
      </c>
      <c r="AB236" s="541">
        <f t="shared" si="392"/>
        <v>112.78450397480934</v>
      </c>
      <c r="AC236" s="541">
        <f t="shared" si="392"/>
        <v>112.78450397480934</v>
      </c>
      <c r="AD236" s="541">
        <f t="shared" si="392"/>
        <v>112.78450397480934</v>
      </c>
      <c r="AE236" s="541">
        <f t="shared" si="392"/>
        <v>112.78450397480934</v>
      </c>
      <c r="AF236" s="541">
        <f t="shared" si="392"/>
        <v>112.78450397480934</v>
      </c>
      <c r="AG236" s="541">
        <f t="shared" si="392"/>
        <v>112.78450397480934</v>
      </c>
      <c r="AH236" s="541">
        <f t="shared" si="392"/>
        <v>112.78450397480934</v>
      </c>
      <c r="AI236" s="541">
        <f t="shared" si="392"/>
        <v>112.78450397480934</v>
      </c>
      <c r="AJ236" s="541">
        <f t="shared" si="392"/>
        <v>112.78450397480934</v>
      </c>
      <c r="AK236" s="541">
        <f t="shared" si="392"/>
        <v>112.78450397480934</v>
      </c>
      <c r="AL236" s="541">
        <f t="shared" si="392"/>
        <v>112.78450397480934</v>
      </c>
      <c r="AN236" s="571"/>
      <c r="AO236" s="571"/>
      <c r="AP236" s="541">
        <f t="shared" si="391"/>
        <v>451.13801589923736</v>
      </c>
      <c r="AQ236" s="541">
        <f t="shared" si="391"/>
        <v>451.13801589923736</v>
      </c>
      <c r="AR236" s="541">
        <f t="shared" si="391"/>
        <v>451.13801589923736</v>
      </c>
      <c r="AS236" s="541">
        <f t="shared" si="391"/>
        <v>451.13801589923736</v>
      </c>
      <c r="AT236" s="541">
        <f t="shared" si="391"/>
        <v>451.13801589923736</v>
      </c>
    </row>
    <row r="237" spans="1:46" x14ac:dyDescent="0.25">
      <c r="B237" s="98" t="s">
        <v>371</v>
      </c>
      <c r="R237" s="541"/>
      <c r="S237" s="542">
        <f>SUM(S235:S236)</f>
        <v>516.91091600419838</v>
      </c>
      <c r="T237" s="542">
        <f t="shared" ref="T237:AL237" si="393">SUM(T235:T236)</f>
        <v>516.91091600419838</v>
      </c>
      <c r="U237" s="542">
        <f t="shared" si="393"/>
        <v>516.91091600419838</v>
      </c>
      <c r="V237" s="542">
        <f t="shared" si="393"/>
        <v>516.91091600419838</v>
      </c>
      <c r="W237" s="542">
        <f t="shared" si="393"/>
        <v>516.91091600419838</v>
      </c>
      <c r="X237" s="542">
        <f t="shared" si="393"/>
        <v>516.91091600419838</v>
      </c>
      <c r="Y237" s="542">
        <f t="shared" si="393"/>
        <v>516.91091600419838</v>
      </c>
      <c r="Z237" s="542">
        <f t="shared" si="393"/>
        <v>516.91091600419838</v>
      </c>
      <c r="AA237" s="542">
        <f t="shared" si="393"/>
        <v>516.91091600419838</v>
      </c>
      <c r="AB237" s="542">
        <f t="shared" si="393"/>
        <v>516.91091600419838</v>
      </c>
      <c r="AC237" s="542">
        <f t="shared" si="393"/>
        <v>516.91091600419838</v>
      </c>
      <c r="AD237" s="542">
        <f t="shared" si="393"/>
        <v>516.91091600419838</v>
      </c>
      <c r="AE237" s="542">
        <f t="shared" si="393"/>
        <v>516.91091600419838</v>
      </c>
      <c r="AF237" s="542">
        <f t="shared" si="393"/>
        <v>516.91091600419838</v>
      </c>
      <c r="AG237" s="542">
        <f t="shared" si="393"/>
        <v>516.91091600419838</v>
      </c>
      <c r="AH237" s="542">
        <f t="shared" si="393"/>
        <v>516.91091600419838</v>
      </c>
      <c r="AI237" s="542">
        <f t="shared" si="393"/>
        <v>516.91091600419838</v>
      </c>
      <c r="AJ237" s="542">
        <f t="shared" si="393"/>
        <v>516.91091600419838</v>
      </c>
      <c r="AK237" s="542">
        <f t="shared" si="393"/>
        <v>516.91091600419838</v>
      </c>
      <c r="AL237" s="542">
        <f t="shared" si="393"/>
        <v>516.91091600419838</v>
      </c>
      <c r="AN237" s="574"/>
      <c r="AO237" s="574"/>
      <c r="AP237" s="542">
        <f t="shared" ref="AP237:AT237" si="394">SUM(AP235:AP236)</f>
        <v>2067.6436640167935</v>
      </c>
      <c r="AQ237" s="542">
        <f t="shared" si="394"/>
        <v>2067.6436640167935</v>
      </c>
      <c r="AR237" s="542">
        <f t="shared" si="394"/>
        <v>2067.6436640167935</v>
      </c>
      <c r="AS237" s="542">
        <f t="shared" si="394"/>
        <v>2067.6436640167935</v>
      </c>
      <c r="AT237" s="542">
        <f t="shared" si="394"/>
        <v>2067.6436640167935</v>
      </c>
    </row>
    <row r="238" spans="1:46" x14ac:dyDescent="0.25">
      <c r="B238" s="98"/>
      <c r="C238" s="551"/>
      <c r="D238" s="551"/>
      <c r="E238" s="551"/>
      <c r="F238" s="551"/>
      <c r="G238" s="551"/>
      <c r="K238" s="588"/>
      <c r="L238" s="541"/>
      <c r="M238" s="541"/>
      <c r="N238" s="541"/>
      <c r="O238" s="541"/>
      <c r="P238" s="541"/>
      <c r="Q238" s="541"/>
      <c r="R238" s="541"/>
      <c r="S238" s="541"/>
      <c r="T238" s="541"/>
      <c r="U238" s="541"/>
      <c r="V238" s="541"/>
      <c r="W238" s="541"/>
      <c r="X238" s="541"/>
      <c r="Y238" s="541"/>
      <c r="Z238" s="541"/>
      <c r="AA238" s="541"/>
      <c r="AB238" s="541"/>
      <c r="AC238" s="541"/>
      <c r="AD238" s="541"/>
      <c r="AE238" s="541"/>
      <c r="AF238" s="541"/>
      <c r="AG238" s="541"/>
      <c r="AH238" s="541"/>
      <c r="AI238" s="541"/>
      <c r="AJ238" s="541"/>
      <c r="AK238" s="541"/>
      <c r="AL238" s="541"/>
      <c r="AN238" s="571"/>
      <c r="AO238" s="571"/>
      <c r="AP238" s="541"/>
      <c r="AQ238" s="541"/>
      <c r="AR238" s="541"/>
      <c r="AS238" s="541"/>
      <c r="AT238" s="541"/>
    </row>
    <row r="239" spans="1:46" x14ac:dyDescent="0.25">
      <c r="B239" s="551" t="s">
        <v>372</v>
      </c>
      <c r="D239" s="551"/>
      <c r="E239" s="551"/>
      <c r="F239" s="551"/>
      <c r="G239" s="551"/>
      <c r="H239" s="551" t="s">
        <v>373</v>
      </c>
      <c r="I239" s="551"/>
      <c r="K239" s="69">
        <v>839</v>
      </c>
      <c r="L239" s="69">
        <v>1139</v>
      </c>
      <c r="M239" s="541">
        <f>3063-L239-K239</f>
        <v>1085</v>
      </c>
      <c r="N239" s="541">
        <f>3586-SUM(K239:M239)</f>
        <v>523</v>
      </c>
      <c r="O239" s="541">
        <v>1327</v>
      </c>
      <c r="P239" s="541">
        <f>3191-O239</f>
        <v>1864</v>
      </c>
      <c r="Q239" s="541">
        <f>5270-P239-O239</f>
        <v>2079</v>
      </c>
      <c r="R239" s="541">
        <f>5562-SUM(O239:Q239)</f>
        <v>292</v>
      </c>
      <c r="S239" s="614">
        <f ca="1">+S244*S$7</f>
        <v>1849.5502497677542</v>
      </c>
      <c r="T239" s="541">
        <f t="shared" ref="T239:AL239" ca="1" si="395">+T244*T$7</f>
        <v>2475.8649262792719</v>
      </c>
      <c r="U239" s="541">
        <f t="shared" ca="1" si="395"/>
        <v>2429.4484033720632</v>
      </c>
      <c r="V239" s="541">
        <f t="shared" ca="1" si="395"/>
        <v>693.40383017389115</v>
      </c>
      <c r="W239" s="541">
        <f t="shared" ca="1" si="395"/>
        <v>2269.2146290396745</v>
      </c>
      <c r="X239" s="541">
        <f t="shared" ca="1" si="395"/>
        <v>3061.2418371511662</v>
      </c>
      <c r="Y239" s="541">
        <f t="shared" ca="1" si="395"/>
        <v>3230.2477489660123</v>
      </c>
      <c r="Z239" s="541">
        <f t="shared" ca="1" si="395"/>
        <v>654.21803100481804</v>
      </c>
      <c r="AA239" s="541">
        <f t="shared" ca="1" si="395"/>
        <v>2592.764046242231</v>
      </c>
      <c r="AB239" s="541">
        <f t="shared" ca="1" si="395"/>
        <v>3508.1236400092216</v>
      </c>
      <c r="AC239" s="541">
        <f t="shared" ca="1" si="395"/>
        <v>3741.3316089270052</v>
      </c>
      <c r="AD239" s="541">
        <f t="shared" ca="1" si="395"/>
        <v>860.94855730476979</v>
      </c>
      <c r="AE239" s="541">
        <f t="shared" ca="1" si="395"/>
        <v>2844.2789287561868</v>
      </c>
      <c r="AF239" s="541">
        <f t="shared" ca="1" si="395"/>
        <v>3860.9445494663441</v>
      </c>
      <c r="AG239" s="541">
        <f t="shared" ca="1" si="395"/>
        <v>4231.1513146574098</v>
      </c>
      <c r="AH239" s="541">
        <f t="shared" ca="1" si="395"/>
        <v>883.41566638525364</v>
      </c>
      <c r="AI239" s="541">
        <f t="shared" ca="1" si="395"/>
        <v>2968.1248327195021</v>
      </c>
      <c r="AJ239" s="541">
        <f t="shared" ca="1" si="395"/>
        <v>4033.4131978767218</v>
      </c>
      <c r="AK239" s="541">
        <f t="shared" ca="1" si="395"/>
        <v>4442.5448367096069</v>
      </c>
      <c r="AL239" s="541">
        <f t="shared" ca="1" si="395"/>
        <v>954.60841694506212</v>
      </c>
      <c r="AN239" s="571"/>
      <c r="AO239" s="571"/>
      <c r="AP239" s="541">
        <f t="shared" ref="AP239:AT239" ca="1" si="396">+AP244*AP$7</f>
        <v>2515.8612687545974</v>
      </c>
      <c r="AQ239" s="541">
        <f t="shared" ca="1" si="396"/>
        <v>2398.4406881442296</v>
      </c>
      <c r="AR239" s="541">
        <f t="shared" ca="1" si="396"/>
        <v>3182.8691654501117</v>
      </c>
      <c r="AS239" s="541">
        <f t="shared" ca="1" si="396"/>
        <v>3283.7197482440165</v>
      </c>
      <c r="AT239" s="541">
        <f t="shared" ca="1" si="396"/>
        <v>3558.5839666919046</v>
      </c>
    </row>
    <row r="240" spans="1:46" x14ac:dyDescent="0.25">
      <c r="B240" s="98" t="s">
        <v>374</v>
      </c>
      <c r="C240" s="551"/>
      <c r="D240" s="551"/>
      <c r="E240" s="551"/>
      <c r="F240" s="551"/>
      <c r="G240" s="551"/>
      <c r="L240" s="541">
        <f>+L230*L$239</f>
        <v>908.86358974358973</v>
      </c>
      <c r="M240" s="541">
        <f t="shared" ref="M240:R240" si="397">+M230*M$239</f>
        <v>851.86450123397822</v>
      </c>
      <c r="N240" s="541">
        <f t="shared" si="397"/>
        <v>403.95557563436489</v>
      </c>
      <c r="O240" s="541">
        <f t="shared" si="397"/>
        <v>1005.1489415164268</v>
      </c>
      <c r="P240" s="541">
        <f t="shared" si="397"/>
        <v>1447.5815109848293</v>
      </c>
      <c r="Q240" s="541">
        <f t="shared" si="397"/>
        <v>1578.8823014018692</v>
      </c>
      <c r="R240" s="541">
        <f t="shared" si="397"/>
        <v>220.27828385330628</v>
      </c>
      <c r="S240" s="541">
        <f t="shared" ref="S240:AL240" ca="1" si="398">+S$239*$R$230</f>
        <v>1395.2594346551195</v>
      </c>
      <c r="T240" s="541">
        <f t="shared" ca="1" si="398"/>
        <v>1867.7372500458584</v>
      </c>
      <c r="U240" s="541">
        <f t="shared" ca="1" si="398"/>
        <v>1832.7216609758668</v>
      </c>
      <c r="V240" s="541">
        <f t="shared" ca="1" si="398"/>
        <v>523.08837578087048</v>
      </c>
      <c r="W240" s="541">
        <f t="shared" ca="1" si="398"/>
        <v>1711.8448773276593</v>
      </c>
      <c r="X240" s="541">
        <f t="shared" ca="1" si="398"/>
        <v>2309.3325285876763</v>
      </c>
      <c r="Y240" s="541">
        <f t="shared" ca="1" si="398"/>
        <v>2436.8268169973935</v>
      </c>
      <c r="Z240" s="541">
        <f t="shared" ca="1" si="398"/>
        <v>493.52748334120014</v>
      </c>
      <c r="AA240" s="541">
        <f t="shared" ca="1" si="398"/>
        <v>1955.9233374753187</v>
      </c>
      <c r="AB240" s="541">
        <f t="shared" ca="1" si="398"/>
        <v>2646.4501882412515</v>
      </c>
      <c r="AC240" s="541">
        <f t="shared" ca="1" si="398"/>
        <v>2822.3770758238697</v>
      </c>
      <c r="AD240" s="541">
        <f t="shared" ca="1" si="398"/>
        <v>649.48037907217338</v>
      </c>
      <c r="AE240" s="541">
        <f t="shared" ca="1" si="398"/>
        <v>2145.6605521456618</v>
      </c>
      <c r="AF240" s="541">
        <f t="shared" ca="1" si="398"/>
        <v>2912.6104089356954</v>
      </c>
      <c r="AG240" s="541">
        <f t="shared" ca="1" si="398"/>
        <v>3191.8861312205308</v>
      </c>
      <c r="AH240" s="541">
        <f t="shared" ca="1" si="398"/>
        <v>666.42906479612543</v>
      </c>
      <c r="AI240" s="541">
        <f t="shared" ca="1" si="398"/>
        <v>2239.0871384035399</v>
      </c>
      <c r="AJ240" s="541">
        <f t="shared" ca="1" si="398"/>
        <v>3042.7169085601381</v>
      </c>
      <c r="AK240" s="541">
        <f t="shared" ca="1" si="398"/>
        <v>3351.3566868895855</v>
      </c>
      <c r="AL240" s="541">
        <f t="shared" ca="1" si="398"/>
        <v>720.13528711157448</v>
      </c>
      <c r="AN240" s="571"/>
      <c r="AO240" s="571"/>
      <c r="AP240" s="541">
        <f t="shared" ref="AP240:AT241" ca="1" si="399">SUMIF($K$4:$AL$4,AP$4,$K240:$AL240)</f>
        <v>5618.8067214577159</v>
      </c>
      <c r="AQ240" s="541">
        <f t="shared" ca="1" si="399"/>
        <v>6951.5317062539298</v>
      </c>
      <c r="AR240" s="541">
        <f t="shared" ca="1" si="399"/>
        <v>8074.2309806126132</v>
      </c>
      <c r="AS240" s="541">
        <f t="shared" ca="1" si="399"/>
        <v>8916.5861570980142</v>
      </c>
      <c r="AT240" s="541">
        <f t="shared" ca="1" si="399"/>
        <v>9353.2960209648372</v>
      </c>
    </row>
    <row r="241" spans="2:46" x14ac:dyDescent="0.25">
      <c r="B241" s="98" t="s">
        <v>375</v>
      </c>
      <c r="C241" s="551"/>
      <c r="D241" s="551"/>
      <c r="E241" s="551"/>
      <c r="F241" s="551"/>
      <c r="G241" s="551"/>
      <c r="L241" s="541">
        <f>+L231*L$239</f>
        <v>230.13641025641027</v>
      </c>
      <c r="M241" s="541">
        <f t="shared" ref="M241:R241" si="400">+M231*M$239</f>
        <v>233.13549876602181</v>
      </c>
      <c r="N241" s="541">
        <f t="shared" si="400"/>
        <v>119.04442436563511</v>
      </c>
      <c r="O241" s="541">
        <f t="shared" si="400"/>
        <v>321.85105848357307</v>
      </c>
      <c r="P241" s="541">
        <f t="shared" si="400"/>
        <v>416.41848901517074</v>
      </c>
      <c r="Q241" s="541">
        <f t="shared" si="400"/>
        <v>500.11769859813086</v>
      </c>
      <c r="R241" s="541">
        <f t="shared" si="400"/>
        <v>71.721716146693723</v>
      </c>
      <c r="S241" s="541">
        <f t="shared" ref="S241:AL241" ca="1" si="401">+S$239*$R$231</f>
        <v>454.29081511263473</v>
      </c>
      <c r="T241" s="541">
        <f t="shared" ca="1" si="401"/>
        <v>608.12767623341347</v>
      </c>
      <c r="U241" s="541">
        <f t="shared" ca="1" si="401"/>
        <v>596.72674239619653</v>
      </c>
      <c r="V241" s="541">
        <f t="shared" ca="1" si="401"/>
        <v>170.3154543930207</v>
      </c>
      <c r="W241" s="541">
        <f t="shared" ca="1" si="401"/>
        <v>557.36975171201516</v>
      </c>
      <c r="X241" s="541">
        <f t="shared" ca="1" si="401"/>
        <v>751.9093085634903</v>
      </c>
      <c r="Y241" s="541">
        <f t="shared" ca="1" si="401"/>
        <v>793.42093196861879</v>
      </c>
      <c r="Z241" s="541">
        <f t="shared" ca="1" si="401"/>
        <v>160.69054766361793</v>
      </c>
      <c r="AA241" s="541">
        <f t="shared" ca="1" si="401"/>
        <v>636.84070876691226</v>
      </c>
      <c r="AB241" s="541">
        <f t="shared" ca="1" si="401"/>
        <v>861.67345176797039</v>
      </c>
      <c r="AC241" s="541">
        <f t="shared" ca="1" si="401"/>
        <v>918.95453310313565</v>
      </c>
      <c r="AD241" s="541">
        <f t="shared" ca="1" si="401"/>
        <v>211.4681782325965</v>
      </c>
      <c r="AE241" s="541">
        <f t="shared" ca="1" si="401"/>
        <v>698.61837661052505</v>
      </c>
      <c r="AF241" s="541">
        <f t="shared" ca="1" si="401"/>
        <v>948.33414053064871</v>
      </c>
      <c r="AG241" s="541">
        <f t="shared" ca="1" si="401"/>
        <v>1039.2651834368792</v>
      </c>
      <c r="AH241" s="541">
        <f t="shared" ca="1" si="401"/>
        <v>216.98660158912821</v>
      </c>
      <c r="AI241" s="541">
        <f t="shared" ca="1" si="401"/>
        <v>729.03769431596209</v>
      </c>
      <c r="AJ241" s="541">
        <f t="shared" ca="1" si="401"/>
        <v>990.69628931658372</v>
      </c>
      <c r="AK241" s="541">
        <f t="shared" ca="1" si="401"/>
        <v>1091.1881498200214</v>
      </c>
      <c r="AL241" s="541">
        <f t="shared" ca="1" si="401"/>
        <v>234.47312983348766</v>
      </c>
      <c r="AN241" s="571"/>
      <c r="AO241" s="571"/>
      <c r="AP241" s="541">
        <f t="shared" ca="1" si="399"/>
        <v>1829.4606881352654</v>
      </c>
      <c r="AQ241" s="541">
        <f t="shared" ca="1" si="399"/>
        <v>2263.3905399077421</v>
      </c>
      <c r="AR241" s="541">
        <f t="shared" ca="1" si="399"/>
        <v>2628.9368718706151</v>
      </c>
      <c r="AS241" s="541">
        <f t="shared" ca="1" si="399"/>
        <v>2903.2043021671816</v>
      </c>
      <c r="AT241" s="541">
        <f t="shared" ca="1" si="399"/>
        <v>3045.3952632860551</v>
      </c>
    </row>
    <row r="242" spans="2:46" x14ac:dyDescent="0.25">
      <c r="B242" s="551" t="s">
        <v>376</v>
      </c>
      <c r="C242" s="551"/>
      <c r="D242" s="551"/>
      <c r="E242" s="551"/>
      <c r="F242" s="551"/>
      <c r="G242" s="551"/>
      <c r="K242" s="541">
        <f t="shared" ref="K242:R242" si="402">+-K22</f>
        <v>452</v>
      </c>
      <c r="L242" s="541">
        <f t="shared" si="402"/>
        <v>488</v>
      </c>
      <c r="M242" s="541">
        <f t="shared" si="402"/>
        <v>545</v>
      </c>
      <c r="N242" s="541">
        <f t="shared" si="402"/>
        <v>548</v>
      </c>
      <c r="O242" s="541">
        <f t="shared" si="402"/>
        <v>565</v>
      </c>
      <c r="P242" s="541">
        <f t="shared" si="402"/>
        <v>688</v>
      </c>
      <c r="Q242" s="541">
        <f t="shared" si="402"/>
        <v>1000</v>
      </c>
      <c r="R242" s="541">
        <f t="shared" si="402"/>
        <v>865</v>
      </c>
      <c r="S242" s="614">
        <f ca="1">-S274</f>
        <v>-591.27139774980344</v>
      </c>
      <c r="T242" s="541">
        <f t="shared" ref="T242:AL242" ca="1" si="403">-T274</f>
        <v>-690.81262874814558</v>
      </c>
      <c r="U242" s="541">
        <f t="shared" ca="1" si="403"/>
        <v>-788.48770066009945</v>
      </c>
      <c r="V242" s="541">
        <f t="shared" ca="1" si="403"/>
        <v>-816.36574445071983</v>
      </c>
      <c r="W242" s="541">
        <f t="shared" ca="1" si="403"/>
        <v>-907.59867690051567</v>
      </c>
      <c r="X242" s="541">
        <f t="shared" ca="1" si="403"/>
        <v>-1030.6747694689363</v>
      </c>
      <c r="Y242" s="541">
        <f t="shared" ca="1" si="403"/>
        <v>-1160.5456820331833</v>
      </c>
      <c r="Z242" s="541">
        <f t="shared" ca="1" si="403"/>
        <v>-1186.8482753032433</v>
      </c>
      <c r="AA242" s="541">
        <f t="shared" ca="1" si="403"/>
        <v>-1291.0893920587714</v>
      </c>
      <c r="AB242" s="541">
        <f t="shared" ca="1" si="403"/>
        <v>-1432.1322017510129</v>
      </c>
      <c r="AC242" s="541">
        <f t="shared" ca="1" si="403"/>
        <v>-1582.5510513306908</v>
      </c>
      <c r="AD242" s="541">
        <f t="shared" ca="1" si="403"/>
        <v>-1617.16516872891</v>
      </c>
      <c r="AE242" s="541">
        <f t="shared" ca="1" si="403"/>
        <v>-1731.518348042498</v>
      </c>
      <c r="AF242" s="541">
        <f t="shared" ca="1" si="403"/>
        <v>-1886.7461915290082</v>
      </c>
      <c r="AG242" s="541">
        <f t="shared" ca="1" si="403"/>
        <v>-2056.8580606907049</v>
      </c>
      <c r="AH242" s="541">
        <f t="shared" ca="1" si="403"/>
        <v>-2092.3754598758692</v>
      </c>
      <c r="AI242" s="541">
        <f t="shared" ca="1" si="403"/>
        <v>-2211.7078178206343</v>
      </c>
      <c r="AJ242" s="541">
        <f t="shared" ca="1" si="403"/>
        <v>-2373.8696993433755</v>
      </c>
      <c r="AK242" s="541">
        <f t="shared" ca="1" si="403"/>
        <v>-2552.4805666478233</v>
      </c>
      <c r="AL242" s="541">
        <f t="shared" ca="1" si="403"/>
        <v>-2590.8602439620017</v>
      </c>
      <c r="AN242" s="571"/>
      <c r="AO242" s="571"/>
      <c r="AP242" s="541">
        <f t="shared" ref="AP242:AT242" ca="1" si="404">-AP274</f>
        <v>-2886.9374716087682</v>
      </c>
      <c r="AQ242" s="541">
        <f t="shared" ca="1" si="404"/>
        <v>-4285.6674037058783</v>
      </c>
      <c r="AR242" s="541">
        <f t="shared" ca="1" si="404"/>
        <v>-5922.9378138693846</v>
      </c>
      <c r="AS242" s="541">
        <f t="shared" ca="1" si="404"/>
        <v>-7767.4980601380794</v>
      </c>
      <c r="AT242" s="541">
        <f t="shared" ca="1" si="404"/>
        <v>-9728.9183277738339</v>
      </c>
    </row>
    <row r="243" spans="2:46" ht="16.5" thickBot="1" x14ac:dyDescent="0.3">
      <c r="B243" s="639" t="s">
        <v>377</v>
      </c>
      <c r="C243" s="639"/>
      <c r="D243" s="639"/>
      <c r="E243" s="639"/>
      <c r="F243" s="639"/>
      <c r="G243" s="639"/>
      <c r="H243" s="640"/>
      <c r="I243" s="640"/>
      <c r="J243" s="640"/>
      <c r="K243" s="640"/>
      <c r="L243" s="553"/>
      <c r="M243" s="640"/>
      <c r="N243" s="640"/>
      <c r="O243" s="640"/>
      <c r="P243" s="640"/>
      <c r="Q243" s="640"/>
      <c r="R243" s="640"/>
      <c r="S243" s="641">
        <f t="shared" ref="S243:AL243" ca="1" si="405">+S226+S240+S241+S242</f>
        <v>14227.278852017949</v>
      </c>
      <c r="T243" s="641">
        <f t="shared" ca="1" si="405"/>
        <v>16012.331149549074</v>
      </c>
      <c r="U243" s="641">
        <f t="shared" ca="1" si="405"/>
        <v>17653.291852261038</v>
      </c>
      <c r="V243" s="641">
        <f t="shared" ca="1" si="405"/>
        <v>17530.32993798421</v>
      </c>
      <c r="W243" s="641">
        <f t="shared" ca="1" si="405"/>
        <v>18891.94589012337</v>
      </c>
      <c r="X243" s="641">
        <f t="shared" ca="1" si="405"/>
        <v>20922.512957805597</v>
      </c>
      <c r="Y243" s="641">
        <f t="shared" ca="1" si="405"/>
        <v>22992.215024738427</v>
      </c>
      <c r="Z243" s="641">
        <f t="shared" ca="1" si="405"/>
        <v>22459.58478044</v>
      </c>
      <c r="AA243" s="641">
        <f t="shared" ca="1" si="405"/>
        <v>23761.259434623462</v>
      </c>
      <c r="AB243" s="641">
        <f t="shared" ca="1" si="405"/>
        <v>25837.250872881668</v>
      </c>
      <c r="AC243" s="641">
        <f t="shared" ca="1" si="405"/>
        <v>27996.031430477982</v>
      </c>
      <c r="AD243" s="641">
        <f t="shared" ca="1" si="405"/>
        <v>27239.814819053845</v>
      </c>
      <c r="AE243" s="641">
        <f t="shared" ca="1" si="405"/>
        <v>28352.575399767535</v>
      </c>
      <c r="AF243" s="641">
        <f t="shared" ca="1" si="405"/>
        <v>30326.773757704872</v>
      </c>
      <c r="AG243" s="641">
        <f t="shared" ca="1" si="405"/>
        <v>32501.067011671577</v>
      </c>
      <c r="AH243" s="641">
        <f t="shared" ca="1" si="405"/>
        <v>31292.107218180965</v>
      </c>
      <c r="AI243" s="641">
        <f t="shared" ca="1" si="405"/>
        <v>32048.524233079836</v>
      </c>
      <c r="AJ243" s="641">
        <f t="shared" ca="1" si="405"/>
        <v>33708.067731613177</v>
      </c>
      <c r="AK243" s="641">
        <f t="shared" ca="1" si="405"/>
        <v>35598.132001674967</v>
      </c>
      <c r="AL243" s="641">
        <f t="shared" ca="1" si="405"/>
        <v>33961.880174658028</v>
      </c>
      <c r="AN243" s="642"/>
      <c r="AO243" s="642"/>
      <c r="AP243" s="641">
        <f t="shared" ref="AP243:AT243" ca="1" si="406">+AP226+AP240+AP241+AP242</f>
        <v>4561.3299379842138</v>
      </c>
      <c r="AQ243" s="641">
        <f t="shared" ca="1" si="406"/>
        <v>9490.5847804400055</v>
      </c>
      <c r="AR243" s="641">
        <f t="shared" ca="1" si="406"/>
        <v>14270.814819053847</v>
      </c>
      <c r="AS243" s="641">
        <f t="shared" ca="1" si="406"/>
        <v>18323.107218180965</v>
      </c>
      <c r="AT243" s="641">
        <f t="shared" ca="1" si="406"/>
        <v>20992.880174658025</v>
      </c>
    </row>
    <row r="244" spans="2:46" ht="16.5" thickTop="1" x14ac:dyDescent="0.25">
      <c r="B244" s="551" t="s">
        <v>378</v>
      </c>
      <c r="K244" s="177">
        <f>+K239/K$7</f>
        <v>1.5155346820809249E-2</v>
      </c>
      <c r="L244" s="177">
        <f t="shared" ref="L244:R244" si="407">+L239/L$7</f>
        <v>1.9369760046256145E-2</v>
      </c>
      <c r="M244" s="177">
        <f t="shared" si="407"/>
        <v>1.7061089708310401E-2</v>
      </c>
      <c r="N244" s="177">
        <f t="shared" si="407"/>
        <v>7.1630098337305175E-3</v>
      </c>
      <c r="O244" s="177">
        <f t="shared" si="407"/>
        <v>1.6338340310268408E-2</v>
      </c>
      <c r="P244" s="177">
        <f t="shared" si="407"/>
        <v>2.108931278709298E-2</v>
      </c>
      <c r="Q244" s="177">
        <f t="shared" si="407"/>
        <v>2.1641596835475979E-2</v>
      </c>
      <c r="R244" s="177">
        <f t="shared" si="407"/>
        <v>2.8124518415780552E-3</v>
      </c>
      <c r="S244" s="643">
        <f t="shared" ref="S244:AB245" si="408">+AVERAGE(K244,O244)</f>
        <v>1.5746843565538828E-2</v>
      </c>
      <c r="T244" s="643">
        <f t="shared" si="408"/>
        <v>2.0229536416674562E-2</v>
      </c>
      <c r="U244" s="643">
        <f t="shared" si="408"/>
        <v>1.9351343271893189E-2</v>
      </c>
      <c r="V244" s="643">
        <f t="shared" si="408"/>
        <v>4.9877308376542863E-3</v>
      </c>
      <c r="W244" s="643">
        <f t="shared" si="408"/>
        <v>1.6042591937903618E-2</v>
      </c>
      <c r="X244" s="643">
        <f t="shared" si="408"/>
        <v>2.0659424601883771E-2</v>
      </c>
      <c r="Y244" s="643">
        <f t="shared" si="408"/>
        <v>2.0496470053684584E-2</v>
      </c>
      <c r="Z244" s="643">
        <f t="shared" si="408"/>
        <v>3.9000913396161708E-3</v>
      </c>
      <c r="AA244" s="643">
        <f t="shared" si="408"/>
        <v>1.5894717751721223E-2</v>
      </c>
      <c r="AB244" s="643">
        <f t="shared" si="408"/>
        <v>2.0444480509279168E-2</v>
      </c>
      <c r="AC244" s="643">
        <f t="shared" ref="AC244:AG245" si="409">+AVERAGE(U244,Y244)</f>
        <v>1.9923906662788884E-2</v>
      </c>
      <c r="AD244" s="643">
        <f t="shared" si="409"/>
        <v>4.4439110886352285E-3</v>
      </c>
      <c r="AE244" s="643">
        <f t="shared" si="409"/>
        <v>1.596865484481242E-2</v>
      </c>
      <c r="AF244" s="643">
        <f t="shared" si="409"/>
        <v>2.0551952555581468E-2</v>
      </c>
      <c r="AG244" s="643">
        <f t="shared" si="409"/>
        <v>2.0210188358236736E-2</v>
      </c>
      <c r="AH244" s="643">
        <f t="shared" ref="AH244:AH245" si="410">+AVERAGE(Z244,AD244)</f>
        <v>4.1720012141256996E-3</v>
      </c>
      <c r="AI244" s="643">
        <f t="shared" ref="AI244:AI245" si="411">+AVERAGE(AA244,AE244)</f>
        <v>1.5931686298266821E-2</v>
      </c>
      <c r="AJ244" s="643">
        <f t="shared" ref="AJ244:AJ245" si="412">+AVERAGE(AB244,AF244)</f>
        <v>2.0498216532430318E-2</v>
      </c>
      <c r="AK244" s="643">
        <f t="shared" ref="AK244:AK245" si="413">+AVERAGE(AC244,AG244)</f>
        <v>2.006704751051281E-2</v>
      </c>
      <c r="AL244" s="643">
        <f t="shared" ref="AL244:AL245" si="414">+AVERAGE(AD244,AH244)</f>
        <v>4.3079561513804637E-3</v>
      </c>
      <c r="AN244" s="644"/>
      <c r="AO244" s="644"/>
      <c r="AP244" s="645">
        <f t="shared" ref="AP244:AT245" si="415">INDEX($K244:$AL244,MATCH(AP$5,$K$5:$AL$5,0))</f>
        <v>4.9877308376542863E-3</v>
      </c>
      <c r="AQ244" s="643">
        <f t="shared" si="415"/>
        <v>3.9000913396161708E-3</v>
      </c>
      <c r="AR244" s="643">
        <f t="shared" si="415"/>
        <v>4.4439110886352285E-3</v>
      </c>
      <c r="AS244" s="643">
        <f t="shared" si="415"/>
        <v>4.1720012141256996E-3</v>
      </c>
      <c r="AT244" s="643">
        <f t="shared" si="415"/>
        <v>4.3079561513804637E-3</v>
      </c>
    </row>
    <row r="245" spans="2:46" outlineLevel="1" x14ac:dyDescent="0.25">
      <c r="B245" s="551" t="s">
        <v>379</v>
      </c>
      <c r="K245" s="177">
        <f t="shared" ref="K245:R245" si="416">+K242/K$7</f>
        <v>8.164739884393063E-3</v>
      </c>
      <c r="L245" s="177">
        <f t="shared" si="416"/>
        <v>8.2988963148138695E-3</v>
      </c>
      <c r="M245" s="177">
        <f t="shared" si="416"/>
        <v>8.5698561207642118E-3</v>
      </c>
      <c r="N245" s="177">
        <f t="shared" si="416"/>
        <v>7.5054099213849399E-3</v>
      </c>
      <c r="O245" s="177">
        <f t="shared" si="416"/>
        <v>6.9564146761881308E-3</v>
      </c>
      <c r="P245" s="177">
        <f t="shared" si="416"/>
        <v>7.7840381960944038E-3</v>
      </c>
      <c r="Q245" s="177">
        <f t="shared" si="416"/>
        <v>1.0409618487482434E-2</v>
      </c>
      <c r="R245" s="177">
        <f t="shared" si="416"/>
        <v>8.3314069964555409E-3</v>
      </c>
      <c r="S245" s="643">
        <f t="shared" si="408"/>
        <v>7.5605772802905969E-3</v>
      </c>
      <c r="T245" s="643">
        <f t="shared" si="408"/>
        <v>8.0414672554541371E-3</v>
      </c>
      <c r="U245" s="643">
        <f t="shared" si="408"/>
        <v>9.4897373041233218E-3</v>
      </c>
      <c r="V245" s="643">
        <f t="shared" si="408"/>
        <v>7.9184084589202404E-3</v>
      </c>
      <c r="W245" s="643">
        <f t="shared" si="408"/>
        <v>7.2584959782393639E-3</v>
      </c>
      <c r="X245" s="643">
        <f t="shared" si="408"/>
        <v>7.9127527257742709E-3</v>
      </c>
      <c r="Y245" s="643">
        <f t="shared" si="408"/>
        <v>9.9496778958028768E-3</v>
      </c>
      <c r="Z245" s="643">
        <f t="shared" si="408"/>
        <v>8.1249077276878898E-3</v>
      </c>
      <c r="AA245" s="643">
        <f t="shared" si="408"/>
        <v>7.40953662926498E-3</v>
      </c>
      <c r="AB245" s="643">
        <f t="shared" si="408"/>
        <v>7.9771099906142048E-3</v>
      </c>
      <c r="AC245" s="643">
        <f t="shared" si="409"/>
        <v>9.7197075999630993E-3</v>
      </c>
      <c r="AD245" s="643">
        <f t="shared" si="409"/>
        <v>8.0216580933040651E-3</v>
      </c>
      <c r="AE245" s="643">
        <f t="shared" si="409"/>
        <v>7.3340163037521715E-3</v>
      </c>
      <c r="AF245" s="643">
        <f t="shared" si="409"/>
        <v>7.944931358194237E-3</v>
      </c>
      <c r="AG245" s="643">
        <f t="shared" si="409"/>
        <v>9.8346927478829872E-3</v>
      </c>
      <c r="AH245" s="643">
        <f t="shared" si="410"/>
        <v>8.0732829104959783E-3</v>
      </c>
      <c r="AI245" s="643">
        <f t="shared" si="411"/>
        <v>7.3717764665085757E-3</v>
      </c>
      <c r="AJ245" s="643">
        <f t="shared" si="412"/>
        <v>7.9610206744042209E-3</v>
      </c>
      <c r="AK245" s="643">
        <f t="shared" si="413"/>
        <v>9.7772001739230424E-3</v>
      </c>
      <c r="AL245" s="643">
        <f t="shared" si="414"/>
        <v>8.0474705019000226E-3</v>
      </c>
      <c r="AN245" s="644"/>
      <c r="AO245" s="644"/>
      <c r="AP245" s="643">
        <f t="shared" si="415"/>
        <v>7.9184084589202404E-3</v>
      </c>
      <c r="AQ245" s="643">
        <f t="shared" si="415"/>
        <v>8.1249077276878898E-3</v>
      </c>
      <c r="AR245" s="643">
        <f t="shared" si="415"/>
        <v>8.0216580933040651E-3</v>
      </c>
      <c r="AS245" s="643">
        <f t="shared" si="415"/>
        <v>8.0732829104959783E-3</v>
      </c>
      <c r="AT245" s="643">
        <f t="shared" si="415"/>
        <v>8.0474705019000226E-3</v>
      </c>
    </row>
    <row r="246" spans="2:46" outlineLevel="1" x14ac:dyDescent="0.25">
      <c r="D246" s="69" t="s">
        <v>380</v>
      </c>
      <c r="H246" s="69" t="s">
        <v>381</v>
      </c>
      <c r="K246" s="177"/>
      <c r="L246" s="177"/>
      <c r="M246" s="177"/>
      <c r="N246" s="177"/>
      <c r="O246" s="177"/>
      <c r="P246" s="177"/>
      <c r="Q246" s="177"/>
      <c r="R246" s="177"/>
      <c r="S246" s="118"/>
      <c r="T246" s="118"/>
      <c r="U246" s="118"/>
      <c r="V246" s="118"/>
      <c r="W246" s="118"/>
      <c r="X246" s="118"/>
      <c r="Y246" s="118"/>
      <c r="Z246" s="118"/>
      <c r="AA246" s="118"/>
      <c r="AB246" s="118"/>
      <c r="AC246" s="118"/>
      <c r="AD246" s="118"/>
      <c r="AE246" s="118"/>
      <c r="AF246" s="118"/>
      <c r="AG246" s="118"/>
      <c r="AH246" s="118"/>
      <c r="AI246" s="118"/>
      <c r="AJ246" s="118"/>
      <c r="AK246" s="118"/>
      <c r="AL246" s="118"/>
      <c r="AN246" s="644"/>
      <c r="AO246" s="644"/>
      <c r="AP246" s="118"/>
      <c r="AQ246" s="118"/>
      <c r="AR246" s="118"/>
      <c r="AS246" s="118"/>
      <c r="AT246" s="118"/>
    </row>
    <row r="247" spans="2:46" outlineLevel="1" x14ac:dyDescent="0.25">
      <c r="B247" s="551" t="s">
        <v>382</v>
      </c>
      <c r="D247" s="69">
        <v>6</v>
      </c>
      <c r="H247" s="69">
        <v>7</v>
      </c>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N247" s="177"/>
    </row>
    <row r="248" spans="2:46" outlineLevel="1" x14ac:dyDescent="0.25">
      <c r="B248" s="551" t="s">
        <v>383</v>
      </c>
      <c r="D248" s="69">
        <v>4</v>
      </c>
      <c r="H248" s="69">
        <v>4</v>
      </c>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N248" s="177"/>
    </row>
    <row r="249" spans="2:46" outlineLevel="1" x14ac:dyDescent="0.25">
      <c r="B249" s="551" t="s">
        <v>384</v>
      </c>
      <c r="D249" s="134">
        <f>+D247*D248</f>
        <v>24</v>
      </c>
      <c r="E249" s="134"/>
      <c r="F249" s="134"/>
      <c r="G249" s="134"/>
      <c r="H249" s="134">
        <f>+H247*H248</f>
        <v>28</v>
      </c>
      <c r="I249" s="134"/>
      <c r="J249" s="134"/>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N249" s="177"/>
    </row>
    <row r="250" spans="2:46" outlineLevel="1" x14ac:dyDescent="0.25">
      <c r="C250" s="646" t="s">
        <v>385</v>
      </c>
      <c r="D250" s="646"/>
      <c r="E250" s="646"/>
      <c r="F250" s="646"/>
      <c r="G250" s="646"/>
    </row>
    <row r="251" spans="2:46" outlineLevel="1" x14ac:dyDescent="0.25">
      <c r="C251" s="647" t="s">
        <v>386</v>
      </c>
      <c r="D251" s="647" t="s">
        <v>387</v>
      </c>
      <c r="E251" s="647"/>
      <c r="F251" s="647"/>
      <c r="G251" s="647"/>
      <c r="H251" s="647" t="s">
        <v>388</v>
      </c>
      <c r="I251" s="647" t="s">
        <v>387</v>
      </c>
      <c r="J251" s="610"/>
    </row>
    <row r="252" spans="2:46" outlineLevel="1" x14ac:dyDescent="0.25">
      <c r="B252" s="535">
        <f>+EOMONTH(R5,3)</f>
        <v>45016</v>
      </c>
      <c r="C252" s="648">
        <f ca="1">+S$239*$R$230</f>
        <v>1395.2594346551195</v>
      </c>
      <c r="D252" s="649">
        <f>+D249</f>
        <v>24</v>
      </c>
      <c r="E252" s="649"/>
      <c r="F252" s="649"/>
      <c r="G252" s="649"/>
      <c r="H252" s="648">
        <f ca="1">+S$239*$R$231</f>
        <v>454.29081511263473</v>
      </c>
      <c r="I252" s="610">
        <f>+H249</f>
        <v>28</v>
      </c>
      <c r="J252" s="541"/>
      <c r="K252" s="541">
        <f t="shared" ref="K252:T261" si="417">IF(K$5&lt;$B252,0,MIN(($C252/$D252)+($H252/$I252)))</f>
        <v>0</v>
      </c>
      <c r="L252" s="541">
        <f t="shared" si="417"/>
        <v>0</v>
      </c>
      <c r="M252" s="541">
        <f t="shared" si="417"/>
        <v>0</v>
      </c>
      <c r="N252" s="541">
        <f t="shared" si="417"/>
        <v>0</v>
      </c>
      <c r="O252" s="541">
        <f t="shared" si="417"/>
        <v>0</v>
      </c>
      <c r="P252" s="541">
        <f t="shared" si="417"/>
        <v>0</v>
      </c>
      <c r="Q252" s="541">
        <f t="shared" si="417"/>
        <v>0</v>
      </c>
      <c r="R252" s="541">
        <f t="shared" si="417"/>
        <v>0</v>
      </c>
      <c r="S252" s="541">
        <f t="shared" ca="1" si="417"/>
        <v>74.360481745605028</v>
      </c>
      <c r="T252" s="541">
        <f t="shared" ca="1" si="417"/>
        <v>74.360481745605028</v>
      </c>
      <c r="U252" s="541">
        <f t="shared" ref="U252:AD261" ca="1" si="418">IF(U$5&lt;$B252,0,MIN(($C252/$D252)+($H252/$I252)))</f>
        <v>74.360481745605028</v>
      </c>
      <c r="V252" s="541">
        <f t="shared" ca="1" si="418"/>
        <v>74.360481745605028</v>
      </c>
      <c r="W252" s="541">
        <f t="shared" ca="1" si="418"/>
        <v>74.360481745605028</v>
      </c>
      <c r="X252" s="541">
        <f t="shared" ca="1" si="418"/>
        <v>74.360481745605028</v>
      </c>
      <c r="Y252" s="541">
        <f t="shared" ca="1" si="418"/>
        <v>74.360481745605028</v>
      </c>
      <c r="Z252" s="541">
        <f t="shared" ca="1" si="418"/>
        <v>74.360481745605028</v>
      </c>
      <c r="AA252" s="541">
        <f t="shared" ca="1" si="418"/>
        <v>74.360481745605028</v>
      </c>
      <c r="AB252" s="541">
        <f t="shared" ca="1" si="418"/>
        <v>74.360481745605028</v>
      </c>
      <c r="AC252" s="541">
        <f t="shared" ca="1" si="418"/>
        <v>74.360481745605028</v>
      </c>
      <c r="AD252" s="541">
        <f t="shared" ca="1" si="418"/>
        <v>74.360481745605028</v>
      </c>
      <c r="AE252" s="541">
        <f t="shared" ref="AE252:AL261" ca="1" si="419">IF(AE$5&lt;$B252,0,MIN(($C252/$D252)+($H252/$I252)))</f>
        <v>74.360481745605028</v>
      </c>
      <c r="AF252" s="541">
        <f t="shared" ca="1" si="419"/>
        <v>74.360481745605028</v>
      </c>
      <c r="AG252" s="541">
        <f t="shared" ca="1" si="419"/>
        <v>74.360481745605028</v>
      </c>
      <c r="AH252" s="541">
        <f t="shared" ca="1" si="419"/>
        <v>74.360481745605028</v>
      </c>
      <c r="AI252" s="541">
        <f t="shared" ca="1" si="419"/>
        <v>74.360481745605028</v>
      </c>
      <c r="AJ252" s="541">
        <f t="shared" ca="1" si="419"/>
        <v>74.360481745605028</v>
      </c>
      <c r="AK252" s="541">
        <f t="shared" ca="1" si="419"/>
        <v>74.360481745605028</v>
      </c>
      <c r="AL252" s="541">
        <f t="shared" ca="1" si="419"/>
        <v>74.360481745605028</v>
      </c>
      <c r="AN252" s="571"/>
      <c r="AO252" s="571"/>
      <c r="AP252" s="541">
        <f t="shared" ref="AP252:AT261" ca="1" si="420">SUMIF($K$4:$AL$4,AP$4,$K252:$AL252)</f>
        <v>297.44192698242011</v>
      </c>
      <c r="AQ252" s="541">
        <f t="shared" ca="1" si="420"/>
        <v>297.44192698242011</v>
      </c>
      <c r="AR252" s="541">
        <f t="shared" ca="1" si="420"/>
        <v>297.44192698242011</v>
      </c>
      <c r="AS252" s="541">
        <f t="shared" ca="1" si="420"/>
        <v>297.44192698242011</v>
      </c>
      <c r="AT252" s="541">
        <f t="shared" ca="1" si="420"/>
        <v>297.44192698242011</v>
      </c>
    </row>
    <row r="253" spans="2:46" outlineLevel="1" x14ac:dyDescent="0.25">
      <c r="B253" s="535">
        <f t="shared" ref="B253:B271" si="421">+EOMONTH(B252,3)</f>
        <v>45107</v>
      </c>
      <c r="C253" s="648">
        <f ca="1">+T$239*$R$230</f>
        <v>1867.7372500458584</v>
      </c>
      <c r="D253" s="649">
        <f>+D252</f>
        <v>24</v>
      </c>
      <c r="E253" s="649"/>
      <c r="F253" s="649"/>
      <c r="G253" s="649"/>
      <c r="H253" s="648">
        <f ca="1">+T$239*$R$231</f>
        <v>608.12767623341347</v>
      </c>
      <c r="I253" s="610">
        <f>+I252</f>
        <v>28</v>
      </c>
      <c r="J253" s="541"/>
      <c r="K253" s="541">
        <f t="shared" si="417"/>
        <v>0</v>
      </c>
      <c r="L253" s="541">
        <f t="shared" si="417"/>
        <v>0</v>
      </c>
      <c r="M253" s="541">
        <f t="shared" si="417"/>
        <v>0</v>
      </c>
      <c r="N253" s="541">
        <f t="shared" si="417"/>
        <v>0</v>
      </c>
      <c r="O253" s="541">
        <f t="shared" si="417"/>
        <v>0</v>
      </c>
      <c r="P253" s="541">
        <f t="shared" si="417"/>
        <v>0</v>
      </c>
      <c r="Q253" s="541">
        <f t="shared" si="417"/>
        <v>0</v>
      </c>
      <c r="R253" s="541">
        <f t="shared" si="417"/>
        <v>0</v>
      </c>
      <c r="S253" s="541">
        <f t="shared" si="417"/>
        <v>0</v>
      </c>
      <c r="T253" s="541">
        <f t="shared" ca="1" si="417"/>
        <v>99.541230998342201</v>
      </c>
      <c r="U253" s="541">
        <f t="shared" ca="1" si="418"/>
        <v>99.541230998342201</v>
      </c>
      <c r="V253" s="541">
        <f t="shared" ca="1" si="418"/>
        <v>99.541230998342201</v>
      </c>
      <c r="W253" s="541">
        <f t="shared" ca="1" si="418"/>
        <v>99.541230998342201</v>
      </c>
      <c r="X253" s="541">
        <f t="shared" ca="1" si="418"/>
        <v>99.541230998342201</v>
      </c>
      <c r="Y253" s="541">
        <f t="shared" ca="1" si="418"/>
        <v>99.541230998342201</v>
      </c>
      <c r="Z253" s="541">
        <f t="shared" ca="1" si="418"/>
        <v>99.541230998342201</v>
      </c>
      <c r="AA253" s="541">
        <f t="shared" ca="1" si="418"/>
        <v>99.541230998342201</v>
      </c>
      <c r="AB253" s="541">
        <f t="shared" ca="1" si="418"/>
        <v>99.541230998342201</v>
      </c>
      <c r="AC253" s="541">
        <f t="shared" ca="1" si="418"/>
        <v>99.541230998342201</v>
      </c>
      <c r="AD253" s="541">
        <f t="shared" ca="1" si="418"/>
        <v>99.541230998342201</v>
      </c>
      <c r="AE253" s="541">
        <f t="shared" ca="1" si="419"/>
        <v>99.541230998342201</v>
      </c>
      <c r="AF253" s="541">
        <f t="shared" ca="1" si="419"/>
        <v>99.541230998342201</v>
      </c>
      <c r="AG253" s="541">
        <f t="shared" ca="1" si="419"/>
        <v>99.541230998342201</v>
      </c>
      <c r="AH253" s="541">
        <f t="shared" ca="1" si="419"/>
        <v>99.541230998342201</v>
      </c>
      <c r="AI253" s="541">
        <f t="shared" ca="1" si="419"/>
        <v>99.541230998342201</v>
      </c>
      <c r="AJ253" s="541">
        <f t="shared" ca="1" si="419"/>
        <v>99.541230998342201</v>
      </c>
      <c r="AK253" s="541">
        <f t="shared" ca="1" si="419"/>
        <v>99.541230998342201</v>
      </c>
      <c r="AL253" s="541">
        <f t="shared" ca="1" si="419"/>
        <v>99.541230998342201</v>
      </c>
      <c r="AN253" s="571"/>
      <c r="AO253" s="571"/>
      <c r="AP253" s="541">
        <f t="shared" ca="1" si="420"/>
        <v>298.6236929950266</v>
      </c>
      <c r="AQ253" s="541">
        <f t="shared" ca="1" si="420"/>
        <v>398.1649239933688</v>
      </c>
      <c r="AR253" s="541">
        <f t="shared" ca="1" si="420"/>
        <v>398.1649239933688</v>
      </c>
      <c r="AS253" s="541">
        <f t="shared" ca="1" si="420"/>
        <v>398.1649239933688</v>
      </c>
      <c r="AT253" s="541">
        <f t="shared" ca="1" si="420"/>
        <v>398.1649239933688</v>
      </c>
    </row>
    <row r="254" spans="2:46" outlineLevel="1" x14ac:dyDescent="0.25">
      <c r="B254" s="535">
        <f t="shared" si="421"/>
        <v>45199</v>
      </c>
      <c r="C254" s="648">
        <f ca="1">+U$239*$R$230</f>
        <v>1832.7216609758668</v>
      </c>
      <c r="D254" s="649">
        <f t="shared" ref="D254:D255" si="422">+D253</f>
        <v>24</v>
      </c>
      <c r="E254" s="649"/>
      <c r="F254" s="649"/>
      <c r="G254" s="649"/>
      <c r="H254" s="648">
        <f ca="1">+U$239*$R$231</f>
        <v>596.72674239619653</v>
      </c>
      <c r="I254" s="610">
        <f t="shared" ref="I254:I255" si="423">+I253</f>
        <v>28</v>
      </c>
      <c r="J254" s="541"/>
      <c r="K254" s="541">
        <f t="shared" si="417"/>
        <v>0</v>
      </c>
      <c r="L254" s="541">
        <f t="shared" si="417"/>
        <v>0</v>
      </c>
      <c r="M254" s="541">
        <f t="shared" si="417"/>
        <v>0</v>
      </c>
      <c r="N254" s="541">
        <f t="shared" si="417"/>
        <v>0</v>
      </c>
      <c r="O254" s="541">
        <f t="shared" si="417"/>
        <v>0</v>
      </c>
      <c r="P254" s="541">
        <f t="shared" si="417"/>
        <v>0</v>
      </c>
      <c r="Q254" s="541">
        <f t="shared" si="417"/>
        <v>0</v>
      </c>
      <c r="R254" s="541">
        <f t="shared" si="417"/>
        <v>0</v>
      </c>
      <c r="S254" s="541">
        <f t="shared" si="417"/>
        <v>0</v>
      </c>
      <c r="T254" s="541">
        <f t="shared" si="417"/>
        <v>0</v>
      </c>
      <c r="U254" s="541">
        <f t="shared" ca="1" si="418"/>
        <v>97.67507191195385</v>
      </c>
      <c r="V254" s="541">
        <f t="shared" ca="1" si="418"/>
        <v>97.67507191195385</v>
      </c>
      <c r="W254" s="541">
        <f t="shared" ca="1" si="418"/>
        <v>97.67507191195385</v>
      </c>
      <c r="X254" s="541">
        <f t="shared" ca="1" si="418"/>
        <v>97.67507191195385</v>
      </c>
      <c r="Y254" s="541">
        <f t="shared" ca="1" si="418"/>
        <v>97.67507191195385</v>
      </c>
      <c r="Z254" s="541">
        <f t="shared" ca="1" si="418"/>
        <v>97.67507191195385</v>
      </c>
      <c r="AA254" s="541">
        <f t="shared" ca="1" si="418"/>
        <v>97.67507191195385</v>
      </c>
      <c r="AB254" s="541">
        <f t="shared" ca="1" si="418"/>
        <v>97.67507191195385</v>
      </c>
      <c r="AC254" s="541">
        <f t="shared" ca="1" si="418"/>
        <v>97.67507191195385</v>
      </c>
      <c r="AD254" s="541">
        <f t="shared" ca="1" si="418"/>
        <v>97.67507191195385</v>
      </c>
      <c r="AE254" s="541">
        <f t="shared" ca="1" si="419"/>
        <v>97.67507191195385</v>
      </c>
      <c r="AF254" s="541">
        <f t="shared" ca="1" si="419"/>
        <v>97.67507191195385</v>
      </c>
      <c r="AG254" s="541">
        <f t="shared" ca="1" si="419"/>
        <v>97.67507191195385</v>
      </c>
      <c r="AH254" s="541">
        <f t="shared" ca="1" si="419"/>
        <v>97.67507191195385</v>
      </c>
      <c r="AI254" s="541">
        <f t="shared" ca="1" si="419"/>
        <v>97.67507191195385</v>
      </c>
      <c r="AJ254" s="541">
        <f t="shared" ca="1" si="419"/>
        <v>97.67507191195385</v>
      </c>
      <c r="AK254" s="541">
        <f t="shared" ca="1" si="419"/>
        <v>97.67507191195385</v>
      </c>
      <c r="AL254" s="541">
        <f t="shared" ca="1" si="419"/>
        <v>97.67507191195385</v>
      </c>
      <c r="AN254" s="571"/>
      <c r="AO254" s="571"/>
      <c r="AP254" s="541">
        <f t="shared" ca="1" si="420"/>
        <v>195.3501438239077</v>
      </c>
      <c r="AQ254" s="541">
        <f t="shared" ca="1" si="420"/>
        <v>390.7002876478154</v>
      </c>
      <c r="AR254" s="541">
        <f t="shared" ca="1" si="420"/>
        <v>390.7002876478154</v>
      </c>
      <c r="AS254" s="541">
        <f t="shared" ca="1" si="420"/>
        <v>390.7002876478154</v>
      </c>
      <c r="AT254" s="541">
        <f t="shared" ca="1" si="420"/>
        <v>390.7002876478154</v>
      </c>
    </row>
    <row r="255" spans="2:46" outlineLevel="1" x14ac:dyDescent="0.25">
      <c r="B255" s="535">
        <f t="shared" si="421"/>
        <v>45291</v>
      </c>
      <c r="C255" s="648">
        <f ca="1">+V$239*$R$230</f>
        <v>523.08837578087048</v>
      </c>
      <c r="D255" s="649">
        <f t="shared" si="422"/>
        <v>24</v>
      </c>
      <c r="E255" s="649"/>
      <c r="F255" s="649"/>
      <c r="G255" s="649"/>
      <c r="H255" s="648">
        <f ca="1">+V$239*$R$231</f>
        <v>170.3154543930207</v>
      </c>
      <c r="I255" s="610">
        <f t="shared" si="423"/>
        <v>28</v>
      </c>
      <c r="J255" s="541"/>
      <c r="K255" s="541">
        <f t="shared" si="417"/>
        <v>0</v>
      </c>
      <c r="L255" s="541">
        <f t="shared" si="417"/>
        <v>0</v>
      </c>
      <c r="M255" s="541">
        <f t="shared" si="417"/>
        <v>0</v>
      </c>
      <c r="N255" s="541">
        <f t="shared" si="417"/>
        <v>0</v>
      </c>
      <c r="O255" s="541">
        <f t="shared" si="417"/>
        <v>0</v>
      </c>
      <c r="P255" s="541">
        <f t="shared" si="417"/>
        <v>0</v>
      </c>
      <c r="Q255" s="541">
        <f t="shared" si="417"/>
        <v>0</v>
      </c>
      <c r="R255" s="541">
        <f t="shared" si="417"/>
        <v>0</v>
      </c>
      <c r="S255" s="541">
        <f t="shared" si="417"/>
        <v>0</v>
      </c>
      <c r="T255" s="541">
        <f t="shared" si="417"/>
        <v>0</v>
      </c>
      <c r="U255" s="541">
        <f t="shared" si="418"/>
        <v>0</v>
      </c>
      <c r="V255" s="541">
        <f t="shared" ca="1" si="418"/>
        <v>27.878043790620342</v>
      </c>
      <c r="W255" s="541">
        <f t="shared" ca="1" si="418"/>
        <v>27.878043790620342</v>
      </c>
      <c r="X255" s="541">
        <f t="shared" ca="1" si="418"/>
        <v>27.878043790620342</v>
      </c>
      <c r="Y255" s="541">
        <f t="shared" ca="1" si="418"/>
        <v>27.878043790620342</v>
      </c>
      <c r="Z255" s="541">
        <f t="shared" ca="1" si="418"/>
        <v>27.878043790620342</v>
      </c>
      <c r="AA255" s="541">
        <f t="shared" ca="1" si="418"/>
        <v>27.878043790620342</v>
      </c>
      <c r="AB255" s="541">
        <f t="shared" ca="1" si="418"/>
        <v>27.878043790620342</v>
      </c>
      <c r="AC255" s="541">
        <f t="shared" ca="1" si="418"/>
        <v>27.878043790620342</v>
      </c>
      <c r="AD255" s="541">
        <f t="shared" ca="1" si="418"/>
        <v>27.878043790620342</v>
      </c>
      <c r="AE255" s="541">
        <f t="shared" ca="1" si="419"/>
        <v>27.878043790620342</v>
      </c>
      <c r="AF255" s="541">
        <f t="shared" ca="1" si="419"/>
        <v>27.878043790620342</v>
      </c>
      <c r="AG255" s="541">
        <f t="shared" ca="1" si="419"/>
        <v>27.878043790620342</v>
      </c>
      <c r="AH255" s="541">
        <f t="shared" ca="1" si="419"/>
        <v>27.878043790620342</v>
      </c>
      <c r="AI255" s="541">
        <f t="shared" ca="1" si="419"/>
        <v>27.878043790620342</v>
      </c>
      <c r="AJ255" s="541">
        <f t="shared" ca="1" si="419"/>
        <v>27.878043790620342</v>
      </c>
      <c r="AK255" s="541">
        <f t="shared" ca="1" si="419"/>
        <v>27.878043790620342</v>
      </c>
      <c r="AL255" s="541">
        <f t="shared" ca="1" si="419"/>
        <v>27.878043790620342</v>
      </c>
      <c r="AN255" s="571"/>
      <c r="AO255" s="571"/>
      <c r="AP255" s="541">
        <f t="shared" ca="1" si="420"/>
        <v>27.878043790620342</v>
      </c>
      <c r="AQ255" s="541">
        <f t="shared" ca="1" si="420"/>
        <v>111.51217516248137</v>
      </c>
      <c r="AR255" s="541">
        <f t="shared" ca="1" si="420"/>
        <v>111.51217516248137</v>
      </c>
      <c r="AS255" s="541">
        <f t="shared" ca="1" si="420"/>
        <v>111.51217516248137</v>
      </c>
      <c r="AT255" s="541">
        <f t="shared" ca="1" si="420"/>
        <v>111.51217516248137</v>
      </c>
    </row>
    <row r="256" spans="2:46" outlineLevel="1" x14ac:dyDescent="0.25">
      <c r="B256" s="535">
        <f t="shared" si="421"/>
        <v>45382</v>
      </c>
      <c r="C256" s="648">
        <f ca="1">+W$239*$R$230</f>
        <v>1711.8448773276593</v>
      </c>
      <c r="D256" s="649">
        <f t="shared" ref="D256:D271" si="424">+D255</f>
        <v>24</v>
      </c>
      <c r="E256" s="649"/>
      <c r="F256" s="649"/>
      <c r="G256" s="649"/>
      <c r="H256" s="648">
        <f ca="1">+W$239*$R$231</f>
        <v>557.36975171201516</v>
      </c>
      <c r="I256" s="610">
        <f t="shared" ref="I256:I271" si="425">+I255</f>
        <v>28</v>
      </c>
      <c r="J256" s="541"/>
      <c r="K256" s="541">
        <f t="shared" si="417"/>
        <v>0</v>
      </c>
      <c r="L256" s="541">
        <f t="shared" si="417"/>
        <v>0</v>
      </c>
      <c r="M256" s="541">
        <f t="shared" si="417"/>
        <v>0</v>
      </c>
      <c r="N256" s="541">
        <f t="shared" si="417"/>
        <v>0</v>
      </c>
      <c r="O256" s="541">
        <f t="shared" si="417"/>
        <v>0</v>
      </c>
      <c r="P256" s="541">
        <f t="shared" si="417"/>
        <v>0</v>
      </c>
      <c r="Q256" s="541">
        <f t="shared" si="417"/>
        <v>0</v>
      </c>
      <c r="R256" s="541">
        <f t="shared" si="417"/>
        <v>0</v>
      </c>
      <c r="S256" s="541">
        <f t="shared" si="417"/>
        <v>0</v>
      </c>
      <c r="T256" s="541">
        <f t="shared" si="417"/>
        <v>0</v>
      </c>
      <c r="U256" s="541">
        <f t="shared" si="418"/>
        <v>0</v>
      </c>
      <c r="V256" s="541">
        <f t="shared" si="418"/>
        <v>0</v>
      </c>
      <c r="W256" s="541">
        <f t="shared" ca="1" si="418"/>
        <v>91.232932449795868</v>
      </c>
      <c r="X256" s="541">
        <f t="shared" ca="1" si="418"/>
        <v>91.232932449795868</v>
      </c>
      <c r="Y256" s="541">
        <f t="shared" ca="1" si="418"/>
        <v>91.232932449795868</v>
      </c>
      <c r="Z256" s="541">
        <f t="shared" ca="1" si="418"/>
        <v>91.232932449795868</v>
      </c>
      <c r="AA256" s="541">
        <f t="shared" ca="1" si="418"/>
        <v>91.232932449795868</v>
      </c>
      <c r="AB256" s="541">
        <f t="shared" ca="1" si="418"/>
        <v>91.232932449795868</v>
      </c>
      <c r="AC256" s="541">
        <f t="shared" ca="1" si="418"/>
        <v>91.232932449795868</v>
      </c>
      <c r="AD256" s="541">
        <f t="shared" ca="1" si="418"/>
        <v>91.232932449795868</v>
      </c>
      <c r="AE256" s="541">
        <f t="shared" ca="1" si="419"/>
        <v>91.232932449795868</v>
      </c>
      <c r="AF256" s="541">
        <f t="shared" ca="1" si="419"/>
        <v>91.232932449795868</v>
      </c>
      <c r="AG256" s="541">
        <f t="shared" ca="1" si="419"/>
        <v>91.232932449795868</v>
      </c>
      <c r="AH256" s="541">
        <f t="shared" ca="1" si="419"/>
        <v>91.232932449795868</v>
      </c>
      <c r="AI256" s="541">
        <f t="shared" ca="1" si="419"/>
        <v>91.232932449795868</v>
      </c>
      <c r="AJ256" s="541">
        <f t="shared" ca="1" si="419"/>
        <v>91.232932449795868</v>
      </c>
      <c r="AK256" s="541">
        <f t="shared" ca="1" si="419"/>
        <v>91.232932449795868</v>
      </c>
      <c r="AL256" s="541">
        <f t="shared" ca="1" si="419"/>
        <v>91.232932449795868</v>
      </c>
      <c r="AN256" s="571"/>
      <c r="AO256" s="571"/>
      <c r="AP256" s="541">
        <f t="shared" si="420"/>
        <v>0</v>
      </c>
      <c r="AQ256" s="541">
        <f t="shared" ca="1" si="420"/>
        <v>364.93172979918347</v>
      </c>
      <c r="AR256" s="541">
        <f t="shared" ca="1" si="420"/>
        <v>364.93172979918347</v>
      </c>
      <c r="AS256" s="541">
        <f t="shared" ca="1" si="420"/>
        <v>364.93172979918347</v>
      </c>
      <c r="AT256" s="541">
        <f t="shared" ca="1" si="420"/>
        <v>364.93172979918347</v>
      </c>
    </row>
    <row r="257" spans="2:46" outlineLevel="1" x14ac:dyDescent="0.25">
      <c r="B257" s="535">
        <f t="shared" si="421"/>
        <v>45473</v>
      </c>
      <c r="C257" s="648">
        <f ca="1">+X$239*$R$230</f>
        <v>2309.3325285876763</v>
      </c>
      <c r="D257" s="649">
        <f t="shared" si="424"/>
        <v>24</v>
      </c>
      <c r="E257" s="649"/>
      <c r="F257" s="649"/>
      <c r="G257" s="649"/>
      <c r="H257" s="648">
        <f ca="1">+X$239*$R$231</f>
        <v>751.9093085634903</v>
      </c>
      <c r="I257" s="610">
        <f t="shared" si="425"/>
        <v>28</v>
      </c>
      <c r="J257" s="541"/>
      <c r="K257" s="541">
        <f t="shared" si="417"/>
        <v>0</v>
      </c>
      <c r="L257" s="541">
        <f t="shared" si="417"/>
        <v>0</v>
      </c>
      <c r="M257" s="541">
        <f t="shared" si="417"/>
        <v>0</v>
      </c>
      <c r="N257" s="541">
        <f t="shared" si="417"/>
        <v>0</v>
      </c>
      <c r="O257" s="541">
        <f t="shared" si="417"/>
        <v>0</v>
      </c>
      <c r="P257" s="541">
        <f t="shared" si="417"/>
        <v>0</v>
      </c>
      <c r="Q257" s="541">
        <f t="shared" si="417"/>
        <v>0</v>
      </c>
      <c r="R257" s="541">
        <f t="shared" si="417"/>
        <v>0</v>
      </c>
      <c r="S257" s="541">
        <f t="shared" si="417"/>
        <v>0</v>
      </c>
      <c r="T257" s="541">
        <f t="shared" si="417"/>
        <v>0</v>
      </c>
      <c r="U257" s="541">
        <f t="shared" si="418"/>
        <v>0</v>
      </c>
      <c r="V257" s="541">
        <f t="shared" si="418"/>
        <v>0</v>
      </c>
      <c r="W257" s="541">
        <f t="shared" si="418"/>
        <v>0</v>
      </c>
      <c r="X257" s="541">
        <f t="shared" ca="1" si="418"/>
        <v>123.07609256842069</v>
      </c>
      <c r="Y257" s="541">
        <f t="shared" ca="1" si="418"/>
        <v>123.07609256842069</v>
      </c>
      <c r="Z257" s="541">
        <f t="shared" ca="1" si="418"/>
        <v>123.07609256842069</v>
      </c>
      <c r="AA257" s="541">
        <f t="shared" ca="1" si="418"/>
        <v>123.07609256842069</v>
      </c>
      <c r="AB257" s="541">
        <f t="shared" ca="1" si="418"/>
        <v>123.07609256842069</v>
      </c>
      <c r="AC257" s="541">
        <f t="shared" ca="1" si="418"/>
        <v>123.07609256842069</v>
      </c>
      <c r="AD257" s="541">
        <f t="shared" ca="1" si="418"/>
        <v>123.07609256842069</v>
      </c>
      <c r="AE257" s="541">
        <f t="shared" ca="1" si="419"/>
        <v>123.07609256842069</v>
      </c>
      <c r="AF257" s="541">
        <f t="shared" ca="1" si="419"/>
        <v>123.07609256842069</v>
      </c>
      <c r="AG257" s="541">
        <f t="shared" ca="1" si="419"/>
        <v>123.07609256842069</v>
      </c>
      <c r="AH257" s="541">
        <f t="shared" ca="1" si="419"/>
        <v>123.07609256842069</v>
      </c>
      <c r="AI257" s="541">
        <f t="shared" ca="1" si="419"/>
        <v>123.07609256842069</v>
      </c>
      <c r="AJ257" s="541">
        <f t="shared" ca="1" si="419"/>
        <v>123.07609256842069</v>
      </c>
      <c r="AK257" s="541">
        <f t="shared" ca="1" si="419"/>
        <v>123.07609256842069</v>
      </c>
      <c r="AL257" s="541">
        <f t="shared" ca="1" si="419"/>
        <v>123.07609256842069</v>
      </c>
      <c r="AN257" s="571"/>
      <c r="AO257" s="571"/>
      <c r="AP257" s="541">
        <f t="shared" si="420"/>
        <v>0</v>
      </c>
      <c r="AQ257" s="541">
        <f t="shared" ca="1" si="420"/>
        <v>369.22827770526209</v>
      </c>
      <c r="AR257" s="541">
        <f t="shared" ca="1" si="420"/>
        <v>492.30437027368276</v>
      </c>
      <c r="AS257" s="541">
        <f t="shared" ca="1" si="420"/>
        <v>492.30437027368276</v>
      </c>
      <c r="AT257" s="541">
        <f t="shared" ca="1" si="420"/>
        <v>492.30437027368276</v>
      </c>
    </row>
    <row r="258" spans="2:46" outlineLevel="1" x14ac:dyDescent="0.25">
      <c r="B258" s="535">
        <f t="shared" si="421"/>
        <v>45565</v>
      </c>
      <c r="C258" s="648">
        <f ca="1">+Y$239*$R$230</f>
        <v>2436.8268169973935</v>
      </c>
      <c r="D258" s="649">
        <f t="shared" si="424"/>
        <v>24</v>
      </c>
      <c r="E258" s="649"/>
      <c r="F258" s="649"/>
      <c r="G258" s="649"/>
      <c r="H258" s="648">
        <f ca="1">+Y$239*$R$231</f>
        <v>793.42093196861879</v>
      </c>
      <c r="I258" s="610">
        <f t="shared" si="425"/>
        <v>28</v>
      </c>
      <c r="J258" s="541"/>
      <c r="K258" s="541">
        <f t="shared" si="417"/>
        <v>0</v>
      </c>
      <c r="L258" s="541">
        <f t="shared" si="417"/>
        <v>0</v>
      </c>
      <c r="M258" s="541">
        <f t="shared" si="417"/>
        <v>0</v>
      </c>
      <c r="N258" s="541">
        <f t="shared" si="417"/>
        <v>0</v>
      </c>
      <c r="O258" s="541">
        <f t="shared" si="417"/>
        <v>0</v>
      </c>
      <c r="P258" s="541">
        <f t="shared" si="417"/>
        <v>0</v>
      </c>
      <c r="Q258" s="541">
        <f t="shared" si="417"/>
        <v>0</v>
      </c>
      <c r="R258" s="541">
        <f t="shared" si="417"/>
        <v>0</v>
      </c>
      <c r="S258" s="541">
        <f t="shared" si="417"/>
        <v>0</v>
      </c>
      <c r="T258" s="541">
        <f t="shared" si="417"/>
        <v>0</v>
      </c>
      <c r="U258" s="541">
        <f t="shared" si="418"/>
        <v>0</v>
      </c>
      <c r="V258" s="541">
        <f t="shared" si="418"/>
        <v>0</v>
      </c>
      <c r="W258" s="541">
        <f t="shared" si="418"/>
        <v>0</v>
      </c>
      <c r="X258" s="541">
        <f t="shared" si="418"/>
        <v>0</v>
      </c>
      <c r="Y258" s="541">
        <f t="shared" ca="1" si="418"/>
        <v>129.87091256424682</v>
      </c>
      <c r="Z258" s="541">
        <f t="shared" ca="1" si="418"/>
        <v>129.87091256424682</v>
      </c>
      <c r="AA258" s="541">
        <f t="shared" ca="1" si="418"/>
        <v>129.87091256424682</v>
      </c>
      <c r="AB258" s="541">
        <f t="shared" ca="1" si="418"/>
        <v>129.87091256424682</v>
      </c>
      <c r="AC258" s="541">
        <f t="shared" ca="1" si="418"/>
        <v>129.87091256424682</v>
      </c>
      <c r="AD258" s="541">
        <f t="shared" ca="1" si="418"/>
        <v>129.87091256424682</v>
      </c>
      <c r="AE258" s="541">
        <f t="shared" ca="1" si="419"/>
        <v>129.87091256424682</v>
      </c>
      <c r="AF258" s="541">
        <f t="shared" ca="1" si="419"/>
        <v>129.87091256424682</v>
      </c>
      <c r="AG258" s="541">
        <f t="shared" ca="1" si="419"/>
        <v>129.87091256424682</v>
      </c>
      <c r="AH258" s="541">
        <f t="shared" ca="1" si="419"/>
        <v>129.87091256424682</v>
      </c>
      <c r="AI258" s="541">
        <f t="shared" ca="1" si="419"/>
        <v>129.87091256424682</v>
      </c>
      <c r="AJ258" s="541">
        <f t="shared" ca="1" si="419"/>
        <v>129.87091256424682</v>
      </c>
      <c r="AK258" s="541">
        <f t="shared" ca="1" si="419"/>
        <v>129.87091256424682</v>
      </c>
      <c r="AL258" s="541">
        <f t="shared" ca="1" si="419"/>
        <v>129.87091256424682</v>
      </c>
      <c r="AN258" s="571"/>
      <c r="AO258" s="571"/>
      <c r="AP258" s="541">
        <f t="shared" si="420"/>
        <v>0</v>
      </c>
      <c r="AQ258" s="541">
        <f t="shared" ca="1" si="420"/>
        <v>259.74182512849364</v>
      </c>
      <c r="AR258" s="541">
        <f t="shared" ca="1" si="420"/>
        <v>519.48365025698729</v>
      </c>
      <c r="AS258" s="541">
        <f t="shared" ca="1" si="420"/>
        <v>519.48365025698729</v>
      </c>
      <c r="AT258" s="541">
        <f t="shared" ca="1" si="420"/>
        <v>519.48365025698729</v>
      </c>
    </row>
    <row r="259" spans="2:46" outlineLevel="1" x14ac:dyDescent="0.25">
      <c r="B259" s="535">
        <f t="shared" si="421"/>
        <v>45657</v>
      </c>
      <c r="C259" s="648">
        <f ca="1">+Z$239*$R$230</f>
        <v>493.52748334120014</v>
      </c>
      <c r="D259" s="649">
        <f t="shared" si="424"/>
        <v>24</v>
      </c>
      <c r="E259" s="649"/>
      <c r="F259" s="649"/>
      <c r="G259" s="649"/>
      <c r="H259" s="648">
        <f ca="1">+Z$239*$R$231</f>
        <v>160.69054766361793</v>
      </c>
      <c r="I259" s="610">
        <f t="shared" si="425"/>
        <v>28</v>
      </c>
      <c r="J259" s="541"/>
      <c r="K259" s="541">
        <f t="shared" si="417"/>
        <v>0</v>
      </c>
      <c r="L259" s="541">
        <f t="shared" si="417"/>
        <v>0</v>
      </c>
      <c r="M259" s="541">
        <f t="shared" si="417"/>
        <v>0</v>
      </c>
      <c r="N259" s="541">
        <f t="shared" si="417"/>
        <v>0</v>
      </c>
      <c r="O259" s="541">
        <f t="shared" si="417"/>
        <v>0</v>
      </c>
      <c r="P259" s="541">
        <f t="shared" si="417"/>
        <v>0</v>
      </c>
      <c r="Q259" s="541">
        <f t="shared" si="417"/>
        <v>0</v>
      </c>
      <c r="R259" s="541">
        <f t="shared" si="417"/>
        <v>0</v>
      </c>
      <c r="S259" s="541">
        <f t="shared" si="417"/>
        <v>0</v>
      </c>
      <c r="T259" s="541">
        <f t="shared" si="417"/>
        <v>0</v>
      </c>
      <c r="U259" s="541">
        <f t="shared" si="418"/>
        <v>0</v>
      </c>
      <c r="V259" s="541">
        <f t="shared" si="418"/>
        <v>0</v>
      </c>
      <c r="W259" s="541">
        <f t="shared" si="418"/>
        <v>0</v>
      </c>
      <c r="X259" s="541">
        <f t="shared" si="418"/>
        <v>0</v>
      </c>
      <c r="Y259" s="541">
        <f t="shared" si="418"/>
        <v>0</v>
      </c>
      <c r="Z259" s="541">
        <f t="shared" ca="1" si="418"/>
        <v>26.302593270060168</v>
      </c>
      <c r="AA259" s="541">
        <f t="shared" ca="1" si="418"/>
        <v>26.302593270060168</v>
      </c>
      <c r="AB259" s="541">
        <f t="shared" ca="1" si="418"/>
        <v>26.302593270060168</v>
      </c>
      <c r="AC259" s="541">
        <f t="shared" ca="1" si="418"/>
        <v>26.302593270060168</v>
      </c>
      <c r="AD259" s="541">
        <f t="shared" ca="1" si="418"/>
        <v>26.302593270060168</v>
      </c>
      <c r="AE259" s="541">
        <f t="shared" ca="1" si="419"/>
        <v>26.302593270060168</v>
      </c>
      <c r="AF259" s="541">
        <f t="shared" ca="1" si="419"/>
        <v>26.302593270060168</v>
      </c>
      <c r="AG259" s="541">
        <f t="shared" ca="1" si="419"/>
        <v>26.302593270060168</v>
      </c>
      <c r="AH259" s="541">
        <f t="shared" ca="1" si="419"/>
        <v>26.302593270060168</v>
      </c>
      <c r="AI259" s="541">
        <f t="shared" ca="1" si="419"/>
        <v>26.302593270060168</v>
      </c>
      <c r="AJ259" s="541">
        <f t="shared" ca="1" si="419"/>
        <v>26.302593270060168</v>
      </c>
      <c r="AK259" s="541">
        <f t="shared" ca="1" si="419"/>
        <v>26.302593270060168</v>
      </c>
      <c r="AL259" s="541">
        <f t="shared" ca="1" si="419"/>
        <v>26.302593270060168</v>
      </c>
      <c r="AN259" s="571"/>
      <c r="AO259" s="571"/>
      <c r="AP259" s="541">
        <f t="shared" si="420"/>
        <v>0</v>
      </c>
      <c r="AQ259" s="541">
        <f t="shared" ca="1" si="420"/>
        <v>26.302593270060168</v>
      </c>
      <c r="AR259" s="541">
        <f t="shared" ca="1" si="420"/>
        <v>105.21037308024067</v>
      </c>
      <c r="AS259" s="541">
        <f t="shared" ca="1" si="420"/>
        <v>105.21037308024067</v>
      </c>
      <c r="AT259" s="541">
        <f t="shared" ca="1" si="420"/>
        <v>105.21037308024067</v>
      </c>
    </row>
    <row r="260" spans="2:46" outlineLevel="1" x14ac:dyDescent="0.25">
      <c r="B260" s="535">
        <f t="shared" si="421"/>
        <v>45747</v>
      </c>
      <c r="C260" s="648">
        <f ca="1">+AA$239*$R$230</f>
        <v>1955.9233374753187</v>
      </c>
      <c r="D260" s="649">
        <f t="shared" si="424"/>
        <v>24</v>
      </c>
      <c r="E260" s="649"/>
      <c r="F260" s="649"/>
      <c r="G260" s="649"/>
      <c r="H260" s="648">
        <f ca="1">+AA$239*$R$231</f>
        <v>636.84070876691226</v>
      </c>
      <c r="I260" s="610">
        <f t="shared" si="425"/>
        <v>28</v>
      </c>
      <c r="J260" s="541"/>
      <c r="K260" s="541">
        <f t="shared" si="417"/>
        <v>0</v>
      </c>
      <c r="L260" s="541">
        <f t="shared" si="417"/>
        <v>0</v>
      </c>
      <c r="M260" s="541">
        <f t="shared" si="417"/>
        <v>0</v>
      </c>
      <c r="N260" s="541">
        <f t="shared" si="417"/>
        <v>0</v>
      </c>
      <c r="O260" s="541">
        <f t="shared" si="417"/>
        <v>0</v>
      </c>
      <c r="P260" s="541">
        <f t="shared" si="417"/>
        <v>0</v>
      </c>
      <c r="Q260" s="541">
        <f t="shared" si="417"/>
        <v>0</v>
      </c>
      <c r="R260" s="541">
        <f t="shared" si="417"/>
        <v>0</v>
      </c>
      <c r="S260" s="541">
        <f t="shared" si="417"/>
        <v>0</v>
      </c>
      <c r="T260" s="541">
        <f t="shared" si="417"/>
        <v>0</v>
      </c>
      <c r="U260" s="541">
        <f t="shared" si="418"/>
        <v>0</v>
      </c>
      <c r="V260" s="541">
        <f t="shared" si="418"/>
        <v>0</v>
      </c>
      <c r="W260" s="541">
        <f t="shared" si="418"/>
        <v>0</v>
      </c>
      <c r="X260" s="541">
        <f t="shared" si="418"/>
        <v>0</v>
      </c>
      <c r="Y260" s="541">
        <f t="shared" si="418"/>
        <v>0</v>
      </c>
      <c r="Z260" s="541">
        <f t="shared" si="418"/>
        <v>0</v>
      </c>
      <c r="AA260" s="541">
        <f t="shared" ca="1" si="418"/>
        <v>104.24111675552801</v>
      </c>
      <c r="AB260" s="541">
        <f t="shared" ca="1" si="418"/>
        <v>104.24111675552801</v>
      </c>
      <c r="AC260" s="541">
        <f t="shared" ca="1" si="418"/>
        <v>104.24111675552801</v>
      </c>
      <c r="AD260" s="541">
        <f t="shared" ca="1" si="418"/>
        <v>104.24111675552801</v>
      </c>
      <c r="AE260" s="541">
        <f t="shared" ca="1" si="419"/>
        <v>104.24111675552801</v>
      </c>
      <c r="AF260" s="541">
        <f t="shared" ca="1" si="419"/>
        <v>104.24111675552801</v>
      </c>
      <c r="AG260" s="541">
        <f t="shared" ca="1" si="419"/>
        <v>104.24111675552801</v>
      </c>
      <c r="AH260" s="541">
        <f t="shared" ca="1" si="419"/>
        <v>104.24111675552801</v>
      </c>
      <c r="AI260" s="541">
        <f t="shared" ca="1" si="419"/>
        <v>104.24111675552801</v>
      </c>
      <c r="AJ260" s="541">
        <f t="shared" ca="1" si="419"/>
        <v>104.24111675552801</v>
      </c>
      <c r="AK260" s="541">
        <f t="shared" ca="1" si="419"/>
        <v>104.24111675552801</v>
      </c>
      <c r="AL260" s="541">
        <f t="shared" ca="1" si="419"/>
        <v>104.24111675552801</v>
      </c>
      <c r="AN260" s="571"/>
      <c r="AO260" s="571"/>
      <c r="AP260" s="541">
        <f t="shared" si="420"/>
        <v>0</v>
      </c>
      <c r="AQ260" s="541">
        <f t="shared" si="420"/>
        <v>0</v>
      </c>
      <c r="AR260" s="541">
        <f t="shared" ca="1" si="420"/>
        <v>416.96446702211205</v>
      </c>
      <c r="AS260" s="541">
        <f t="shared" ca="1" si="420"/>
        <v>416.96446702211205</v>
      </c>
      <c r="AT260" s="541">
        <f t="shared" ca="1" si="420"/>
        <v>416.96446702211205</v>
      </c>
    </row>
    <row r="261" spans="2:46" outlineLevel="1" x14ac:dyDescent="0.25">
      <c r="B261" s="535">
        <f t="shared" si="421"/>
        <v>45838</v>
      </c>
      <c r="C261" s="648">
        <f ca="1">+AB$239*$R$230</f>
        <v>2646.4501882412515</v>
      </c>
      <c r="D261" s="649">
        <f t="shared" si="424"/>
        <v>24</v>
      </c>
      <c r="E261" s="649"/>
      <c r="F261" s="649"/>
      <c r="G261" s="649"/>
      <c r="H261" s="648">
        <f ca="1">+AB$239*$R$231</f>
        <v>861.67345176797039</v>
      </c>
      <c r="I261" s="610">
        <f t="shared" si="425"/>
        <v>28</v>
      </c>
      <c r="J261" s="541"/>
      <c r="K261" s="541">
        <f t="shared" si="417"/>
        <v>0</v>
      </c>
      <c r="L261" s="541">
        <f t="shared" si="417"/>
        <v>0</v>
      </c>
      <c r="M261" s="541">
        <f t="shared" si="417"/>
        <v>0</v>
      </c>
      <c r="N261" s="541">
        <f t="shared" si="417"/>
        <v>0</v>
      </c>
      <c r="O261" s="541">
        <f t="shared" si="417"/>
        <v>0</v>
      </c>
      <c r="P261" s="541">
        <f t="shared" si="417"/>
        <v>0</v>
      </c>
      <c r="Q261" s="541">
        <f t="shared" si="417"/>
        <v>0</v>
      </c>
      <c r="R261" s="541">
        <f t="shared" si="417"/>
        <v>0</v>
      </c>
      <c r="S261" s="541">
        <f t="shared" si="417"/>
        <v>0</v>
      </c>
      <c r="T261" s="541">
        <f t="shared" si="417"/>
        <v>0</v>
      </c>
      <c r="U261" s="541">
        <f t="shared" si="418"/>
        <v>0</v>
      </c>
      <c r="V261" s="541">
        <f t="shared" si="418"/>
        <v>0</v>
      </c>
      <c r="W261" s="541">
        <f t="shared" si="418"/>
        <v>0</v>
      </c>
      <c r="X261" s="541">
        <f t="shared" si="418"/>
        <v>0</v>
      </c>
      <c r="Y261" s="541">
        <f t="shared" si="418"/>
        <v>0</v>
      </c>
      <c r="Z261" s="541">
        <f t="shared" si="418"/>
        <v>0</v>
      </c>
      <c r="AA261" s="541">
        <f t="shared" si="418"/>
        <v>0</v>
      </c>
      <c r="AB261" s="541">
        <f t="shared" ca="1" si="418"/>
        <v>141.04280969224155</v>
      </c>
      <c r="AC261" s="541">
        <f t="shared" ca="1" si="418"/>
        <v>141.04280969224155</v>
      </c>
      <c r="AD261" s="541">
        <f t="shared" ca="1" si="418"/>
        <v>141.04280969224155</v>
      </c>
      <c r="AE261" s="541">
        <f t="shared" ca="1" si="419"/>
        <v>141.04280969224155</v>
      </c>
      <c r="AF261" s="541">
        <f t="shared" ca="1" si="419"/>
        <v>141.04280969224155</v>
      </c>
      <c r="AG261" s="541">
        <f t="shared" ca="1" si="419"/>
        <v>141.04280969224155</v>
      </c>
      <c r="AH261" s="541">
        <f t="shared" ca="1" si="419"/>
        <v>141.04280969224155</v>
      </c>
      <c r="AI261" s="541">
        <f t="shared" ca="1" si="419"/>
        <v>141.04280969224155</v>
      </c>
      <c r="AJ261" s="541">
        <f t="shared" ca="1" si="419"/>
        <v>141.04280969224155</v>
      </c>
      <c r="AK261" s="541">
        <f t="shared" ca="1" si="419"/>
        <v>141.04280969224155</v>
      </c>
      <c r="AL261" s="541">
        <f t="shared" ca="1" si="419"/>
        <v>141.04280969224155</v>
      </c>
      <c r="AN261" s="571"/>
      <c r="AO261" s="571"/>
      <c r="AP261" s="541">
        <f t="shared" si="420"/>
        <v>0</v>
      </c>
      <c r="AQ261" s="541">
        <f t="shared" si="420"/>
        <v>0</v>
      </c>
      <c r="AR261" s="541">
        <f t="shared" ca="1" si="420"/>
        <v>423.12842907672461</v>
      </c>
      <c r="AS261" s="541">
        <f t="shared" ca="1" si="420"/>
        <v>564.17123876896619</v>
      </c>
      <c r="AT261" s="541">
        <f t="shared" ca="1" si="420"/>
        <v>564.17123876896619</v>
      </c>
    </row>
    <row r="262" spans="2:46" outlineLevel="1" x14ac:dyDescent="0.25">
      <c r="B262" s="535">
        <f t="shared" si="421"/>
        <v>45930</v>
      </c>
      <c r="C262" s="648">
        <f ca="1">+AC$239*$R$230</f>
        <v>2822.3770758238697</v>
      </c>
      <c r="D262" s="649">
        <f t="shared" si="424"/>
        <v>24</v>
      </c>
      <c r="E262" s="649"/>
      <c r="F262" s="649"/>
      <c r="G262" s="649"/>
      <c r="H262" s="648">
        <f ca="1">+AC$239*$R$231</f>
        <v>918.95453310313565</v>
      </c>
      <c r="I262" s="610">
        <f t="shared" si="425"/>
        <v>28</v>
      </c>
      <c r="J262" s="541"/>
      <c r="K262" s="541">
        <f t="shared" ref="K262:T271" si="426">IF(K$5&lt;$B262,0,MIN(($C262/$D262)+($H262/$I262)))</f>
        <v>0</v>
      </c>
      <c r="L262" s="541">
        <f t="shared" si="426"/>
        <v>0</v>
      </c>
      <c r="M262" s="541">
        <f t="shared" si="426"/>
        <v>0</v>
      </c>
      <c r="N262" s="541">
        <f t="shared" si="426"/>
        <v>0</v>
      </c>
      <c r="O262" s="541">
        <f t="shared" si="426"/>
        <v>0</v>
      </c>
      <c r="P262" s="541">
        <f t="shared" si="426"/>
        <v>0</v>
      </c>
      <c r="Q262" s="541">
        <f t="shared" si="426"/>
        <v>0</v>
      </c>
      <c r="R262" s="541">
        <f t="shared" si="426"/>
        <v>0</v>
      </c>
      <c r="S262" s="541">
        <f t="shared" si="426"/>
        <v>0</v>
      </c>
      <c r="T262" s="541">
        <f t="shared" si="426"/>
        <v>0</v>
      </c>
      <c r="U262" s="541">
        <f t="shared" ref="U262:AD271" si="427">IF(U$5&lt;$B262,0,MIN(($C262/$D262)+($H262/$I262)))</f>
        <v>0</v>
      </c>
      <c r="V262" s="541">
        <f t="shared" si="427"/>
        <v>0</v>
      </c>
      <c r="W262" s="541">
        <f t="shared" si="427"/>
        <v>0</v>
      </c>
      <c r="X262" s="541">
        <f t="shared" si="427"/>
        <v>0</v>
      </c>
      <c r="Y262" s="541">
        <f t="shared" si="427"/>
        <v>0</v>
      </c>
      <c r="Z262" s="541">
        <f t="shared" si="427"/>
        <v>0</v>
      </c>
      <c r="AA262" s="541">
        <f t="shared" si="427"/>
        <v>0</v>
      </c>
      <c r="AB262" s="541">
        <f t="shared" si="427"/>
        <v>0</v>
      </c>
      <c r="AC262" s="541">
        <f t="shared" ca="1" si="427"/>
        <v>150.41884957967798</v>
      </c>
      <c r="AD262" s="541">
        <f t="shared" ca="1" si="427"/>
        <v>150.41884957967798</v>
      </c>
      <c r="AE262" s="541">
        <f t="shared" ref="AE262:AL271" ca="1" si="428">IF(AE$5&lt;$B262,0,MIN(($C262/$D262)+($H262/$I262)))</f>
        <v>150.41884957967798</v>
      </c>
      <c r="AF262" s="541">
        <f t="shared" ca="1" si="428"/>
        <v>150.41884957967798</v>
      </c>
      <c r="AG262" s="541">
        <f t="shared" ca="1" si="428"/>
        <v>150.41884957967798</v>
      </c>
      <c r="AH262" s="541">
        <f t="shared" ca="1" si="428"/>
        <v>150.41884957967798</v>
      </c>
      <c r="AI262" s="541">
        <f t="shared" ca="1" si="428"/>
        <v>150.41884957967798</v>
      </c>
      <c r="AJ262" s="541">
        <f t="shared" ca="1" si="428"/>
        <v>150.41884957967798</v>
      </c>
      <c r="AK262" s="541">
        <f t="shared" ca="1" si="428"/>
        <v>150.41884957967798</v>
      </c>
      <c r="AL262" s="541">
        <f t="shared" ca="1" si="428"/>
        <v>150.41884957967798</v>
      </c>
      <c r="AN262" s="571"/>
      <c r="AO262" s="571"/>
      <c r="AP262" s="541">
        <f t="shared" ref="AP262:AT271" si="429">SUMIF($K$4:$AL$4,AP$4,$K262:$AL262)</f>
        <v>0</v>
      </c>
      <c r="AQ262" s="541">
        <f t="shared" si="429"/>
        <v>0</v>
      </c>
      <c r="AR262" s="541">
        <f t="shared" ca="1" si="429"/>
        <v>300.83769915935596</v>
      </c>
      <c r="AS262" s="541">
        <f t="shared" ca="1" si="429"/>
        <v>601.67539831871193</v>
      </c>
      <c r="AT262" s="541">
        <f t="shared" ca="1" si="429"/>
        <v>601.67539831871193</v>
      </c>
    </row>
    <row r="263" spans="2:46" outlineLevel="1" x14ac:dyDescent="0.25">
      <c r="B263" s="535">
        <f t="shared" si="421"/>
        <v>46022</v>
      </c>
      <c r="C263" s="648">
        <f ca="1">+AD$239*$R$230</f>
        <v>649.48037907217338</v>
      </c>
      <c r="D263" s="649">
        <f t="shared" si="424"/>
        <v>24</v>
      </c>
      <c r="E263" s="649"/>
      <c r="F263" s="649"/>
      <c r="G263" s="649"/>
      <c r="H263" s="648">
        <f ca="1">+AD$239*$R$231</f>
        <v>211.4681782325965</v>
      </c>
      <c r="I263" s="610">
        <f t="shared" si="425"/>
        <v>28</v>
      </c>
      <c r="J263" s="541"/>
      <c r="K263" s="541">
        <f t="shared" si="426"/>
        <v>0</v>
      </c>
      <c r="L263" s="541">
        <f t="shared" si="426"/>
        <v>0</v>
      </c>
      <c r="M263" s="541">
        <f t="shared" si="426"/>
        <v>0</v>
      </c>
      <c r="N263" s="541">
        <f t="shared" si="426"/>
        <v>0</v>
      </c>
      <c r="O263" s="541">
        <f t="shared" si="426"/>
        <v>0</v>
      </c>
      <c r="P263" s="541">
        <f t="shared" si="426"/>
        <v>0</v>
      </c>
      <c r="Q263" s="541">
        <f t="shared" si="426"/>
        <v>0</v>
      </c>
      <c r="R263" s="541">
        <f t="shared" si="426"/>
        <v>0</v>
      </c>
      <c r="S263" s="541">
        <f t="shared" si="426"/>
        <v>0</v>
      </c>
      <c r="T263" s="541">
        <f t="shared" si="426"/>
        <v>0</v>
      </c>
      <c r="U263" s="541">
        <f t="shared" si="427"/>
        <v>0</v>
      </c>
      <c r="V263" s="541">
        <f t="shared" si="427"/>
        <v>0</v>
      </c>
      <c r="W263" s="541">
        <f t="shared" si="427"/>
        <v>0</v>
      </c>
      <c r="X263" s="541">
        <f t="shared" si="427"/>
        <v>0</v>
      </c>
      <c r="Y263" s="541">
        <f t="shared" si="427"/>
        <v>0</v>
      </c>
      <c r="Z263" s="541">
        <f t="shared" si="427"/>
        <v>0</v>
      </c>
      <c r="AA263" s="541">
        <f t="shared" si="427"/>
        <v>0</v>
      </c>
      <c r="AB263" s="541">
        <f t="shared" si="427"/>
        <v>0</v>
      </c>
      <c r="AC263" s="541">
        <f t="shared" si="427"/>
        <v>0</v>
      </c>
      <c r="AD263" s="541">
        <f t="shared" ca="1" si="427"/>
        <v>34.614117398219001</v>
      </c>
      <c r="AE263" s="541">
        <f t="shared" ca="1" si="428"/>
        <v>34.614117398219001</v>
      </c>
      <c r="AF263" s="541">
        <f t="shared" ca="1" si="428"/>
        <v>34.614117398219001</v>
      </c>
      <c r="AG263" s="541">
        <f t="shared" ca="1" si="428"/>
        <v>34.614117398219001</v>
      </c>
      <c r="AH263" s="541">
        <f t="shared" ca="1" si="428"/>
        <v>34.614117398219001</v>
      </c>
      <c r="AI263" s="541">
        <f t="shared" ca="1" si="428"/>
        <v>34.614117398219001</v>
      </c>
      <c r="AJ263" s="541">
        <f t="shared" ca="1" si="428"/>
        <v>34.614117398219001</v>
      </c>
      <c r="AK263" s="541">
        <f t="shared" ca="1" si="428"/>
        <v>34.614117398219001</v>
      </c>
      <c r="AL263" s="541">
        <f t="shared" ca="1" si="428"/>
        <v>34.614117398219001</v>
      </c>
      <c r="AN263" s="571"/>
      <c r="AO263" s="571"/>
      <c r="AP263" s="541">
        <f t="shared" si="429"/>
        <v>0</v>
      </c>
      <c r="AQ263" s="541">
        <f t="shared" si="429"/>
        <v>0</v>
      </c>
      <c r="AR263" s="541">
        <f t="shared" ca="1" si="429"/>
        <v>34.614117398219001</v>
      </c>
      <c r="AS263" s="541">
        <f t="shared" ca="1" si="429"/>
        <v>138.456469592876</v>
      </c>
      <c r="AT263" s="541">
        <f t="shared" ca="1" si="429"/>
        <v>138.456469592876</v>
      </c>
    </row>
    <row r="264" spans="2:46" outlineLevel="1" x14ac:dyDescent="0.25">
      <c r="B264" s="535">
        <f t="shared" si="421"/>
        <v>46112</v>
      </c>
      <c r="C264" s="648">
        <f ca="1">+AE$239*$R$230</f>
        <v>2145.6605521456618</v>
      </c>
      <c r="D264" s="649">
        <f t="shared" si="424"/>
        <v>24</v>
      </c>
      <c r="E264" s="649"/>
      <c r="F264" s="649"/>
      <c r="G264" s="649"/>
      <c r="H264" s="648">
        <f ca="1">+AE$239*$R$231</f>
        <v>698.61837661052505</v>
      </c>
      <c r="I264" s="610">
        <f t="shared" si="425"/>
        <v>28</v>
      </c>
      <c r="J264" s="541"/>
      <c r="K264" s="541">
        <f t="shared" si="426"/>
        <v>0</v>
      </c>
      <c r="L264" s="541">
        <f t="shared" si="426"/>
        <v>0</v>
      </c>
      <c r="M264" s="541">
        <f t="shared" si="426"/>
        <v>0</v>
      </c>
      <c r="N264" s="541">
        <f t="shared" si="426"/>
        <v>0</v>
      </c>
      <c r="O264" s="541">
        <f t="shared" si="426"/>
        <v>0</v>
      </c>
      <c r="P264" s="541">
        <f t="shared" si="426"/>
        <v>0</v>
      </c>
      <c r="Q264" s="541">
        <f t="shared" si="426"/>
        <v>0</v>
      </c>
      <c r="R264" s="541">
        <f t="shared" si="426"/>
        <v>0</v>
      </c>
      <c r="S264" s="541">
        <f t="shared" si="426"/>
        <v>0</v>
      </c>
      <c r="T264" s="541">
        <f t="shared" si="426"/>
        <v>0</v>
      </c>
      <c r="U264" s="541">
        <f t="shared" si="427"/>
        <v>0</v>
      </c>
      <c r="V264" s="541">
        <f t="shared" si="427"/>
        <v>0</v>
      </c>
      <c r="W264" s="541">
        <f t="shared" si="427"/>
        <v>0</v>
      </c>
      <c r="X264" s="541">
        <f t="shared" si="427"/>
        <v>0</v>
      </c>
      <c r="Y264" s="541">
        <f t="shared" si="427"/>
        <v>0</v>
      </c>
      <c r="Z264" s="541">
        <f t="shared" si="427"/>
        <v>0</v>
      </c>
      <c r="AA264" s="541">
        <f t="shared" si="427"/>
        <v>0</v>
      </c>
      <c r="AB264" s="541">
        <f t="shared" si="427"/>
        <v>0</v>
      </c>
      <c r="AC264" s="541">
        <f t="shared" si="427"/>
        <v>0</v>
      </c>
      <c r="AD264" s="541">
        <f t="shared" si="427"/>
        <v>0</v>
      </c>
      <c r="AE264" s="541">
        <f t="shared" ca="1" si="428"/>
        <v>114.353179313588</v>
      </c>
      <c r="AF264" s="541">
        <f t="shared" ca="1" si="428"/>
        <v>114.353179313588</v>
      </c>
      <c r="AG264" s="541">
        <f t="shared" ca="1" si="428"/>
        <v>114.353179313588</v>
      </c>
      <c r="AH264" s="541">
        <f t="shared" ca="1" si="428"/>
        <v>114.353179313588</v>
      </c>
      <c r="AI264" s="541">
        <f t="shared" ca="1" si="428"/>
        <v>114.353179313588</v>
      </c>
      <c r="AJ264" s="541">
        <f t="shared" ca="1" si="428"/>
        <v>114.353179313588</v>
      </c>
      <c r="AK264" s="541">
        <f t="shared" ca="1" si="428"/>
        <v>114.353179313588</v>
      </c>
      <c r="AL264" s="541">
        <f t="shared" ca="1" si="428"/>
        <v>114.353179313588</v>
      </c>
      <c r="AN264" s="571"/>
      <c r="AO264" s="571"/>
      <c r="AP264" s="541">
        <f t="shared" si="429"/>
        <v>0</v>
      </c>
      <c r="AQ264" s="541">
        <f t="shared" si="429"/>
        <v>0</v>
      </c>
      <c r="AR264" s="541">
        <f t="shared" si="429"/>
        <v>0</v>
      </c>
      <c r="AS264" s="541">
        <f t="shared" ca="1" si="429"/>
        <v>457.412717254352</v>
      </c>
      <c r="AT264" s="541">
        <f t="shared" ca="1" si="429"/>
        <v>457.412717254352</v>
      </c>
    </row>
    <row r="265" spans="2:46" outlineLevel="1" x14ac:dyDescent="0.25">
      <c r="B265" s="535">
        <f t="shared" si="421"/>
        <v>46203</v>
      </c>
      <c r="C265" s="648">
        <f ca="1">+AF$239*$R$230</f>
        <v>2912.6104089356954</v>
      </c>
      <c r="D265" s="649">
        <f t="shared" si="424"/>
        <v>24</v>
      </c>
      <c r="E265" s="649"/>
      <c r="F265" s="649"/>
      <c r="G265" s="649"/>
      <c r="H265" s="648">
        <f ca="1">+AF$239*$R$231</f>
        <v>948.33414053064871</v>
      </c>
      <c r="I265" s="610">
        <f t="shared" si="425"/>
        <v>28</v>
      </c>
      <c r="J265" s="541"/>
      <c r="K265" s="541">
        <f t="shared" si="426"/>
        <v>0</v>
      </c>
      <c r="L265" s="541">
        <f t="shared" si="426"/>
        <v>0</v>
      </c>
      <c r="M265" s="541">
        <f t="shared" si="426"/>
        <v>0</v>
      </c>
      <c r="N265" s="541">
        <f t="shared" si="426"/>
        <v>0</v>
      </c>
      <c r="O265" s="541">
        <f t="shared" si="426"/>
        <v>0</v>
      </c>
      <c r="P265" s="541">
        <f t="shared" si="426"/>
        <v>0</v>
      </c>
      <c r="Q265" s="541">
        <f t="shared" si="426"/>
        <v>0</v>
      </c>
      <c r="R265" s="541">
        <f t="shared" si="426"/>
        <v>0</v>
      </c>
      <c r="S265" s="541">
        <f t="shared" si="426"/>
        <v>0</v>
      </c>
      <c r="T265" s="541">
        <f t="shared" si="426"/>
        <v>0</v>
      </c>
      <c r="U265" s="541">
        <f t="shared" si="427"/>
        <v>0</v>
      </c>
      <c r="V265" s="541">
        <f t="shared" si="427"/>
        <v>0</v>
      </c>
      <c r="W265" s="541">
        <f t="shared" si="427"/>
        <v>0</v>
      </c>
      <c r="X265" s="541">
        <f t="shared" si="427"/>
        <v>0</v>
      </c>
      <c r="Y265" s="541">
        <f t="shared" si="427"/>
        <v>0</v>
      </c>
      <c r="Z265" s="541">
        <f t="shared" si="427"/>
        <v>0</v>
      </c>
      <c r="AA265" s="541">
        <f t="shared" si="427"/>
        <v>0</v>
      </c>
      <c r="AB265" s="541">
        <f t="shared" si="427"/>
        <v>0</v>
      </c>
      <c r="AC265" s="541">
        <f t="shared" si="427"/>
        <v>0</v>
      </c>
      <c r="AD265" s="541">
        <f t="shared" si="427"/>
        <v>0</v>
      </c>
      <c r="AE265" s="541">
        <f t="shared" si="428"/>
        <v>0</v>
      </c>
      <c r="AF265" s="541">
        <f t="shared" ca="1" si="428"/>
        <v>155.22784348651049</v>
      </c>
      <c r="AG265" s="541">
        <f t="shared" ca="1" si="428"/>
        <v>155.22784348651049</v>
      </c>
      <c r="AH265" s="541">
        <f t="shared" ca="1" si="428"/>
        <v>155.22784348651049</v>
      </c>
      <c r="AI265" s="541">
        <f t="shared" ca="1" si="428"/>
        <v>155.22784348651049</v>
      </c>
      <c r="AJ265" s="541">
        <f t="shared" ca="1" si="428"/>
        <v>155.22784348651049</v>
      </c>
      <c r="AK265" s="541">
        <f t="shared" ca="1" si="428"/>
        <v>155.22784348651049</v>
      </c>
      <c r="AL265" s="541">
        <f t="shared" ca="1" si="428"/>
        <v>155.22784348651049</v>
      </c>
      <c r="AN265" s="571"/>
      <c r="AO265" s="571"/>
      <c r="AP265" s="541">
        <f t="shared" si="429"/>
        <v>0</v>
      </c>
      <c r="AQ265" s="541">
        <f t="shared" si="429"/>
        <v>0</v>
      </c>
      <c r="AR265" s="541">
        <f t="shared" si="429"/>
        <v>0</v>
      </c>
      <c r="AS265" s="541">
        <f t="shared" ca="1" si="429"/>
        <v>465.68353045953148</v>
      </c>
      <c r="AT265" s="541">
        <f t="shared" ca="1" si="429"/>
        <v>620.91137394604198</v>
      </c>
    </row>
    <row r="266" spans="2:46" outlineLevel="1" x14ac:dyDescent="0.25">
      <c r="B266" s="535">
        <f t="shared" si="421"/>
        <v>46295</v>
      </c>
      <c r="C266" s="648">
        <f ca="1">+AG$239*$R$230</f>
        <v>3191.8861312205308</v>
      </c>
      <c r="D266" s="649">
        <f t="shared" si="424"/>
        <v>24</v>
      </c>
      <c r="E266" s="649"/>
      <c r="F266" s="649"/>
      <c r="G266" s="649"/>
      <c r="H266" s="648">
        <f ca="1">+AG$239*$R$231</f>
        <v>1039.2651834368792</v>
      </c>
      <c r="I266" s="610">
        <f t="shared" si="425"/>
        <v>28</v>
      </c>
      <c r="J266" s="541"/>
      <c r="K266" s="541">
        <f t="shared" si="426"/>
        <v>0</v>
      </c>
      <c r="L266" s="541">
        <f t="shared" si="426"/>
        <v>0</v>
      </c>
      <c r="M266" s="541">
        <f t="shared" si="426"/>
        <v>0</v>
      </c>
      <c r="N266" s="541">
        <f t="shared" si="426"/>
        <v>0</v>
      </c>
      <c r="O266" s="541">
        <f t="shared" si="426"/>
        <v>0</v>
      </c>
      <c r="P266" s="541">
        <f t="shared" si="426"/>
        <v>0</v>
      </c>
      <c r="Q266" s="541">
        <f t="shared" si="426"/>
        <v>0</v>
      </c>
      <c r="R266" s="541">
        <f t="shared" si="426"/>
        <v>0</v>
      </c>
      <c r="S266" s="541">
        <f t="shared" si="426"/>
        <v>0</v>
      </c>
      <c r="T266" s="541">
        <f t="shared" si="426"/>
        <v>0</v>
      </c>
      <c r="U266" s="541">
        <f t="shared" si="427"/>
        <v>0</v>
      </c>
      <c r="V266" s="541">
        <f t="shared" si="427"/>
        <v>0</v>
      </c>
      <c r="W266" s="541">
        <f t="shared" si="427"/>
        <v>0</v>
      </c>
      <c r="X266" s="541">
        <f t="shared" si="427"/>
        <v>0</v>
      </c>
      <c r="Y266" s="541">
        <f t="shared" si="427"/>
        <v>0</v>
      </c>
      <c r="Z266" s="541">
        <f t="shared" si="427"/>
        <v>0</v>
      </c>
      <c r="AA266" s="541">
        <f t="shared" si="427"/>
        <v>0</v>
      </c>
      <c r="AB266" s="541">
        <f t="shared" si="427"/>
        <v>0</v>
      </c>
      <c r="AC266" s="541">
        <f t="shared" si="427"/>
        <v>0</v>
      </c>
      <c r="AD266" s="541">
        <f t="shared" si="427"/>
        <v>0</v>
      </c>
      <c r="AE266" s="541">
        <f t="shared" si="428"/>
        <v>0</v>
      </c>
      <c r="AF266" s="541">
        <f t="shared" si="428"/>
        <v>0</v>
      </c>
      <c r="AG266" s="541">
        <f t="shared" ca="1" si="428"/>
        <v>170.11186916169638</v>
      </c>
      <c r="AH266" s="541">
        <f t="shared" ca="1" si="428"/>
        <v>170.11186916169638</v>
      </c>
      <c r="AI266" s="541">
        <f t="shared" ca="1" si="428"/>
        <v>170.11186916169638</v>
      </c>
      <c r="AJ266" s="541">
        <f t="shared" ca="1" si="428"/>
        <v>170.11186916169638</v>
      </c>
      <c r="AK266" s="541">
        <f t="shared" ca="1" si="428"/>
        <v>170.11186916169638</v>
      </c>
      <c r="AL266" s="541">
        <f t="shared" ca="1" si="428"/>
        <v>170.11186916169638</v>
      </c>
      <c r="AN266" s="571"/>
      <c r="AO266" s="571"/>
      <c r="AP266" s="541">
        <f t="shared" si="429"/>
        <v>0</v>
      </c>
      <c r="AQ266" s="541">
        <f t="shared" si="429"/>
        <v>0</v>
      </c>
      <c r="AR266" s="541">
        <f t="shared" si="429"/>
        <v>0</v>
      </c>
      <c r="AS266" s="541">
        <f t="shared" ca="1" si="429"/>
        <v>340.22373832339275</v>
      </c>
      <c r="AT266" s="541">
        <f t="shared" ca="1" si="429"/>
        <v>680.4474766467855</v>
      </c>
    </row>
    <row r="267" spans="2:46" outlineLevel="1" x14ac:dyDescent="0.25">
      <c r="B267" s="535">
        <f t="shared" si="421"/>
        <v>46387</v>
      </c>
      <c r="C267" s="648">
        <f ca="1">+AH$239*$R$230</f>
        <v>666.42906479612543</v>
      </c>
      <c r="D267" s="649">
        <f t="shared" si="424"/>
        <v>24</v>
      </c>
      <c r="E267" s="649"/>
      <c r="F267" s="649"/>
      <c r="G267" s="649"/>
      <c r="H267" s="648">
        <f ca="1">+AH$239*$R$231</f>
        <v>216.98660158912821</v>
      </c>
      <c r="I267" s="610">
        <f t="shared" si="425"/>
        <v>28</v>
      </c>
      <c r="J267" s="541"/>
      <c r="K267" s="541">
        <f t="shared" si="426"/>
        <v>0</v>
      </c>
      <c r="L267" s="541">
        <f t="shared" si="426"/>
        <v>0</v>
      </c>
      <c r="M267" s="541">
        <f t="shared" si="426"/>
        <v>0</v>
      </c>
      <c r="N267" s="541">
        <f t="shared" si="426"/>
        <v>0</v>
      </c>
      <c r="O267" s="541">
        <f t="shared" si="426"/>
        <v>0</v>
      </c>
      <c r="P267" s="541">
        <f t="shared" si="426"/>
        <v>0</v>
      </c>
      <c r="Q267" s="541">
        <f t="shared" si="426"/>
        <v>0</v>
      </c>
      <c r="R267" s="541">
        <f t="shared" si="426"/>
        <v>0</v>
      </c>
      <c r="S267" s="541">
        <f t="shared" si="426"/>
        <v>0</v>
      </c>
      <c r="T267" s="541">
        <f t="shared" si="426"/>
        <v>0</v>
      </c>
      <c r="U267" s="541">
        <f t="shared" si="427"/>
        <v>0</v>
      </c>
      <c r="V267" s="541">
        <f t="shared" si="427"/>
        <v>0</v>
      </c>
      <c r="W267" s="541">
        <f t="shared" si="427"/>
        <v>0</v>
      </c>
      <c r="X267" s="541">
        <f t="shared" si="427"/>
        <v>0</v>
      </c>
      <c r="Y267" s="541">
        <f t="shared" si="427"/>
        <v>0</v>
      </c>
      <c r="Z267" s="541">
        <f t="shared" si="427"/>
        <v>0</v>
      </c>
      <c r="AA267" s="541">
        <f t="shared" si="427"/>
        <v>0</v>
      </c>
      <c r="AB267" s="541">
        <f t="shared" si="427"/>
        <v>0</v>
      </c>
      <c r="AC267" s="541">
        <f t="shared" si="427"/>
        <v>0</v>
      </c>
      <c r="AD267" s="541">
        <f t="shared" si="427"/>
        <v>0</v>
      </c>
      <c r="AE267" s="541">
        <f t="shared" si="428"/>
        <v>0</v>
      </c>
      <c r="AF267" s="541">
        <f t="shared" si="428"/>
        <v>0</v>
      </c>
      <c r="AG267" s="541">
        <f t="shared" si="428"/>
        <v>0</v>
      </c>
      <c r="AH267" s="541">
        <f t="shared" ca="1" si="428"/>
        <v>35.517399185164571</v>
      </c>
      <c r="AI267" s="541">
        <f t="shared" ca="1" si="428"/>
        <v>35.517399185164571</v>
      </c>
      <c r="AJ267" s="541">
        <f t="shared" ca="1" si="428"/>
        <v>35.517399185164571</v>
      </c>
      <c r="AK267" s="541">
        <f t="shared" ca="1" si="428"/>
        <v>35.517399185164571</v>
      </c>
      <c r="AL267" s="541">
        <f t="shared" ca="1" si="428"/>
        <v>35.517399185164571</v>
      </c>
      <c r="AN267" s="571"/>
      <c r="AO267" s="571"/>
      <c r="AP267" s="541">
        <f t="shared" si="429"/>
        <v>0</v>
      </c>
      <c r="AQ267" s="541">
        <f t="shared" si="429"/>
        <v>0</v>
      </c>
      <c r="AR267" s="541">
        <f t="shared" si="429"/>
        <v>0</v>
      </c>
      <c r="AS267" s="541">
        <f t="shared" ca="1" si="429"/>
        <v>35.517399185164571</v>
      </c>
      <c r="AT267" s="541">
        <f t="shared" ca="1" si="429"/>
        <v>142.06959674065828</v>
      </c>
    </row>
    <row r="268" spans="2:46" outlineLevel="1" x14ac:dyDescent="0.25">
      <c r="B268" s="535">
        <f t="shared" si="421"/>
        <v>46477</v>
      </c>
      <c r="C268" s="648">
        <f ca="1">+AI$239*$R$230</f>
        <v>2239.0871384035399</v>
      </c>
      <c r="D268" s="649">
        <f t="shared" si="424"/>
        <v>24</v>
      </c>
      <c r="E268" s="649"/>
      <c r="F268" s="649"/>
      <c r="G268" s="649"/>
      <c r="H268" s="648">
        <f ca="1">+AI$239*$R$231</f>
        <v>729.03769431596209</v>
      </c>
      <c r="I268" s="610">
        <f t="shared" si="425"/>
        <v>28</v>
      </c>
      <c r="J268" s="541"/>
      <c r="K268" s="541">
        <f t="shared" si="426"/>
        <v>0</v>
      </c>
      <c r="L268" s="541">
        <f t="shared" si="426"/>
        <v>0</v>
      </c>
      <c r="M268" s="541">
        <f t="shared" si="426"/>
        <v>0</v>
      </c>
      <c r="N268" s="541">
        <f t="shared" si="426"/>
        <v>0</v>
      </c>
      <c r="O268" s="541">
        <f t="shared" si="426"/>
        <v>0</v>
      </c>
      <c r="P268" s="541">
        <f t="shared" si="426"/>
        <v>0</v>
      </c>
      <c r="Q268" s="541">
        <f t="shared" si="426"/>
        <v>0</v>
      </c>
      <c r="R268" s="541">
        <f t="shared" si="426"/>
        <v>0</v>
      </c>
      <c r="S268" s="541">
        <f t="shared" si="426"/>
        <v>0</v>
      </c>
      <c r="T268" s="541">
        <f t="shared" si="426"/>
        <v>0</v>
      </c>
      <c r="U268" s="541">
        <f t="shared" si="427"/>
        <v>0</v>
      </c>
      <c r="V268" s="541">
        <f t="shared" si="427"/>
        <v>0</v>
      </c>
      <c r="W268" s="541">
        <f t="shared" si="427"/>
        <v>0</v>
      </c>
      <c r="X268" s="541">
        <f t="shared" si="427"/>
        <v>0</v>
      </c>
      <c r="Y268" s="541">
        <f t="shared" si="427"/>
        <v>0</v>
      </c>
      <c r="Z268" s="541">
        <f t="shared" si="427"/>
        <v>0</v>
      </c>
      <c r="AA268" s="541">
        <f t="shared" si="427"/>
        <v>0</v>
      </c>
      <c r="AB268" s="541">
        <f t="shared" si="427"/>
        <v>0</v>
      </c>
      <c r="AC268" s="541">
        <f t="shared" si="427"/>
        <v>0</v>
      </c>
      <c r="AD268" s="541">
        <f t="shared" si="427"/>
        <v>0</v>
      </c>
      <c r="AE268" s="541">
        <f t="shared" si="428"/>
        <v>0</v>
      </c>
      <c r="AF268" s="541">
        <f t="shared" si="428"/>
        <v>0</v>
      </c>
      <c r="AG268" s="541">
        <f t="shared" si="428"/>
        <v>0</v>
      </c>
      <c r="AH268" s="541">
        <f t="shared" si="428"/>
        <v>0</v>
      </c>
      <c r="AI268" s="541">
        <f t="shared" ca="1" si="428"/>
        <v>119.33235794476519</v>
      </c>
      <c r="AJ268" s="541">
        <f t="shared" ca="1" si="428"/>
        <v>119.33235794476519</v>
      </c>
      <c r="AK268" s="541">
        <f t="shared" ca="1" si="428"/>
        <v>119.33235794476519</v>
      </c>
      <c r="AL268" s="541">
        <f t="shared" ca="1" si="428"/>
        <v>119.33235794476519</v>
      </c>
      <c r="AN268" s="571"/>
      <c r="AO268" s="571"/>
      <c r="AP268" s="541">
        <f t="shared" si="429"/>
        <v>0</v>
      </c>
      <c r="AQ268" s="541">
        <f t="shared" si="429"/>
        <v>0</v>
      </c>
      <c r="AR268" s="541">
        <f t="shared" si="429"/>
        <v>0</v>
      </c>
      <c r="AS268" s="541">
        <f t="shared" si="429"/>
        <v>0</v>
      </c>
      <c r="AT268" s="541">
        <f t="shared" ca="1" si="429"/>
        <v>477.32943177906077</v>
      </c>
    </row>
    <row r="269" spans="2:46" outlineLevel="1" x14ac:dyDescent="0.25">
      <c r="B269" s="535">
        <f t="shared" si="421"/>
        <v>46568</v>
      </c>
      <c r="C269" s="648">
        <f ca="1">+AJ$239*$R$230</f>
        <v>3042.7169085601381</v>
      </c>
      <c r="D269" s="649">
        <f t="shared" si="424"/>
        <v>24</v>
      </c>
      <c r="E269" s="649"/>
      <c r="F269" s="649"/>
      <c r="G269" s="649"/>
      <c r="H269" s="648">
        <f ca="1">+AJ$239*$R$231</f>
        <v>990.69628931658372</v>
      </c>
      <c r="I269" s="610">
        <f t="shared" si="425"/>
        <v>28</v>
      </c>
      <c r="J269" s="541"/>
      <c r="K269" s="541">
        <f t="shared" si="426"/>
        <v>0</v>
      </c>
      <c r="L269" s="541">
        <f t="shared" si="426"/>
        <v>0</v>
      </c>
      <c r="M269" s="541">
        <f t="shared" si="426"/>
        <v>0</v>
      </c>
      <c r="N269" s="541">
        <f t="shared" si="426"/>
        <v>0</v>
      </c>
      <c r="O269" s="541">
        <f t="shared" si="426"/>
        <v>0</v>
      </c>
      <c r="P269" s="541">
        <f t="shared" si="426"/>
        <v>0</v>
      </c>
      <c r="Q269" s="541">
        <f t="shared" si="426"/>
        <v>0</v>
      </c>
      <c r="R269" s="541">
        <f t="shared" si="426"/>
        <v>0</v>
      </c>
      <c r="S269" s="541">
        <f t="shared" si="426"/>
        <v>0</v>
      </c>
      <c r="T269" s="541">
        <f t="shared" si="426"/>
        <v>0</v>
      </c>
      <c r="U269" s="541">
        <f t="shared" si="427"/>
        <v>0</v>
      </c>
      <c r="V269" s="541">
        <f t="shared" si="427"/>
        <v>0</v>
      </c>
      <c r="W269" s="541">
        <f t="shared" si="427"/>
        <v>0</v>
      </c>
      <c r="X269" s="541">
        <f t="shared" si="427"/>
        <v>0</v>
      </c>
      <c r="Y269" s="541">
        <f t="shared" si="427"/>
        <v>0</v>
      </c>
      <c r="Z269" s="541">
        <f t="shared" si="427"/>
        <v>0</v>
      </c>
      <c r="AA269" s="541">
        <f t="shared" si="427"/>
        <v>0</v>
      </c>
      <c r="AB269" s="541">
        <f t="shared" si="427"/>
        <v>0</v>
      </c>
      <c r="AC269" s="541">
        <f t="shared" si="427"/>
        <v>0</v>
      </c>
      <c r="AD269" s="541">
        <f t="shared" si="427"/>
        <v>0</v>
      </c>
      <c r="AE269" s="541">
        <f t="shared" si="428"/>
        <v>0</v>
      </c>
      <c r="AF269" s="541">
        <f t="shared" si="428"/>
        <v>0</v>
      </c>
      <c r="AG269" s="541">
        <f t="shared" si="428"/>
        <v>0</v>
      </c>
      <c r="AH269" s="541">
        <f t="shared" si="428"/>
        <v>0</v>
      </c>
      <c r="AI269" s="541">
        <f t="shared" si="428"/>
        <v>0</v>
      </c>
      <c r="AJ269" s="541">
        <f t="shared" ca="1" si="428"/>
        <v>162.16188152274088</v>
      </c>
      <c r="AK269" s="541">
        <f t="shared" ca="1" si="428"/>
        <v>162.16188152274088</v>
      </c>
      <c r="AL269" s="541">
        <f t="shared" ca="1" si="428"/>
        <v>162.16188152274088</v>
      </c>
      <c r="AN269" s="571"/>
      <c r="AO269" s="571"/>
      <c r="AP269" s="541">
        <f t="shared" si="429"/>
        <v>0</v>
      </c>
      <c r="AQ269" s="541">
        <f t="shared" si="429"/>
        <v>0</v>
      </c>
      <c r="AR269" s="541">
        <f t="shared" si="429"/>
        <v>0</v>
      </c>
      <c r="AS269" s="541">
        <f t="shared" si="429"/>
        <v>0</v>
      </c>
      <c r="AT269" s="541">
        <f t="shared" ca="1" si="429"/>
        <v>486.48564456822265</v>
      </c>
    </row>
    <row r="270" spans="2:46" outlineLevel="1" x14ac:dyDescent="0.25">
      <c r="B270" s="535">
        <f t="shared" si="421"/>
        <v>46660</v>
      </c>
      <c r="C270" s="648">
        <f ca="1">+AK$239*$R$230</f>
        <v>3351.3566868895855</v>
      </c>
      <c r="D270" s="649">
        <f t="shared" si="424"/>
        <v>24</v>
      </c>
      <c r="E270" s="649"/>
      <c r="F270" s="649"/>
      <c r="G270" s="649"/>
      <c r="H270" s="648">
        <f ca="1">+AK$239*$R$231</f>
        <v>1091.1881498200214</v>
      </c>
      <c r="I270" s="610">
        <f t="shared" si="425"/>
        <v>28</v>
      </c>
      <c r="J270" s="541"/>
      <c r="K270" s="541">
        <f t="shared" si="426"/>
        <v>0</v>
      </c>
      <c r="L270" s="541">
        <f t="shared" si="426"/>
        <v>0</v>
      </c>
      <c r="M270" s="541">
        <f t="shared" si="426"/>
        <v>0</v>
      </c>
      <c r="N270" s="541">
        <f t="shared" si="426"/>
        <v>0</v>
      </c>
      <c r="O270" s="541">
        <f t="shared" si="426"/>
        <v>0</v>
      </c>
      <c r="P270" s="541">
        <f t="shared" si="426"/>
        <v>0</v>
      </c>
      <c r="Q270" s="541">
        <f t="shared" si="426"/>
        <v>0</v>
      </c>
      <c r="R270" s="541">
        <f t="shared" si="426"/>
        <v>0</v>
      </c>
      <c r="S270" s="541">
        <f t="shared" si="426"/>
        <v>0</v>
      </c>
      <c r="T270" s="541">
        <f t="shared" si="426"/>
        <v>0</v>
      </c>
      <c r="U270" s="541">
        <f t="shared" si="427"/>
        <v>0</v>
      </c>
      <c r="V270" s="541">
        <f t="shared" si="427"/>
        <v>0</v>
      </c>
      <c r="W270" s="541">
        <f t="shared" si="427"/>
        <v>0</v>
      </c>
      <c r="X270" s="541">
        <f t="shared" si="427"/>
        <v>0</v>
      </c>
      <c r="Y270" s="541">
        <f t="shared" si="427"/>
        <v>0</v>
      </c>
      <c r="Z270" s="541">
        <f t="shared" si="427"/>
        <v>0</v>
      </c>
      <c r="AA270" s="541">
        <f t="shared" si="427"/>
        <v>0</v>
      </c>
      <c r="AB270" s="541">
        <f t="shared" si="427"/>
        <v>0</v>
      </c>
      <c r="AC270" s="541">
        <f t="shared" si="427"/>
        <v>0</v>
      </c>
      <c r="AD270" s="541">
        <f t="shared" si="427"/>
        <v>0</v>
      </c>
      <c r="AE270" s="541">
        <f t="shared" si="428"/>
        <v>0</v>
      </c>
      <c r="AF270" s="541">
        <f t="shared" si="428"/>
        <v>0</v>
      </c>
      <c r="AG270" s="541">
        <f t="shared" si="428"/>
        <v>0</v>
      </c>
      <c r="AH270" s="541">
        <f t="shared" si="428"/>
        <v>0</v>
      </c>
      <c r="AI270" s="541">
        <f t="shared" si="428"/>
        <v>0</v>
      </c>
      <c r="AJ270" s="541">
        <f t="shared" si="428"/>
        <v>0</v>
      </c>
      <c r="AK270" s="541">
        <f t="shared" ca="1" si="428"/>
        <v>178.61086730444777</v>
      </c>
      <c r="AL270" s="541">
        <f t="shared" ca="1" si="428"/>
        <v>178.61086730444777</v>
      </c>
      <c r="AN270" s="571"/>
      <c r="AO270" s="571"/>
      <c r="AP270" s="541">
        <f t="shared" si="429"/>
        <v>0</v>
      </c>
      <c r="AQ270" s="541">
        <f t="shared" si="429"/>
        <v>0</v>
      </c>
      <c r="AR270" s="541">
        <f t="shared" si="429"/>
        <v>0</v>
      </c>
      <c r="AS270" s="541">
        <f t="shared" si="429"/>
        <v>0</v>
      </c>
      <c r="AT270" s="541">
        <f t="shared" ca="1" si="429"/>
        <v>357.22173460889553</v>
      </c>
    </row>
    <row r="271" spans="2:46" outlineLevel="1" x14ac:dyDescent="0.25">
      <c r="B271" s="535">
        <f t="shared" si="421"/>
        <v>46752</v>
      </c>
      <c r="C271" s="648">
        <f ca="1">+AL$239*$R$230</f>
        <v>720.13528711157448</v>
      </c>
      <c r="D271" s="649">
        <f t="shared" si="424"/>
        <v>24</v>
      </c>
      <c r="E271" s="649"/>
      <c r="F271" s="649"/>
      <c r="G271" s="649"/>
      <c r="H271" s="648">
        <f ca="1">+AL$239*$R$231</f>
        <v>234.47312983348766</v>
      </c>
      <c r="I271" s="610">
        <f t="shared" si="425"/>
        <v>28</v>
      </c>
      <c r="J271" s="541"/>
      <c r="K271" s="541">
        <f t="shared" si="426"/>
        <v>0</v>
      </c>
      <c r="L271" s="541">
        <f t="shared" si="426"/>
        <v>0</v>
      </c>
      <c r="M271" s="541">
        <f t="shared" si="426"/>
        <v>0</v>
      </c>
      <c r="N271" s="541">
        <f t="shared" si="426"/>
        <v>0</v>
      </c>
      <c r="O271" s="541">
        <f t="shared" si="426"/>
        <v>0</v>
      </c>
      <c r="P271" s="541">
        <f t="shared" si="426"/>
        <v>0</v>
      </c>
      <c r="Q271" s="541">
        <f t="shared" si="426"/>
        <v>0</v>
      </c>
      <c r="R271" s="541">
        <f t="shared" si="426"/>
        <v>0</v>
      </c>
      <c r="S271" s="541">
        <f t="shared" si="426"/>
        <v>0</v>
      </c>
      <c r="T271" s="541">
        <f t="shared" si="426"/>
        <v>0</v>
      </c>
      <c r="U271" s="541">
        <f t="shared" si="427"/>
        <v>0</v>
      </c>
      <c r="V271" s="541">
        <f t="shared" si="427"/>
        <v>0</v>
      </c>
      <c r="W271" s="541">
        <f t="shared" si="427"/>
        <v>0</v>
      </c>
      <c r="X271" s="541">
        <f t="shared" si="427"/>
        <v>0</v>
      </c>
      <c r="Y271" s="541">
        <f t="shared" si="427"/>
        <v>0</v>
      </c>
      <c r="Z271" s="541">
        <f t="shared" si="427"/>
        <v>0</v>
      </c>
      <c r="AA271" s="541">
        <f t="shared" si="427"/>
        <v>0</v>
      </c>
      <c r="AB271" s="541">
        <f t="shared" si="427"/>
        <v>0</v>
      </c>
      <c r="AC271" s="541">
        <f t="shared" si="427"/>
        <v>0</v>
      </c>
      <c r="AD271" s="541">
        <f t="shared" si="427"/>
        <v>0</v>
      </c>
      <c r="AE271" s="541">
        <f t="shared" si="428"/>
        <v>0</v>
      </c>
      <c r="AF271" s="541">
        <f t="shared" si="428"/>
        <v>0</v>
      </c>
      <c r="AG271" s="541">
        <f t="shared" si="428"/>
        <v>0</v>
      </c>
      <c r="AH271" s="541">
        <f t="shared" si="428"/>
        <v>0</v>
      </c>
      <c r="AI271" s="541">
        <f t="shared" si="428"/>
        <v>0</v>
      </c>
      <c r="AJ271" s="541">
        <f t="shared" si="428"/>
        <v>0</v>
      </c>
      <c r="AK271" s="541">
        <f t="shared" si="428"/>
        <v>0</v>
      </c>
      <c r="AL271" s="541">
        <f t="shared" ca="1" si="428"/>
        <v>38.379677314178259</v>
      </c>
      <c r="AN271" s="571"/>
      <c r="AO271" s="571"/>
      <c r="AP271" s="541">
        <f t="shared" si="429"/>
        <v>0</v>
      </c>
      <c r="AQ271" s="541">
        <f t="shared" si="429"/>
        <v>0</v>
      </c>
      <c r="AR271" s="541">
        <f t="shared" si="429"/>
        <v>0</v>
      </c>
      <c r="AS271" s="541">
        <f t="shared" si="429"/>
        <v>0</v>
      </c>
      <c r="AT271" s="541">
        <f t="shared" ca="1" si="429"/>
        <v>38.379677314178259</v>
      </c>
    </row>
    <row r="272" spans="2:46" x14ac:dyDescent="0.25">
      <c r="B272" s="551" t="s">
        <v>257</v>
      </c>
      <c r="C272" s="541"/>
      <c r="D272" s="649"/>
      <c r="E272" s="649"/>
      <c r="F272" s="649"/>
      <c r="G272" s="649"/>
      <c r="H272" s="541"/>
      <c r="I272" s="541"/>
      <c r="J272" s="541"/>
      <c r="K272" s="633">
        <f>SUM(K252:K271)</f>
        <v>0</v>
      </c>
      <c r="L272" s="633">
        <f t="shared" ref="L272:AL272" si="430">SUM(L252:L271)</f>
        <v>0</v>
      </c>
      <c r="M272" s="633">
        <f t="shared" si="430"/>
        <v>0</v>
      </c>
      <c r="N272" s="633">
        <f t="shared" si="430"/>
        <v>0</v>
      </c>
      <c r="O272" s="633">
        <f t="shared" si="430"/>
        <v>0</v>
      </c>
      <c r="P272" s="633">
        <f t="shared" si="430"/>
        <v>0</v>
      </c>
      <c r="Q272" s="633">
        <f t="shared" si="430"/>
        <v>0</v>
      </c>
      <c r="R272" s="633">
        <f t="shared" si="430"/>
        <v>0</v>
      </c>
      <c r="S272" s="633">
        <f t="shared" ca="1" si="430"/>
        <v>74.360481745605028</v>
      </c>
      <c r="T272" s="633">
        <f t="shared" ca="1" si="430"/>
        <v>173.90171274394723</v>
      </c>
      <c r="U272" s="633">
        <f t="shared" ca="1" si="430"/>
        <v>271.57678465590106</v>
      </c>
      <c r="V272" s="633">
        <f t="shared" ca="1" si="430"/>
        <v>299.45482844652139</v>
      </c>
      <c r="W272" s="633">
        <f t="shared" ca="1" si="430"/>
        <v>390.68776089631729</v>
      </c>
      <c r="X272" s="633">
        <f t="shared" ca="1" si="430"/>
        <v>513.76385346473796</v>
      </c>
      <c r="Y272" s="633">
        <f t="shared" ca="1" si="430"/>
        <v>643.63476602898481</v>
      </c>
      <c r="Z272" s="633">
        <f t="shared" ca="1" si="430"/>
        <v>669.93735929904494</v>
      </c>
      <c r="AA272" s="633">
        <f t="shared" ca="1" si="430"/>
        <v>774.17847605457291</v>
      </c>
      <c r="AB272" s="633">
        <f t="shared" ca="1" si="430"/>
        <v>915.22128574681449</v>
      </c>
      <c r="AC272" s="633">
        <f t="shared" ca="1" si="430"/>
        <v>1065.6401353264926</v>
      </c>
      <c r="AD272" s="633">
        <f t="shared" ca="1" si="430"/>
        <v>1100.2542527247115</v>
      </c>
      <c r="AE272" s="633">
        <f t="shared" ca="1" si="430"/>
        <v>1214.6074320382995</v>
      </c>
      <c r="AF272" s="633">
        <f t="shared" ca="1" si="430"/>
        <v>1369.83527552481</v>
      </c>
      <c r="AG272" s="633">
        <f t="shared" ca="1" si="430"/>
        <v>1539.9471446865064</v>
      </c>
      <c r="AH272" s="633">
        <f t="shared" ca="1" si="430"/>
        <v>1575.4645438716709</v>
      </c>
      <c r="AI272" s="633">
        <f t="shared" ca="1" si="430"/>
        <v>1694.796901816436</v>
      </c>
      <c r="AJ272" s="633">
        <f t="shared" ca="1" si="430"/>
        <v>1856.958783339177</v>
      </c>
      <c r="AK272" s="633">
        <f t="shared" ca="1" si="430"/>
        <v>2035.5696506436248</v>
      </c>
      <c r="AL272" s="633">
        <f t="shared" ca="1" si="430"/>
        <v>2073.9493279578032</v>
      </c>
      <c r="AN272" s="650"/>
      <c r="AO272" s="650"/>
      <c r="AP272" s="633">
        <f t="shared" ref="AP272:AT272" ca="1" si="431">SUM(AP252:AP271)</f>
        <v>819.29380759197477</v>
      </c>
      <c r="AQ272" s="633">
        <f t="shared" ca="1" si="431"/>
        <v>2218.0237396890852</v>
      </c>
      <c r="AR272" s="633">
        <f t="shared" ca="1" si="431"/>
        <v>3855.2941498525911</v>
      </c>
      <c r="AS272" s="633">
        <f t="shared" ca="1" si="431"/>
        <v>5699.8543961212863</v>
      </c>
      <c r="AT272" s="633">
        <f t="shared" ca="1" si="431"/>
        <v>7661.2746637570408</v>
      </c>
    </row>
    <row r="273" spans="2:46" x14ac:dyDescent="0.25">
      <c r="B273" s="535" t="s">
        <v>371</v>
      </c>
      <c r="C273" s="541"/>
      <c r="D273" s="649"/>
      <c r="E273" s="649"/>
      <c r="F273" s="649"/>
      <c r="G273" s="649"/>
      <c r="H273" s="541"/>
      <c r="I273" s="541"/>
      <c r="J273" s="541"/>
      <c r="K273" s="588"/>
      <c r="L273" s="588"/>
      <c r="M273" s="588"/>
      <c r="N273" s="588"/>
      <c r="O273" s="588"/>
      <c r="P273" s="588"/>
      <c r="Q273" s="588"/>
      <c r="R273" s="588"/>
      <c r="S273" s="588">
        <f t="shared" ref="S273:AL273" si="432">+S237</f>
        <v>516.91091600419838</v>
      </c>
      <c r="T273" s="588">
        <f t="shared" si="432"/>
        <v>516.91091600419838</v>
      </c>
      <c r="U273" s="588">
        <f t="shared" si="432"/>
        <v>516.91091600419838</v>
      </c>
      <c r="V273" s="588">
        <f t="shared" si="432"/>
        <v>516.91091600419838</v>
      </c>
      <c r="W273" s="588">
        <f t="shared" si="432"/>
        <v>516.91091600419838</v>
      </c>
      <c r="X273" s="588">
        <f t="shared" si="432"/>
        <v>516.91091600419838</v>
      </c>
      <c r="Y273" s="588">
        <f t="shared" si="432"/>
        <v>516.91091600419838</v>
      </c>
      <c r="Z273" s="588">
        <f t="shared" si="432"/>
        <v>516.91091600419838</v>
      </c>
      <c r="AA273" s="588">
        <f t="shared" si="432"/>
        <v>516.91091600419838</v>
      </c>
      <c r="AB273" s="588">
        <f t="shared" si="432"/>
        <v>516.91091600419838</v>
      </c>
      <c r="AC273" s="588">
        <f t="shared" si="432"/>
        <v>516.91091600419838</v>
      </c>
      <c r="AD273" s="588">
        <f t="shared" si="432"/>
        <v>516.91091600419838</v>
      </c>
      <c r="AE273" s="588">
        <f t="shared" si="432"/>
        <v>516.91091600419838</v>
      </c>
      <c r="AF273" s="588">
        <f t="shared" si="432"/>
        <v>516.91091600419838</v>
      </c>
      <c r="AG273" s="588">
        <f t="shared" si="432"/>
        <v>516.91091600419838</v>
      </c>
      <c r="AH273" s="588">
        <f t="shared" si="432"/>
        <v>516.91091600419838</v>
      </c>
      <c r="AI273" s="588">
        <f t="shared" si="432"/>
        <v>516.91091600419838</v>
      </c>
      <c r="AJ273" s="588">
        <f t="shared" si="432"/>
        <v>516.91091600419838</v>
      </c>
      <c r="AK273" s="588">
        <f t="shared" si="432"/>
        <v>516.91091600419838</v>
      </c>
      <c r="AL273" s="588">
        <f t="shared" si="432"/>
        <v>516.91091600419838</v>
      </c>
      <c r="AN273" s="651"/>
      <c r="AO273" s="651"/>
      <c r="AP273" s="588">
        <f>+AP237</f>
        <v>2067.6436640167935</v>
      </c>
      <c r="AQ273" s="588">
        <f>+AQ237</f>
        <v>2067.6436640167935</v>
      </c>
      <c r="AR273" s="588">
        <f>+AR237</f>
        <v>2067.6436640167935</v>
      </c>
      <c r="AS273" s="588">
        <f>+AS237</f>
        <v>2067.6436640167935</v>
      </c>
      <c r="AT273" s="588">
        <f>+AT237</f>
        <v>2067.6436640167935</v>
      </c>
    </row>
    <row r="274" spans="2:46" x14ac:dyDescent="0.25">
      <c r="B274" s="535" t="s">
        <v>389</v>
      </c>
      <c r="C274" s="541"/>
      <c r="D274" s="649"/>
      <c r="E274" s="649"/>
      <c r="F274" s="649"/>
      <c r="G274" s="649"/>
      <c r="H274" s="541"/>
      <c r="I274" s="541"/>
      <c r="J274" s="541"/>
      <c r="K274" s="633"/>
      <c r="L274" s="633"/>
      <c r="M274" s="633"/>
      <c r="N274" s="633"/>
      <c r="O274" s="633"/>
      <c r="P274" s="633"/>
      <c r="Q274" s="633"/>
      <c r="R274" s="633"/>
      <c r="S274" s="633">
        <f ca="1">SUM(S272:S273)</f>
        <v>591.27139774980344</v>
      </c>
      <c r="T274" s="633">
        <f t="shared" ref="T274:AL274" ca="1" si="433">SUM(T272:T273)</f>
        <v>690.81262874814558</v>
      </c>
      <c r="U274" s="633">
        <f t="shared" ca="1" si="433"/>
        <v>788.48770066009945</v>
      </c>
      <c r="V274" s="633">
        <f t="shared" ca="1" si="433"/>
        <v>816.36574445071983</v>
      </c>
      <c r="W274" s="633">
        <f t="shared" ca="1" si="433"/>
        <v>907.59867690051567</v>
      </c>
      <c r="X274" s="633">
        <f t="shared" ca="1" si="433"/>
        <v>1030.6747694689363</v>
      </c>
      <c r="Y274" s="633">
        <f t="shared" ca="1" si="433"/>
        <v>1160.5456820331833</v>
      </c>
      <c r="Z274" s="633">
        <f t="shared" ca="1" si="433"/>
        <v>1186.8482753032433</v>
      </c>
      <c r="AA274" s="633">
        <f t="shared" ca="1" si="433"/>
        <v>1291.0893920587714</v>
      </c>
      <c r="AB274" s="633">
        <f t="shared" ca="1" si="433"/>
        <v>1432.1322017510129</v>
      </c>
      <c r="AC274" s="633">
        <f t="shared" ca="1" si="433"/>
        <v>1582.5510513306908</v>
      </c>
      <c r="AD274" s="633">
        <f t="shared" ca="1" si="433"/>
        <v>1617.16516872891</v>
      </c>
      <c r="AE274" s="633">
        <f t="shared" ca="1" si="433"/>
        <v>1731.518348042498</v>
      </c>
      <c r="AF274" s="633">
        <f t="shared" ca="1" si="433"/>
        <v>1886.7461915290082</v>
      </c>
      <c r="AG274" s="633">
        <f t="shared" ca="1" si="433"/>
        <v>2056.8580606907049</v>
      </c>
      <c r="AH274" s="633">
        <f t="shared" ca="1" si="433"/>
        <v>2092.3754598758692</v>
      </c>
      <c r="AI274" s="633">
        <f t="shared" ca="1" si="433"/>
        <v>2211.7078178206343</v>
      </c>
      <c r="AJ274" s="633">
        <f t="shared" ca="1" si="433"/>
        <v>2373.8696993433755</v>
      </c>
      <c r="AK274" s="633">
        <f t="shared" ca="1" si="433"/>
        <v>2552.4805666478233</v>
      </c>
      <c r="AL274" s="633">
        <f t="shared" ca="1" si="433"/>
        <v>2590.8602439620017</v>
      </c>
      <c r="AN274" s="650"/>
      <c r="AO274" s="650"/>
      <c r="AP274" s="633">
        <f t="shared" ref="AP274:AT274" ca="1" si="434">SUM(AP272:AP273)</f>
        <v>2886.9374716087682</v>
      </c>
      <c r="AQ274" s="633">
        <f t="shared" ca="1" si="434"/>
        <v>4285.6674037058783</v>
      </c>
      <c r="AR274" s="633">
        <f t="shared" ca="1" si="434"/>
        <v>5922.9378138693846</v>
      </c>
      <c r="AS274" s="633">
        <f t="shared" ca="1" si="434"/>
        <v>7767.4980601380794</v>
      </c>
      <c r="AT274" s="633">
        <f t="shared" ca="1" si="434"/>
        <v>9728.9183277738339</v>
      </c>
    </row>
    <row r="275" spans="2:46" x14ac:dyDescent="0.25">
      <c r="B275" s="535"/>
      <c r="C275" s="541"/>
      <c r="D275" s="649"/>
      <c r="E275" s="649"/>
      <c r="F275" s="649"/>
      <c r="G275" s="649"/>
      <c r="H275" s="541"/>
      <c r="I275" s="541"/>
      <c r="J275" s="541"/>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8"/>
      <c r="AL275" s="588"/>
    </row>
    <row r="276" spans="2:46" x14ac:dyDescent="0.25">
      <c r="B276" s="753" t="s">
        <v>390</v>
      </c>
      <c r="C276" s="611"/>
      <c r="D276" s="611"/>
      <c r="E276" s="611"/>
      <c r="F276" s="611"/>
      <c r="G276" s="611"/>
      <c r="H276" s="611"/>
      <c r="I276" s="611"/>
      <c r="J276" s="611"/>
      <c r="K276" s="611"/>
      <c r="L276" s="611"/>
      <c r="M276" s="611"/>
      <c r="N276" s="611"/>
      <c r="O276" s="611"/>
      <c r="P276" s="611"/>
      <c r="Q276" s="611"/>
      <c r="R276" s="611"/>
      <c r="S276" s="611"/>
      <c r="T276" s="611"/>
      <c r="U276" s="611"/>
      <c r="V276" s="611"/>
      <c r="W276" s="611"/>
      <c r="X276" s="611"/>
      <c r="Y276" s="611"/>
      <c r="Z276" s="611"/>
      <c r="AA276" s="611"/>
      <c r="AB276" s="611"/>
      <c r="AC276" s="611"/>
      <c r="AD276" s="611"/>
      <c r="AE276" s="611"/>
      <c r="AF276" s="611"/>
      <c r="AG276" s="611"/>
      <c r="AH276" s="611"/>
      <c r="AI276" s="611"/>
      <c r="AJ276" s="611"/>
      <c r="AK276" s="611"/>
      <c r="AL276" s="611"/>
      <c r="AM276" s="69" t="s">
        <v>207</v>
      </c>
      <c r="AN276" s="611"/>
      <c r="AO276" s="611"/>
      <c r="AP276" s="611"/>
      <c r="AQ276" s="611"/>
      <c r="AR276" s="611"/>
      <c r="AS276" s="611"/>
      <c r="AT276" s="611"/>
    </row>
    <row r="277" spans="2:46" x14ac:dyDescent="0.25">
      <c r="B277" s="551" t="s">
        <v>391</v>
      </c>
      <c r="C277" s="551"/>
      <c r="D277" s="551"/>
      <c r="E277" s="551"/>
      <c r="F277" s="551"/>
      <c r="G277" s="551"/>
      <c r="H277" s="652"/>
      <c r="I277" s="652"/>
      <c r="J277" s="652"/>
      <c r="K277" s="652">
        <v>9912</v>
      </c>
      <c r="L277" s="652"/>
      <c r="M277" s="652"/>
      <c r="N277" s="652"/>
      <c r="O277" s="652"/>
      <c r="P277" s="652"/>
      <c r="Q277" s="652"/>
      <c r="R277" s="652"/>
      <c r="S277" s="653">
        <v>8497</v>
      </c>
      <c r="T277" s="653">
        <f ca="1">+S280</f>
        <v>9992.6644813569746</v>
      </c>
      <c r="U277" s="653">
        <f ca="1">+T280</f>
        <v>11412.85778776091</v>
      </c>
      <c r="V277" s="653">
        <f t="shared" ref="V277" ca="1" si="435">+U280</f>
        <v>12404.456008900788</v>
      </c>
      <c r="W277" s="653">
        <f t="shared" ref="W277:AA277" ca="1" si="436">+V280</f>
        <v>12994.735485891226</v>
      </c>
      <c r="X277" s="653">
        <f t="shared" ca="1" si="436"/>
        <v>14795.938214430751</v>
      </c>
      <c r="Y277" s="653">
        <f t="shared" ca="1" si="436"/>
        <v>16515.373610884111</v>
      </c>
      <c r="Z277" s="653">
        <f t="shared" ca="1" si="436"/>
        <v>17760.163167635241</v>
      </c>
      <c r="AA277" s="653">
        <f t="shared" ca="1" si="436"/>
        <v>18472.396324499598</v>
      </c>
      <c r="AB277" s="653">
        <f t="shared" ref="AB277:AL277" ca="1" si="437">+AA280</f>
        <v>20549.564851865416</v>
      </c>
      <c r="AC277" s="653">
        <f t="shared" ca="1" si="437"/>
        <v>22540.720710290167</v>
      </c>
      <c r="AD277" s="653">
        <f t="shared" ca="1" si="437"/>
        <v>24023.890533143265</v>
      </c>
      <c r="AE277" s="653">
        <f t="shared" ca="1" si="437"/>
        <v>24846.485973206098</v>
      </c>
      <c r="AF277" s="653">
        <f t="shared" ca="1" si="437"/>
        <v>27114.602736282002</v>
      </c>
      <c r="AG277" s="653">
        <f t="shared" ca="1" si="437"/>
        <v>29294.554681198006</v>
      </c>
      <c r="AH277" s="653">
        <f t="shared" ca="1" si="437"/>
        <v>30948.142908573511</v>
      </c>
      <c r="AI277" s="653">
        <f t="shared" ca="1" si="437"/>
        <v>31847.216263239763</v>
      </c>
      <c r="AJ277" s="653">
        <f t="shared" ca="1" si="437"/>
        <v>34219.583810156262</v>
      </c>
      <c r="AK277" s="653">
        <f t="shared" ca="1" si="437"/>
        <v>36502.884368943385</v>
      </c>
      <c r="AL277" s="653">
        <f t="shared" ca="1" si="437"/>
        <v>38251.472461844838</v>
      </c>
      <c r="AN277" s="571"/>
      <c r="AO277" s="571"/>
      <c r="AP277" s="541">
        <f t="shared" ref="AP277:AT279" ca="1" si="438">INDEX($K277:$AL277,MATCH(AP$5,$K$5:$AL$5,0))</f>
        <v>12404.456008900788</v>
      </c>
      <c r="AQ277" s="541">
        <f t="shared" ca="1" si="438"/>
        <v>17760.163167635241</v>
      </c>
      <c r="AR277" s="541">
        <f t="shared" ca="1" si="438"/>
        <v>24023.890533143265</v>
      </c>
      <c r="AS277" s="541">
        <f t="shared" ca="1" si="438"/>
        <v>30948.142908573511</v>
      </c>
      <c r="AT277" s="541">
        <f t="shared" ca="1" si="438"/>
        <v>38251.472461844838</v>
      </c>
    </row>
    <row r="278" spans="2:46" x14ac:dyDescent="0.25">
      <c r="B278" s="551" t="s">
        <v>392</v>
      </c>
      <c r="C278" s="551"/>
      <c r="D278" s="551"/>
      <c r="E278" s="551"/>
      <c r="F278" s="551"/>
      <c r="G278" s="551"/>
      <c r="H278" s="551" t="s">
        <v>373</v>
      </c>
      <c r="I278" s="551"/>
      <c r="J278" s="652"/>
      <c r="K278" s="652">
        <v>939</v>
      </c>
      <c r="L278" s="652">
        <v>717</v>
      </c>
      <c r="M278" s="652">
        <v>379</v>
      </c>
      <c r="N278" s="652">
        <v>585</v>
      </c>
      <c r="O278" s="653">
        <v>1117</v>
      </c>
      <c r="P278" s="653">
        <v>1405</v>
      </c>
      <c r="Q278" s="653">
        <v>1437</v>
      </c>
      <c r="R278" s="652">
        <v>603</v>
      </c>
      <c r="S278" s="614">
        <f ca="1">+S281*S$7</f>
        <v>1803.7889788702992</v>
      </c>
      <c r="T278" s="653">
        <f t="shared" ref="T278:AL278" ca="1" si="439">+T281*T$7</f>
        <v>1718.91370017136</v>
      </c>
      <c r="U278" s="653">
        <f t="shared" ca="1" si="439"/>
        <v>1313.0796825876735</v>
      </c>
      <c r="V278" s="653">
        <f t="shared" ca="1" si="439"/>
        <v>960.64605473606832</v>
      </c>
      <c r="W278" s="653">
        <f t="shared" ca="1" si="439"/>
        <v>2172.2717032786586</v>
      </c>
      <c r="X278" s="653">
        <f t="shared" ca="1" si="439"/>
        <v>2081.0977253561496</v>
      </c>
      <c r="Y278" s="653">
        <f t="shared" ca="1" si="439"/>
        <v>1648.3570071236065</v>
      </c>
      <c r="Z278" s="653">
        <f t="shared" ca="1" si="439"/>
        <v>1159.1186867657964</v>
      </c>
      <c r="AA278" s="653">
        <f t="shared" ca="1" si="439"/>
        <v>2505.0897066963671</v>
      </c>
      <c r="AB278" s="653">
        <f t="shared" ca="1" si="439"/>
        <v>2409.9712826341815</v>
      </c>
      <c r="AC278" s="653">
        <f t="shared" ca="1" si="439"/>
        <v>1964.0214339804058</v>
      </c>
      <c r="AD278" s="653">
        <f t="shared" ca="1" si="439"/>
        <v>1338.7269843248191</v>
      </c>
      <c r="AE278" s="653">
        <f t="shared" ca="1" si="439"/>
        <v>2735.3755277490163</v>
      </c>
      <c r="AF278" s="653">
        <f t="shared" ca="1" si="439"/>
        <v>2638.4783303333952</v>
      </c>
      <c r="AG278" s="653">
        <f t="shared" ca="1" si="439"/>
        <v>2189.6903992394846</v>
      </c>
      <c r="AH278" s="653">
        <f t="shared" ca="1" si="439"/>
        <v>1463.1904119079629</v>
      </c>
      <c r="AI278" s="653">
        <f t="shared" ca="1" si="439"/>
        <v>2861.1032008162056</v>
      </c>
      <c r="AJ278" s="653">
        <f t="shared" ca="1" si="439"/>
        <v>2763.5650685089295</v>
      </c>
      <c r="AK278" s="653">
        <f t="shared" ca="1" si="439"/>
        <v>2315.4897306736248</v>
      </c>
      <c r="AL278" s="653">
        <f t="shared" ca="1" si="439"/>
        <v>1531.2079001655502</v>
      </c>
      <c r="AN278" s="571"/>
      <c r="AO278" s="571"/>
      <c r="AP278" s="541">
        <f t="shared" ca="1" si="438"/>
        <v>960.64605473606832</v>
      </c>
      <c r="AQ278" s="541">
        <f t="shared" ca="1" si="438"/>
        <v>1159.1186867657964</v>
      </c>
      <c r="AR278" s="541">
        <f t="shared" ca="1" si="438"/>
        <v>1338.7269843248191</v>
      </c>
      <c r="AS278" s="541">
        <f t="shared" ca="1" si="438"/>
        <v>1463.1904119079629</v>
      </c>
      <c r="AT278" s="541">
        <f t="shared" ca="1" si="438"/>
        <v>1531.2079001655502</v>
      </c>
    </row>
    <row r="279" spans="2:46" x14ac:dyDescent="0.25">
      <c r="B279" s="551" t="s">
        <v>393</v>
      </c>
      <c r="C279" s="551"/>
      <c r="D279" s="551"/>
      <c r="E279" s="551"/>
      <c r="F279" s="551"/>
      <c r="G279" s="551"/>
      <c r="H279" s="652"/>
      <c r="I279" s="652"/>
      <c r="J279" s="652"/>
      <c r="K279" s="652">
        <v>148</v>
      </c>
      <c r="L279" s="652">
        <v>148</v>
      </c>
      <c r="M279" s="652">
        <v>188</v>
      </c>
      <c r="N279" s="652">
        <v>209</v>
      </c>
      <c r="O279" s="652">
        <v>209</v>
      </c>
      <c r="P279" s="652">
        <v>209</v>
      </c>
      <c r="Q279" s="652">
        <v>208</v>
      </c>
      <c r="R279" s="652">
        <v>256</v>
      </c>
      <c r="S279" s="614">
        <f ca="1">+-S282*S$7</f>
        <v>-308.12449751332485</v>
      </c>
      <c r="T279" s="653">
        <f t="shared" ref="T279:W279" ca="1" si="440">+-T282*T$7</f>
        <v>-298.72039376742487</v>
      </c>
      <c r="U279" s="653">
        <f t="shared" ca="1" si="440"/>
        <v>-321.4814614477952</v>
      </c>
      <c r="V279" s="653">
        <f t="shared" ca="1" si="440"/>
        <v>-370.36657774562934</v>
      </c>
      <c r="W279" s="653">
        <f t="shared" ca="1" si="440"/>
        <v>-371.06897473913375</v>
      </c>
      <c r="X279" s="653">
        <f t="shared" ref="X279:AA279" ca="1" si="441">+-X282*X$7</f>
        <v>-361.66232890278712</v>
      </c>
      <c r="Y279" s="653">
        <f t="shared" ca="1" si="441"/>
        <v>-403.5674503724785</v>
      </c>
      <c r="Z279" s="653">
        <f t="shared" ca="1" si="441"/>
        <v>-446.88552990144046</v>
      </c>
      <c r="AA279" s="653">
        <f t="shared" ca="1" si="441"/>
        <v>-427.92117933054635</v>
      </c>
      <c r="AB279" s="653">
        <f t="shared" ref="AB279:AL279" ca="1" si="442">+-AB282*AB$7</f>
        <v>-418.81542420942981</v>
      </c>
      <c r="AC279" s="653">
        <f t="shared" ca="1" si="442"/>
        <v>-480.85161112730668</v>
      </c>
      <c r="AD279" s="653">
        <f t="shared" ca="1" si="442"/>
        <v>-516.13154426198469</v>
      </c>
      <c r="AE279" s="653">
        <f t="shared" ca="1" si="442"/>
        <v>-467.25876467311269</v>
      </c>
      <c r="AF279" s="653">
        <f t="shared" ca="1" si="442"/>
        <v>-458.5263854173927</v>
      </c>
      <c r="AG279" s="653">
        <f t="shared" ca="1" si="442"/>
        <v>-536.1021718639787</v>
      </c>
      <c r="AH279" s="653">
        <f t="shared" ca="1" si="442"/>
        <v>-564.11705724171054</v>
      </c>
      <c r="AI279" s="653">
        <f t="shared" ca="1" si="442"/>
        <v>-488.73565389970605</v>
      </c>
      <c r="AJ279" s="653">
        <f t="shared" ca="1" si="442"/>
        <v>-480.26450972180265</v>
      </c>
      <c r="AK279" s="653">
        <f t="shared" ca="1" si="442"/>
        <v>-566.90163777217413</v>
      </c>
      <c r="AL279" s="653">
        <f t="shared" ca="1" si="442"/>
        <v>-590.34045578545124</v>
      </c>
      <c r="AN279" s="571"/>
      <c r="AO279" s="571"/>
      <c r="AP279" s="541">
        <f t="shared" ca="1" si="438"/>
        <v>-370.36657774562934</v>
      </c>
      <c r="AQ279" s="541">
        <f t="shared" ca="1" si="438"/>
        <v>-446.88552990144046</v>
      </c>
      <c r="AR279" s="541">
        <f t="shared" ca="1" si="438"/>
        <v>-516.13154426198469</v>
      </c>
      <c r="AS279" s="541">
        <f t="shared" ca="1" si="438"/>
        <v>-564.11705724171054</v>
      </c>
      <c r="AT279" s="541">
        <f t="shared" ca="1" si="438"/>
        <v>-590.34045578545124</v>
      </c>
    </row>
    <row r="280" spans="2:46" ht="16.5" thickBot="1" x14ac:dyDescent="0.3">
      <c r="B280" s="639" t="s">
        <v>394</v>
      </c>
      <c r="C280" s="639"/>
      <c r="D280" s="639"/>
      <c r="E280" s="639"/>
      <c r="F280" s="639"/>
      <c r="G280" s="639"/>
      <c r="H280" s="654"/>
      <c r="I280" s="654"/>
      <c r="J280" s="654"/>
      <c r="K280" s="654"/>
      <c r="L280" s="654"/>
      <c r="M280" s="654"/>
      <c r="N280" s="654"/>
      <c r="O280" s="654"/>
      <c r="P280" s="654"/>
      <c r="Q280" s="654"/>
      <c r="R280" s="654"/>
      <c r="S280" s="655">
        <f ca="1">SUM(S277:S279)</f>
        <v>9992.6644813569746</v>
      </c>
      <c r="T280" s="655">
        <f t="shared" ref="T280:W280" ca="1" si="443">SUM(T277:T279)</f>
        <v>11412.85778776091</v>
      </c>
      <c r="U280" s="655">
        <f t="shared" ca="1" si="443"/>
        <v>12404.456008900788</v>
      </c>
      <c r="V280" s="655">
        <f ca="1">SUM(V277:V279)</f>
        <v>12994.735485891226</v>
      </c>
      <c r="W280" s="655">
        <f t="shared" ca="1" si="443"/>
        <v>14795.938214430751</v>
      </c>
      <c r="X280" s="655">
        <f t="shared" ref="X280" ca="1" si="444">SUM(X277:X279)</f>
        <v>16515.373610884111</v>
      </c>
      <c r="Y280" s="655">
        <f t="shared" ref="Y280" ca="1" si="445">SUM(Y277:Y279)</f>
        <v>17760.163167635241</v>
      </c>
      <c r="Z280" s="655">
        <f t="shared" ref="Z280" ca="1" si="446">SUM(Z277:Z279)</f>
        <v>18472.396324499598</v>
      </c>
      <c r="AA280" s="655">
        <f t="shared" ref="AA280" ca="1" si="447">SUM(AA277:AA279)</f>
        <v>20549.564851865416</v>
      </c>
      <c r="AB280" s="655">
        <f t="shared" ref="AB280" ca="1" si="448">SUM(AB277:AB279)</f>
        <v>22540.720710290167</v>
      </c>
      <c r="AC280" s="655">
        <f t="shared" ref="AC280" ca="1" si="449">SUM(AC277:AC279)</f>
        <v>24023.890533143265</v>
      </c>
      <c r="AD280" s="655">
        <f t="shared" ref="AD280" ca="1" si="450">SUM(AD277:AD279)</f>
        <v>24846.485973206098</v>
      </c>
      <c r="AE280" s="655">
        <f t="shared" ref="AE280" ca="1" si="451">SUM(AE277:AE279)</f>
        <v>27114.602736282002</v>
      </c>
      <c r="AF280" s="655">
        <f t="shared" ref="AF280" ca="1" si="452">SUM(AF277:AF279)</f>
        <v>29294.554681198006</v>
      </c>
      <c r="AG280" s="655">
        <f t="shared" ref="AG280" ca="1" si="453">SUM(AG277:AG279)</f>
        <v>30948.142908573511</v>
      </c>
      <c r="AH280" s="655">
        <f t="shared" ref="AH280" ca="1" si="454">SUM(AH277:AH279)</f>
        <v>31847.216263239763</v>
      </c>
      <c r="AI280" s="655">
        <f t="shared" ref="AI280" ca="1" si="455">SUM(AI277:AI279)</f>
        <v>34219.583810156262</v>
      </c>
      <c r="AJ280" s="655">
        <f t="shared" ref="AJ280" ca="1" si="456">SUM(AJ277:AJ279)</f>
        <v>36502.884368943385</v>
      </c>
      <c r="AK280" s="655">
        <f t="shared" ref="AK280" ca="1" si="457">SUM(AK277:AK279)</f>
        <v>38251.472461844838</v>
      </c>
      <c r="AL280" s="655">
        <f t="shared" ref="AL280" ca="1" si="458">SUM(AL277:AL279)</f>
        <v>39192.339906224937</v>
      </c>
      <c r="AN280" s="571"/>
      <c r="AO280" s="571"/>
      <c r="AP280" s="656">
        <f t="shared" ref="AP280:AT280" ca="1" si="459">SUM(AP277:AP279)</f>
        <v>12994.735485891226</v>
      </c>
      <c r="AQ280" s="656">
        <f t="shared" ca="1" si="459"/>
        <v>18472.396324499598</v>
      </c>
      <c r="AR280" s="656">
        <f t="shared" ca="1" si="459"/>
        <v>24846.485973206098</v>
      </c>
      <c r="AS280" s="656">
        <f t="shared" ca="1" si="459"/>
        <v>31847.216263239763</v>
      </c>
      <c r="AT280" s="656">
        <f t="shared" ca="1" si="459"/>
        <v>39192.339906224937</v>
      </c>
    </row>
    <row r="281" spans="2:46" ht="16.5" thickTop="1" x14ac:dyDescent="0.25">
      <c r="B281" s="551" t="s">
        <v>395</v>
      </c>
      <c r="C281" s="652"/>
      <c r="D281" s="652"/>
      <c r="E281" s="652"/>
      <c r="F281" s="652"/>
      <c r="G281" s="652"/>
      <c r="H281" s="652"/>
      <c r="I281" s="652"/>
      <c r="J281" s="652"/>
      <c r="K281" s="657">
        <f t="shared" ref="K281:R282" si="460">+K278/K$7</f>
        <v>1.696170520231214E-2</v>
      </c>
      <c r="L281" s="657">
        <f t="shared" si="460"/>
        <v>1.2193255446150707E-2</v>
      </c>
      <c r="M281" s="657">
        <f t="shared" si="460"/>
        <v>5.9595880179259377E-3</v>
      </c>
      <c r="N281" s="657">
        <f t="shared" si="460"/>
        <v>8.0121620511134847E-3</v>
      </c>
      <c r="O281" s="657">
        <f t="shared" si="460"/>
        <v>1.3752770253632111E-2</v>
      </c>
      <c r="P281" s="657">
        <f t="shared" si="460"/>
        <v>1.5896182653361391E-2</v>
      </c>
      <c r="Q281" s="657">
        <f t="shared" si="460"/>
        <v>1.4958621766512257E-2</v>
      </c>
      <c r="R281" s="657">
        <f t="shared" si="460"/>
        <v>5.8079056865464633E-3</v>
      </c>
      <c r="S281" s="658">
        <f t="shared" ref="S281:V282" si="461">+AVERAGE(K281,O281)</f>
        <v>1.5357237727972126E-2</v>
      </c>
      <c r="T281" s="659">
        <f t="shared" si="461"/>
        <v>1.4044719049756049E-2</v>
      </c>
      <c r="U281" s="659">
        <f t="shared" si="461"/>
        <v>1.0459104892219098E-2</v>
      </c>
      <c r="V281" s="659">
        <f t="shared" si="461"/>
        <v>6.9100338688299744E-3</v>
      </c>
      <c r="W281" s="659">
        <f>+S281</f>
        <v>1.5357237727972126E-2</v>
      </c>
      <c r="X281" s="659">
        <f>+T281</f>
        <v>1.4044719049756049E-2</v>
      </c>
      <c r="Y281" s="659">
        <f t="shared" ref="Y281:AA282" si="462">+U281</f>
        <v>1.0459104892219098E-2</v>
      </c>
      <c r="Z281" s="659">
        <f t="shared" si="462"/>
        <v>6.9100338688299744E-3</v>
      </c>
      <c r="AA281" s="659">
        <f t="shared" si="462"/>
        <v>1.5357237727972126E-2</v>
      </c>
      <c r="AB281" s="659">
        <f t="shared" ref="AB281:AB282" si="463">+X281</f>
        <v>1.4044719049756049E-2</v>
      </c>
      <c r="AC281" s="659">
        <f t="shared" ref="AC281:AC282" si="464">+Y281</f>
        <v>1.0459104892219098E-2</v>
      </c>
      <c r="AD281" s="659">
        <f t="shared" ref="AD281:AD282" si="465">+Z281</f>
        <v>6.9100338688299744E-3</v>
      </c>
      <c r="AE281" s="659">
        <f t="shared" ref="AE281:AE282" si="466">+AA281</f>
        <v>1.5357237727972126E-2</v>
      </c>
      <c r="AF281" s="659">
        <f t="shared" ref="AF281:AF282" si="467">+AB281</f>
        <v>1.4044719049756049E-2</v>
      </c>
      <c r="AG281" s="659">
        <f t="shared" ref="AG281:AG282" si="468">+AC281</f>
        <v>1.0459104892219098E-2</v>
      </c>
      <c r="AH281" s="659">
        <f t="shared" ref="AH281:AH282" si="469">+AD281</f>
        <v>6.9100338688299744E-3</v>
      </c>
      <c r="AI281" s="659">
        <f t="shared" ref="AI281:AI282" si="470">+AE281</f>
        <v>1.5357237727972126E-2</v>
      </c>
      <c r="AJ281" s="659">
        <f t="shared" ref="AJ281:AJ282" si="471">+AF281</f>
        <v>1.4044719049756049E-2</v>
      </c>
      <c r="AK281" s="659">
        <f t="shared" ref="AK281:AK282" si="472">+AG281</f>
        <v>1.0459104892219098E-2</v>
      </c>
      <c r="AL281" s="659">
        <f t="shared" ref="AL281:AL282" si="473">+AH281</f>
        <v>6.9100338688299744E-3</v>
      </c>
      <c r="AN281" s="571"/>
      <c r="AO281" s="571"/>
      <c r="AP281" s="657">
        <f t="shared" ref="AP281:AT282" si="474">INDEX($K281:$AL281,MATCH(AP$5,$K$5:$AL$5,0))</f>
        <v>6.9100338688299744E-3</v>
      </c>
      <c r="AQ281" s="657">
        <f t="shared" si="474"/>
        <v>6.9100338688299744E-3</v>
      </c>
      <c r="AR281" s="657">
        <f t="shared" si="474"/>
        <v>6.9100338688299744E-3</v>
      </c>
      <c r="AS281" s="657">
        <f t="shared" si="474"/>
        <v>6.9100338688299744E-3</v>
      </c>
      <c r="AT281" s="657">
        <f t="shared" si="474"/>
        <v>6.9100338688299744E-3</v>
      </c>
    </row>
    <row r="282" spans="2:46" x14ac:dyDescent="0.25">
      <c r="B282" s="551" t="s">
        <v>396</v>
      </c>
      <c r="C282" s="652"/>
      <c r="D282" s="652"/>
      <c r="E282" s="652"/>
      <c r="F282" s="652"/>
      <c r="G282" s="652"/>
      <c r="H282" s="652"/>
      <c r="I282" s="652"/>
      <c r="J282" s="652"/>
      <c r="K282" s="657">
        <f t="shared" si="460"/>
        <v>2.6734104046242774E-3</v>
      </c>
      <c r="L282" s="657">
        <f t="shared" si="460"/>
        <v>2.5168783905583051E-3</v>
      </c>
      <c r="M282" s="657">
        <f t="shared" si="460"/>
        <v>2.9562072489975628E-3</v>
      </c>
      <c r="N282" s="657">
        <f t="shared" si="460"/>
        <v>2.8624647327909715E-3</v>
      </c>
      <c r="O282" s="657">
        <f t="shared" si="460"/>
        <v>2.5732578182713619E-3</v>
      </c>
      <c r="P282" s="657">
        <f t="shared" si="460"/>
        <v>2.3646278822437943E-3</v>
      </c>
      <c r="Q282" s="657">
        <f t="shared" si="460"/>
        <v>2.1652006453963461E-3</v>
      </c>
      <c r="R282" s="657">
        <f t="shared" si="460"/>
        <v>2.4657112035752814E-3</v>
      </c>
      <c r="S282" s="658">
        <f t="shared" si="461"/>
        <v>2.6233341114478195E-3</v>
      </c>
      <c r="T282" s="659">
        <f t="shared" si="461"/>
        <v>2.4407531364010497E-3</v>
      </c>
      <c r="U282" s="659">
        <f t="shared" si="461"/>
        <v>2.5607039471969547E-3</v>
      </c>
      <c r="V282" s="659">
        <f t="shared" si="461"/>
        <v>2.6640879681831264E-3</v>
      </c>
      <c r="W282" s="659">
        <f>+S282</f>
        <v>2.6233341114478195E-3</v>
      </c>
      <c r="X282" s="659">
        <f>+T282</f>
        <v>2.4407531364010497E-3</v>
      </c>
      <c r="Y282" s="659">
        <f t="shared" si="462"/>
        <v>2.5607039471969547E-3</v>
      </c>
      <c r="Z282" s="659">
        <f t="shared" si="462"/>
        <v>2.6640879681831264E-3</v>
      </c>
      <c r="AA282" s="659">
        <f t="shared" si="462"/>
        <v>2.6233341114478195E-3</v>
      </c>
      <c r="AB282" s="659">
        <f t="shared" si="463"/>
        <v>2.4407531364010497E-3</v>
      </c>
      <c r="AC282" s="659">
        <f t="shared" si="464"/>
        <v>2.5607039471969547E-3</v>
      </c>
      <c r="AD282" s="659">
        <f t="shared" si="465"/>
        <v>2.6640879681831264E-3</v>
      </c>
      <c r="AE282" s="659">
        <f t="shared" si="466"/>
        <v>2.6233341114478195E-3</v>
      </c>
      <c r="AF282" s="659">
        <f t="shared" si="467"/>
        <v>2.4407531364010497E-3</v>
      </c>
      <c r="AG282" s="659">
        <f t="shared" si="468"/>
        <v>2.5607039471969547E-3</v>
      </c>
      <c r="AH282" s="659">
        <f t="shared" si="469"/>
        <v>2.6640879681831264E-3</v>
      </c>
      <c r="AI282" s="659">
        <f t="shared" si="470"/>
        <v>2.6233341114478195E-3</v>
      </c>
      <c r="AJ282" s="659">
        <f t="shared" si="471"/>
        <v>2.4407531364010497E-3</v>
      </c>
      <c r="AK282" s="659">
        <f t="shared" si="472"/>
        <v>2.5607039471969547E-3</v>
      </c>
      <c r="AL282" s="659">
        <f t="shared" si="473"/>
        <v>2.6640879681831264E-3</v>
      </c>
      <c r="AN282" s="571"/>
      <c r="AO282" s="571"/>
      <c r="AP282" s="657">
        <f t="shared" si="474"/>
        <v>2.6640879681831264E-3</v>
      </c>
      <c r="AQ282" s="657">
        <f t="shared" si="474"/>
        <v>2.6640879681831264E-3</v>
      </c>
      <c r="AR282" s="657">
        <f t="shared" si="474"/>
        <v>2.6640879681831264E-3</v>
      </c>
      <c r="AS282" s="657">
        <f t="shared" si="474"/>
        <v>2.6640879681831264E-3</v>
      </c>
      <c r="AT282" s="657">
        <f t="shared" si="474"/>
        <v>2.6640879681831264E-3</v>
      </c>
    </row>
    <row r="283" spans="2:46" x14ac:dyDescent="0.25">
      <c r="C283" s="652"/>
      <c r="D283" s="652"/>
      <c r="E283" s="652"/>
      <c r="F283" s="652"/>
      <c r="G283" s="652"/>
      <c r="H283" s="652"/>
      <c r="I283" s="652"/>
      <c r="J283" s="652"/>
      <c r="K283" s="657"/>
      <c r="L283" s="657"/>
      <c r="M283" s="657"/>
      <c r="N283" s="657"/>
      <c r="O283" s="657"/>
      <c r="P283" s="657"/>
      <c r="Q283" s="657"/>
      <c r="R283" s="657"/>
      <c r="S283" s="657"/>
      <c r="T283" s="657"/>
      <c r="U283" s="657"/>
      <c r="V283" s="657"/>
      <c r="W283" s="657"/>
      <c r="X283" s="657"/>
      <c r="Y283" s="657"/>
      <c r="Z283" s="657"/>
      <c r="AA283" s="657"/>
      <c r="AB283" s="657"/>
      <c r="AC283" s="657"/>
      <c r="AD283" s="657"/>
      <c r="AE283" s="657"/>
      <c r="AF283" s="657"/>
      <c r="AG283" s="657"/>
      <c r="AH283" s="657"/>
      <c r="AI283" s="657"/>
      <c r="AJ283" s="657"/>
      <c r="AK283" s="657"/>
      <c r="AL283" s="657"/>
      <c r="AN283" s="571"/>
      <c r="AO283" s="571"/>
      <c r="AP283" s="657"/>
      <c r="AQ283" s="657"/>
      <c r="AR283" s="657"/>
      <c r="AS283" s="657"/>
      <c r="AT283" s="657"/>
    </row>
    <row r="284" spans="2:46" x14ac:dyDescent="0.25">
      <c r="B284" s="753" t="s">
        <v>397</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11"/>
      <c r="AL284" s="611"/>
      <c r="AN284" s="611"/>
      <c r="AO284" s="611"/>
      <c r="AP284" s="611"/>
      <c r="AQ284" s="611"/>
      <c r="AR284" s="611"/>
      <c r="AS284" s="611"/>
      <c r="AT284" s="611"/>
    </row>
    <row r="285" spans="2:46" x14ac:dyDescent="0.25">
      <c r="B285" s="98" t="s">
        <v>398</v>
      </c>
      <c r="C285" s="98"/>
      <c r="D285" s="98"/>
      <c r="E285" s="98"/>
      <c r="F285" s="98"/>
      <c r="G285" s="98"/>
      <c r="H285" s="98"/>
      <c r="I285" s="98"/>
      <c r="J285" s="98"/>
      <c r="K285" s="660">
        <f>-K$21</f>
        <v>9151</v>
      </c>
      <c r="L285" s="660">
        <f t="shared" ref="L285:AL285" si="475">-L$21</f>
        <v>9070</v>
      </c>
      <c r="M285" s="660">
        <f t="shared" si="475"/>
        <v>10897</v>
      </c>
      <c r="N285" s="660">
        <f t="shared" si="475"/>
        <v>14083</v>
      </c>
      <c r="O285" s="660">
        <f t="shared" si="475"/>
        <v>15613</v>
      </c>
      <c r="P285" s="660">
        <f t="shared" si="475"/>
        <v>18048</v>
      </c>
      <c r="Q285" s="660">
        <f t="shared" si="475"/>
        <v>18095</v>
      </c>
      <c r="R285" s="660">
        <f t="shared" si="475"/>
        <v>19159</v>
      </c>
      <c r="S285" s="660">
        <f t="shared" ca="1" si="475"/>
        <v>20757.99015758442</v>
      </c>
      <c r="T285" s="660">
        <f t="shared" ca="1" si="475"/>
        <v>23094.148245882352</v>
      </c>
      <c r="U285" s="660">
        <f t="shared" ca="1" si="475"/>
        <v>21701.822816523607</v>
      </c>
      <c r="V285" s="660">
        <f t="shared" ca="1" si="475"/>
        <v>23499.350581708775</v>
      </c>
      <c r="W285" s="660">
        <f t="shared" ca="1" si="475"/>
        <v>23583.992844155848</v>
      </c>
      <c r="X285" s="660">
        <f t="shared" ca="1" si="475"/>
        <v>26478.439676470589</v>
      </c>
      <c r="Y285" s="660">
        <f t="shared" ca="1" si="475"/>
        <v>25667.0908610515</v>
      </c>
      <c r="Z285" s="660">
        <f t="shared" ca="1" si="475"/>
        <v>26676.950797102993</v>
      </c>
      <c r="AA285" s="660">
        <f t="shared" ca="1" si="475"/>
        <v>27197.342591870434</v>
      </c>
      <c r="AB285" s="660">
        <f t="shared" ca="1" si="475"/>
        <v>30662.798028062371</v>
      </c>
      <c r="AC285" s="660">
        <f t="shared" ca="1" si="475"/>
        <v>30582.401980378483</v>
      </c>
      <c r="AD285" s="660">
        <f t="shared" ca="1" si="475"/>
        <v>30810.610077588397</v>
      </c>
      <c r="AE285" s="660">
        <f t="shared" ca="1" si="475"/>
        <v>29697.517476816462</v>
      </c>
      <c r="AF285" s="660">
        <f t="shared" ca="1" si="475"/>
        <v>33570.162734886297</v>
      </c>
      <c r="AG285" s="660">
        <f t="shared" ca="1" si="475"/>
        <v>34096.365163591923</v>
      </c>
      <c r="AH285" s="660">
        <f t="shared" ca="1" si="475"/>
        <v>33675.118062477093</v>
      </c>
      <c r="AI285" s="660">
        <f t="shared" ca="1" si="475"/>
        <v>31062.52192697506</v>
      </c>
      <c r="AJ285" s="660">
        <f t="shared" ca="1" si="475"/>
        <v>35161.679370915743</v>
      </c>
      <c r="AK285" s="660">
        <f t="shared" ca="1" si="475"/>
        <v>36055.226536598777</v>
      </c>
      <c r="AL285" s="660">
        <f t="shared" ca="1" si="475"/>
        <v>35240.530826767041</v>
      </c>
      <c r="AN285" s="571"/>
      <c r="AO285" s="571"/>
      <c r="AP285" s="541">
        <f t="shared" ref="AP285:AT286" ca="1" si="476">INDEX($K285:$AL285,MATCH(AP$5,$K$5:$AL$5,0))</f>
        <v>23499.350581708775</v>
      </c>
      <c r="AQ285" s="541">
        <f t="shared" ca="1" si="476"/>
        <v>26676.950797102993</v>
      </c>
      <c r="AR285" s="541">
        <f t="shared" ca="1" si="476"/>
        <v>30810.610077588397</v>
      </c>
      <c r="AS285" s="541">
        <f t="shared" ca="1" si="476"/>
        <v>33675.118062477093</v>
      </c>
      <c r="AT285" s="541">
        <f t="shared" ca="1" si="476"/>
        <v>35240.530826767041</v>
      </c>
    </row>
    <row r="286" spans="2:46" x14ac:dyDescent="0.25">
      <c r="B286" s="98" t="s">
        <v>399</v>
      </c>
      <c r="C286" s="98"/>
      <c r="D286" s="98"/>
      <c r="E286" s="98"/>
      <c r="F286" s="98"/>
      <c r="G286" s="98"/>
      <c r="H286" s="98"/>
      <c r="I286" s="98"/>
      <c r="J286" s="98"/>
      <c r="K286" s="660"/>
      <c r="L286" s="661">
        <f>+L285/K285-1</f>
        <v>-8.8514916402578914E-3</v>
      </c>
      <c r="M286" s="661">
        <f t="shared" ref="M286:R286" si="477">+M285/L285-1</f>
        <v>0.20143329658213882</v>
      </c>
      <c r="N286" s="661">
        <f t="shared" si="477"/>
        <v>0.29237404790309252</v>
      </c>
      <c r="O286" s="661">
        <f t="shared" si="477"/>
        <v>0.10864162465383798</v>
      </c>
      <c r="P286" s="661">
        <f t="shared" si="477"/>
        <v>0.15595977710881948</v>
      </c>
      <c r="Q286" s="661">
        <f t="shared" si="477"/>
        <v>2.6041666666667407E-3</v>
      </c>
      <c r="R286" s="661">
        <f t="shared" si="477"/>
        <v>5.880077369439074E-2</v>
      </c>
      <c r="S286" s="661">
        <f t="shared" ref="S286" ca="1" si="478">+S285/R285-1</f>
        <v>8.3458957021995905E-2</v>
      </c>
      <c r="T286" s="661">
        <f t="shared" ref="T286" ca="1" si="479">+T285/S285-1</f>
        <v>0.11254259543255252</v>
      </c>
      <c r="U286" s="661">
        <f t="shared" ref="U286" ca="1" si="480">+U285/T285-1</f>
        <v>-6.0289100707881516E-2</v>
      </c>
      <c r="V286" s="661">
        <f t="shared" ref="V286" ca="1" si="481">+V285/U285-1</f>
        <v>8.2828423233487269E-2</v>
      </c>
      <c r="W286" s="661">
        <f t="shared" ref="W286" ca="1" si="482">+W285/V285-1</f>
        <v>3.6018979398075857E-3</v>
      </c>
      <c r="X286" s="661">
        <f t="shared" ref="X286" ca="1" si="483">+X285/W285-1</f>
        <v>0.12272929573212576</v>
      </c>
      <c r="Y286" s="661">
        <f t="shared" ref="Y286" ca="1" si="484">+Y285/X285-1</f>
        <v>-3.0641866565123688E-2</v>
      </c>
      <c r="Z286" s="661">
        <f t="shared" ref="Z286" ca="1" si="485">+Z285/Y285-1</f>
        <v>3.9344542064325028E-2</v>
      </c>
      <c r="AA286" s="661">
        <f t="shared" ref="AA286" ca="1" si="486">+AA285/Z285-1</f>
        <v>1.9507169268534019E-2</v>
      </c>
      <c r="AB286" s="661">
        <f t="shared" ref="AB286" ca="1" si="487">+AB285/AA285-1</f>
        <v>0.12741889853708699</v>
      </c>
      <c r="AC286" s="661">
        <f t="shared" ref="AC286" ca="1" si="488">+AC285/AB285-1</f>
        <v>-2.621941011720752E-3</v>
      </c>
      <c r="AD286" s="661">
        <f t="shared" ref="AD286" ca="1" si="489">+AD285/AC285-1</f>
        <v>7.46207238255292E-3</v>
      </c>
      <c r="AE286" s="661">
        <f t="shared" ref="AE286" ca="1" si="490">+AE285/AD285-1</f>
        <v>-3.6126925042019753E-2</v>
      </c>
      <c r="AF286" s="661">
        <f t="shared" ref="AF286" ca="1" si="491">+AF285/AE285-1</f>
        <v>0.1304029961794968</v>
      </c>
      <c r="AG286" s="661">
        <f t="shared" ref="AG286" ca="1" si="492">+AG285/AF285-1</f>
        <v>1.567470592446063E-2</v>
      </c>
      <c r="AH286" s="661">
        <f t="shared" ref="AH286" ca="1" si="493">+AH285/AG285-1</f>
        <v>-1.2354604342536657E-2</v>
      </c>
      <c r="AI286" s="661">
        <f t="shared" ref="AI286" ca="1" si="494">+AI285/AH285-1</f>
        <v>-7.75823897827147E-2</v>
      </c>
      <c r="AJ286" s="661">
        <f t="shared" ref="AJ286" ca="1" si="495">+AJ285/AI285-1</f>
        <v>0.13196473401539643</v>
      </c>
      <c r="AK286" s="661">
        <f t="shared" ref="AK286" ca="1" si="496">+AK285/AJ285-1</f>
        <v>2.5412528117816136E-2</v>
      </c>
      <c r="AL286" s="661">
        <f t="shared" ref="AL286" ca="1" si="497">+AL285/AK285-1</f>
        <v>-2.2595772876499831E-2</v>
      </c>
      <c r="AN286" s="571"/>
      <c r="AO286" s="571"/>
      <c r="AP286" s="543">
        <f t="shared" ca="1" si="476"/>
        <v>8.2828423233487269E-2</v>
      </c>
      <c r="AQ286" s="543">
        <f t="shared" ca="1" si="476"/>
        <v>3.9344542064325028E-2</v>
      </c>
      <c r="AR286" s="543">
        <f t="shared" ca="1" si="476"/>
        <v>7.46207238255292E-3</v>
      </c>
      <c r="AS286" s="543">
        <f t="shared" ca="1" si="476"/>
        <v>-1.2354604342536657E-2</v>
      </c>
      <c r="AT286" s="543">
        <f t="shared" ca="1" si="476"/>
        <v>-2.2595772876499831E-2</v>
      </c>
    </row>
    <row r="287" spans="2:46" x14ac:dyDescent="0.25">
      <c r="B287" s="98"/>
      <c r="C287" s="98"/>
      <c r="D287" s="98"/>
      <c r="E287" s="98"/>
      <c r="F287" s="98"/>
      <c r="G287" s="98"/>
      <c r="H287" s="98"/>
      <c r="I287" s="98"/>
      <c r="J287" s="98"/>
      <c r="K287" s="660"/>
      <c r="L287" s="661"/>
      <c r="M287" s="661"/>
      <c r="N287" s="661"/>
      <c r="O287" s="661"/>
      <c r="P287" s="661"/>
      <c r="Q287" s="661"/>
      <c r="R287" s="661"/>
      <c r="S287" s="661"/>
      <c r="T287" s="661"/>
      <c r="U287" s="661"/>
      <c r="V287" s="661"/>
      <c r="W287" s="661"/>
      <c r="X287" s="661"/>
      <c r="Y287" s="661"/>
      <c r="Z287" s="661"/>
      <c r="AA287" s="661"/>
      <c r="AB287" s="661"/>
      <c r="AC287" s="661"/>
      <c r="AD287" s="661"/>
      <c r="AE287" s="661"/>
      <c r="AF287" s="661"/>
      <c r="AG287" s="661"/>
      <c r="AH287" s="661"/>
      <c r="AI287" s="661"/>
      <c r="AJ287" s="661"/>
      <c r="AK287" s="661"/>
      <c r="AL287" s="661"/>
      <c r="AN287" s="571"/>
      <c r="AO287" s="571"/>
      <c r="AP287" s="657"/>
      <c r="AQ287" s="657"/>
      <c r="AR287" s="657"/>
      <c r="AS287" s="657"/>
      <c r="AT287" s="657"/>
    </row>
    <row r="288" spans="2:46" x14ac:dyDescent="0.25">
      <c r="B288" s="551" t="s">
        <v>400</v>
      </c>
      <c r="C288" s="98"/>
      <c r="D288" s="98"/>
      <c r="E288" s="98"/>
      <c r="F288" s="98"/>
      <c r="G288" s="98"/>
      <c r="H288" s="98"/>
      <c r="I288" s="98"/>
      <c r="J288" s="98"/>
      <c r="K288" s="660"/>
      <c r="L288" s="661"/>
      <c r="M288" s="661"/>
      <c r="N288" s="661"/>
      <c r="O288" s="661"/>
      <c r="P288" s="661"/>
      <c r="Q288" s="661"/>
      <c r="R288" s="661"/>
      <c r="S288" s="661"/>
      <c r="T288" s="661"/>
      <c r="U288" s="661"/>
      <c r="V288" s="661"/>
      <c r="W288" s="661"/>
      <c r="X288" s="661"/>
      <c r="Y288" s="661"/>
      <c r="Z288" s="661"/>
      <c r="AA288" s="661"/>
      <c r="AB288" s="661"/>
      <c r="AC288" s="661"/>
      <c r="AD288" s="661"/>
      <c r="AE288" s="661"/>
      <c r="AF288" s="661"/>
      <c r="AG288" s="661"/>
      <c r="AH288" s="661"/>
      <c r="AI288" s="661"/>
      <c r="AJ288" s="661"/>
      <c r="AK288" s="661"/>
      <c r="AL288" s="661"/>
      <c r="AN288" s="571"/>
      <c r="AO288" s="571"/>
      <c r="AP288" s="657"/>
      <c r="AQ288" s="657"/>
      <c r="AR288" s="657"/>
      <c r="AS288" s="657"/>
      <c r="AT288" s="657"/>
    </row>
    <row r="289" spans="2:46" x14ac:dyDescent="0.25">
      <c r="B289" s="638" t="s">
        <v>401</v>
      </c>
      <c r="C289" s="98"/>
      <c r="D289" s="98"/>
      <c r="E289" s="98"/>
      <c r="F289" s="98"/>
      <c r="G289" s="98"/>
      <c r="H289" s="98"/>
      <c r="I289" s="98"/>
      <c r="J289" s="98"/>
      <c r="K289" s="662"/>
      <c r="L289" s="663">
        <v>630</v>
      </c>
      <c r="M289" s="663">
        <v>1542</v>
      </c>
      <c r="N289" s="663">
        <v>3336</v>
      </c>
      <c r="O289" s="663">
        <v>3963</v>
      </c>
      <c r="P289" s="663">
        <v>4527</v>
      </c>
      <c r="Q289" s="663">
        <v>4636</v>
      </c>
      <c r="R289" s="663">
        <v>4903</v>
      </c>
      <c r="S289" s="657"/>
      <c r="T289" s="657"/>
      <c r="U289" s="657"/>
      <c r="V289" s="657"/>
      <c r="W289" s="657"/>
      <c r="X289" s="657"/>
      <c r="Y289" s="657"/>
      <c r="Z289" s="657"/>
      <c r="AA289" s="657"/>
      <c r="AB289" s="657"/>
      <c r="AC289" s="657"/>
      <c r="AD289" s="657"/>
      <c r="AE289" s="657"/>
      <c r="AF289" s="657"/>
      <c r="AG289" s="657"/>
      <c r="AH289" s="657"/>
      <c r="AI289" s="657"/>
      <c r="AJ289" s="657"/>
      <c r="AK289" s="657"/>
      <c r="AL289" s="657"/>
      <c r="AN289" s="571"/>
      <c r="AO289" s="571"/>
      <c r="AP289" s="657"/>
      <c r="AQ289" s="657"/>
      <c r="AR289" s="657"/>
      <c r="AS289" s="657"/>
      <c r="AT289" s="657"/>
    </row>
    <row r="290" spans="2:46" x14ac:dyDescent="0.25">
      <c r="B290" s="638" t="s">
        <v>402</v>
      </c>
      <c r="C290" s="98"/>
      <c r="D290" s="98"/>
      <c r="E290" s="98"/>
      <c r="F290" s="98"/>
      <c r="G290" s="98"/>
      <c r="H290" s="98"/>
      <c r="I290" s="98"/>
      <c r="J290" s="98"/>
      <c r="K290" s="662"/>
      <c r="L290" s="663">
        <v>7810</v>
      </c>
      <c r="M290" s="663">
        <v>8401</v>
      </c>
      <c r="N290" s="663">
        <v>29124</v>
      </c>
      <c r="O290" s="663">
        <v>28022</v>
      </c>
      <c r="P290" s="663">
        <v>25505</v>
      </c>
      <c r="Q290" s="663">
        <v>24243</v>
      </c>
      <c r="R290" s="663">
        <v>23503</v>
      </c>
      <c r="S290" s="657"/>
      <c r="T290" s="657"/>
      <c r="U290" s="657"/>
      <c r="V290" s="657"/>
      <c r="W290" s="657"/>
      <c r="X290" s="657"/>
      <c r="Y290" s="657"/>
      <c r="Z290" s="657"/>
      <c r="AA290" s="657"/>
      <c r="AB290" s="657"/>
      <c r="AC290" s="657"/>
      <c r="AD290" s="657"/>
      <c r="AE290" s="657"/>
      <c r="AF290" s="657"/>
      <c r="AG290" s="657"/>
      <c r="AH290" s="657"/>
      <c r="AI290" s="657"/>
      <c r="AJ290" s="657"/>
      <c r="AK290" s="657"/>
      <c r="AL290" s="657"/>
      <c r="AN290" s="571"/>
      <c r="AO290" s="571"/>
      <c r="AP290" s="657"/>
      <c r="AQ290" s="657"/>
      <c r="AR290" s="657"/>
      <c r="AS290" s="657"/>
      <c r="AT290" s="657"/>
    </row>
    <row r="291" spans="2:46" x14ac:dyDescent="0.25">
      <c r="B291" s="664" t="s">
        <v>403</v>
      </c>
      <c r="C291" s="665"/>
      <c r="D291" s="665"/>
      <c r="E291" s="665"/>
      <c r="F291" s="665"/>
      <c r="G291" s="665"/>
      <c r="H291" s="665"/>
      <c r="I291" s="665"/>
      <c r="J291" s="665"/>
      <c r="K291" s="665"/>
      <c r="L291" s="666">
        <f t="shared" ref="L291:R291" si="498">+L289+L290</f>
        <v>8440</v>
      </c>
      <c r="M291" s="666">
        <f t="shared" si="498"/>
        <v>9943</v>
      </c>
      <c r="N291" s="666">
        <f t="shared" si="498"/>
        <v>32460</v>
      </c>
      <c r="O291" s="666">
        <f t="shared" si="498"/>
        <v>31985</v>
      </c>
      <c r="P291" s="666">
        <f t="shared" si="498"/>
        <v>30032</v>
      </c>
      <c r="Q291" s="666">
        <f t="shared" si="498"/>
        <v>28879</v>
      </c>
      <c r="R291" s="666">
        <f t="shared" si="498"/>
        <v>28406</v>
      </c>
      <c r="S291" s="667">
        <f ca="1">+R291*(1+S$286)</f>
        <v>30776.735133166814</v>
      </c>
      <c r="T291" s="666">
        <f t="shared" ref="T291:AL291" ca="1" si="499">+S291*(1+T286)</f>
        <v>34240.42878399363</v>
      </c>
      <c r="U291" s="666">
        <f t="shared" ca="1" si="499"/>
        <v>32176.104124754394</v>
      </c>
      <c r="V291" s="666">
        <f t="shared" ca="1" si="499"/>
        <v>34841.200095204309</v>
      </c>
      <c r="W291" s="666">
        <f t="shared" ca="1" si="499"/>
        <v>34966.694542047648</v>
      </c>
      <c r="X291" s="666">
        <f t="shared" ca="1" si="499"/>
        <v>39258.132337273521</v>
      </c>
      <c r="Y291" s="666">
        <f t="shared" ca="1" si="499"/>
        <v>38055.189884598818</v>
      </c>
      <c r="Z291" s="666">
        <f t="shared" ca="1" si="499"/>
        <v>39552.453903779293</v>
      </c>
      <c r="AA291" s="666">
        <f t="shared" ca="1" si="499"/>
        <v>40324.010317066204</v>
      </c>
      <c r="AB291" s="666">
        <f t="shared" ca="1" si="499"/>
        <v>45462.051296264908</v>
      </c>
      <c r="AC291" s="666">
        <f t="shared" ca="1" si="499"/>
        <v>45342.852479494279</v>
      </c>
      <c r="AD291" s="666">
        <f t="shared" ca="1" si="499"/>
        <v>45681.204126727687</v>
      </c>
      <c r="AE291" s="666">
        <f t="shared" ca="1" si="499"/>
        <v>44030.882689412196</v>
      </c>
      <c r="AF291" s="666">
        <f t="shared" ca="1" si="499"/>
        <v>49772.641716539489</v>
      </c>
      <c r="AG291" s="666">
        <f t="shared" ca="1" si="499"/>
        <v>50552.813238529787</v>
      </c>
      <c r="AH291" s="666">
        <f t="shared" ca="1" si="499"/>
        <v>49928.253232565599</v>
      </c>
      <c r="AI291" s="666">
        <f t="shared" ca="1" si="499"/>
        <v>46054.700029106607</v>
      </c>
      <c r="AJ291" s="666">
        <f t="shared" ca="1" si="499"/>
        <v>52132.296268606529</v>
      </c>
      <c r="AK291" s="666">
        <f t="shared" ca="1" si="499"/>
        <v>53457.109713378813</v>
      </c>
      <c r="AL291" s="666">
        <f t="shared" ca="1" si="499"/>
        <v>52249.205003661176</v>
      </c>
      <c r="AN291" s="571"/>
      <c r="AO291" s="571"/>
      <c r="AP291" s="541">
        <f t="shared" ref="AP291:AT291" ca="1" si="500">INDEX($K291:$AL291,MATCH(AP$5,$K$5:$AL$5,0))</f>
        <v>34841.200095204309</v>
      </c>
      <c r="AQ291" s="541">
        <f t="shared" ca="1" si="500"/>
        <v>39552.453903779293</v>
      </c>
      <c r="AR291" s="541">
        <f t="shared" ca="1" si="500"/>
        <v>45681.204126727687</v>
      </c>
      <c r="AS291" s="541">
        <f t="shared" ca="1" si="500"/>
        <v>49928.253232565599</v>
      </c>
      <c r="AT291" s="541">
        <f t="shared" ca="1" si="500"/>
        <v>52249.205003661176</v>
      </c>
    </row>
    <row r="292" spans="2:46" x14ac:dyDescent="0.25">
      <c r="B292" s="98" t="s">
        <v>404</v>
      </c>
      <c r="C292" s="98"/>
      <c r="D292" s="98"/>
      <c r="E292" s="98"/>
      <c r="F292" s="98"/>
      <c r="G292" s="98"/>
      <c r="H292" s="98"/>
      <c r="I292" s="98"/>
      <c r="J292" s="98"/>
      <c r="K292" s="98"/>
      <c r="L292" s="668"/>
      <c r="M292" s="657"/>
      <c r="N292" s="657"/>
      <c r="O292" s="657"/>
      <c r="P292" s="657"/>
      <c r="Q292" s="657"/>
      <c r="R292" s="657"/>
      <c r="S292" s="657"/>
      <c r="T292" s="657"/>
      <c r="U292" s="657"/>
      <c r="V292" s="657"/>
      <c r="W292" s="657"/>
      <c r="X292" s="657"/>
      <c r="Y292" s="657"/>
      <c r="Z292" s="657"/>
      <c r="AA292" s="657"/>
      <c r="AB292" s="657"/>
      <c r="AC292" s="657"/>
      <c r="AD292" s="657"/>
      <c r="AE292" s="657"/>
      <c r="AF292" s="657"/>
      <c r="AG292" s="657"/>
      <c r="AH292" s="657"/>
      <c r="AI292" s="657"/>
      <c r="AJ292" s="657"/>
      <c r="AK292" s="657"/>
      <c r="AL292" s="657"/>
      <c r="AN292" s="571"/>
      <c r="AO292" s="571"/>
      <c r="AP292" s="657"/>
      <c r="AQ292" s="657"/>
      <c r="AR292" s="657"/>
      <c r="AS292" s="657"/>
      <c r="AT292" s="657"/>
    </row>
    <row r="293" spans="2:46" x14ac:dyDescent="0.25">
      <c r="B293" s="98"/>
      <c r="C293" s="98"/>
      <c r="D293" s="98"/>
      <c r="E293" s="98"/>
      <c r="F293" s="98"/>
      <c r="G293" s="98"/>
      <c r="H293" s="98"/>
      <c r="I293" s="98"/>
      <c r="J293" s="98"/>
      <c r="K293" s="98"/>
      <c r="L293" s="668"/>
      <c r="M293" s="657"/>
      <c r="N293" s="657"/>
      <c r="O293" s="657"/>
      <c r="P293" s="657"/>
      <c r="Q293" s="657"/>
      <c r="R293" s="657"/>
      <c r="S293" s="657"/>
      <c r="T293" s="657"/>
      <c r="U293" s="657"/>
      <c r="V293" s="657"/>
      <c r="W293" s="657"/>
      <c r="X293" s="657"/>
      <c r="Y293" s="657"/>
      <c r="Z293" s="657"/>
      <c r="AA293" s="657"/>
      <c r="AB293" s="657"/>
      <c r="AC293" s="657"/>
      <c r="AD293" s="657"/>
      <c r="AE293" s="657"/>
      <c r="AF293" s="657"/>
      <c r="AG293" s="657"/>
      <c r="AH293" s="657"/>
      <c r="AI293" s="657"/>
      <c r="AJ293" s="657"/>
      <c r="AK293" s="657"/>
      <c r="AL293" s="657"/>
      <c r="AN293" s="571"/>
      <c r="AO293" s="571"/>
      <c r="AP293" s="657"/>
      <c r="AQ293" s="657"/>
      <c r="AR293" s="657"/>
      <c r="AS293" s="657"/>
      <c r="AT293" s="657"/>
    </row>
    <row r="294" spans="2:46" x14ac:dyDescent="0.25">
      <c r="B294" s="551" t="s">
        <v>182</v>
      </c>
      <c r="C294" s="98"/>
      <c r="D294" s="98"/>
      <c r="E294" s="98"/>
      <c r="F294" s="98"/>
      <c r="G294" s="98"/>
      <c r="H294" s="98"/>
      <c r="I294" s="98"/>
      <c r="J294" s="98"/>
      <c r="K294" s="662"/>
      <c r="L294" s="760">
        <v>6805</v>
      </c>
      <c r="M294" s="760">
        <v>8231</v>
      </c>
      <c r="N294" s="760">
        <v>28369</v>
      </c>
      <c r="O294" s="760">
        <v>27093</v>
      </c>
      <c r="P294" s="760">
        <v>24511</v>
      </c>
      <c r="Q294" s="760">
        <v>23150</v>
      </c>
      <c r="R294" s="760">
        <v>22508</v>
      </c>
      <c r="S294" s="761">
        <f ca="1">+R294*(1+S$286)</f>
        <v>24386.494204651084</v>
      </c>
      <c r="T294" s="762">
        <f t="shared" ref="T294:AL294" ca="1" si="501">+S294*(1+T$286)</f>
        <v>27131.013555943417</v>
      </c>
      <c r="U294" s="762">
        <f t="shared" ca="1" si="501"/>
        <v>25495.309147362244</v>
      </c>
      <c r="V294" s="762">
        <f t="shared" ca="1" si="501"/>
        <v>27607.045403888565</v>
      </c>
      <c r="W294" s="762">
        <f t="shared" ca="1" si="501"/>
        <v>27706.483163853005</v>
      </c>
      <c r="X294" s="762">
        <f t="shared" ca="1" si="501"/>
        <v>31106.880329766685</v>
      </c>
      <c r="Y294" s="762">
        <f t="shared" ca="1" si="501"/>
        <v>30153.707453444706</v>
      </c>
      <c r="Z294" s="762">
        <f t="shared" ca="1" si="501"/>
        <v>31340.091264742114</v>
      </c>
      <c r="AA294" s="762">
        <f t="shared" ca="1" si="501"/>
        <v>31951.447729934742</v>
      </c>
      <c r="AB294" s="762">
        <f t="shared" ca="1" si="501"/>
        <v>36022.666006348336</v>
      </c>
      <c r="AC294" s="762">
        <f t="shared" ca="1" si="501"/>
        <v>35928.216700994773</v>
      </c>
      <c r="AD294" s="762">
        <f t="shared" ca="1" si="501"/>
        <v>36196.315654593644</v>
      </c>
      <c r="AE294" s="762">
        <f t="shared" ca="1" si="501"/>
        <v>34888.654072142854</v>
      </c>
      <c r="AF294" s="762">
        <f t="shared" ca="1" si="501"/>
        <v>39438.239095820281</v>
      </c>
      <c r="AG294" s="762">
        <f t="shared" ca="1" si="501"/>
        <v>40056.421895825828</v>
      </c>
      <c r="AH294" s="762">
        <f t="shared" ca="1" si="501"/>
        <v>39561.540651925177</v>
      </c>
      <c r="AI294" s="762">
        <f t="shared" ca="1" si="501"/>
        <v>36492.261784662805</v>
      </c>
      <c r="AJ294" s="762">
        <f t="shared" ca="1" si="501"/>
        <v>41307.953404696047</v>
      </c>
      <c r="AK294" s="762">
        <f t="shared" ca="1" si="501"/>
        <v>42357.692932082326</v>
      </c>
      <c r="AL294" s="762">
        <f t="shared" ca="1" si="501"/>
        <v>41400.588123016474</v>
      </c>
      <c r="AN294" s="571"/>
      <c r="AO294" s="571"/>
      <c r="AP294" s="541">
        <f t="shared" ref="AP294:AT294" ca="1" si="502">INDEX($K294:$AL294,MATCH(AP$5,$K$5:$AL$5,0))</f>
        <v>27607.045403888565</v>
      </c>
      <c r="AQ294" s="541">
        <f t="shared" ca="1" si="502"/>
        <v>31340.091264742114</v>
      </c>
      <c r="AR294" s="541">
        <f t="shared" ca="1" si="502"/>
        <v>36196.315654593644</v>
      </c>
      <c r="AS294" s="541">
        <f t="shared" ca="1" si="502"/>
        <v>39561.540651925177</v>
      </c>
      <c r="AT294" s="541">
        <f t="shared" ca="1" si="502"/>
        <v>41400.588123016474</v>
      </c>
    </row>
    <row r="295" spans="2:46" x14ac:dyDescent="0.25">
      <c r="B295" s="98" t="s">
        <v>404</v>
      </c>
      <c r="C295" s="98"/>
      <c r="D295" s="98"/>
      <c r="E295" s="98"/>
      <c r="F295" s="98"/>
      <c r="G295" s="98"/>
      <c r="H295" s="98"/>
      <c r="I295" s="98"/>
      <c r="J295" s="98"/>
      <c r="K295" s="98"/>
      <c r="L295" s="668"/>
      <c r="M295" s="657"/>
      <c r="N295" s="657"/>
      <c r="O295" s="657"/>
      <c r="P295" s="657"/>
      <c r="Q295" s="657"/>
      <c r="R295" s="657"/>
      <c r="S295" s="657"/>
      <c r="T295" s="657"/>
      <c r="U295" s="657"/>
      <c r="V295" s="657"/>
      <c r="W295" s="657"/>
      <c r="X295" s="657"/>
      <c r="Y295" s="657"/>
      <c r="Z295" s="657"/>
      <c r="AA295" s="657"/>
      <c r="AB295" s="657"/>
      <c r="AC295" s="657"/>
      <c r="AD295" s="657"/>
      <c r="AE295" s="657"/>
      <c r="AF295" s="657"/>
      <c r="AG295" s="657"/>
      <c r="AH295" s="657"/>
      <c r="AI295" s="657"/>
      <c r="AJ295" s="657"/>
      <c r="AK295" s="657"/>
      <c r="AL295" s="657"/>
      <c r="AN295" s="571"/>
      <c r="AO295" s="571"/>
      <c r="AP295" s="657"/>
      <c r="AQ295" s="657"/>
      <c r="AR295" s="657"/>
      <c r="AS295" s="657"/>
      <c r="AT295" s="657"/>
    </row>
    <row r="296" spans="2:46" x14ac:dyDescent="0.25">
      <c r="B296" s="98"/>
      <c r="C296" s="652"/>
      <c r="D296" s="652"/>
      <c r="E296" s="652"/>
      <c r="F296" s="652"/>
      <c r="G296" s="652"/>
      <c r="H296" s="652"/>
      <c r="I296" s="652"/>
      <c r="J296" s="652"/>
      <c r="K296" s="657"/>
      <c r="L296" s="657"/>
      <c r="M296" s="657"/>
      <c r="N296" s="657"/>
      <c r="O296" s="657"/>
      <c r="P296" s="657"/>
      <c r="Q296" s="657"/>
      <c r="R296" s="657"/>
      <c r="S296" s="657"/>
      <c r="T296" s="657"/>
      <c r="U296" s="657"/>
      <c r="V296" s="657"/>
      <c r="W296" s="657"/>
      <c r="X296" s="657"/>
      <c r="Y296" s="657"/>
      <c r="Z296" s="657"/>
      <c r="AA296" s="657"/>
      <c r="AB296" s="657"/>
      <c r="AC296" s="657"/>
      <c r="AD296" s="657"/>
      <c r="AE296" s="657"/>
      <c r="AF296" s="657"/>
      <c r="AG296" s="657"/>
      <c r="AH296" s="657"/>
      <c r="AI296" s="657"/>
      <c r="AJ296" s="657"/>
      <c r="AK296" s="657"/>
      <c r="AL296" s="657"/>
      <c r="AN296" s="571"/>
      <c r="AO296" s="571"/>
      <c r="AP296" s="657"/>
      <c r="AQ296" s="657"/>
      <c r="AR296" s="657"/>
      <c r="AS296" s="657"/>
      <c r="AT296" s="657"/>
    </row>
    <row r="297" spans="2:46" x14ac:dyDescent="0.25">
      <c r="B297" s="753" t="s">
        <v>405</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11"/>
      <c r="AL297" s="611"/>
      <c r="AN297" s="611"/>
      <c r="AO297" s="611"/>
      <c r="AP297" s="657"/>
      <c r="AQ297" s="657"/>
      <c r="AR297" s="657"/>
      <c r="AS297" s="657"/>
      <c r="AT297" s="657"/>
    </row>
    <row r="298" spans="2:46" x14ac:dyDescent="0.25">
      <c r="B298" s="551" t="s">
        <v>191</v>
      </c>
      <c r="K298" s="563"/>
      <c r="L298" s="669">
        <v>9779</v>
      </c>
      <c r="M298" s="669">
        <v>9452</v>
      </c>
      <c r="N298" s="669">
        <v>12933</v>
      </c>
      <c r="O298" s="669">
        <v>14518</v>
      </c>
      <c r="P298" s="669">
        <v>17536</v>
      </c>
      <c r="Q298" s="669">
        <v>17178</v>
      </c>
      <c r="R298" s="669">
        <v>21970</v>
      </c>
      <c r="AN298" s="571"/>
      <c r="AO298" s="571"/>
      <c r="AP298" s="537"/>
      <c r="AQ298" s="537"/>
      <c r="AR298" s="537"/>
      <c r="AS298" s="537"/>
      <c r="AT298" s="537"/>
    </row>
    <row r="299" spans="2:46" x14ac:dyDescent="0.25">
      <c r="B299" s="551" t="s">
        <v>406</v>
      </c>
      <c r="C299" s="652"/>
      <c r="D299" s="652"/>
      <c r="E299" s="652"/>
      <c r="F299" s="652"/>
      <c r="G299" s="652"/>
      <c r="H299" s="652"/>
      <c r="I299" s="652"/>
      <c r="J299" s="652"/>
      <c r="K299" s="657"/>
      <c r="L299" s="541">
        <v>-630</v>
      </c>
      <c r="M299" s="541">
        <v>-1542</v>
      </c>
      <c r="N299" s="541">
        <v>-3336</v>
      </c>
      <c r="O299" s="541">
        <v>-3963</v>
      </c>
      <c r="P299" s="541">
        <v>-4527</v>
      </c>
      <c r="Q299" s="541">
        <v>-4636</v>
      </c>
      <c r="R299" s="541">
        <v>-4903</v>
      </c>
      <c r="S299" s="657"/>
      <c r="T299" s="657"/>
      <c r="U299" s="657"/>
      <c r="V299" s="657"/>
      <c r="W299" s="657"/>
      <c r="X299" s="657"/>
      <c r="Y299" s="657"/>
      <c r="Z299" s="657"/>
      <c r="AA299" s="657"/>
      <c r="AB299" s="657"/>
      <c r="AC299" s="657"/>
      <c r="AD299" s="657"/>
      <c r="AE299" s="657"/>
      <c r="AF299" s="657"/>
      <c r="AG299" s="657"/>
      <c r="AH299" s="657"/>
      <c r="AI299" s="657"/>
      <c r="AJ299" s="657"/>
      <c r="AK299" s="657"/>
      <c r="AL299" s="657"/>
      <c r="AN299" s="571"/>
      <c r="AO299" s="571"/>
      <c r="AP299" s="657"/>
      <c r="AQ299" s="657"/>
      <c r="AR299" s="657"/>
      <c r="AS299" s="657"/>
      <c r="AT299" s="657"/>
    </row>
    <row r="300" spans="2:46" x14ac:dyDescent="0.25">
      <c r="B300" s="670" t="s">
        <v>407</v>
      </c>
      <c r="C300" s="670"/>
      <c r="D300" s="670"/>
      <c r="E300" s="670"/>
      <c r="F300" s="670"/>
      <c r="G300" s="670"/>
      <c r="H300" s="670"/>
      <c r="I300" s="670"/>
      <c r="J300" s="670"/>
      <c r="K300" s="670"/>
      <c r="L300" s="671">
        <f>+L298+L299</f>
        <v>9149</v>
      </c>
      <c r="M300" s="671">
        <f t="shared" ref="M300:R300" si="503">+M298+M299</f>
        <v>7910</v>
      </c>
      <c r="N300" s="671">
        <f t="shared" si="503"/>
        <v>9597</v>
      </c>
      <c r="O300" s="671">
        <f t="shared" si="503"/>
        <v>10555</v>
      </c>
      <c r="P300" s="671">
        <f t="shared" si="503"/>
        <v>13009</v>
      </c>
      <c r="Q300" s="671">
        <f t="shared" si="503"/>
        <v>12542</v>
      </c>
      <c r="R300" s="671">
        <f t="shared" si="503"/>
        <v>17067</v>
      </c>
      <c r="S300" s="672">
        <f t="shared" ref="S300:AL300" ca="1" si="504">+S198*S301</f>
        <v>16206.921017488772</v>
      </c>
      <c r="T300" s="673">
        <f t="shared" ca="1" si="504"/>
        <v>16887.637992100645</v>
      </c>
      <c r="U300" s="673">
        <f t="shared" ca="1" si="504"/>
        <v>17323.053903095628</v>
      </c>
      <c r="V300" s="673">
        <f t="shared" ca="1" si="504"/>
        <v>19182.761233154732</v>
      </c>
      <c r="W300" s="673">
        <f t="shared" ca="1" si="504"/>
        <v>19517.713178185732</v>
      </c>
      <c r="X300" s="673">
        <f t="shared" ca="1" si="504"/>
        <v>20445.950840053883</v>
      </c>
      <c r="Y300" s="673">
        <f t="shared" ca="1" si="504"/>
        <v>21746.263889846647</v>
      </c>
      <c r="Z300" s="673">
        <f t="shared" ca="1" si="504"/>
        <v>23145.982747230555</v>
      </c>
      <c r="AA300" s="673">
        <f t="shared" ca="1" si="504"/>
        <v>22508.060251914561</v>
      </c>
      <c r="AB300" s="673">
        <f t="shared" ca="1" si="504"/>
        <v>23677.001694981685</v>
      </c>
      <c r="AC300" s="673">
        <f t="shared" ca="1" si="504"/>
        <v>25910.726986978611</v>
      </c>
      <c r="AD300" s="673">
        <f t="shared" ca="1" si="504"/>
        <v>26732.50982510914</v>
      </c>
      <c r="AE300" s="673">
        <f t="shared" ca="1" si="504"/>
        <v>24577.16265633512</v>
      </c>
      <c r="AF300" s="673">
        <f t="shared" ca="1" si="504"/>
        <v>25921.991830206796</v>
      </c>
      <c r="AG300" s="673">
        <f t="shared" ca="1" si="504"/>
        <v>28887.907809497214</v>
      </c>
      <c r="AH300" s="673">
        <f t="shared" ca="1" si="504"/>
        <v>29217.870798400661</v>
      </c>
      <c r="AI300" s="673">
        <f t="shared" ca="1" si="504"/>
        <v>25706.817228450735</v>
      </c>
      <c r="AJ300" s="673">
        <f t="shared" ca="1" si="504"/>
        <v>27150.918885538606</v>
      </c>
      <c r="AK300" s="673">
        <f t="shared" ca="1" si="504"/>
        <v>30547.539458897518</v>
      </c>
      <c r="AL300" s="673">
        <f t="shared" ca="1" si="504"/>
        <v>30576.085127696664</v>
      </c>
      <c r="AN300" s="571"/>
      <c r="AO300" s="571"/>
      <c r="AP300" s="541">
        <f t="shared" ref="AP300:AT301" ca="1" si="505">INDEX($K300:$AL300,MATCH(AP$5,$K$5:$AL$5,0))</f>
        <v>19182.761233154732</v>
      </c>
      <c r="AQ300" s="541">
        <f t="shared" ca="1" si="505"/>
        <v>23145.982747230555</v>
      </c>
      <c r="AR300" s="541">
        <f t="shared" ca="1" si="505"/>
        <v>26732.50982510914</v>
      </c>
      <c r="AS300" s="541">
        <f t="shared" ca="1" si="505"/>
        <v>29217.870798400661</v>
      </c>
      <c r="AT300" s="541">
        <f t="shared" ca="1" si="505"/>
        <v>30576.085127696664</v>
      </c>
    </row>
    <row r="301" spans="2:46" x14ac:dyDescent="0.25">
      <c r="B301" s="47" t="s">
        <v>408</v>
      </c>
      <c r="C301" s="652"/>
      <c r="D301" s="652"/>
      <c r="E301" s="652"/>
      <c r="F301" s="652"/>
      <c r="G301" s="652"/>
      <c r="H301" s="652" t="s">
        <v>409</v>
      </c>
      <c r="I301" s="652"/>
      <c r="J301" s="652"/>
      <c r="K301" s="657"/>
      <c r="L301" s="674">
        <f t="shared" ref="L301:R301" si="506">+L300/L198</f>
        <v>0.15558729996768872</v>
      </c>
      <c r="M301" s="674">
        <f t="shared" si="506"/>
        <v>0.12438084755090809</v>
      </c>
      <c r="N301" s="674">
        <f t="shared" si="506"/>
        <v>0.13144054564877969</v>
      </c>
      <c r="O301" s="674">
        <f t="shared" si="506"/>
        <v>0.12995567594188623</v>
      </c>
      <c r="P301" s="674">
        <f t="shared" si="506"/>
        <v>0.14718394315841876</v>
      </c>
      <c r="Q301" s="674">
        <f t="shared" si="506"/>
        <v>0.1305574350700047</v>
      </c>
      <c r="R301" s="674">
        <f t="shared" si="506"/>
        <v>0.16438395746648174</v>
      </c>
      <c r="S301" s="657">
        <f>AVERAGE(M301:R301)</f>
        <v>0.1379837341394132</v>
      </c>
      <c r="T301" s="657">
        <f>+S301</f>
        <v>0.1379837341394132</v>
      </c>
      <c r="U301" s="657">
        <f t="shared" ref="U301:AL301" si="507">+T301</f>
        <v>0.1379837341394132</v>
      </c>
      <c r="V301" s="657">
        <f t="shared" si="507"/>
        <v>0.1379837341394132</v>
      </c>
      <c r="W301" s="657">
        <f t="shared" si="507"/>
        <v>0.1379837341394132</v>
      </c>
      <c r="X301" s="657">
        <f t="shared" si="507"/>
        <v>0.1379837341394132</v>
      </c>
      <c r="Y301" s="657">
        <f t="shared" si="507"/>
        <v>0.1379837341394132</v>
      </c>
      <c r="Z301" s="657">
        <f t="shared" si="507"/>
        <v>0.1379837341394132</v>
      </c>
      <c r="AA301" s="657">
        <f t="shared" si="507"/>
        <v>0.1379837341394132</v>
      </c>
      <c r="AB301" s="657">
        <f t="shared" si="507"/>
        <v>0.1379837341394132</v>
      </c>
      <c r="AC301" s="657">
        <f t="shared" si="507"/>
        <v>0.1379837341394132</v>
      </c>
      <c r="AD301" s="657">
        <f t="shared" si="507"/>
        <v>0.1379837341394132</v>
      </c>
      <c r="AE301" s="657">
        <f t="shared" si="507"/>
        <v>0.1379837341394132</v>
      </c>
      <c r="AF301" s="657">
        <f t="shared" si="507"/>
        <v>0.1379837341394132</v>
      </c>
      <c r="AG301" s="657">
        <f t="shared" si="507"/>
        <v>0.1379837341394132</v>
      </c>
      <c r="AH301" s="657">
        <f t="shared" si="507"/>
        <v>0.1379837341394132</v>
      </c>
      <c r="AI301" s="657">
        <f t="shared" si="507"/>
        <v>0.1379837341394132</v>
      </c>
      <c r="AJ301" s="657">
        <f t="shared" si="507"/>
        <v>0.1379837341394132</v>
      </c>
      <c r="AK301" s="657">
        <f t="shared" si="507"/>
        <v>0.1379837341394132</v>
      </c>
      <c r="AL301" s="657">
        <f t="shared" si="507"/>
        <v>0.1379837341394132</v>
      </c>
      <c r="AN301" s="571"/>
      <c r="AO301" s="571"/>
      <c r="AP301" s="539">
        <f t="shared" si="505"/>
        <v>0.1379837341394132</v>
      </c>
      <c r="AQ301" s="539">
        <f t="shared" si="505"/>
        <v>0.1379837341394132</v>
      </c>
      <c r="AR301" s="539">
        <f t="shared" si="505"/>
        <v>0.1379837341394132</v>
      </c>
      <c r="AS301" s="539">
        <f t="shared" si="505"/>
        <v>0.1379837341394132</v>
      </c>
      <c r="AT301" s="539">
        <f t="shared" si="505"/>
        <v>0.1379837341394132</v>
      </c>
    </row>
    <row r="303" spans="2:46" x14ac:dyDescent="0.25">
      <c r="B303" s="753" t="s">
        <v>410</v>
      </c>
      <c r="C303" s="611"/>
      <c r="D303" s="611"/>
      <c r="E303" s="611"/>
      <c r="F303" s="611"/>
      <c r="G303" s="611"/>
      <c r="H303" s="611"/>
      <c r="I303" s="611"/>
      <c r="J303" s="611"/>
      <c r="K303" s="611"/>
      <c r="L303" s="611"/>
      <c r="M303" s="611"/>
      <c r="N303" s="611"/>
      <c r="O303" s="611"/>
      <c r="P303" s="611"/>
      <c r="Q303" s="611"/>
      <c r="R303" s="611"/>
      <c r="S303" s="611"/>
      <c r="T303" s="611"/>
      <c r="U303" s="611"/>
      <c r="V303" s="611"/>
      <c r="W303" s="611"/>
      <c r="X303" s="611"/>
      <c r="Y303" s="611"/>
      <c r="Z303" s="611"/>
      <c r="AA303" s="611"/>
      <c r="AB303" s="611"/>
      <c r="AC303" s="611"/>
      <c r="AD303" s="611"/>
      <c r="AE303" s="611"/>
      <c r="AF303" s="611"/>
      <c r="AG303" s="611"/>
      <c r="AH303" s="611"/>
      <c r="AI303" s="611"/>
      <c r="AJ303" s="611"/>
      <c r="AK303" s="611"/>
      <c r="AL303" s="611"/>
      <c r="AN303" s="611"/>
      <c r="AO303" s="611"/>
    </row>
    <row r="304" spans="2:46" x14ac:dyDescent="0.25">
      <c r="B304" s="551" t="s">
        <v>411</v>
      </c>
      <c r="K304" s="116"/>
      <c r="L304" s="116"/>
      <c r="M304" s="116"/>
      <c r="N304" s="116"/>
      <c r="O304" s="116"/>
      <c r="P304" s="116"/>
      <c r="Q304" s="116"/>
      <c r="R304" s="116"/>
      <c r="S304" s="582">
        <f ca="1">+R307</f>
        <v>0</v>
      </c>
      <c r="T304" s="582">
        <f t="shared" ref="T304:AL304" ca="1" si="508">+S307</f>
        <v>0</v>
      </c>
      <c r="U304" s="582">
        <f t="shared" ca="1" si="508"/>
        <v>0</v>
      </c>
      <c r="V304" s="582">
        <f t="shared" si="508"/>
        <v>0</v>
      </c>
      <c r="W304" s="582">
        <f t="shared" ca="1" si="508"/>
        <v>2122.3438557079335</v>
      </c>
      <c r="X304" s="582">
        <f t="shared" ca="1" si="508"/>
        <v>2122.3438557079335</v>
      </c>
      <c r="Y304" s="582">
        <f t="shared" ca="1" si="508"/>
        <v>5406.6692456257151</v>
      </c>
      <c r="Z304" s="582">
        <f t="shared" ca="1" si="508"/>
        <v>5406.6692456257151</v>
      </c>
      <c r="AA304" s="582">
        <f t="shared" ca="1" si="508"/>
        <v>8751.2232031911517</v>
      </c>
      <c r="AB304" s="582">
        <f t="shared" ca="1" si="508"/>
        <v>3344.5539575654366</v>
      </c>
      <c r="AC304" s="582">
        <f t="shared" ca="1" si="508"/>
        <v>7069.7670545123892</v>
      </c>
      <c r="AD304" s="582">
        <f t="shared" ca="1" si="508"/>
        <v>7069.7670545123892</v>
      </c>
      <c r="AE304" s="582">
        <f t="shared" ca="1" si="508"/>
        <v>10848.430912837461</v>
      </c>
      <c r="AF304" s="582">
        <f t="shared" ca="1" si="508"/>
        <v>3778.6638583250715</v>
      </c>
      <c r="AG304" s="582">
        <f t="shared" ca="1" si="508"/>
        <v>7761.9614652137689</v>
      </c>
      <c r="AH304" s="582">
        <f t="shared" ca="1" si="508"/>
        <v>7761.9614652137689</v>
      </c>
      <c r="AI304" s="582">
        <f t="shared" ca="1" si="508"/>
        <v>11791.325789239008</v>
      </c>
      <c r="AJ304" s="582">
        <f t="shared" ca="1" si="508"/>
        <v>4029.3643240252395</v>
      </c>
      <c r="AK304" s="582">
        <f t="shared" ca="1" si="508"/>
        <v>8032.6367797072435</v>
      </c>
      <c r="AL304" s="582">
        <f t="shared" ca="1" si="508"/>
        <v>8032.6367797072435</v>
      </c>
      <c r="AN304" s="571"/>
      <c r="AO304" s="571"/>
      <c r="AP304" s="541">
        <f t="shared" ref="AP304:AT306" ca="1" si="509">SUMIF($K$4:$AL$4,AP$4,$K304:$AL304)</f>
        <v>0</v>
      </c>
      <c r="AQ304" s="541">
        <f t="shared" ca="1" si="509"/>
        <v>15058.026202667297</v>
      </c>
      <c r="AR304" s="541">
        <f t="shared" ca="1" si="509"/>
        <v>26235.31126978137</v>
      </c>
      <c r="AS304" s="541">
        <f t="shared" ca="1" si="509"/>
        <v>30151.01770159007</v>
      </c>
      <c r="AT304" s="541">
        <f t="shared" ca="1" si="509"/>
        <v>31885.963672678736</v>
      </c>
    </row>
    <row r="305" spans="1:46" x14ac:dyDescent="0.25">
      <c r="B305" s="551" t="s">
        <v>412</v>
      </c>
      <c r="C305" s="767">
        <f>+D94</f>
        <v>0.21</v>
      </c>
      <c r="D305" s="73" t="s">
        <v>413</v>
      </c>
      <c r="E305" s="73"/>
      <c r="F305" s="73"/>
      <c r="G305" s="73"/>
      <c r="K305" s="116"/>
      <c r="L305" s="116"/>
      <c r="M305" s="116"/>
      <c r="N305" s="116"/>
      <c r="O305" s="116"/>
      <c r="P305" s="116"/>
      <c r="Q305" s="116"/>
      <c r="R305" s="116"/>
      <c r="S305" s="582">
        <f t="shared" ref="S305:AL305" si="510">IF(S$5&gt;Closing_Date,-S40,0)</f>
        <v>0</v>
      </c>
      <c r="T305" s="582">
        <f t="shared" si="510"/>
        <v>0</v>
      </c>
      <c r="U305" s="582">
        <f t="shared" si="510"/>
        <v>0</v>
      </c>
      <c r="V305" s="582">
        <f t="shared" ca="1" si="510"/>
        <v>2122.3438557079335</v>
      </c>
      <c r="W305" s="582">
        <f t="shared" ca="1" si="510"/>
        <v>0</v>
      </c>
      <c r="X305" s="582">
        <f t="shared" ca="1" si="510"/>
        <v>3284.3253899177821</v>
      </c>
      <c r="Y305" s="582">
        <f t="shared" ca="1" si="510"/>
        <v>0</v>
      </c>
      <c r="Z305" s="582">
        <f t="shared" ca="1" si="510"/>
        <v>3344.5539575654375</v>
      </c>
      <c r="AA305" s="582">
        <f t="shared" ca="1" si="510"/>
        <v>0</v>
      </c>
      <c r="AB305" s="582">
        <f t="shared" ca="1" si="510"/>
        <v>3725.2130969469522</v>
      </c>
      <c r="AC305" s="582">
        <f t="shared" ca="1" si="510"/>
        <v>0</v>
      </c>
      <c r="AD305" s="582">
        <f t="shared" ca="1" si="510"/>
        <v>3778.6638583250715</v>
      </c>
      <c r="AE305" s="582">
        <f t="shared" ca="1" si="510"/>
        <v>0</v>
      </c>
      <c r="AF305" s="582">
        <f t="shared" ca="1" si="510"/>
        <v>3983.2976068886974</v>
      </c>
      <c r="AG305" s="582">
        <f t="shared" ca="1" si="510"/>
        <v>0</v>
      </c>
      <c r="AH305" s="582">
        <f t="shared" ca="1" si="510"/>
        <v>4029.36432402524</v>
      </c>
      <c r="AI305" s="582">
        <f t="shared" ca="1" si="510"/>
        <v>0</v>
      </c>
      <c r="AJ305" s="582">
        <f t="shared" ca="1" si="510"/>
        <v>4003.272455682004</v>
      </c>
      <c r="AK305" s="582">
        <f t="shared" ca="1" si="510"/>
        <v>0</v>
      </c>
      <c r="AL305" s="582">
        <f t="shared" ca="1" si="510"/>
        <v>4100.7105952190032</v>
      </c>
      <c r="AN305" s="571"/>
      <c r="AO305" s="571"/>
      <c r="AP305" s="541">
        <f ca="1">SUMIF($K$4:$AL$4,AP$4,$K305:$AL305)</f>
        <v>2122.3438557079335</v>
      </c>
      <c r="AQ305" s="541">
        <f ca="1">SUMIF($K$4:$AL$4,AQ$4,$K305:$AL305)</f>
        <v>6628.87934748322</v>
      </c>
      <c r="AR305" s="541">
        <f ca="1">SUMIF($K$4:$AL$4,AR$4,$K305:$AL305)</f>
        <v>7503.8769552720241</v>
      </c>
      <c r="AS305" s="541">
        <f ca="1">SUMIF($K$4:$AL$4,AS$4,$K305:$AL305)</f>
        <v>8012.6619309139369</v>
      </c>
      <c r="AT305" s="541">
        <f ca="1">SUMIF($K$4:$AL$4,AT$4,$K305:$AL305)</f>
        <v>8103.9830509010071</v>
      </c>
    </row>
    <row r="306" spans="1:46" x14ac:dyDescent="0.25">
      <c r="B306" s="551" t="s">
        <v>414</v>
      </c>
      <c r="C306" s="766">
        <v>45016</v>
      </c>
      <c r="D306" s="73" t="s">
        <v>415</v>
      </c>
      <c r="E306" s="73"/>
      <c r="F306" s="73"/>
      <c r="G306" s="73"/>
      <c r="K306" s="116"/>
      <c r="L306" s="116"/>
      <c r="M306" s="116"/>
      <c r="N306" s="116"/>
      <c r="O306" s="116"/>
      <c r="P306" s="116"/>
      <c r="Q306" s="116"/>
      <c r="R306" s="582">
        <f t="shared" ref="R306:AL306" ca="1" si="511">IF(R5&gt;Closing_Date,IF(MONTH(R$5)=MONTH($C306),-OFFSET(R307,,-MONTH($C306)),0),0)</f>
        <v>0</v>
      </c>
      <c r="S306" s="582">
        <f t="shared" ca="1" si="511"/>
        <v>0</v>
      </c>
      <c r="T306" s="582">
        <f t="shared" ca="1" si="511"/>
        <v>0</v>
      </c>
      <c r="U306" s="582">
        <f t="shared" ca="1" si="511"/>
        <v>0</v>
      </c>
      <c r="V306" s="582">
        <f t="shared" ca="1" si="511"/>
        <v>0</v>
      </c>
      <c r="W306" s="582">
        <f t="shared" ca="1" si="511"/>
        <v>0</v>
      </c>
      <c r="X306" s="582">
        <f t="shared" ca="1" si="511"/>
        <v>0</v>
      </c>
      <c r="Y306" s="582">
        <f t="shared" ca="1" si="511"/>
        <v>0</v>
      </c>
      <c r="Z306" s="582">
        <f t="shared" ca="1" si="511"/>
        <v>0</v>
      </c>
      <c r="AA306" s="582">
        <f t="shared" ca="1" si="511"/>
        <v>-5406.6692456257151</v>
      </c>
      <c r="AB306" s="582">
        <f t="shared" ca="1" si="511"/>
        <v>0</v>
      </c>
      <c r="AC306" s="582">
        <f t="shared" ca="1" si="511"/>
        <v>0</v>
      </c>
      <c r="AD306" s="582">
        <f t="shared" ca="1" si="511"/>
        <v>0</v>
      </c>
      <c r="AE306" s="582">
        <f t="shared" ca="1" si="511"/>
        <v>-7069.7670545123892</v>
      </c>
      <c r="AF306" s="582">
        <f t="shared" ca="1" si="511"/>
        <v>0</v>
      </c>
      <c r="AG306" s="582">
        <f t="shared" ca="1" si="511"/>
        <v>0</v>
      </c>
      <c r="AH306" s="582">
        <f t="shared" ca="1" si="511"/>
        <v>0</v>
      </c>
      <c r="AI306" s="582">
        <f t="shared" ca="1" si="511"/>
        <v>-7761.9614652137689</v>
      </c>
      <c r="AJ306" s="582">
        <f t="shared" ca="1" si="511"/>
        <v>0</v>
      </c>
      <c r="AK306" s="582">
        <f t="shared" ca="1" si="511"/>
        <v>0</v>
      </c>
      <c r="AL306" s="582">
        <f t="shared" ca="1" si="511"/>
        <v>0</v>
      </c>
      <c r="AN306" s="571"/>
      <c r="AO306" s="571"/>
      <c r="AP306" s="541">
        <f t="shared" ca="1" si="509"/>
        <v>0</v>
      </c>
      <c r="AQ306" s="541">
        <f t="shared" ca="1" si="509"/>
        <v>0</v>
      </c>
      <c r="AR306" s="541">
        <f t="shared" ca="1" si="509"/>
        <v>-5406.6692456257151</v>
      </c>
      <c r="AS306" s="541">
        <f t="shared" ca="1" si="509"/>
        <v>-7069.7670545123892</v>
      </c>
      <c r="AT306" s="541">
        <f t="shared" ca="1" si="509"/>
        <v>-7761.9614652137689</v>
      </c>
    </row>
    <row r="307" spans="1:46" x14ac:dyDescent="0.25">
      <c r="B307" s="670" t="s">
        <v>416</v>
      </c>
      <c r="C307" s="122"/>
      <c r="D307" s="122"/>
      <c r="E307" s="122"/>
      <c r="F307" s="122"/>
      <c r="G307" s="122"/>
      <c r="H307" s="122"/>
      <c r="I307" s="122"/>
      <c r="J307" s="122"/>
      <c r="K307" s="116"/>
      <c r="L307" s="116"/>
      <c r="M307" s="116"/>
      <c r="N307" s="116"/>
      <c r="O307" s="116"/>
      <c r="P307" s="116"/>
      <c r="Q307" s="116"/>
      <c r="R307" s="768">
        <f t="shared" ref="R307:AL307" ca="1" si="512">IF(R$311="Yes",-R40,SUM(R304:R306))</f>
        <v>0</v>
      </c>
      <c r="S307" s="768">
        <f t="shared" ca="1" si="512"/>
        <v>0</v>
      </c>
      <c r="T307" s="768">
        <f t="shared" ca="1" si="512"/>
        <v>0</v>
      </c>
      <c r="U307" s="768">
        <f t="shared" si="512"/>
        <v>0</v>
      </c>
      <c r="V307" s="768">
        <f t="shared" ca="1" si="512"/>
        <v>2122.3438557079335</v>
      </c>
      <c r="W307" s="768">
        <f t="shared" ca="1" si="512"/>
        <v>2122.3438557079335</v>
      </c>
      <c r="X307" s="768">
        <f t="shared" ca="1" si="512"/>
        <v>5406.6692456257151</v>
      </c>
      <c r="Y307" s="768">
        <f t="shared" ca="1" si="512"/>
        <v>5406.6692456257151</v>
      </c>
      <c r="Z307" s="768">
        <f t="shared" ca="1" si="512"/>
        <v>8751.2232031911517</v>
      </c>
      <c r="AA307" s="768">
        <f t="shared" ca="1" si="512"/>
        <v>3344.5539575654366</v>
      </c>
      <c r="AB307" s="768">
        <f t="shared" ca="1" si="512"/>
        <v>7069.7670545123892</v>
      </c>
      <c r="AC307" s="768">
        <f t="shared" ca="1" si="512"/>
        <v>7069.7670545123892</v>
      </c>
      <c r="AD307" s="768">
        <f t="shared" ca="1" si="512"/>
        <v>10848.430912837461</v>
      </c>
      <c r="AE307" s="768">
        <f t="shared" ca="1" si="512"/>
        <v>3778.6638583250715</v>
      </c>
      <c r="AF307" s="768">
        <f t="shared" ca="1" si="512"/>
        <v>7761.9614652137689</v>
      </c>
      <c r="AG307" s="768">
        <f t="shared" ca="1" si="512"/>
        <v>7761.9614652137689</v>
      </c>
      <c r="AH307" s="768">
        <f t="shared" ca="1" si="512"/>
        <v>11791.325789239008</v>
      </c>
      <c r="AI307" s="768">
        <f t="shared" ca="1" si="512"/>
        <v>4029.3643240252395</v>
      </c>
      <c r="AJ307" s="768">
        <f t="shared" ca="1" si="512"/>
        <v>8032.6367797072435</v>
      </c>
      <c r="AK307" s="768">
        <f t="shared" ca="1" si="512"/>
        <v>8032.6367797072435</v>
      </c>
      <c r="AL307" s="768">
        <f t="shared" ca="1" si="512"/>
        <v>12133.347374926247</v>
      </c>
      <c r="AN307" s="122"/>
      <c r="AO307" s="122"/>
      <c r="AP307" s="123">
        <f t="shared" ref="AP307:AT307" ca="1" si="513">+AP304+AP305+AP306</f>
        <v>2122.3438557079335</v>
      </c>
      <c r="AQ307" s="123">
        <f t="shared" ca="1" si="513"/>
        <v>21686.905550150517</v>
      </c>
      <c r="AR307" s="123">
        <f t="shared" ca="1" si="513"/>
        <v>28332.518979427681</v>
      </c>
      <c r="AS307" s="123">
        <f t="shared" ca="1" si="513"/>
        <v>31093.912577991614</v>
      </c>
      <c r="AT307" s="123">
        <f t="shared" ca="1" si="513"/>
        <v>32227.985258365974</v>
      </c>
    </row>
    <row r="309" spans="1:46" x14ac:dyDescent="0.25">
      <c r="A309" s="69" t="s">
        <v>207</v>
      </c>
      <c r="B309" s="753" t="s">
        <v>417</v>
      </c>
      <c r="C309" s="611"/>
      <c r="D309" s="611"/>
      <c r="E309" s="611"/>
      <c r="F309" s="611"/>
      <c r="G309" s="611"/>
      <c r="H309" s="611"/>
      <c r="I309" s="611"/>
      <c r="J309" s="675"/>
      <c r="K309" s="675"/>
      <c r="L309" s="675"/>
      <c r="M309" s="675"/>
      <c r="N309" s="675"/>
      <c r="O309" s="675"/>
      <c r="P309" s="675"/>
      <c r="Q309" s="675"/>
      <c r="R309" s="675"/>
      <c r="S309" s="675"/>
      <c r="T309" s="675"/>
      <c r="U309" s="675"/>
      <c r="V309" s="675"/>
      <c r="W309" s="675"/>
      <c r="X309" s="675"/>
      <c r="Y309" s="675"/>
      <c r="Z309" s="675"/>
      <c r="AA309" s="675"/>
      <c r="AB309" s="675"/>
      <c r="AC309" s="675"/>
      <c r="AD309" s="675"/>
      <c r="AE309" s="675"/>
      <c r="AF309" s="675"/>
      <c r="AG309" s="675"/>
      <c r="AH309" s="675"/>
      <c r="AI309" s="675"/>
      <c r="AJ309" s="675"/>
      <c r="AK309" s="675"/>
      <c r="AL309" s="675"/>
      <c r="AM309" s="69" t="s">
        <v>207</v>
      </c>
      <c r="AN309" s="675"/>
      <c r="AO309" s="675"/>
      <c r="AP309" s="675"/>
      <c r="AQ309" s="675"/>
      <c r="AR309" s="675"/>
      <c r="AS309" s="675"/>
      <c r="AT309" s="675"/>
    </row>
    <row r="310" spans="1:46" x14ac:dyDescent="0.25">
      <c r="B310" s="754" t="s">
        <v>418</v>
      </c>
      <c r="C310" s="676"/>
      <c r="D310" s="676"/>
      <c r="E310" s="676"/>
      <c r="F310" s="676"/>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N310" s="676"/>
      <c r="AO310" s="676"/>
      <c r="AP310" s="676"/>
      <c r="AQ310" s="676"/>
      <c r="AR310" s="676"/>
      <c r="AS310" s="676"/>
      <c r="AT310" s="676"/>
    </row>
    <row r="311" spans="1:46" x14ac:dyDescent="0.25">
      <c r="B311" s="551" t="s">
        <v>419</v>
      </c>
      <c r="K311" s="610" t="str">
        <f t="shared" ref="K311:AL311" si="514">IF(K$5=Closing_Date,"Yes","No")</f>
        <v>No</v>
      </c>
      <c r="L311" s="610" t="str">
        <f t="shared" si="514"/>
        <v>No</v>
      </c>
      <c r="M311" s="610" t="str">
        <f t="shared" si="514"/>
        <v>No</v>
      </c>
      <c r="N311" s="610" t="str">
        <f t="shared" si="514"/>
        <v>No</v>
      </c>
      <c r="O311" s="610" t="str">
        <f t="shared" si="514"/>
        <v>No</v>
      </c>
      <c r="P311" s="610" t="str">
        <f t="shared" si="514"/>
        <v>No</v>
      </c>
      <c r="Q311" s="610" t="str">
        <f t="shared" si="514"/>
        <v>No</v>
      </c>
      <c r="R311" s="610" t="str">
        <f t="shared" si="514"/>
        <v>No</v>
      </c>
      <c r="S311" s="610" t="str">
        <f t="shared" si="514"/>
        <v>No</v>
      </c>
      <c r="T311" s="610" t="str">
        <f t="shared" si="514"/>
        <v>No</v>
      </c>
      <c r="U311" s="610" t="str">
        <f t="shared" si="514"/>
        <v>Yes</v>
      </c>
      <c r="V311" s="610" t="str">
        <f t="shared" si="514"/>
        <v>No</v>
      </c>
      <c r="W311" s="610" t="str">
        <f t="shared" si="514"/>
        <v>No</v>
      </c>
      <c r="X311" s="610" t="str">
        <f t="shared" si="514"/>
        <v>No</v>
      </c>
      <c r="Y311" s="610" t="str">
        <f t="shared" si="514"/>
        <v>No</v>
      </c>
      <c r="Z311" s="610" t="str">
        <f t="shared" si="514"/>
        <v>No</v>
      </c>
      <c r="AA311" s="610" t="str">
        <f t="shared" si="514"/>
        <v>No</v>
      </c>
      <c r="AB311" s="610" t="str">
        <f t="shared" si="514"/>
        <v>No</v>
      </c>
      <c r="AC311" s="610" t="str">
        <f t="shared" si="514"/>
        <v>No</v>
      </c>
      <c r="AD311" s="610" t="str">
        <f t="shared" si="514"/>
        <v>No</v>
      </c>
      <c r="AE311" s="610" t="str">
        <f t="shared" si="514"/>
        <v>No</v>
      </c>
      <c r="AF311" s="610" t="str">
        <f t="shared" si="514"/>
        <v>No</v>
      </c>
      <c r="AG311" s="610" t="str">
        <f t="shared" si="514"/>
        <v>No</v>
      </c>
      <c r="AH311" s="610" t="str">
        <f t="shared" si="514"/>
        <v>No</v>
      </c>
      <c r="AI311" s="610" t="str">
        <f t="shared" si="514"/>
        <v>No</v>
      </c>
      <c r="AJ311" s="610" t="str">
        <f t="shared" si="514"/>
        <v>No</v>
      </c>
      <c r="AK311" s="610" t="str">
        <f t="shared" si="514"/>
        <v>No</v>
      </c>
      <c r="AL311" s="610" t="str">
        <f t="shared" si="514"/>
        <v>No</v>
      </c>
      <c r="AN311" s="677"/>
      <c r="AO311" s="677"/>
      <c r="AP311" s="62"/>
      <c r="AQ311" s="62"/>
      <c r="AR311" s="62"/>
      <c r="AS311" s="62"/>
      <c r="AT311" s="62"/>
    </row>
    <row r="312" spans="1:46" x14ac:dyDescent="0.25">
      <c r="B312" s="98" t="s">
        <v>420</v>
      </c>
      <c r="J312" s="116"/>
      <c r="K312" s="116"/>
      <c r="L312" s="116"/>
      <c r="M312" s="116"/>
      <c r="N312" s="116"/>
      <c r="O312" s="116"/>
      <c r="P312" s="116"/>
      <c r="Q312" s="116"/>
      <c r="R312" s="116"/>
      <c r="S312" s="570">
        <f>+R321</f>
        <v>0</v>
      </c>
      <c r="T312" s="570">
        <f>IF(S321&gt;0,S321,0)</f>
        <v>0</v>
      </c>
      <c r="U312" s="570">
        <f t="shared" ref="U312:AL312" si="515">IF(T321&gt;0,T321,0)</f>
        <v>0</v>
      </c>
      <c r="V312" s="570">
        <f t="shared" ca="1" si="515"/>
        <v>25000.000000000233</v>
      </c>
      <c r="W312" s="570">
        <f t="shared" ca="1" si="515"/>
        <v>36690.799573214812</v>
      </c>
      <c r="X312" s="570">
        <f t="shared" ca="1" si="515"/>
        <v>29425.312483864669</v>
      </c>
      <c r="Y312" s="570">
        <f t="shared" ca="1" si="515"/>
        <v>34775.76567654137</v>
      </c>
      <c r="Z312" s="570">
        <f t="shared" ca="1" si="515"/>
        <v>30992.664951505747</v>
      </c>
      <c r="AA312" s="570">
        <f t="shared" ca="1" si="515"/>
        <v>38556.287130553697</v>
      </c>
      <c r="AB312" s="570">
        <f t="shared" ca="1" si="515"/>
        <v>28816.995791846351</v>
      </c>
      <c r="AC312" s="570">
        <f t="shared" ca="1" si="515"/>
        <v>33226.065493075235</v>
      </c>
      <c r="AD312" s="570">
        <f t="shared" ca="1" si="515"/>
        <v>34203.400270304817</v>
      </c>
      <c r="AE312" s="570">
        <f t="shared" ca="1" si="515"/>
        <v>39188.274522767038</v>
      </c>
      <c r="AF312" s="570">
        <f t="shared" ca="1" si="515"/>
        <v>25074.150230974999</v>
      </c>
      <c r="AG312" s="570">
        <f t="shared" ca="1" si="515"/>
        <v>31537.230782786843</v>
      </c>
      <c r="AH312" s="570">
        <f t="shared" ca="1" si="515"/>
        <v>36292.66195792245</v>
      </c>
      <c r="AI312" s="570">
        <f t="shared" ca="1" si="515"/>
        <v>39324.006086470261</v>
      </c>
      <c r="AJ312" s="570">
        <f t="shared" ca="1" si="515"/>
        <v>25000</v>
      </c>
      <c r="AK312" s="570">
        <f t="shared" ca="1" si="515"/>
        <v>31616.844383160274</v>
      </c>
      <c r="AL312" s="570">
        <f t="shared" ca="1" si="515"/>
        <v>37951.970839139547</v>
      </c>
      <c r="AM312" s="570"/>
      <c r="AN312" s="538"/>
      <c r="AO312" s="538"/>
      <c r="AP312" s="678">
        <f ca="1">+AO321</f>
        <v>25000.000000000233</v>
      </c>
      <c r="AQ312" s="678">
        <f t="shared" ref="AQ312:AT312" ca="1" si="516">+AP321</f>
        <v>36690.799573214812</v>
      </c>
      <c r="AR312" s="678">
        <f t="shared" ca="1" si="516"/>
        <v>38556.287130553697</v>
      </c>
      <c r="AS312" s="678">
        <f t="shared" ca="1" si="516"/>
        <v>39188.274522767031</v>
      </c>
      <c r="AT312" s="678">
        <f t="shared" ca="1" si="516"/>
        <v>39324.006086470254</v>
      </c>
    </row>
    <row r="313" spans="1:46" x14ac:dyDescent="0.25">
      <c r="B313" s="638" t="s">
        <v>421</v>
      </c>
      <c r="C313" s="679">
        <f>+'Transaction Structure'!K17</f>
        <v>25000</v>
      </c>
      <c r="D313" s="69" t="s">
        <v>422</v>
      </c>
      <c r="J313" s="116"/>
      <c r="K313" s="116"/>
      <c r="L313" s="116"/>
      <c r="M313" s="116"/>
      <c r="N313" s="116"/>
      <c r="O313" s="116"/>
      <c r="P313" s="116"/>
      <c r="Q313" s="116"/>
      <c r="R313" s="116"/>
      <c r="S313" s="680">
        <f t="shared" ref="S313:AL313" si="517">IF(R321&gt;0,$C$313,0)</f>
        <v>0</v>
      </c>
      <c r="T313" s="680">
        <f t="shared" si="517"/>
        <v>0</v>
      </c>
      <c r="U313" s="680">
        <f t="shared" si="517"/>
        <v>0</v>
      </c>
      <c r="V313" s="680">
        <f t="shared" ca="1" si="517"/>
        <v>25000</v>
      </c>
      <c r="W313" s="680">
        <f t="shared" ca="1" si="517"/>
        <v>25000</v>
      </c>
      <c r="X313" s="680">
        <f t="shared" ca="1" si="517"/>
        <v>25000</v>
      </c>
      <c r="Y313" s="680">
        <f t="shared" ca="1" si="517"/>
        <v>25000</v>
      </c>
      <c r="Z313" s="680">
        <f t="shared" ca="1" si="517"/>
        <v>25000</v>
      </c>
      <c r="AA313" s="680">
        <f t="shared" ca="1" si="517"/>
        <v>25000</v>
      </c>
      <c r="AB313" s="680">
        <f t="shared" ca="1" si="517"/>
        <v>25000</v>
      </c>
      <c r="AC313" s="680">
        <f t="shared" ca="1" si="517"/>
        <v>25000</v>
      </c>
      <c r="AD313" s="680">
        <f t="shared" ca="1" si="517"/>
        <v>25000</v>
      </c>
      <c r="AE313" s="680">
        <f t="shared" ca="1" si="517"/>
        <v>25000</v>
      </c>
      <c r="AF313" s="680">
        <f t="shared" ca="1" si="517"/>
        <v>25000</v>
      </c>
      <c r="AG313" s="680">
        <f t="shared" ca="1" si="517"/>
        <v>25000</v>
      </c>
      <c r="AH313" s="680">
        <f t="shared" ca="1" si="517"/>
        <v>25000</v>
      </c>
      <c r="AI313" s="680">
        <f t="shared" ca="1" si="517"/>
        <v>25000</v>
      </c>
      <c r="AJ313" s="680">
        <f t="shared" ca="1" si="517"/>
        <v>25000</v>
      </c>
      <c r="AK313" s="680">
        <f t="shared" ca="1" si="517"/>
        <v>25000</v>
      </c>
      <c r="AL313" s="680">
        <f t="shared" ca="1" si="517"/>
        <v>25000</v>
      </c>
      <c r="AM313" s="570"/>
      <c r="AN313" s="681"/>
      <c r="AO313" s="681"/>
      <c r="AP313" s="678">
        <f ca="1">INDEX($K313:$AL313,MATCH(AP$5,$K$5:$AL$5,0))</f>
        <v>25000</v>
      </c>
      <c r="AQ313" s="678">
        <f ca="1">INDEX($K313:$AL313,MATCH(AQ$5,$K$5:$AL$5,0))</f>
        <v>25000</v>
      </c>
      <c r="AR313" s="678">
        <f ca="1">INDEX($K313:$AL313,MATCH(AR$5,$K$5:$AL$5,0))</f>
        <v>25000</v>
      </c>
      <c r="AS313" s="678">
        <f ca="1">INDEX($K313:$AL313,MATCH(AS$5,$K$5:$AL$5,0))</f>
        <v>25000</v>
      </c>
      <c r="AT313" s="678">
        <f ca="1">INDEX($K313:$AL313,MATCH(AT$5,$K$5:$AL$5,0))</f>
        <v>25000</v>
      </c>
    </row>
    <row r="314" spans="1:46" x14ac:dyDescent="0.25">
      <c r="B314" s="638" t="s">
        <v>423</v>
      </c>
      <c r="J314" s="116"/>
      <c r="K314" s="116"/>
      <c r="L314" s="116"/>
      <c r="M314" s="116"/>
      <c r="N314" s="116"/>
      <c r="O314" s="116"/>
      <c r="P314" s="116"/>
      <c r="Q314" s="116"/>
      <c r="R314" s="116"/>
      <c r="S314" s="570">
        <f t="shared" ref="S314:AL314" si="518">IF(S$312&gt;0,S$169,0)</f>
        <v>0</v>
      </c>
      <c r="T314" s="570">
        <f t="shared" si="518"/>
        <v>0</v>
      </c>
      <c r="U314" s="570">
        <f t="shared" si="518"/>
        <v>0</v>
      </c>
      <c r="V314" s="570">
        <f t="shared" ca="1" si="518"/>
        <v>20985.649031339351</v>
      </c>
      <c r="W314" s="570">
        <f t="shared" ca="1" si="518"/>
        <v>1601.3117268328563</v>
      </c>
      <c r="X314" s="570">
        <f t="shared" ca="1" si="518"/>
        <v>20268.558431725389</v>
      </c>
      <c r="Y314" s="570">
        <f t="shared" ca="1" si="518"/>
        <v>7088.1689825597423</v>
      </c>
      <c r="Z314" s="570">
        <f t="shared" ca="1" si="518"/>
        <v>22933.246027372261</v>
      </c>
      <c r="AA314" s="570">
        <f t="shared" ca="1" si="518"/>
        <v>-824.4417939223988</v>
      </c>
      <c r="AB314" s="570">
        <f t="shared" ca="1" si="518"/>
        <v>18553.230116947521</v>
      </c>
      <c r="AC314" s="570">
        <f t="shared" ca="1" si="518"/>
        <v>15886.088090441821</v>
      </c>
      <c r="AD314" s="570">
        <f t="shared" ca="1" si="518"/>
        <v>21372.824316858845</v>
      </c>
      <c r="AE314" s="570">
        <f t="shared" ca="1" si="518"/>
        <v>-8460.3196043118387</v>
      </c>
      <c r="AF314" s="570">
        <f t="shared" ca="1" si="518"/>
        <v>19499.734214398424</v>
      </c>
      <c r="AG314" s="570">
        <f t="shared" ca="1" si="518"/>
        <v>22468.934846954959</v>
      </c>
      <c r="AH314" s="570">
        <f t="shared" ca="1" si="518"/>
        <v>19701.95629331129</v>
      </c>
      <c r="AI314" s="570">
        <f t="shared" ca="1" si="518"/>
        <v>-16247.300601448758</v>
      </c>
      <c r="AJ314" s="570">
        <f t="shared" ca="1" si="518"/>
        <v>20030.667032706202</v>
      </c>
      <c r="AK314" s="570">
        <f t="shared" ca="1" si="518"/>
        <v>26045.131862502047</v>
      </c>
      <c r="AL314" s="570">
        <f t="shared" ca="1" si="518"/>
        <v>18569.572123733258</v>
      </c>
      <c r="AM314" s="570"/>
      <c r="AN314" s="682"/>
      <c r="AO314" s="682"/>
      <c r="AP314" s="601">
        <f t="shared" ref="AP314:AT315" ca="1" si="519">SUMIF($K$4:$AL$4,AP$4,$K314:$AL314)</f>
        <v>20985.649031339351</v>
      </c>
      <c r="AQ314" s="601">
        <f t="shared" ca="1" si="519"/>
        <v>51891.285168490249</v>
      </c>
      <c r="AR314" s="601">
        <f t="shared" ca="1" si="519"/>
        <v>54987.700730325785</v>
      </c>
      <c r="AS314" s="601">
        <f t="shared" ca="1" si="519"/>
        <v>53210.305750352833</v>
      </c>
      <c r="AT314" s="601">
        <f t="shared" ca="1" si="519"/>
        <v>48398.070417492752</v>
      </c>
    </row>
    <row r="315" spans="1:46" x14ac:dyDescent="0.25">
      <c r="B315" s="638" t="s">
        <v>424</v>
      </c>
      <c r="J315" s="116"/>
      <c r="K315" s="116"/>
      <c r="L315" s="116"/>
      <c r="M315" s="116"/>
      <c r="N315" s="116"/>
      <c r="O315" s="116"/>
      <c r="P315" s="116"/>
      <c r="Q315" s="116"/>
      <c r="R315" s="116"/>
      <c r="S315" s="570">
        <f t="shared" ref="S315:AL315" si="520">+IF(S$312&gt;0,S176,0)</f>
        <v>0</v>
      </c>
      <c r="T315" s="570">
        <f t="shared" si="520"/>
        <v>0</v>
      </c>
      <c r="U315" s="570">
        <f t="shared" si="520"/>
        <v>0</v>
      </c>
      <c r="V315" s="570">
        <f t="shared" ca="1" si="520"/>
        <v>2395.9501150900405</v>
      </c>
      <c r="W315" s="570">
        <f t="shared" ca="1" si="520"/>
        <v>-4441.4863323183326</v>
      </c>
      <c r="X315" s="570">
        <f t="shared" ca="1" si="520"/>
        <v>-5142.3395625073153</v>
      </c>
      <c r="Y315" s="570">
        <f t="shared" ca="1" si="520"/>
        <v>-4878.6047560896186</v>
      </c>
      <c r="Z315" s="570">
        <f t="shared" ca="1" si="520"/>
        <v>-1813.3367177706145</v>
      </c>
      <c r="AA315" s="570">
        <f t="shared" ca="1" si="520"/>
        <v>-5097.8537529385976</v>
      </c>
      <c r="AB315" s="570">
        <f t="shared" ca="1" si="520"/>
        <v>-5918.0949226434032</v>
      </c>
      <c r="AC315" s="570">
        <f t="shared" ca="1" si="520"/>
        <v>-5705.3530429074108</v>
      </c>
      <c r="AD315" s="570">
        <f t="shared" ca="1" si="520"/>
        <v>-2199.6755416295891</v>
      </c>
      <c r="AE315" s="570">
        <f t="shared" ca="1" si="520"/>
        <v>-5579.6544565052027</v>
      </c>
      <c r="AF315" s="570">
        <f t="shared" ca="1" si="520"/>
        <v>-6499.4228797997393</v>
      </c>
      <c r="AG315" s="570">
        <f t="shared" ca="1" si="520"/>
        <v>-6420.8417138968944</v>
      </c>
      <c r="AH315" s="570">
        <f t="shared" ca="1" si="520"/>
        <v>-2346.6060782932163</v>
      </c>
      <c r="AI315" s="570">
        <f t="shared" ca="1" si="520"/>
        <v>-5829.2280335357082</v>
      </c>
      <c r="AJ315" s="570">
        <f t="shared" ca="1" si="520"/>
        <v>-6796.9782663856513</v>
      </c>
      <c r="AK315" s="570">
        <f t="shared" ca="1" si="520"/>
        <v>-6758.0345673832317</v>
      </c>
      <c r="AL315" s="570">
        <f t="shared" ca="1" si="520"/>
        <v>-2485.8163171106125</v>
      </c>
      <c r="AM315" s="570"/>
      <c r="AN315" s="682"/>
      <c r="AO315" s="682"/>
      <c r="AP315" s="601">
        <f t="shared" ca="1" si="519"/>
        <v>2395.9501150900405</v>
      </c>
      <c r="AQ315" s="601">
        <f t="shared" ca="1" si="519"/>
        <v>-16275.767368685882</v>
      </c>
      <c r="AR315" s="601">
        <f t="shared" ca="1" si="519"/>
        <v>-18920.977260119002</v>
      </c>
      <c r="AS315" s="601">
        <f t="shared" ca="1" si="519"/>
        <v>-20846.52512849505</v>
      </c>
      <c r="AT315" s="601">
        <f t="shared" ca="1" si="519"/>
        <v>-21870.057184415204</v>
      </c>
    </row>
    <row r="316" spans="1:46" x14ac:dyDescent="0.25">
      <c r="B316" s="755" t="s">
        <v>425</v>
      </c>
      <c r="C316" s="122"/>
      <c r="D316" s="122"/>
      <c r="E316" s="122"/>
      <c r="F316" s="122"/>
      <c r="G316" s="122"/>
      <c r="H316" s="122"/>
      <c r="I316" s="122"/>
      <c r="J316" s="683"/>
      <c r="K316" s="683"/>
      <c r="L316" s="683"/>
      <c r="M316" s="683"/>
      <c r="N316" s="683"/>
      <c r="O316" s="683"/>
      <c r="P316" s="683"/>
      <c r="Q316" s="683"/>
      <c r="R316" s="683"/>
      <c r="S316" s="125">
        <f>+S312-S313+S314+S315</f>
        <v>0</v>
      </c>
      <c r="T316" s="125">
        <f t="shared" ref="T316:AL316" si="521">+T312-T313+T314+T315</f>
        <v>0</v>
      </c>
      <c r="U316" s="125">
        <f t="shared" si="521"/>
        <v>0</v>
      </c>
      <c r="V316" s="125">
        <f t="shared" ca="1" si="521"/>
        <v>23381.599146429624</v>
      </c>
      <c r="W316" s="125">
        <f t="shared" ca="1" si="521"/>
        <v>8850.6249677293363</v>
      </c>
      <c r="X316" s="125">
        <f t="shared" ca="1" si="521"/>
        <v>19551.531353082741</v>
      </c>
      <c r="Y316" s="125">
        <f t="shared" ca="1" si="521"/>
        <v>11985.329903011494</v>
      </c>
      <c r="Z316" s="125">
        <f t="shared" ca="1" si="521"/>
        <v>27112.574261107395</v>
      </c>
      <c r="AA316" s="125">
        <f t="shared" ca="1" si="521"/>
        <v>7633.9915836927012</v>
      </c>
      <c r="AB316" s="125">
        <f t="shared" ca="1" si="521"/>
        <v>16452.130986150471</v>
      </c>
      <c r="AC316" s="125">
        <f t="shared" ca="1" si="521"/>
        <v>18406.800540609649</v>
      </c>
      <c r="AD316" s="125">
        <f t="shared" ca="1" si="521"/>
        <v>28376.549045534073</v>
      </c>
      <c r="AE316" s="125">
        <f t="shared" ca="1" si="521"/>
        <v>148.30046194999704</v>
      </c>
      <c r="AF316" s="125">
        <f t="shared" ca="1" si="521"/>
        <v>13074.461565573685</v>
      </c>
      <c r="AG316" s="125">
        <f t="shared" ca="1" si="521"/>
        <v>22585.323915844907</v>
      </c>
      <c r="AH316" s="125">
        <f t="shared" ca="1" si="521"/>
        <v>28648.012172940522</v>
      </c>
      <c r="AI316" s="125">
        <f t="shared" ca="1" si="521"/>
        <v>-7752.5225485142055</v>
      </c>
      <c r="AJ316" s="125">
        <f t="shared" ca="1" si="521"/>
        <v>13233.688766320551</v>
      </c>
      <c r="AK316" s="125">
        <f t="shared" ca="1" si="521"/>
        <v>25903.94167827909</v>
      </c>
      <c r="AL316" s="125">
        <f t="shared" ca="1" si="521"/>
        <v>29035.726645762192</v>
      </c>
      <c r="AM316" s="570"/>
      <c r="AN316" s="684"/>
      <c r="AO316" s="684"/>
      <c r="AP316" s="125">
        <f t="shared" ref="AP316" ca="1" si="522">+AP312-AP313+AP314+AP315</f>
        <v>23381.599146429624</v>
      </c>
      <c r="AQ316" s="125">
        <f t="shared" ref="AQ316:AT316" ca="1" si="523">+AQ312-AQ313+AQ314+AQ315</f>
        <v>47306.317373019177</v>
      </c>
      <c r="AR316" s="125">
        <f t="shared" ca="1" si="523"/>
        <v>49623.010600760477</v>
      </c>
      <c r="AS316" s="125">
        <f t="shared" ca="1" si="523"/>
        <v>46552.055144624814</v>
      </c>
      <c r="AT316" s="125">
        <f t="shared" ca="1" si="523"/>
        <v>40852.019319547806</v>
      </c>
    </row>
    <row r="317" spans="1:46" x14ac:dyDescent="0.25">
      <c r="B317" s="638" t="s">
        <v>426</v>
      </c>
      <c r="J317" s="116"/>
      <c r="K317" s="116"/>
      <c r="L317" s="116"/>
      <c r="M317" s="116"/>
      <c r="N317" s="116"/>
      <c r="O317" s="116"/>
      <c r="P317" s="116"/>
      <c r="Q317" s="116"/>
      <c r="R317" s="116"/>
      <c r="S317" s="572">
        <f>+S349</f>
        <v>0</v>
      </c>
      <c r="T317" s="572">
        <f t="shared" ref="T317:AL317" si="524">+T349</f>
        <v>0</v>
      </c>
      <c r="U317" s="572">
        <f t="shared" si="524"/>
        <v>0</v>
      </c>
      <c r="V317" s="572">
        <f t="shared" si="524"/>
        <v>0</v>
      </c>
      <c r="W317" s="572">
        <f t="shared" ca="1" si="524"/>
        <v>0</v>
      </c>
      <c r="X317" s="572">
        <f t="shared" ca="1" si="524"/>
        <v>0</v>
      </c>
      <c r="Y317" s="572">
        <f t="shared" ca="1" si="524"/>
        <v>0</v>
      </c>
      <c r="Z317" s="572">
        <f t="shared" ca="1" si="524"/>
        <v>0</v>
      </c>
      <c r="AA317" s="572">
        <f t="shared" ca="1" si="524"/>
        <v>0</v>
      </c>
      <c r="AB317" s="572">
        <f t="shared" ca="1" si="524"/>
        <v>0</v>
      </c>
      <c r="AC317" s="572">
        <f t="shared" ca="1" si="524"/>
        <v>0</v>
      </c>
      <c r="AD317" s="572">
        <f t="shared" ca="1" si="524"/>
        <v>0</v>
      </c>
      <c r="AE317" s="572">
        <f t="shared" ca="1" si="524"/>
        <v>0</v>
      </c>
      <c r="AF317" s="572">
        <f t="shared" ca="1" si="524"/>
        <v>0</v>
      </c>
      <c r="AG317" s="572">
        <f t="shared" ca="1" si="524"/>
        <v>0</v>
      </c>
      <c r="AH317" s="572">
        <f t="shared" ca="1" si="524"/>
        <v>0</v>
      </c>
      <c r="AI317" s="572">
        <f t="shared" ca="1" si="524"/>
        <v>0</v>
      </c>
      <c r="AJ317" s="572">
        <f t="shared" ca="1" si="524"/>
        <v>0</v>
      </c>
      <c r="AK317" s="572">
        <f t="shared" ca="1" si="524"/>
        <v>0</v>
      </c>
      <c r="AL317" s="572">
        <f t="shared" ca="1" si="524"/>
        <v>0</v>
      </c>
      <c r="AM317" s="570"/>
      <c r="AN317" s="685"/>
      <c r="AO317" s="685"/>
      <c r="AP317" s="541">
        <f>SUMIF($K$4:$AL$4,AP$4,$K317:$AL317)</f>
        <v>0</v>
      </c>
      <c r="AQ317" s="541">
        <f ca="1">SUMIF($K$4:$AL$4,AQ$4,$K317:$AL317)</f>
        <v>0</v>
      </c>
      <c r="AR317" s="541">
        <f ca="1">SUMIF($K$4:$AL$4,AR$4,$K317:$AL317)</f>
        <v>0</v>
      </c>
      <c r="AS317" s="541">
        <f ca="1">SUMIF($K$4:$AL$4,AS$4,$K317:$AL317)</f>
        <v>0</v>
      </c>
      <c r="AT317" s="541">
        <f ca="1">SUMIF($K$4:$AL$4,AT$4,$K317:$AL317)</f>
        <v>0</v>
      </c>
    </row>
    <row r="318" spans="1:46" x14ac:dyDescent="0.25">
      <c r="B318" s="755" t="s">
        <v>427</v>
      </c>
      <c r="C318" s="122"/>
      <c r="D318" s="122"/>
      <c r="E318" s="122"/>
      <c r="F318" s="122"/>
      <c r="G318" s="122"/>
      <c r="H318" s="122"/>
      <c r="I318" s="122"/>
      <c r="J318" s="683"/>
      <c r="K318" s="683"/>
      <c r="L318" s="683"/>
      <c r="M318" s="683"/>
      <c r="N318" s="683"/>
      <c r="O318" s="683"/>
      <c r="P318" s="683"/>
      <c r="Q318" s="683"/>
      <c r="R318" s="683"/>
      <c r="S318" s="125">
        <f>+S316+S317</f>
        <v>0</v>
      </c>
      <c r="T318" s="125">
        <f t="shared" ref="T318:AL318" si="525">+T316+T317</f>
        <v>0</v>
      </c>
      <c r="U318" s="125">
        <f t="shared" si="525"/>
        <v>0</v>
      </c>
      <c r="V318" s="125">
        <f t="shared" ca="1" si="525"/>
        <v>23381.599146429624</v>
      </c>
      <c r="W318" s="125">
        <f t="shared" ca="1" si="525"/>
        <v>8850.6249677293363</v>
      </c>
      <c r="X318" s="125">
        <f t="shared" ca="1" si="525"/>
        <v>19551.531353082741</v>
      </c>
      <c r="Y318" s="125">
        <f t="shared" ca="1" si="525"/>
        <v>11985.329903011494</v>
      </c>
      <c r="Z318" s="125">
        <f t="shared" ca="1" si="525"/>
        <v>27112.574261107395</v>
      </c>
      <c r="AA318" s="125">
        <f t="shared" ca="1" si="525"/>
        <v>7633.9915836927012</v>
      </c>
      <c r="AB318" s="125">
        <f t="shared" ca="1" si="525"/>
        <v>16452.130986150471</v>
      </c>
      <c r="AC318" s="125">
        <f t="shared" ca="1" si="525"/>
        <v>18406.800540609649</v>
      </c>
      <c r="AD318" s="125">
        <f t="shared" ca="1" si="525"/>
        <v>28376.549045534073</v>
      </c>
      <c r="AE318" s="125">
        <f t="shared" ca="1" si="525"/>
        <v>148.30046194999704</v>
      </c>
      <c r="AF318" s="125">
        <f t="shared" ca="1" si="525"/>
        <v>13074.461565573685</v>
      </c>
      <c r="AG318" s="125">
        <f t="shared" ca="1" si="525"/>
        <v>22585.323915844907</v>
      </c>
      <c r="AH318" s="125">
        <f t="shared" ca="1" si="525"/>
        <v>28648.012172940522</v>
      </c>
      <c r="AI318" s="125">
        <f t="shared" ca="1" si="525"/>
        <v>-7752.5225485142055</v>
      </c>
      <c r="AJ318" s="125">
        <f t="shared" ca="1" si="525"/>
        <v>13233.688766320551</v>
      </c>
      <c r="AK318" s="125">
        <f t="shared" ca="1" si="525"/>
        <v>25903.94167827909</v>
      </c>
      <c r="AL318" s="125">
        <f t="shared" ca="1" si="525"/>
        <v>29035.726645762192</v>
      </c>
      <c r="AM318" s="570"/>
      <c r="AN318" s="684"/>
      <c r="AO318" s="684"/>
      <c r="AP318" s="125">
        <f t="shared" ref="AP318" ca="1" si="526">+AP316+AP317</f>
        <v>23381.599146429624</v>
      </c>
      <c r="AQ318" s="125">
        <f t="shared" ref="AQ318:AT318" ca="1" si="527">+AQ316+AQ317</f>
        <v>47306.317373019177</v>
      </c>
      <c r="AR318" s="125">
        <f t="shared" ca="1" si="527"/>
        <v>49623.010600760477</v>
      </c>
      <c r="AS318" s="125">
        <f t="shared" ca="1" si="527"/>
        <v>46552.055144624814</v>
      </c>
      <c r="AT318" s="125">
        <f t="shared" ca="1" si="527"/>
        <v>40852.019319547806</v>
      </c>
    </row>
    <row r="319" spans="1:46" x14ac:dyDescent="0.25">
      <c r="B319" s="638" t="s">
        <v>428</v>
      </c>
      <c r="C319" s="686">
        <v>0.5</v>
      </c>
      <c r="D319" s="73" t="s">
        <v>429</v>
      </c>
      <c r="E319" s="73"/>
      <c r="F319" s="73"/>
      <c r="G319" s="73"/>
      <c r="J319" s="116"/>
      <c r="K319" s="116"/>
      <c r="L319" s="116"/>
      <c r="M319" s="116"/>
      <c r="N319" s="116"/>
      <c r="O319" s="116"/>
      <c r="P319" s="116"/>
      <c r="Q319" s="116"/>
      <c r="R319" s="116"/>
      <c r="S319" s="58">
        <f t="shared" ref="S319:AL319" si="528">IF(ISNUMBER(S322),S322,IF(S318&lt;0,-S318,-S318*$C$319))</f>
        <v>0</v>
      </c>
      <c r="T319" s="58">
        <f t="shared" si="528"/>
        <v>0</v>
      </c>
      <c r="U319" s="58">
        <f t="shared" si="528"/>
        <v>0</v>
      </c>
      <c r="V319" s="58">
        <f t="shared" ca="1" si="528"/>
        <v>-11690.799573214812</v>
      </c>
      <c r="W319" s="58">
        <f t="shared" ca="1" si="528"/>
        <v>-4425.3124838646681</v>
      </c>
      <c r="X319" s="58">
        <f t="shared" ca="1" si="528"/>
        <v>-9775.7656765413703</v>
      </c>
      <c r="Y319" s="58">
        <f t="shared" ca="1" si="528"/>
        <v>-5992.664951505747</v>
      </c>
      <c r="Z319" s="58">
        <f t="shared" ca="1" si="528"/>
        <v>-13556.287130553697</v>
      </c>
      <c r="AA319" s="58">
        <f t="shared" ca="1" si="528"/>
        <v>-3816.9957918463506</v>
      </c>
      <c r="AB319" s="58">
        <f t="shared" ca="1" si="528"/>
        <v>-8226.0654930752353</v>
      </c>
      <c r="AC319" s="58">
        <f t="shared" ca="1" si="528"/>
        <v>-9203.4002703048245</v>
      </c>
      <c r="AD319" s="58">
        <f t="shared" ca="1" si="528"/>
        <v>-14188.274522767037</v>
      </c>
      <c r="AE319" s="58">
        <f t="shared" ca="1" si="528"/>
        <v>-74.150230974998522</v>
      </c>
      <c r="AF319" s="58">
        <f t="shared" ca="1" si="528"/>
        <v>-6537.2307827868426</v>
      </c>
      <c r="AG319" s="58">
        <f t="shared" ca="1" si="528"/>
        <v>-11292.661957922453</v>
      </c>
      <c r="AH319" s="58">
        <f t="shared" ca="1" si="528"/>
        <v>-14324.006086470261</v>
      </c>
      <c r="AI319" s="58">
        <f t="shared" ca="1" si="528"/>
        <v>7752.5225485142055</v>
      </c>
      <c r="AJ319" s="58">
        <f t="shared" ca="1" si="528"/>
        <v>-6616.8443831602754</v>
      </c>
      <c r="AK319" s="58">
        <f t="shared" ca="1" si="528"/>
        <v>-12951.970839139545</v>
      </c>
      <c r="AL319" s="58">
        <f t="shared" ca="1" si="528"/>
        <v>-14517.863322881096</v>
      </c>
      <c r="AM319" s="570"/>
      <c r="AN319" s="69" t="s">
        <v>430</v>
      </c>
      <c r="AO319" s="687">
        <f>Closing_Date</f>
        <v>45199</v>
      </c>
      <c r="AP319" s="541">
        <f ca="1">SUMIF($K$4:$AL$4,AP$4,$K319:$AL319)</f>
        <v>-11690.799573214812</v>
      </c>
      <c r="AQ319" s="541">
        <f ca="1">SUMIF($K$4:$AL$4,AQ$4,$K319:$AL319)</f>
        <v>-33750.03024246548</v>
      </c>
      <c r="AR319" s="541">
        <f ca="1">SUMIF($K$4:$AL$4,AR$4,$K319:$AL319)</f>
        <v>-35434.736077993446</v>
      </c>
      <c r="AS319" s="541">
        <f ca="1">SUMIF($K$4:$AL$4,AS$4,$K319:$AL319)</f>
        <v>-32228.049058154556</v>
      </c>
      <c r="AT319" s="541">
        <f ca="1">SUMIF($K$4:$AL$4,AT$4,$K319:$AL319)</f>
        <v>-26334.155996666712</v>
      </c>
    </row>
    <row r="320" spans="1:46" x14ac:dyDescent="0.25">
      <c r="B320" s="755" t="s">
        <v>431</v>
      </c>
      <c r="C320" s="122"/>
      <c r="D320" s="122"/>
      <c r="E320" s="122"/>
      <c r="F320" s="122"/>
      <c r="G320" s="122"/>
      <c r="H320" s="122"/>
      <c r="I320" s="122"/>
      <c r="J320" s="683"/>
      <c r="K320" s="683"/>
      <c r="L320" s="683"/>
      <c r="M320" s="683"/>
      <c r="N320" s="683"/>
      <c r="O320" s="683"/>
      <c r="P320" s="683"/>
      <c r="Q320" s="683"/>
      <c r="R320" s="683"/>
      <c r="S320" s="590">
        <f t="shared" ref="S320:AL320" si="529">+S314+S315+S317+S319</f>
        <v>0</v>
      </c>
      <c r="T320" s="590">
        <f t="shared" si="529"/>
        <v>0</v>
      </c>
      <c r="U320" s="590">
        <f t="shared" si="529"/>
        <v>0</v>
      </c>
      <c r="V320" s="590">
        <f t="shared" ca="1" si="529"/>
        <v>11690.799573214579</v>
      </c>
      <c r="W320" s="590">
        <f t="shared" ca="1" si="529"/>
        <v>-7265.4870893501447</v>
      </c>
      <c r="X320" s="590">
        <f t="shared" ca="1" si="529"/>
        <v>5350.4531926767031</v>
      </c>
      <c r="Y320" s="590">
        <f t="shared" ca="1" si="529"/>
        <v>-3783.1007250356233</v>
      </c>
      <c r="Z320" s="590">
        <f t="shared" ca="1" si="529"/>
        <v>7563.6221790479503</v>
      </c>
      <c r="AA320" s="590">
        <f t="shared" ca="1" si="529"/>
        <v>-9739.2913387073459</v>
      </c>
      <c r="AB320" s="590">
        <f t="shared" ca="1" si="529"/>
        <v>4409.0697012288838</v>
      </c>
      <c r="AC320" s="590">
        <f t="shared" ca="1" si="529"/>
        <v>977.3347772295856</v>
      </c>
      <c r="AD320" s="590">
        <f t="shared" ca="1" si="529"/>
        <v>4984.8742524622194</v>
      </c>
      <c r="AE320" s="590">
        <f t="shared" ca="1" si="529"/>
        <v>-14114.124291792039</v>
      </c>
      <c r="AF320" s="590">
        <f t="shared" ca="1" si="529"/>
        <v>6463.0805518118432</v>
      </c>
      <c r="AG320" s="590">
        <f t="shared" ca="1" si="529"/>
        <v>4755.4311751356108</v>
      </c>
      <c r="AH320" s="590">
        <f t="shared" ca="1" si="529"/>
        <v>3031.3441285478111</v>
      </c>
      <c r="AI320" s="590">
        <f t="shared" ca="1" si="529"/>
        <v>-14324.006086470263</v>
      </c>
      <c r="AJ320" s="590">
        <f t="shared" ca="1" si="529"/>
        <v>6616.8443831602754</v>
      </c>
      <c r="AK320" s="590">
        <f t="shared" ca="1" si="529"/>
        <v>6335.1264559792708</v>
      </c>
      <c r="AL320" s="590">
        <f t="shared" ca="1" si="529"/>
        <v>1565.8924837415489</v>
      </c>
      <c r="AM320" s="570"/>
      <c r="AN320" s="688"/>
      <c r="AO320" s="688"/>
      <c r="AP320" s="590">
        <f t="shared" ref="AP320" ca="1" si="530">+AP314+AP315+AP317+AP319</f>
        <v>11690.799573214579</v>
      </c>
      <c r="AQ320" s="590">
        <f t="shared" ref="AQ320:AT320" ca="1" si="531">+AQ314+AQ315+AQ317+AQ319</f>
        <v>1865.4875573388854</v>
      </c>
      <c r="AR320" s="590">
        <f t="shared" ca="1" si="531"/>
        <v>631.98739221333381</v>
      </c>
      <c r="AS320" s="590">
        <f t="shared" ca="1" si="531"/>
        <v>135.73156370322613</v>
      </c>
      <c r="AT320" s="590">
        <f t="shared" ca="1" si="531"/>
        <v>193.85723641083678</v>
      </c>
    </row>
    <row r="321" spans="1:46" x14ac:dyDescent="0.25">
      <c r="B321" s="665" t="s">
        <v>432</v>
      </c>
      <c r="C321" s="122"/>
      <c r="D321" s="122"/>
      <c r="E321" s="122"/>
      <c r="F321" s="122"/>
      <c r="G321" s="122"/>
      <c r="H321" s="122"/>
      <c r="I321" s="122"/>
      <c r="J321" s="683"/>
      <c r="K321" s="683">
        <f>IF(K$311="Yes",'Operating Model'!K99+'Operating Model'!K100,0)</f>
        <v>0</v>
      </c>
      <c r="L321" s="683">
        <f>IF(L$311="Yes",'Operating Model'!L99+'Operating Model'!L100,0)</f>
        <v>0</v>
      </c>
      <c r="M321" s="683">
        <f>IF(M$311="Yes",'Operating Model'!M99+'Operating Model'!M100,0)</f>
        <v>0</v>
      </c>
      <c r="N321" s="683">
        <f>IF(N$311="Yes",'Operating Model'!N99+'Operating Model'!N100,0)</f>
        <v>0</v>
      </c>
      <c r="O321" s="683">
        <f>IF(O$311="Yes",'Operating Model'!O99+'Operating Model'!O100,0)</f>
        <v>0</v>
      </c>
      <c r="P321" s="683">
        <f>IF(P$311="Yes",'Operating Model'!P99+'Operating Model'!P100,0)</f>
        <v>0</v>
      </c>
      <c r="Q321" s="683">
        <f>IF(Q$311="Yes",'Operating Model'!Q99+'Operating Model'!Q100,0)</f>
        <v>0</v>
      </c>
      <c r="R321" s="683">
        <f>IF(R$311="Yes",'Operating Model'!R99+'Operating Model'!R100,0)</f>
        <v>0</v>
      </c>
      <c r="S321" s="125">
        <f>IF(S$311="Yes",'Operating Model'!S99+'Operating Model'!S100,+S312+S320)</f>
        <v>0</v>
      </c>
      <c r="T321" s="125">
        <f>IF(T$311="Yes",'Operating Model'!T99+'Operating Model'!T100,+T312+T320)</f>
        <v>0</v>
      </c>
      <c r="U321" s="125">
        <f ca="1">IF(U$311="Yes",'Operating Model'!U99+'Operating Model'!U100,+U312+U320)</f>
        <v>25000.000000000233</v>
      </c>
      <c r="V321" s="125">
        <f ca="1">IF(V$311="Yes",'Operating Model'!V99+'Operating Model'!V100,+V312+V320)</f>
        <v>36690.799573214812</v>
      </c>
      <c r="W321" s="125">
        <f ca="1">IF(W$311="Yes",'Operating Model'!W99+'Operating Model'!W100,+W312+W320)</f>
        <v>29425.312483864669</v>
      </c>
      <c r="X321" s="125">
        <f ca="1">IF(X$311="Yes",'Operating Model'!X99+'Operating Model'!X100,+X312+X320)</f>
        <v>34775.76567654137</v>
      </c>
      <c r="Y321" s="125">
        <f ca="1">IF(Y$311="Yes",'Operating Model'!Y99+'Operating Model'!Y100,+Y312+Y320)</f>
        <v>30992.664951505747</v>
      </c>
      <c r="Z321" s="125">
        <f ca="1">IF(Z$311="Yes",'Operating Model'!Z99+'Operating Model'!Z100,+Z312+Z320)</f>
        <v>38556.287130553697</v>
      </c>
      <c r="AA321" s="125">
        <f ca="1">IF(AA$311="Yes",'Operating Model'!AA99+'Operating Model'!AA100,+AA312+AA320)</f>
        <v>28816.995791846351</v>
      </c>
      <c r="AB321" s="125">
        <f ca="1">IF(AB$311="Yes",'Operating Model'!AB99+'Operating Model'!AB100,+AB312+AB320)</f>
        <v>33226.065493075235</v>
      </c>
      <c r="AC321" s="125">
        <f ca="1">IF(AC$311="Yes",'Operating Model'!AC99+'Operating Model'!AC100,+AC312+AC320)</f>
        <v>34203.400270304817</v>
      </c>
      <c r="AD321" s="125">
        <f ca="1">IF(AD$311="Yes",'Operating Model'!AD99+'Operating Model'!AD100,+AD312+AD320)</f>
        <v>39188.274522767038</v>
      </c>
      <c r="AE321" s="125">
        <f ca="1">IF(AE$311="Yes",'Operating Model'!AE99+'Operating Model'!AE100,+AE312+AE320)</f>
        <v>25074.150230974999</v>
      </c>
      <c r="AF321" s="125">
        <f ca="1">IF(AF$311="Yes",'Operating Model'!AF99+'Operating Model'!AF100,+AF312+AF320)</f>
        <v>31537.230782786843</v>
      </c>
      <c r="AG321" s="125">
        <f ca="1">IF(AG$311="Yes",'Operating Model'!AG99+'Operating Model'!AG100,+AG312+AG320)</f>
        <v>36292.66195792245</v>
      </c>
      <c r="AH321" s="125">
        <f ca="1">IF(AH$311="Yes",'Operating Model'!AH99+'Operating Model'!AH100,+AH312+AH320)</f>
        <v>39324.006086470261</v>
      </c>
      <c r="AI321" s="125">
        <f ca="1">IF(AI$311="Yes",'Operating Model'!AI99+'Operating Model'!AI100,+AI312+AI320)</f>
        <v>25000</v>
      </c>
      <c r="AJ321" s="125">
        <f ca="1">IF(AJ$311="Yes",'Operating Model'!AJ99+'Operating Model'!AJ100,+AJ312+AJ320)</f>
        <v>31616.844383160274</v>
      </c>
      <c r="AK321" s="125">
        <f ca="1">IF(AK$311="Yes",'Operating Model'!AK99+'Operating Model'!AK100,+AK312+AK320)</f>
        <v>37951.970839139547</v>
      </c>
      <c r="AL321" s="125">
        <f ca="1">IF(AL$311="Yes",'Operating Model'!AL99+'Operating Model'!AL100,+AL312+AL320)</f>
        <v>39517.863322881094</v>
      </c>
      <c r="AM321" s="570"/>
      <c r="AN321" s="684"/>
      <c r="AO321" s="125">
        <f ca="1">INDEX(S$321:AL$321,MATCH(Closing_Date,$S$5:$AL$5,0))</f>
        <v>25000.000000000233</v>
      </c>
      <c r="AP321" s="125">
        <f ca="1">IF(AP$311="Yes",'Operating Model'!AP99+'Operating Model'!AP100,+AP312+AP320)</f>
        <v>36690.799573214812</v>
      </c>
      <c r="AQ321" s="125">
        <f ca="1">IF(AQ$311="Yes",'Operating Model'!AQ99+'Operating Model'!AQ100,+AQ312+AQ320)</f>
        <v>38556.287130553697</v>
      </c>
      <c r="AR321" s="125">
        <f ca="1">IF(AR$311="Yes",'Operating Model'!AR99+'Operating Model'!AR100,+AR312+AR320)</f>
        <v>39188.274522767031</v>
      </c>
      <c r="AS321" s="125">
        <f ca="1">IF(AS$311="Yes",'Operating Model'!AS99+'Operating Model'!AS100,+AS312+AS320)</f>
        <v>39324.006086470254</v>
      </c>
      <c r="AT321" s="125">
        <f ca="1">IF(AT$311="Yes",'Operating Model'!AT99+'Operating Model'!AT100,+AT312+AT320)</f>
        <v>39517.863322881094</v>
      </c>
    </row>
    <row r="322" spans="1:46" x14ac:dyDescent="0.25">
      <c r="B322" s="98" t="s">
        <v>433</v>
      </c>
      <c r="D322" s="73" t="s">
        <v>434</v>
      </c>
      <c r="E322" s="73"/>
      <c r="F322" s="73"/>
      <c r="G322" s="73"/>
      <c r="J322" s="116"/>
      <c r="K322" s="116"/>
      <c r="L322" s="116"/>
      <c r="M322" s="116"/>
      <c r="N322" s="116"/>
      <c r="O322" s="116"/>
      <c r="P322" s="116"/>
      <c r="Q322" s="116"/>
      <c r="R322" s="116"/>
      <c r="S322" s="680"/>
      <c r="T322" s="680"/>
      <c r="U322" s="680"/>
      <c r="V322" s="680"/>
      <c r="W322" s="680"/>
      <c r="X322" s="680"/>
      <c r="Y322" s="680"/>
      <c r="Z322" s="680"/>
      <c r="AA322" s="680"/>
      <c r="AB322" s="680"/>
      <c r="AC322" s="680"/>
      <c r="AD322" s="680"/>
      <c r="AE322" s="680"/>
      <c r="AF322" s="680"/>
      <c r="AG322" s="680"/>
      <c r="AH322" s="680"/>
      <c r="AI322" s="680"/>
      <c r="AJ322" s="680"/>
      <c r="AK322" s="680"/>
      <c r="AL322" s="680"/>
      <c r="AM322" s="570"/>
      <c r="AN322" s="681"/>
      <c r="AO322" s="681"/>
      <c r="AP322" s="601">
        <f>SUMIF($K$4:$AL$4,AP$4,$K322:$AL322)</f>
        <v>0</v>
      </c>
      <c r="AQ322" s="601">
        <f t="shared" ref="AQ322:AT322" si="532">SUMIF($K$4:$AL$4,AQ$4,$K322:$AL322)</f>
        <v>0</v>
      </c>
      <c r="AR322" s="601">
        <f t="shared" si="532"/>
        <v>0</v>
      </c>
      <c r="AS322" s="601">
        <f t="shared" si="532"/>
        <v>0</v>
      </c>
      <c r="AT322" s="601">
        <f t="shared" si="532"/>
        <v>0</v>
      </c>
    </row>
    <row r="323" spans="1:46" x14ac:dyDescent="0.25">
      <c r="B323" s="98" t="s">
        <v>336</v>
      </c>
      <c r="J323" s="116"/>
      <c r="K323" s="116"/>
      <c r="L323" s="116"/>
      <c r="M323" s="116"/>
      <c r="N323" s="116"/>
      <c r="O323" s="116"/>
      <c r="P323" s="116"/>
      <c r="Q323" s="116"/>
      <c r="R323" s="116"/>
      <c r="S323" s="572">
        <f t="shared" ref="S323:AL323" si="533">+IF(S321&gt;0,ROUND(S321-SUM(S99:S100),0),0)</f>
        <v>0</v>
      </c>
      <c r="T323" s="572">
        <f t="shared" si="533"/>
        <v>0</v>
      </c>
      <c r="U323" s="572">
        <f t="shared" ca="1" si="533"/>
        <v>0</v>
      </c>
      <c r="V323" s="572">
        <f t="shared" ca="1" si="533"/>
        <v>-13813</v>
      </c>
      <c r="W323" s="572">
        <f t="shared" ca="1" si="533"/>
        <v>-18238</v>
      </c>
      <c r="X323" s="572">
        <f t="shared" ca="1" si="533"/>
        <v>-31299</v>
      </c>
      <c r="Y323" s="572">
        <f t="shared" ca="1" si="533"/>
        <v>-37291</v>
      </c>
      <c r="Z323" s="572">
        <f t="shared" ca="1" si="533"/>
        <v>-54192</v>
      </c>
      <c r="AA323" s="572">
        <f t="shared" ca="1" si="533"/>
        <v>-58009</v>
      </c>
      <c r="AB323" s="572">
        <f t="shared" ca="1" si="533"/>
        <v>-69960</v>
      </c>
      <c r="AC323" s="572">
        <f t="shared" ca="1" si="533"/>
        <v>-79164</v>
      </c>
      <c r="AD323" s="572">
        <f t="shared" ca="1" si="533"/>
        <v>-97131</v>
      </c>
      <c r="AE323" s="572">
        <f t="shared" ca="1" si="533"/>
        <v>-97205</v>
      </c>
      <c r="AF323" s="572">
        <f t="shared" ca="1" si="533"/>
        <v>-107725</v>
      </c>
      <c r="AG323" s="572">
        <f t="shared" ca="1" si="533"/>
        <v>-119018</v>
      </c>
      <c r="AH323" s="572">
        <f t="shared" ca="1" si="533"/>
        <v>-137371</v>
      </c>
      <c r="AI323" s="572">
        <f t="shared" ca="1" si="533"/>
        <v>-137371</v>
      </c>
      <c r="AJ323" s="572">
        <f t="shared" ca="1" si="533"/>
        <v>-141375</v>
      </c>
      <c r="AK323" s="572">
        <f t="shared" ca="1" si="533"/>
        <v>-153191</v>
      </c>
      <c r="AL323" s="572">
        <f t="shared" ca="1" si="533"/>
        <v>-171810</v>
      </c>
      <c r="AM323" s="570"/>
      <c r="AN323" s="681"/>
      <c r="AO323" s="681"/>
      <c r="AP323" s="572">
        <f ca="1">+ROUND(AP321-SUM(AP99:AP100),0)</f>
        <v>-13813</v>
      </c>
      <c r="AQ323" s="572">
        <f ca="1">+ROUND(AQ321-SUM(AQ99:AQ100),0)</f>
        <v>-54192</v>
      </c>
      <c r="AR323" s="572">
        <f ca="1">+ROUND(AR321-SUM(AR99:AR100),0)</f>
        <v>-97131</v>
      </c>
      <c r="AS323" s="572">
        <f ca="1">+ROUND(AS321-SUM(AS99:AS100),0)</f>
        <v>-137371</v>
      </c>
      <c r="AT323" s="572">
        <f ca="1">+ROUND(AT321-SUM(AT99:AT100),0)</f>
        <v>-171810</v>
      </c>
    </row>
    <row r="324" spans="1:46" x14ac:dyDescent="0.25">
      <c r="B324" s="98"/>
      <c r="S324" s="570"/>
      <c r="T324" s="570"/>
      <c r="U324" s="570"/>
      <c r="V324" s="570">
        <f ca="1">+V323-U323</f>
        <v>-13813</v>
      </c>
      <c r="W324" s="570"/>
      <c r="X324" s="570"/>
      <c r="Y324" s="570"/>
      <c r="Z324" s="570"/>
      <c r="AA324" s="570"/>
      <c r="AB324" s="570"/>
      <c r="AC324" s="570"/>
      <c r="AD324" s="570"/>
      <c r="AE324" s="570"/>
      <c r="AF324" s="570"/>
      <c r="AG324" s="570"/>
      <c r="AH324" s="570"/>
      <c r="AI324" s="570"/>
      <c r="AJ324" s="570"/>
      <c r="AK324" s="570"/>
      <c r="AL324" s="570"/>
      <c r="AM324" s="570"/>
      <c r="AN324" s="570"/>
      <c r="AO324" s="570"/>
      <c r="AP324" s="570"/>
      <c r="AQ324" s="570"/>
      <c r="AR324" s="570"/>
      <c r="AS324" s="540"/>
      <c r="AT324" s="540"/>
    </row>
    <row r="325" spans="1:46" x14ac:dyDescent="0.25">
      <c r="A325" s="69" t="s">
        <v>207</v>
      </c>
      <c r="B325" s="754" t="s">
        <v>435</v>
      </c>
      <c r="C325" s="676"/>
      <c r="D325" s="676"/>
      <c r="E325" s="676"/>
      <c r="F325" s="676"/>
      <c r="G325" s="676"/>
      <c r="H325" s="676"/>
      <c r="I325" s="676"/>
      <c r="J325" s="676"/>
      <c r="K325" s="676"/>
      <c r="L325" s="676"/>
      <c r="M325" s="676"/>
      <c r="N325" s="676"/>
      <c r="O325" s="676"/>
      <c r="P325" s="676"/>
      <c r="Q325" s="676"/>
      <c r="R325" s="676"/>
      <c r="S325" s="676"/>
      <c r="T325" s="676"/>
      <c r="U325" s="676"/>
      <c r="V325" s="676"/>
      <c r="W325" s="676"/>
      <c r="X325" s="676"/>
      <c r="Y325" s="676"/>
      <c r="Z325" s="676"/>
      <c r="AA325" s="676"/>
      <c r="AB325" s="676"/>
      <c r="AC325" s="676"/>
      <c r="AD325" s="676"/>
      <c r="AE325" s="676"/>
      <c r="AF325" s="676"/>
      <c r="AG325" s="676"/>
      <c r="AH325" s="676"/>
      <c r="AI325" s="676"/>
      <c r="AJ325" s="676"/>
      <c r="AK325" s="676"/>
      <c r="AL325" s="676"/>
      <c r="AM325" s="570"/>
      <c r="AN325" s="676"/>
      <c r="AO325" s="676"/>
      <c r="AP325" s="676"/>
      <c r="AQ325" s="676"/>
      <c r="AR325" s="676"/>
      <c r="AS325" s="676"/>
      <c r="AT325" s="676"/>
    </row>
    <row r="326" spans="1:46" x14ac:dyDescent="0.25">
      <c r="B326" s="98" t="s">
        <v>411</v>
      </c>
      <c r="J326" s="116"/>
      <c r="K326" s="116"/>
      <c r="L326" s="116"/>
      <c r="M326" s="116"/>
      <c r="N326" s="116"/>
      <c r="O326" s="116"/>
      <c r="P326" s="116"/>
      <c r="Q326" s="116"/>
      <c r="R326" s="683">
        <f>IF(R$311="Yes",'Operating Model'!R104+'Operating Model'!R105,0)</f>
        <v>0</v>
      </c>
      <c r="S326" s="125">
        <f>IF(R328&gt;0,R328,0)</f>
        <v>0</v>
      </c>
      <c r="T326" s="125">
        <f t="shared" ref="T326:AL326" si="534">IF(S328&gt;0,S328,0)</f>
        <v>0</v>
      </c>
      <c r="U326" s="125">
        <f t="shared" si="534"/>
        <v>0</v>
      </c>
      <c r="V326" s="125">
        <f t="shared" si="534"/>
        <v>0</v>
      </c>
      <c r="W326" s="125">
        <f t="shared" ca="1" si="534"/>
        <v>0</v>
      </c>
      <c r="X326" s="125">
        <f t="shared" ca="1" si="534"/>
        <v>0</v>
      </c>
      <c r="Y326" s="125">
        <f t="shared" ca="1" si="534"/>
        <v>0</v>
      </c>
      <c r="Z326" s="125">
        <f t="shared" ca="1" si="534"/>
        <v>0</v>
      </c>
      <c r="AA326" s="125">
        <f t="shared" ca="1" si="534"/>
        <v>0</v>
      </c>
      <c r="AB326" s="125">
        <f t="shared" ca="1" si="534"/>
        <v>0</v>
      </c>
      <c r="AC326" s="125">
        <f t="shared" ca="1" si="534"/>
        <v>0</v>
      </c>
      <c r="AD326" s="125">
        <f t="shared" ca="1" si="534"/>
        <v>0</v>
      </c>
      <c r="AE326" s="125">
        <f t="shared" ca="1" si="534"/>
        <v>0</v>
      </c>
      <c r="AF326" s="125">
        <f t="shared" ca="1" si="534"/>
        <v>0</v>
      </c>
      <c r="AG326" s="125">
        <f t="shared" ca="1" si="534"/>
        <v>0</v>
      </c>
      <c r="AH326" s="125">
        <f t="shared" ca="1" si="534"/>
        <v>0</v>
      </c>
      <c r="AI326" s="125">
        <f t="shared" ca="1" si="534"/>
        <v>0</v>
      </c>
      <c r="AJ326" s="125">
        <f t="shared" ca="1" si="534"/>
        <v>7752.5225485142055</v>
      </c>
      <c r="AK326" s="125">
        <f t="shared" ca="1" si="534"/>
        <v>1135.6781653539301</v>
      </c>
      <c r="AL326" s="125">
        <f t="shared" ca="1" si="534"/>
        <v>0</v>
      </c>
      <c r="AM326" s="570"/>
      <c r="AN326" s="684"/>
      <c r="AO326" s="684"/>
      <c r="AP326" s="689">
        <f>+AO328</f>
        <v>0</v>
      </c>
      <c r="AQ326" s="690">
        <f t="shared" ref="AQ326:AT326" ca="1" si="535">IF(AP328&gt;0,AP328,0)</f>
        <v>0</v>
      </c>
      <c r="AR326" s="690">
        <f t="shared" ca="1" si="535"/>
        <v>0</v>
      </c>
      <c r="AS326" s="690">
        <f t="shared" ca="1" si="535"/>
        <v>0</v>
      </c>
      <c r="AT326" s="690">
        <f t="shared" ca="1" si="535"/>
        <v>0</v>
      </c>
    </row>
    <row r="327" spans="1:46" x14ac:dyDescent="0.25">
      <c r="B327" s="638" t="s">
        <v>436</v>
      </c>
      <c r="J327" s="116"/>
      <c r="K327" s="116"/>
      <c r="L327" s="116"/>
      <c r="M327" s="116"/>
      <c r="N327" s="116"/>
      <c r="O327" s="116"/>
      <c r="P327" s="116"/>
      <c r="Q327" s="116"/>
      <c r="R327" s="116"/>
      <c r="S327" s="570">
        <f>+MAX(S319,-S326)</f>
        <v>0</v>
      </c>
      <c r="T327" s="570">
        <f t="shared" ref="T327:AL327" si="536">+MAX(T319,-T326)</f>
        <v>0</v>
      </c>
      <c r="U327" s="570">
        <f t="shared" si="536"/>
        <v>0</v>
      </c>
      <c r="V327" s="570">
        <f t="shared" ca="1" si="536"/>
        <v>0</v>
      </c>
      <c r="W327" s="570">
        <f t="shared" ca="1" si="536"/>
        <v>0</v>
      </c>
      <c r="X327" s="570">
        <f t="shared" ca="1" si="536"/>
        <v>0</v>
      </c>
      <c r="Y327" s="570">
        <f t="shared" ca="1" si="536"/>
        <v>0</v>
      </c>
      <c r="Z327" s="570">
        <f t="shared" ca="1" si="536"/>
        <v>0</v>
      </c>
      <c r="AA327" s="570">
        <f t="shared" ca="1" si="536"/>
        <v>0</v>
      </c>
      <c r="AB327" s="570">
        <f t="shared" ca="1" si="536"/>
        <v>0</v>
      </c>
      <c r="AC327" s="570">
        <f t="shared" ca="1" si="536"/>
        <v>0</v>
      </c>
      <c r="AD327" s="570">
        <f t="shared" ca="1" si="536"/>
        <v>0</v>
      </c>
      <c r="AE327" s="570">
        <f t="shared" ca="1" si="536"/>
        <v>0</v>
      </c>
      <c r="AF327" s="570">
        <f t="shared" ca="1" si="536"/>
        <v>0</v>
      </c>
      <c r="AG327" s="570">
        <f t="shared" ca="1" si="536"/>
        <v>0</v>
      </c>
      <c r="AH327" s="570">
        <f t="shared" ca="1" si="536"/>
        <v>0</v>
      </c>
      <c r="AI327" s="570">
        <f t="shared" ca="1" si="536"/>
        <v>7752.5225485142055</v>
      </c>
      <c r="AJ327" s="570">
        <f t="shared" ca="1" si="536"/>
        <v>-6616.8443831602754</v>
      </c>
      <c r="AK327" s="570">
        <f t="shared" ca="1" si="536"/>
        <v>-1135.6781653539301</v>
      </c>
      <c r="AL327" s="570">
        <f t="shared" ca="1" si="536"/>
        <v>0</v>
      </c>
      <c r="AM327" s="570"/>
      <c r="AN327" s="69" t="s">
        <v>430</v>
      </c>
      <c r="AO327" s="687">
        <f>Closing_Date</f>
        <v>45199</v>
      </c>
      <c r="AP327" s="601">
        <f ca="1">SUMIF($K$4:$AL$4,AP$4,$K327:$AL327)</f>
        <v>0</v>
      </c>
      <c r="AQ327" s="601">
        <f t="shared" ref="AQ327:AT327" ca="1" si="537">SUMIF($K$4:$AL$4,AQ$4,$K327:$AL327)</f>
        <v>0</v>
      </c>
      <c r="AR327" s="601">
        <f t="shared" ca="1" si="537"/>
        <v>0</v>
      </c>
      <c r="AS327" s="601">
        <f t="shared" ca="1" si="537"/>
        <v>0</v>
      </c>
      <c r="AT327" s="601">
        <f t="shared" ca="1" si="537"/>
        <v>0</v>
      </c>
    </row>
    <row r="328" spans="1:46" x14ac:dyDescent="0.25">
      <c r="B328" s="665" t="s">
        <v>416</v>
      </c>
      <c r="C328" s="122"/>
      <c r="D328" s="122"/>
      <c r="E328" s="122"/>
      <c r="F328" s="122"/>
      <c r="G328" s="122"/>
      <c r="H328" s="122"/>
      <c r="I328" s="122"/>
      <c r="J328" s="683"/>
      <c r="K328" s="683"/>
      <c r="L328" s="683"/>
      <c r="M328" s="683"/>
      <c r="N328" s="683"/>
      <c r="O328" s="683"/>
      <c r="P328" s="683"/>
      <c r="Q328" s="683"/>
      <c r="R328" s="125">
        <f>IF(R$311="Yes",'Transaction Structure'!$J$102,SUM(R326:R327))</f>
        <v>0</v>
      </c>
      <c r="S328" s="125">
        <f>IF(S$311="Yes",'Transaction Structure'!$J$102,SUM(S326:S327))</f>
        <v>0</v>
      </c>
      <c r="T328" s="125">
        <f>IF(T$311="Yes",'Transaction Structure'!$J$102,SUM(T326:T327))</f>
        <v>0</v>
      </c>
      <c r="U328" s="125">
        <f>IF(U$311="Yes",'Transaction Structure'!$J$102,SUM(U326:U327))</f>
        <v>0</v>
      </c>
      <c r="V328" s="125">
        <f ca="1">IF(V$311="Yes",'Transaction Structure'!$J$102,SUM(V326:V327))</f>
        <v>0</v>
      </c>
      <c r="W328" s="125">
        <f ca="1">IF(W$311="Yes",'Transaction Structure'!$J$102,SUM(W326:W327))</f>
        <v>0</v>
      </c>
      <c r="X328" s="125">
        <f ca="1">IF(X$311="Yes",'Transaction Structure'!$J$102,SUM(X326:X327))</f>
        <v>0</v>
      </c>
      <c r="Y328" s="125">
        <f ca="1">IF(Y$311="Yes",'Transaction Structure'!$J$102,SUM(Y326:Y327))</f>
        <v>0</v>
      </c>
      <c r="Z328" s="125">
        <f ca="1">IF(Z$311="Yes",'Transaction Structure'!$J$102,SUM(Z326:Z327))</f>
        <v>0</v>
      </c>
      <c r="AA328" s="125">
        <f ca="1">IF(AA$311="Yes",'Transaction Structure'!$J$102,SUM(AA326:AA327))</f>
        <v>0</v>
      </c>
      <c r="AB328" s="125">
        <f ca="1">IF(AB$311="Yes",'Transaction Structure'!$J$102,SUM(AB326:AB327))</f>
        <v>0</v>
      </c>
      <c r="AC328" s="125">
        <f ca="1">IF(AC$311="Yes",'Transaction Structure'!$J$102,SUM(AC326:AC327))</f>
        <v>0</v>
      </c>
      <c r="AD328" s="125">
        <f ca="1">IF(AD$311="Yes",'Transaction Structure'!$J$102,SUM(AD326:AD327))</f>
        <v>0</v>
      </c>
      <c r="AE328" s="125">
        <f ca="1">IF(AE$311="Yes",'Transaction Structure'!$J$102,SUM(AE326:AE327))</f>
        <v>0</v>
      </c>
      <c r="AF328" s="125">
        <f ca="1">IF(AF$311="Yes",'Transaction Structure'!$J$102,SUM(AF326:AF327))</f>
        <v>0</v>
      </c>
      <c r="AG328" s="125">
        <f ca="1">IF(AG$311="Yes",'Transaction Structure'!$J$102,SUM(AG326:AG327))</f>
        <v>0</v>
      </c>
      <c r="AH328" s="125">
        <f ca="1">IF(AH$311="Yes",'Transaction Structure'!$J$102,SUM(AH326:AH327))</f>
        <v>0</v>
      </c>
      <c r="AI328" s="125">
        <f ca="1">IF(AI$311="Yes",'Transaction Structure'!$J$102,SUM(AI326:AI327))</f>
        <v>7752.5225485142055</v>
      </c>
      <c r="AJ328" s="125">
        <f ca="1">IF(AJ$311="Yes",'Transaction Structure'!$J$102,SUM(AJ326:AJ327))</f>
        <v>1135.6781653539301</v>
      </c>
      <c r="AK328" s="125">
        <f ca="1">IF(AK$311="Yes",'Transaction Structure'!$J$102,SUM(AK326:AK327))</f>
        <v>0</v>
      </c>
      <c r="AL328" s="125">
        <f ca="1">IF(AL$311="Yes",'Transaction Structure'!$J$102,SUM(AL326:AL327))</f>
        <v>0</v>
      </c>
      <c r="AM328" s="570"/>
      <c r="AN328" s="684"/>
      <c r="AO328" s="125">
        <f>INDEX(S$328:AL$328,MATCH(Closing_Date,$S$5:$AL$5,0))</f>
        <v>0</v>
      </c>
      <c r="AP328" s="690">
        <f ca="1">SUM(AP326:AP327)</f>
        <v>0</v>
      </c>
      <c r="AQ328" s="690">
        <f t="shared" ref="AQ328:AT328" ca="1" si="538">SUM(AQ326:AQ327)</f>
        <v>0</v>
      </c>
      <c r="AR328" s="690">
        <f t="shared" ca="1" si="538"/>
        <v>0</v>
      </c>
      <c r="AS328" s="690">
        <f t="shared" ca="1" si="538"/>
        <v>0</v>
      </c>
      <c r="AT328" s="690">
        <f t="shared" ca="1" si="538"/>
        <v>0</v>
      </c>
    </row>
    <row r="329" spans="1:46" x14ac:dyDescent="0.25">
      <c r="B329" s="98" t="s">
        <v>437</v>
      </c>
      <c r="J329" s="116"/>
      <c r="K329" s="116"/>
      <c r="L329" s="116"/>
      <c r="M329" s="116"/>
      <c r="N329" s="116"/>
      <c r="O329" s="116"/>
      <c r="P329" s="116"/>
      <c r="Q329" s="116"/>
      <c r="R329" s="116"/>
      <c r="S329" s="570">
        <f t="shared" ref="S329:AL329" si="539">AVERAGE(S326,S328)*S332/$C$333</f>
        <v>0</v>
      </c>
      <c r="T329" s="570">
        <f t="shared" si="539"/>
        <v>0</v>
      </c>
      <c r="U329" s="570">
        <f t="shared" si="539"/>
        <v>0</v>
      </c>
      <c r="V329" s="570">
        <f t="shared" ca="1" si="539"/>
        <v>0</v>
      </c>
      <c r="W329" s="570">
        <f t="shared" ca="1" si="539"/>
        <v>0</v>
      </c>
      <c r="X329" s="570">
        <f t="shared" ca="1" si="539"/>
        <v>0</v>
      </c>
      <c r="Y329" s="570">
        <f t="shared" ca="1" si="539"/>
        <v>0</v>
      </c>
      <c r="Z329" s="570">
        <f t="shared" ca="1" si="539"/>
        <v>0</v>
      </c>
      <c r="AA329" s="570">
        <f t="shared" ca="1" si="539"/>
        <v>0</v>
      </c>
      <c r="AB329" s="570">
        <f t="shared" ca="1" si="539"/>
        <v>0</v>
      </c>
      <c r="AC329" s="570">
        <f t="shared" ca="1" si="539"/>
        <v>0</v>
      </c>
      <c r="AD329" s="570">
        <f t="shared" ca="1" si="539"/>
        <v>0</v>
      </c>
      <c r="AE329" s="570">
        <f t="shared" ca="1" si="539"/>
        <v>0</v>
      </c>
      <c r="AF329" s="570">
        <f t="shared" ca="1" si="539"/>
        <v>0</v>
      </c>
      <c r="AG329" s="570">
        <f t="shared" ca="1" si="539"/>
        <v>0</v>
      </c>
      <c r="AH329" s="570">
        <f t="shared" ca="1" si="539"/>
        <v>0</v>
      </c>
      <c r="AI329" s="570">
        <f t="shared" ca="1" si="539"/>
        <v>204.47278221706219</v>
      </c>
      <c r="AJ329" s="570">
        <f t="shared" ca="1" si="539"/>
        <v>237.20385655135593</v>
      </c>
      <c r="AK329" s="570">
        <f t="shared" ca="1" si="539"/>
        <v>30.663310464556115</v>
      </c>
      <c r="AL329" s="570">
        <f t="shared" ca="1" si="539"/>
        <v>0</v>
      </c>
      <c r="AM329" s="570"/>
      <c r="AN329" s="682"/>
      <c r="AO329" s="682"/>
      <c r="AP329" s="572">
        <f ca="1">SUMIF($K$4:$AL$4,AP$4,$K329:$AL329)</f>
        <v>0</v>
      </c>
      <c r="AQ329" s="572">
        <f t="shared" ref="AQ329:AT329" ca="1" si="540">SUMIF($K$4:$AL$4,AQ$4,$K329:$AL329)</f>
        <v>0</v>
      </c>
      <c r="AR329" s="572">
        <f t="shared" ca="1" si="540"/>
        <v>0</v>
      </c>
      <c r="AS329" s="572">
        <f t="shared" ca="1" si="540"/>
        <v>0</v>
      </c>
      <c r="AT329" s="572">
        <f t="shared" ca="1" si="540"/>
        <v>472.33994923297422</v>
      </c>
    </row>
    <row r="330" spans="1:46" x14ac:dyDescent="0.25">
      <c r="B330" s="98" t="s">
        <v>438</v>
      </c>
      <c r="C330" s="691">
        <f>+'Transaction Structure'!G52</f>
        <v>8.5500000000000007E-2</v>
      </c>
      <c r="D330" s="692">
        <v>2.5000000000000001E-3</v>
      </c>
      <c r="E330" s="1214"/>
      <c r="F330" s="1214"/>
      <c r="G330" s="1214"/>
      <c r="H330" s="73" t="s">
        <v>439</v>
      </c>
      <c r="J330" s="116"/>
      <c r="K330" s="116"/>
      <c r="L330" s="116"/>
      <c r="M330" s="116"/>
      <c r="N330" s="116"/>
      <c r="O330" s="116"/>
      <c r="P330" s="116"/>
      <c r="Q330" s="116"/>
      <c r="R330" s="116"/>
      <c r="S330" s="693">
        <f>+C330</f>
        <v>8.5500000000000007E-2</v>
      </c>
      <c r="T330" s="539">
        <f t="shared" ref="T330:AL330" si="541">+S330+$D$330</f>
        <v>8.8000000000000009E-2</v>
      </c>
      <c r="U330" s="539">
        <f t="shared" si="541"/>
        <v>9.0500000000000011E-2</v>
      </c>
      <c r="V330" s="539">
        <f t="shared" si="541"/>
        <v>9.3000000000000013E-2</v>
      </c>
      <c r="W330" s="539">
        <f t="shared" si="541"/>
        <v>9.5500000000000015E-2</v>
      </c>
      <c r="X330" s="539">
        <f t="shared" si="541"/>
        <v>9.8000000000000018E-2</v>
      </c>
      <c r="Y330" s="539">
        <f t="shared" si="541"/>
        <v>0.10050000000000002</v>
      </c>
      <c r="Z330" s="539">
        <f t="shared" si="541"/>
        <v>0.10300000000000002</v>
      </c>
      <c r="AA330" s="539">
        <f t="shared" si="541"/>
        <v>0.10550000000000002</v>
      </c>
      <c r="AB330" s="539">
        <f t="shared" si="541"/>
        <v>0.10800000000000003</v>
      </c>
      <c r="AC330" s="539">
        <f t="shared" si="541"/>
        <v>0.11050000000000003</v>
      </c>
      <c r="AD330" s="539">
        <f t="shared" si="541"/>
        <v>0.11300000000000003</v>
      </c>
      <c r="AE330" s="539">
        <f t="shared" si="541"/>
        <v>0.11550000000000003</v>
      </c>
      <c r="AF330" s="539">
        <f t="shared" si="541"/>
        <v>0.11800000000000004</v>
      </c>
      <c r="AG330" s="539">
        <f t="shared" si="541"/>
        <v>0.12050000000000004</v>
      </c>
      <c r="AH330" s="539">
        <f t="shared" si="541"/>
        <v>0.12300000000000004</v>
      </c>
      <c r="AI330" s="539">
        <f t="shared" si="541"/>
        <v>0.12550000000000003</v>
      </c>
      <c r="AJ330" s="539">
        <f t="shared" si="541"/>
        <v>0.12800000000000003</v>
      </c>
      <c r="AK330" s="539">
        <f t="shared" si="541"/>
        <v>0.13050000000000003</v>
      </c>
      <c r="AL330" s="539">
        <f t="shared" si="541"/>
        <v>0.13300000000000003</v>
      </c>
      <c r="AM330" s="570"/>
      <c r="AN330" s="694"/>
      <c r="AO330" s="694"/>
      <c r="AP330" s="695">
        <f t="shared" ref="AP330:AT332" si="542">INDEX($K330:$AL330,MATCH(AP$5,$K$5:$AL$5,0))</f>
        <v>9.3000000000000013E-2</v>
      </c>
      <c r="AQ330" s="695">
        <f t="shared" si="542"/>
        <v>0.10300000000000002</v>
      </c>
      <c r="AR330" s="695">
        <f t="shared" si="542"/>
        <v>0.11300000000000003</v>
      </c>
      <c r="AS330" s="695">
        <f t="shared" si="542"/>
        <v>0.12300000000000004</v>
      </c>
      <c r="AT330" s="695">
        <f t="shared" si="542"/>
        <v>0.13300000000000003</v>
      </c>
    </row>
    <row r="331" spans="1:46" x14ac:dyDescent="0.25">
      <c r="B331" s="98" t="s">
        <v>440</v>
      </c>
      <c r="C331" s="69" t="s">
        <v>441</v>
      </c>
      <c r="J331" s="116"/>
      <c r="K331" s="116"/>
      <c r="L331" s="116"/>
      <c r="M331" s="116"/>
      <c r="N331" s="116"/>
      <c r="O331" s="116"/>
      <c r="P331" s="116"/>
      <c r="Q331" s="116"/>
      <c r="R331" s="116"/>
      <c r="S331" s="696">
        <f>+$C$330</f>
        <v>8.5500000000000007E-2</v>
      </c>
      <c r="T331" s="696">
        <f t="shared" ref="T331:AL331" si="543">+$C$330</f>
        <v>8.5500000000000007E-2</v>
      </c>
      <c r="U331" s="696">
        <f t="shared" si="543"/>
        <v>8.5500000000000007E-2</v>
      </c>
      <c r="V331" s="696">
        <f t="shared" si="543"/>
        <v>8.5500000000000007E-2</v>
      </c>
      <c r="W331" s="696">
        <f t="shared" si="543"/>
        <v>8.5500000000000007E-2</v>
      </c>
      <c r="X331" s="696">
        <f t="shared" si="543"/>
        <v>8.5500000000000007E-2</v>
      </c>
      <c r="Y331" s="696">
        <f t="shared" si="543"/>
        <v>8.5500000000000007E-2</v>
      </c>
      <c r="Z331" s="696">
        <f t="shared" si="543"/>
        <v>8.5500000000000007E-2</v>
      </c>
      <c r="AA331" s="696">
        <f t="shared" si="543"/>
        <v>8.5500000000000007E-2</v>
      </c>
      <c r="AB331" s="696">
        <f t="shared" si="543"/>
        <v>8.5500000000000007E-2</v>
      </c>
      <c r="AC331" s="696">
        <f t="shared" si="543"/>
        <v>8.5500000000000007E-2</v>
      </c>
      <c r="AD331" s="696">
        <f t="shared" si="543"/>
        <v>8.5500000000000007E-2</v>
      </c>
      <c r="AE331" s="696">
        <f t="shared" si="543"/>
        <v>8.5500000000000007E-2</v>
      </c>
      <c r="AF331" s="696">
        <f t="shared" si="543"/>
        <v>8.5500000000000007E-2</v>
      </c>
      <c r="AG331" s="696">
        <f t="shared" si="543"/>
        <v>8.5500000000000007E-2</v>
      </c>
      <c r="AH331" s="696">
        <f t="shared" si="543"/>
        <v>8.5500000000000007E-2</v>
      </c>
      <c r="AI331" s="696">
        <f t="shared" si="543"/>
        <v>8.5500000000000007E-2</v>
      </c>
      <c r="AJ331" s="696">
        <f t="shared" si="543"/>
        <v>8.5500000000000007E-2</v>
      </c>
      <c r="AK331" s="696">
        <f t="shared" si="543"/>
        <v>8.5500000000000007E-2</v>
      </c>
      <c r="AL331" s="696">
        <f t="shared" si="543"/>
        <v>8.5500000000000007E-2</v>
      </c>
      <c r="AM331" s="570"/>
      <c r="AN331" s="697"/>
      <c r="AO331" s="697"/>
      <c r="AP331" s="695">
        <f t="shared" si="542"/>
        <v>8.5500000000000007E-2</v>
      </c>
      <c r="AQ331" s="695">
        <f t="shared" si="542"/>
        <v>8.5500000000000007E-2</v>
      </c>
      <c r="AR331" s="695">
        <f t="shared" si="542"/>
        <v>8.5500000000000007E-2</v>
      </c>
      <c r="AS331" s="695">
        <f t="shared" si="542"/>
        <v>8.5500000000000007E-2</v>
      </c>
      <c r="AT331" s="695">
        <f t="shared" si="542"/>
        <v>8.5500000000000007E-2</v>
      </c>
    </row>
    <row r="332" spans="1:46" x14ac:dyDescent="0.25">
      <c r="B332" s="98" t="s">
        <v>442</v>
      </c>
      <c r="J332" s="116"/>
      <c r="K332" s="116"/>
      <c r="L332" s="116"/>
      <c r="M332" s="116"/>
      <c r="N332" s="116"/>
      <c r="O332" s="116"/>
      <c r="P332" s="116"/>
      <c r="Q332" s="116"/>
      <c r="R332" s="116"/>
      <c r="S332" s="698">
        <f>+S330+S331</f>
        <v>0.17100000000000001</v>
      </c>
      <c r="T332" s="698">
        <f t="shared" ref="T332:W332" si="544">+T330+T331</f>
        <v>0.17350000000000002</v>
      </c>
      <c r="U332" s="698">
        <f t="shared" si="544"/>
        <v>0.17600000000000002</v>
      </c>
      <c r="V332" s="698">
        <f t="shared" si="544"/>
        <v>0.17850000000000002</v>
      </c>
      <c r="W332" s="698">
        <f t="shared" si="544"/>
        <v>0.18100000000000002</v>
      </c>
      <c r="X332" s="698">
        <f t="shared" ref="X332" si="545">+X330+X331</f>
        <v>0.18350000000000002</v>
      </c>
      <c r="Y332" s="698">
        <f t="shared" ref="Y332" si="546">+Y330+Y331</f>
        <v>0.18600000000000003</v>
      </c>
      <c r="Z332" s="698">
        <f t="shared" ref="Z332" si="547">+Z330+Z331</f>
        <v>0.18850000000000003</v>
      </c>
      <c r="AA332" s="698">
        <f t="shared" ref="AA332" si="548">+AA330+AA331</f>
        <v>0.19100000000000003</v>
      </c>
      <c r="AB332" s="698">
        <f t="shared" ref="AB332" si="549">+AB330+AB331</f>
        <v>0.19350000000000003</v>
      </c>
      <c r="AC332" s="698">
        <f t="shared" ref="AC332" si="550">+AC330+AC331</f>
        <v>0.19600000000000004</v>
      </c>
      <c r="AD332" s="698">
        <f t="shared" ref="AD332" si="551">+AD330+AD331</f>
        <v>0.19850000000000004</v>
      </c>
      <c r="AE332" s="698">
        <f t="shared" ref="AE332" si="552">+AE330+AE331</f>
        <v>0.20100000000000004</v>
      </c>
      <c r="AF332" s="698">
        <f t="shared" ref="AF332" si="553">+AF330+AF331</f>
        <v>0.20350000000000004</v>
      </c>
      <c r="AG332" s="698">
        <f t="shared" ref="AG332" si="554">+AG330+AG331</f>
        <v>0.20600000000000004</v>
      </c>
      <c r="AH332" s="698">
        <f t="shared" ref="AH332" si="555">+AH330+AH331</f>
        <v>0.20850000000000005</v>
      </c>
      <c r="AI332" s="698">
        <f t="shared" ref="AI332" si="556">+AI330+AI331</f>
        <v>0.21100000000000002</v>
      </c>
      <c r="AJ332" s="698">
        <f t="shared" ref="AJ332" si="557">+AJ330+AJ331</f>
        <v>0.21350000000000002</v>
      </c>
      <c r="AK332" s="698">
        <f t="shared" ref="AK332" si="558">+AK330+AK331</f>
        <v>0.21600000000000003</v>
      </c>
      <c r="AL332" s="698">
        <f t="shared" ref="AL332" si="559">+AL330+AL331</f>
        <v>0.21850000000000003</v>
      </c>
      <c r="AM332" s="570"/>
      <c r="AN332" s="699"/>
      <c r="AO332" s="699"/>
      <c r="AP332" s="700">
        <f t="shared" si="542"/>
        <v>0.17850000000000002</v>
      </c>
      <c r="AQ332" s="700">
        <f t="shared" ref="AQ332:AT332" si="560">+AQ330+AQ331</f>
        <v>0.18850000000000003</v>
      </c>
      <c r="AR332" s="700">
        <f t="shared" si="560"/>
        <v>0.19850000000000004</v>
      </c>
      <c r="AS332" s="700">
        <f t="shared" si="560"/>
        <v>0.20850000000000005</v>
      </c>
      <c r="AT332" s="700">
        <f t="shared" si="560"/>
        <v>0.21850000000000003</v>
      </c>
    </row>
    <row r="333" spans="1:46" x14ac:dyDescent="0.25">
      <c r="B333" s="98" t="s">
        <v>443</v>
      </c>
      <c r="C333" s="701">
        <v>4</v>
      </c>
      <c r="J333" s="116"/>
      <c r="K333" s="116"/>
      <c r="L333" s="116"/>
      <c r="M333" s="116"/>
      <c r="N333" s="116"/>
      <c r="O333" s="116"/>
      <c r="P333" s="116"/>
      <c r="Q333" s="116"/>
      <c r="R333" s="116"/>
      <c r="S333" s="570"/>
      <c r="U333" s="570"/>
      <c r="V333" s="539"/>
      <c r="W333" s="539"/>
      <c r="AC333" s="539"/>
      <c r="AM333" s="570"/>
      <c r="AN333" s="539"/>
      <c r="AO333" s="570"/>
      <c r="AP333" s="572"/>
      <c r="AQ333" s="572"/>
      <c r="AR333" s="572"/>
      <c r="AS333" s="702"/>
      <c r="AT333" s="702"/>
    </row>
    <row r="334" spans="1:46" x14ac:dyDescent="0.25">
      <c r="J334" s="116"/>
      <c r="K334" s="116"/>
      <c r="L334" s="116"/>
      <c r="M334" s="116"/>
      <c r="N334" s="116"/>
      <c r="O334" s="116"/>
      <c r="P334" s="116"/>
      <c r="Q334" s="116"/>
      <c r="R334" s="116"/>
      <c r="S334" s="570"/>
      <c r="T334" s="570"/>
      <c r="U334" s="570"/>
      <c r="V334" s="570"/>
      <c r="W334" s="570"/>
      <c r="X334" s="570"/>
      <c r="Y334" s="570"/>
      <c r="Z334" s="570"/>
      <c r="AA334" s="570"/>
      <c r="AB334" s="570"/>
      <c r="AC334" s="570"/>
      <c r="AD334" s="570"/>
      <c r="AE334" s="570"/>
      <c r="AF334" s="570"/>
      <c r="AG334" s="570"/>
      <c r="AH334" s="570"/>
      <c r="AI334" s="570"/>
      <c r="AJ334" s="570"/>
      <c r="AK334" s="570"/>
      <c r="AL334" s="570"/>
      <c r="AM334" s="570"/>
      <c r="AN334" s="570"/>
      <c r="AO334" s="570"/>
      <c r="AP334" s="572"/>
      <c r="AQ334" s="572"/>
      <c r="AR334" s="572"/>
      <c r="AS334" s="572"/>
      <c r="AT334" s="572"/>
    </row>
    <row r="335" spans="1:46" x14ac:dyDescent="0.25">
      <c r="B335" s="98" t="s">
        <v>136</v>
      </c>
      <c r="J335" s="116"/>
      <c r="K335" s="116"/>
      <c r="L335" s="116"/>
      <c r="M335" s="116"/>
      <c r="N335" s="116"/>
      <c r="O335" s="116"/>
      <c r="P335" s="116"/>
      <c r="Q335" s="116"/>
      <c r="R335" s="116"/>
      <c r="S335" s="58">
        <f>+'Transaction Structure'!$F$52</f>
        <v>100000</v>
      </c>
      <c r="T335" s="58">
        <f>+'Transaction Structure'!$F$52</f>
        <v>100000</v>
      </c>
      <c r="U335" s="58">
        <f>+'Transaction Structure'!$F$52</f>
        <v>100000</v>
      </c>
      <c r="V335" s="58">
        <f>+'Transaction Structure'!$F$52</f>
        <v>100000</v>
      </c>
      <c r="W335" s="58">
        <f>+'Transaction Structure'!$F$52</f>
        <v>100000</v>
      </c>
      <c r="X335" s="58">
        <f>+'Transaction Structure'!$F$52</f>
        <v>100000</v>
      </c>
      <c r="Y335" s="58">
        <f>+'Transaction Structure'!$F$52</f>
        <v>100000</v>
      </c>
      <c r="Z335" s="58">
        <f>+'Transaction Structure'!$F$52</f>
        <v>100000</v>
      </c>
      <c r="AA335" s="58">
        <f>+'Transaction Structure'!$F$52</f>
        <v>100000</v>
      </c>
      <c r="AB335" s="58">
        <f>+'Transaction Structure'!$F$52</f>
        <v>100000</v>
      </c>
      <c r="AC335" s="58">
        <f>+'Transaction Structure'!$F$52</f>
        <v>100000</v>
      </c>
      <c r="AD335" s="58">
        <f>+'Transaction Structure'!$F$52</f>
        <v>100000</v>
      </c>
      <c r="AE335" s="58">
        <f>+'Transaction Structure'!$F$52</f>
        <v>100000</v>
      </c>
      <c r="AF335" s="58">
        <f>+'Transaction Structure'!$F$52</f>
        <v>100000</v>
      </c>
      <c r="AG335" s="58">
        <f>+'Transaction Structure'!$F$52</f>
        <v>100000</v>
      </c>
      <c r="AH335" s="58">
        <f>+'Transaction Structure'!$F$52</f>
        <v>100000</v>
      </c>
      <c r="AI335" s="58">
        <f>+'Transaction Structure'!$F$52</f>
        <v>100000</v>
      </c>
      <c r="AJ335" s="58">
        <f>+'Transaction Structure'!$F$52</f>
        <v>100000</v>
      </c>
      <c r="AK335" s="58">
        <f>+'Transaction Structure'!$F$52</f>
        <v>100000</v>
      </c>
      <c r="AL335" s="58">
        <f>+'Transaction Structure'!$F$52</f>
        <v>100000</v>
      </c>
      <c r="AM335" s="570"/>
      <c r="AN335" s="694"/>
      <c r="AO335" s="694"/>
      <c r="AP335" s="572">
        <f t="shared" ref="AP335:AT339" si="561">INDEX($K335:$AL335,MATCH(AP$5,$K$5:$AL$5,0))</f>
        <v>100000</v>
      </c>
      <c r="AQ335" s="572">
        <f t="shared" si="561"/>
        <v>100000</v>
      </c>
      <c r="AR335" s="572">
        <f t="shared" si="561"/>
        <v>100000</v>
      </c>
      <c r="AS335" s="572">
        <f t="shared" si="561"/>
        <v>100000</v>
      </c>
      <c r="AT335" s="572">
        <f t="shared" si="561"/>
        <v>100000</v>
      </c>
    </row>
    <row r="336" spans="1:46" x14ac:dyDescent="0.25">
      <c r="B336" s="638" t="s">
        <v>444</v>
      </c>
      <c r="J336" s="116"/>
      <c r="K336" s="116"/>
      <c r="L336" s="116"/>
      <c r="M336" s="116"/>
      <c r="N336" s="116"/>
      <c r="O336" s="116"/>
      <c r="P336" s="116"/>
      <c r="Q336" s="116"/>
      <c r="R336" s="116"/>
      <c r="S336" s="572">
        <f>+S335-S326</f>
        <v>100000</v>
      </c>
      <c r="T336" s="572">
        <f>+T335-T326</f>
        <v>100000</v>
      </c>
      <c r="U336" s="572">
        <f t="shared" ref="U336:AL336" si="562">+U335-U326</f>
        <v>100000</v>
      </c>
      <c r="V336" s="572">
        <f t="shared" si="562"/>
        <v>100000</v>
      </c>
      <c r="W336" s="572">
        <f t="shared" ca="1" si="562"/>
        <v>100000</v>
      </c>
      <c r="X336" s="572">
        <f t="shared" ca="1" si="562"/>
        <v>100000</v>
      </c>
      <c r="Y336" s="572">
        <f t="shared" ca="1" si="562"/>
        <v>100000</v>
      </c>
      <c r="Z336" s="572">
        <f t="shared" ca="1" si="562"/>
        <v>100000</v>
      </c>
      <c r="AA336" s="572">
        <f t="shared" ca="1" si="562"/>
        <v>100000</v>
      </c>
      <c r="AB336" s="572">
        <f t="shared" ca="1" si="562"/>
        <v>100000</v>
      </c>
      <c r="AC336" s="572">
        <f t="shared" ca="1" si="562"/>
        <v>100000</v>
      </c>
      <c r="AD336" s="572">
        <f t="shared" ca="1" si="562"/>
        <v>100000</v>
      </c>
      <c r="AE336" s="572">
        <f t="shared" ca="1" si="562"/>
        <v>100000</v>
      </c>
      <c r="AF336" s="572">
        <f t="shared" ca="1" si="562"/>
        <v>100000</v>
      </c>
      <c r="AG336" s="572">
        <f t="shared" ca="1" si="562"/>
        <v>100000</v>
      </c>
      <c r="AH336" s="572">
        <f t="shared" ca="1" si="562"/>
        <v>100000</v>
      </c>
      <c r="AI336" s="572">
        <f t="shared" ca="1" si="562"/>
        <v>100000</v>
      </c>
      <c r="AJ336" s="572">
        <f t="shared" ca="1" si="562"/>
        <v>92247.4774514858</v>
      </c>
      <c r="AK336" s="572">
        <f t="shared" ca="1" si="562"/>
        <v>98864.321834646064</v>
      </c>
      <c r="AL336" s="572">
        <f t="shared" ca="1" si="562"/>
        <v>100000</v>
      </c>
      <c r="AM336" s="570"/>
      <c r="AN336" s="694"/>
      <c r="AO336" s="694"/>
      <c r="AP336" s="572">
        <f t="shared" si="561"/>
        <v>100000</v>
      </c>
      <c r="AQ336" s="572">
        <f t="shared" ca="1" si="561"/>
        <v>100000</v>
      </c>
      <c r="AR336" s="572">
        <f t="shared" ca="1" si="561"/>
        <v>100000</v>
      </c>
      <c r="AS336" s="572">
        <f t="shared" ca="1" si="561"/>
        <v>100000</v>
      </c>
      <c r="AT336" s="572">
        <f t="shared" ca="1" si="561"/>
        <v>100000</v>
      </c>
    </row>
    <row r="337" spans="1:46" x14ac:dyDescent="0.25">
      <c r="B337" s="638" t="s">
        <v>445</v>
      </c>
      <c r="J337" s="116"/>
      <c r="K337" s="116"/>
      <c r="L337" s="116"/>
      <c r="M337" s="116"/>
      <c r="N337" s="116"/>
      <c r="O337" s="116"/>
      <c r="P337" s="116"/>
      <c r="Q337" s="116"/>
      <c r="R337" s="116"/>
      <c r="S337" s="572">
        <f>+MAX(S335-S328,0)</f>
        <v>100000</v>
      </c>
      <c r="T337" s="572">
        <f t="shared" ref="T337:AL337" si="563">+MAX(T335-T328,0)</f>
        <v>100000</v>
      </c>
      <c r="U337" s="572">
        <f t="shared" si="563"/>
        <v>100000</v>
      </c>
      <c r="V337" s="572">
        <f t="shared" ca="1" si="563"/>
        <v>100000</v>
      </c>
      <c r="W337" s="572">
        <f t="shared" ca="1" si="563"/>
        <v>100000</v>
      </c>
      <c r="X337" s="572">
        <f t="shared" ca="1" si="563"/>
        <v>100000</v>
      </c>
      <c r="Y337" s="572">
        <f t="shared" ca="1" si="563"/>
        <v>100000</v>
      </c>
      <c r="Z337" s="572">
        <f t="shared" ca="1" si="563"/>
        <v>100000</v>
      </c>
      <c r="AA337" s="572">
        <f t="shared" ca="1" si="563"/>
        <v>100000</v>
      </c>
      <c r="AB337" s="572">
        <f t="shared" ca="1" si="563"/>
        <v>100000</v>
      </c>
      <c r="AC337" s="572">
        <f t="shared" ca="1" si="563"/>
        <v>100000</v>
      </c>
      <c r="AD337" s="572">
        <f t="shared" ca="1" si="563"/>
        <v>100000</v>
      </c>
      <c r="AE337" s="572">
        <f t="shared" ca="1" si="563"/>
        <v>100000</v>
      </c>
      <c r="AF337" s="572">
        <f t="shared" ca="1" si="563"/>
        <v>100000</v>
      </c>
      <c r="AG337" s="572">
        <f t="shared" ca="1" si="563"/>
        <v>100000</v>
      </c>
      <c r="AH337" s="572">
        <f t="shared" ca="1" si="563"/>
        <v>100000</v>
      </c>
      <c r="AI337" s="572">
        <f t="shared" ca="1" si="563"/>
        <v>92247.4774514858</v>
      </c>
      <c r="AJ337" s="572">
        <f t="shared" ca="1" si="563"/>
        <v>98864.321834646064</v>
      </c>
      <c r="AK337" s="572">
        <f t="shared" ca="1" si="563"/>
        <v>100000</v>
      </c>
      <c r="AL337" s="572">
        <f t="shared" ca="1" si="563"/>
        <v>100000</v>
      </c>
      <c r="AM337" s="570"/>
      <c r="AN337" s="694"/>
      <c r="AO337" s="694"/>
      <c r="AP337" s="572">
        <f t="shared" ca="1" si="561"/>
        <v>100000</v>
      </c>
      <c r="AQ337" s="572">
        <f t="shared" ca="1" si="561"/>
        <v>100000</v>
      </c>
      <c r="AR337" s="572">
        <f t="shared" ca="1" si="561"/>
        <v>100000</v>
      </c>
      <c r="AS337" s="572">
        <f t="shared" ca="1" si="561"/>
        <v>100000</v>
      </c>
      <c r="AT337" s="572">
        <f t="shared" ca="1" si="561"/>
        <v>100000</v>
      </c>
    </row>
    <row r="338" spans="1:46" x14ac:dyDescent="0.25">
      <c r="B338" s="638" t="s">
        <v>446</v>
      </c>
      <c r="J338" s="116"/>
      <c r="K338" s="116"/>
      <c r="L338" s="116"/>
      <c r="M338" s="116"/>
      <c r="N338" s="116"/>
      <c r="O338" s="116"/>
      <c r="P338" s="116"/>
      <c r="Q338" s="116"/>
      <c r="R338" s="116"/>
      <c r="S338" s="572">
        <f>AVERAGE(S336:S337)*S339/$C$333</f>
        <v>25</v>
      </c>
      <c r="T338" s="572">
        <f>AVERAGE(T336:T337)*T339/$C$333</f>
        <v>25</v>
      </c>
      <c r="U338" s="572">
        <f t="shared" ref="U338:AL338" si="564">AVERAGE(U336:U337)*U339/$C$333</f>
        <v>25</v>
      </c>
      <c r="V338" s="572">
        <f t="shared" ca="1" si="564"/>
        <v>25</v>
      </c>
      <c r="W338" s="572">
        <f t="shared" ca="1" si="564"/>
        <v>25</v>
      </c>
      <c r="X338" s="572">
        <f t="shared" ca="1" si="564"/>
        <v>25</v>
      </c>
      <c r="Y338" s="572">
        <f t="shared" ca="1" si="564"/>
        <v>25</v>
      </c>
      <c r="Z338" s="572">
        <f t="shared" ca="1" si="564"/>
        <v>25</v>
      </c>
      <c r="AA338" s="572">
        <f t="shared" ca="1" si="564"/>
        <v>25</v>
      </c>
      <c r="AB338" s="572">
        <f t="shared" ca="1" si="564"/>
        <v>25</v>
      </c>
      <c r="AC338" s="572">
        <f t="shared" ca="1" si="564"/>
        <v>25</v>
      </c>
      <c r="AD338" s="572">
        <f t="shared" ca="1" si="564"/>
        <v>25</v>
      </c>
      <c r="AE338" s="572">
        <f t="shared" ca="1" si="564"/>
        <v>25</v>
      </c>
      <c r="AF338" s="572">
        <f t="shared" ca="1" si="564"/>
        <v>25</v>
      </c>
      <c r="AG338" s="572">
        <f t="shared" ca="1" si="564"/>
        <v>25</v>
      </c>
      <c r="AH338" s="572">
        <f t="shared" ca="1" si="564"/>
        <v>25</v>
      </c>
      <c r="AI338" s="572">
        <f t="shared" ca="1" si="564"/>
        <v>24.030934681435728</v>
      </c>
      <c r="AJ338" s="572">
        <f t="shared" ca="1" si="564"/>
        <v>23.888974910766482</v>
      </c>
      <c r="AK338" s="572">
        <f t="shared" ca="1" si="564"/>
        <v>24.858040229330758</v>
      </c>
      <c r="AL338" s="572">
        <f t="shared" ca="1" si="564"/>
        <v>25</v>
      </c>
      <c r="AM338" s="570"/>
      <c r="AN338" s="694"/>
      <c r="AO338" s="694"/>
      <c r="AP338" s="572">
        <f ca="1">SUMIF($K$4:$AL$4,AP$4,$K338:$AL338)</f>
        <v>100</v>
      </c>
      <c r="AQ338" s="572">
        <f t="shared" ref="AQ338:AT338" ca="1" si="565">SUMIF($K$4:$AL$4,AQ$4,$K338:$AL338)</f>
        <v>100</v>
      </c>
      <c r="AR338" s="572">
        <f t="shared" ca="1" si="565"/>
        <v>100</v>
      </c>
      <c r="AS338" s="572">
        <f t="shared" ca="1" si="565"/>
        <v>100</v>
      </c>
      <c r="AT338" s="572">
        <f t="shared" ca="1" si="565"/>
        <v>97.777949821532971</v>
      </c>
    </row>
    <row r="339" spans="1:46" x14ac:dyDescent="0.25">
      <c r="B339" s="638" t="s">
        <v>447</v>
      </c>
      <c r="J339" s="116"/>
      <c r="K339" s="116"/>
      <c r="L339" s="116"/>
      <c r="M339" s="116"/>
      <c r="N339" s="116"/>
      <c r="O339" s="116"/>
      <c r="P339" s="116"/>
      <c r="Q339" s="116"/>
      <c r="R339" s="116"/>
      <c r="S339" s="703">
        <f>+'Transaction Structure'!$C$52</f>
        <v>1E-3</v>
      </c>
      <c r="T339" s="703">
        <f>+'Transaction Structure'!$C$52</f>
        <v>1E-3</v>
      </c>
      <c r="U339" s="703">
        <f>+'Transaction Structure'!$C$52</f>
        <v>1E-3</v>
      </c>
      <c r="V339" s="703">
        <f>+'Transaction Structure'!$C$52</f>
        <v>1E-3</v>
      </c>
      <c r="W339" s="703">
        <f>+'Transaction Structure'!$C$52</f>
        <v>1E-3</v>
      </c>
      <c r="X339" s="703">
        <f>+'Transaction Structure'!$C$52</f>
        <v>1E-3</v>
      </c>
      <c r="Y339" s="703">
        <f>+'Transaction Structure'!$C$52</f>
        <v>1E-3</v>
      </c>
      <c r="Z339" s="703">
        <f>+'Transaction Structure'!$C$52</f>
        <v>1E-3</v>
      </c>
      <c r="AA339" s="703">
        <f>+'Transaction Structure'!$C$52</f>
        <v>1E-3</v>
      </c>
      <c r="AB339" s="703">
        <f>+'Transaction Structure'!$C$52</f>
        <v>1E-3</v>
      </c>
      <c r="AC339" s="703">
        <f>+'Transaction Structure'!$C$52</f>
        <v>1E-3</v>
      </c>
      <c r="AD339" s="703">
        <f>+'Transaction Structure'!$C$52</f>
        <v>1E-3</v>
      </c>
      <c r="AE339" s="703">
        <f>+'Transaction Structure'!$C$52</f>
        <v>1E-3</v>
      </c>
      <c r="AF339" s="703">
        <f>+'Transaction Structure'!$C$52</f>
        <v>1E-3</v>
      </c>
      <c r="AG339" s="703">
        <f>+'Transaction Structure'!$C$52</f>
        <v>1E-3</v>
      </c>
      <c r="AH339" s="703">
        <f>+'Transaction Structure'!$C$52</f>
        <v>1E-3</v>
      </c>
      <c r="AI339" s="703">
        <f>+'Transaction Structure'!$C$52</f>
        <v>1E-3</v>
      </c>
      <c r="AJ339" s="703">
        <f>+'Transaction Structure'!$C$52</f>
        <v>1E-3</v>
      </c>
      <c r="AK339" s="703">
        <f>+'Transaction Structure'!$C$52</f>
        <v>1E-3</v>
      </c>
      <c r="AL339" s="703">
        <f>+'Transaction Structure'!$C$52</f>
        <v>1E-3</v>
      </c>
      <c r="AM339" s="570"/>
      <c r="AN339" s="694"/>
      <c r="AO339" s="694"/>
      <c r="AP339" s="704">
        <f t="shared" si="561"/>
        <v>1E-3</v>
      </c>
      <c r="AQ339" s="704">
        <f t="shared" si="561"/>
        <v>1E-3</v>
      </c>
      <c r="AR339" s="704">
        <f t="shared" si="561"/>
        <v>1E-3</v>
      </c>
      <c r="AS339" s="704">
        <f t="shared" si="561"/>
        <v>1E-3</v>
      </c>
      <c r="AT339" s="704">
        <f t="shared" si="561"/>
        <v>1E-3</v>
      </c>
    </row>
    <row r="340" spans="1:46" x14ac:dyDescent="0.25">
      <c r="J340" s="116"/>
      <c r="K340" s="116"/>
      <c r="L340" s="116"/>
      <c r="M340" s="116"/>
      <c r="N340" s="116"/>
      <c r="O340" s="116"/>
      <c r="P340" s="116"/>
      <c r="Q340" s="116"/>
      <c r="R340" s="116"/>
      <c r="S340" s="570"/>
      <c r="T340" s="570"/>
      <c r="U340" s="570"/>
      <c r="V340" s="570"/>
      <c r="W340" s="570"/>
      <c r="X340" s="570"/>
      <c r="Y340" s="570"/>
      <c r="Z340" s="570"/>
      <c r="AA340" s="570"/>
      <c r="AB340" s="570"/>
      <c r="AC340" s="570"/>
      <c r="AD340" s="570"/>
      <c r="AE340" s="570"/>
      <c r="AF340" s="570"/>
      <c r="AG340" s="570"/>
      <c r="AH340" s="570"/>
      <c r="AI340" s="570"/>
      <c r="AJ340" s="570"/>
      <c r="AK340" s="570"/>
      <c r="AL340" s="570"/>
      <c r="AM340" s="570"/>
      <c r="AN340" s="539"/>
      <c r="AO340" s="539"/>
      <c r="AP340" s="570"/>
      <c r="AQ340" s="570"/>
      <c r="AR340" s="570"/>
      <c r="AS340" s="570"/>
      <c r="AT340" s="570"/>
    </row>
    <row r="341" spans="1:46" x14ac:dyDescent="0.25">
      <c r="B341" s="98" t="s">
        <v>448</v>
      </c>
      <c r="J341" s="116"/>
      <c r="K341" s="116"/>
      <c r="L341" s="116"/>
      <c r="M341" s="116"/>
      <c r="N341" s="116"/>
      <c r="O341" s="116"/>
      <c r="P341" s="116"/>
      <c r="Q341" s="116"/>
      <c r="R341" s="116"/>
      <c r="S341" s="570"/>
      <c r="T341" s="570"/>
      <c r="U341" s="570"/>
      <c r="V341" s="570"/>
      <c r="W341" s="570"/>
      <c r="X341" s="570"/>
      <c r="Y341" s="570"/>
      <c r="Z341" s="570"/>
      <c r="AA341" s="570"/>
      <c r="AB341" s="570"/>
      <c r="AC341" s="570"/>
      <c r="AD341" s="570"/>
      <c r="AE341" s="570"/>
      <c r="AF341" s="570"/>
      <c r="AG341" s="570"/>
      <c r="AH341" s="570"/>
      <c r="AI341" s="570"/>
      <c r="AJ341" s="570"/>
      <c r="AK341" s="570"/>
      <c r="AL341" s="570"/>
      <c r="AM341" s="570"/>
      <c r="AN341" s="570"/>
      <c r="AO341" s="570"/>
      <c r="AP341" s="570"/>
      <c r="AQ341" s="570"/>
      <c r="AR341" s="570"/>
      <c r="AS341" s="570"/>
      <c r="AT341" s="570"/>
    </row>
    <row r="342" spans="1:46" x14ac:dyDescent="0.25">
      <c r="B342" s="638" t="s">
        <v>449</v>
      </c>
      <c r="J342" s="116"/>
      <c r="K342" s="116"/>
      <c r="L342" s="116"/>
      <c r="M342" s="116"/>
      <c r="N342" s="116"/>
      <c r="O342" s="116"/>
      <c r="P342" s="116"/>
      <c r="Q342" s="116"/>
      <c r="R342" s="116"/>
      <c r="S342" s="570">
        <f t="shared" ref="S342:AL342" si="566">+R101</f>
        <v>46728</v>
      </c>
      <c r="T342" s="570">
        <f t="shared" ca="1" si="566"/>
        <v>40396.429635418113</v>
      </c>
      <c r="U342" s="570">
        <f t="shared" ca="1" si="566"/>
        <v>42093.145213711476</v>
      </c>
      <c r="V342" s="570">
        <f t="shared" ca="1" si="566"/>
        <v>43178.43761389469</v>
      </c>
      <c r="W342" s="570">
        <f t="shared" ca="1" si="566"/>
        <v>47813.83604769568</v>
      </c>
      <c r="X342" s="570">
        <f t="shared" ca="1" si="566"/>
        <v>48648.717803711537</v>
      </c>
      <c r="Y342" s="570">
        <f t="shared" ca="1" si="566"/>
        <v>50962.389065028765</v>
      </c>
      <c r="Z342" s="570">
        <f t="shared" ca="1" si="566"/>
        <v>54203.473819084546</v>
      </c>
      <c r="AA342" s="570">
        <f t="shared" ca="1" si="566"/>
        <v>57692.3317132312</v>
      </c>
      <c r="AB342" s="570">
        <f t="shared" ca="1" si="566"/>
        <v>56102.283167484915</v>
      </c>
      <c r="AC342" s="570">
        <f t="shared" ca="1" si="566"/>
        <v>59015.918687879523</v>
      </c>
      <c r="AD342" s="570">
        <f t="shared" ca="1" si="566"/>
        <v>64583.572561532397</v>
      </c>
      <c r="AE342" s="570">
        <f t="shared" ca="1" si="566"/>
        <v>66631.900714690637</v>
      </c>
      <c r="AF342" s="570">
        <f t="shared" ca="1" si="566"/>
        <v>61259.607596872476</v>
      </c>
      <c r="AG342" s="570">
        <f t="shared" ca="1" si="566"/>
        <v>64611.650655226462</v>
      </c>
      <c r="AH342" s="570">
        <f t="shared" ca="1" si="566"/>
        <v>72004.320492555766</v>
      </c>
      <c r="AI342" s="570">
        <f t="shared" ca="1" si="566"/>
        <v>72826.767066408196</v>
      </c>
      <c r="AJ342" s="570">
        <f t="shared" ca="1" si="566"/>
        <v>64075.318945471845</v>
      </c>
      <c r="AK342" s="570">
        <f t="shared" ca="1" si="566"/>
        <v>67674.802827326406</v>
      </c>
      <c r="AL342" s="570">
        <f t="shared" ca="1" si="566"/>
        <v>76141.021910016018</v>
      </c>
      <c r="AM342" s="570"/>
      <c r="AN342" s="570"/>
      <c r="AO342" s="570"/>
      <c r="AP342" s="570">
        <f t="shared" ref="AP342:AT343" ca="1" si="567">INDEX($K342:$AL342,MATCH(AP$5,$K$5:$AL$5,0))</f>
        <v>43178.43761389469</v>
      </c>
      <c r="AQ342" s="570">
        <f t="shared" ca="1" si="567"/>
        <v>54203.473819084546</v>
      </c>
      <c r="AR342" s="570">
        <f t="shared" ca="1" si="567"/>
        <v>64583.572561532397</v>
      </c>
      <c r="AS342" s="570">
        <f t="shared" ca="1" si="567"/>
        <v>72004.320492555766</v>
      </c>
      <c r="AT342" s="570">
        <f t="shared" ca="1" si="567"/>
        <v>76141.021910016018</v>
      </c>
    </row>
    <row r="343" spans="1:46" x14ac:dyDescent="0.25">
      <c r="B343" s="665" t="s">
        <v>448</v>
      </c>
      <c r="C343" s="122"/>
      <c r="D343" s="122"/>
      <c r="E343" s="122"/>
      <c r="F343" s="122"/>
      <c r="G343" s="122"/>
      <c r="H343" s="122"/>
      <c r="I343" s="122"/>
      <c r="J343" s="683"/>
      <c r="K343" s="683"/>
      <c r="L343" s="683"/>
      <c r="M343" s="683"/>
      <c r="N343" s="683"/>
      <c r="O343" s="683"/>
      <c r="P343" s="683"/>
      <c r="Q343" s="683"/>
      <c r="R343" s="683"/>
      <c r="S343" s="590">
        <f>+S342*S344</f>
        <v>37382.400000000001</v>
      </c>
      <c r="T343" s="590">
        <f ca="1">+T342*T344</f>
        <v>32317.143708334494</v>
      </c>
      <c r="U343" s="590">
        <f t="shared" ref="U343:AL343" ca="1" si="568">+U342*U344</f>
        <v>33674.516170969182</v>
      </c>
      <c r="V343" s="590">
        <f t="shared" ca="1" si="568"/>
        <v>34542.750091115755</v>
      </c>
      <c r="W343" s="590">
        <f t="shared" ca="1" si="568"/>
        <v>38251.068838156549</v>
      </c>
      <c r="X343" s="590">
        <f t="shared" ca="1" si="568"/>
        <v>38918.974242969234</v>
      </c>
      <c r="Y343" s="590">
        <f t="shared" ca="1" si="568"/>
        <v>40769.911252023012</v>
      </c>
      <c r="Z343" s="590">
        <f t="shared" ca="1" si="568"/>
        <v>43362.779055267638</v>
      </c>
      <c r="AA343" s="590">
        <f t="shared" ca="1" si="568"/>
        <v>46153.865370584965</v>
      </c>
      <c r="AB343" s="590">
        <f t="shared" ca="1" si="568"/>
        <v>44881.826533987936</v>
      </c>
      <c r="AC343" s="590">
        <f t="shared" ca="1" si="568"/>
        <v>47212.734950303624</v>
      </c>
      <c r="AD343" s="590">
        <f t="shared" ca="1" si="568"/>
        <v>51666.858049225921</v>
      </c>
      <c r="AE343" s="590">
        <f t="shared" ca="1" si="568"/>
        <v>53305.52057175251</v>
      </c>
      <c r="AF343" s="590">
        <f t="shared" ca="1" si="568"/>
        <v>49007.686077497987</v>
      </c>
      <c r="AG343" s="590">
        <f t="shared" ca="1" si="568"/>
        <v>51689.320524181174</v>
      </c>
      <c r="AH343" s="590">
        <f t="shared" ca="1" si="568"/>
        <v>57603.456394044617</v>
      </c>
      <c r="AI343" s="590">
        <f t="shared" ca="1" si="568"/>
        <v>58261.413653126561</v>
      </c>
      <c r="AJ343" s="590">
        <f t="shared" ca="1" si="568"/>
        <v>51260.255156377476</v>
      </c>
      <c r="AK343" s="590">
        <f t="shared" ca="1" si="568"/>
        <v>54139.842261861129</v>
      </c>
      <c r="AL343" s="590">
        <f t="shared" ca="1" si="568"/>
        <v>60912.81752801282</v>
      </c>
      <c r="AM343" s="570"/>
      <c r="AN343" s="694"/>
      <c r="AO343" s="694"/>
      <c r="AP343" s="590">
        <f t="shared" ca="1" si="567"/>
        <v>34542.750091115755</v>
      </c>
      <c r="AQ343" s="590">
        <f t="shared" ca="1" si="567"/>
        <v>43362.779055267638</v>
      </c>
      <c r="AR343" s="590">
        <f t="shared" ca="1" si="567"/>
        <v>51666.858049225921</v>
      </c>
      <c r="AS343" s="590">
        <f t="shared" ca="1" si="567"/>
        <v>57603.456394044617</v>
      </c>
      <c r="AT343" s="590">
        <f t="shared" ca="1" si="567"/>
        <v>60912.81752801282</v>
      </c>
    </row>
    <row r="344" spans="1:46" x14ac:dyDescent="0.25">
      <c r="B344" s="638" t="s">
        <v>450</v>
      </c>
      <c r="J344" s="116"/>
      <c r="K344" s="116"/>
      <c r="L344" s="116"/>
      <c r="M344" s="116"/>
      <c r="N344" s="116"/>
      <c r="O344" s="116"/>
      <c r="P344" s="116"/>
      <c r="Q344" s="116"/>
      <c r="R344" s="116"/>
      <c r="S344" s="686">
        <v>0.8</v>
      </c>
      <c r="T344" s="686">
        <v>0.8</v>
      </c>
      <c r="U344" s="686">
        <v>0.8</v>
      </c>
      <c r="V344" s="686">
        <v>0.8</v>
      </c>
      <c r="W344" s="686">
        <v>0.8</v>
      </c>
      <c r="X344" s="686">
        <v>0.8</v>
      </c>
      <c r="Y344" s="686">
        <v>0.8</v>
      </c>
      <c r="Z344" s="686">
        <v>0.8</v>
      </c>
      <c r="AA344" s="686">
        <v>0.8</v>
      </c>
      <c r="AB344" s="686">
        <v>0.8</v>
      </c>
      <c r="AC344" s="686">
        <v>0.8</v>
      </c>
      <c r="AD344" s="686">
        <v>0.8</v>
      </c>
      <c r="AE344" s="686">
        <v>0.8</v>
      </c>
      <c r="AF344" s="686">
        <v>0.8</v>
      </c>
      <c r="AG344" s="686">
        <v>0.8</v>
      </c>
      <c r="AH344" s="686">
        <v>0.8</v>
      </c>
      <c r="AI344" s="686">
        <v>0.8</v>
      </c>
      <c r="AJ344" s="686">
        <v>0.8</v>
      </c>
      <c r="AK344" s="686">
        <v>0.8</v>
      </c>
      <c r="AL344" s="686">
        <v>0.8</v>
      </c>
      <c r="AM344" s="570"/>
      <c r="AN344" s="694"/>
      <c r="AO344" s="694"/>
      <c r="AP344" s="686">
        <v>0.8</v>
      </c>
      <c r="AQ344" s="686">
        <v>0.8</v>
      </c>
      <c r="AR344" s="686">
        <v>0.8</v>
      </c>
      <c r="AS344" s="686">
        <v>0.8</v>
      </c>
      <c r="AT344" s="686">
        <v>0.8</v>
      </c>
    </row>
    <row r="345" spans="1:46" x14ac:dyDescent="0.25">
      <c r="B345" s="638" t="s">
        <v>451</v>
      </c>
      <c r="J345" s="116"/>
      <c r="K345" s="116"/>
      <c r="L345" s="116"/>
      <c r="M345" s="116"/>
      <c r="N345" s="116"/>
      <c r="O345" s="116"/>
      <c r="P345" s="116"/>
      <c r="Q345" s="116"/>
      <c r="R345" s="116"/>
      <c r="S345" s="705" t="str">
        <f>IF(OR(S328&gt;S335,S328&gt;S343),"Overdraw","Within Eligible Balance")</f>
        <v>Within Eligible Balance</v>
      </c>
      <c r="T345" s="705" t="str">
        <f t="shared" ref="T345" ca="1" si="569">IF(OR(T328&gt;T335,T328&gt;T343),"Overdraw","Within Eligible Balance")</f>
        <v>Within Eligible Balance</v>
      </c>
      <c r="U345" s="705" t="str">
        <f t="shared" ref="U345:AL345" ca="1" si="570">IF(OR(U328&gt;U335,U328&gt;U343),"Overdraw","Within Eligible Balance")</f>
        <v>Within Eligible Balance</v>
      </c>
      <c r="V345" s="705" t="str">
        <f t="shared" ca="1" si="570"/>
        <v>Within Eligible Balance</v>
      </c>
      <c r="W345" s="705" t="str">
        <f t="shared" ca="1" si="570"/>
        <v>Within Eligible Balance</v>
      </c>
      <c r="X345" s="705" t="str">
        <f t="shared" ca="1" si="570"/>
        <v>Within Eligible Balance</v>
      </c>
      <c r="Y345" s="705" t="str">
        <f t="shared" ca="1" si="570"/>
        <v>Within Eligible Balance</v>
      </c>
      <c r="Z345" s="705" t="str">
        <f t="shared" ca="1" si="570"/>
        <v>Within Eligible Balance</v>
      </c>
      <c r="AA345" s="705" t="str">
        <f t="shared" ca="1" si="570"/>
        <v>Within Eligible Balance</v>
      </c>
      <c r="AB345" s="705" t="str">
        <f t="shared" ca="1" si="570"/>
        <v>Within Eligible Balance</v>
      </c>
      <c r="AC345" s="705" t="str">
        <f t="shared" ca="1" si="570"/>
        <v>Within Eligible Balance</v>
      </c>
      <c r="AD345" s="705" t="str">
        <f t="shared" ca="1" si="570"/>
        <v>Within Eligible Balance</v>
      </c>
      <c r="AE345" s="705" t="str">
        <f t="shared" ca="1" si="570"/>
        <v>Within Eligible Balance</v>
      </c>
      <c r="AF345" s="705" t="str">
        <f t="shared" ca="1" si="570"/>
        <v>Within Eligible Balance</v>
      </c>
      <c r="AG345" s="705" t="str">
        <f t="shared" ca="1" si="570"/>
        <v>Within Eligible Balance</v>
      </c>
      <c r="AH345" s="705" t="str">
        <f t="shared" ca="1" si="570"/>
        <v>Within Eligible Balance</v>
      </c>
      <c r="AI345" s="705" t="str">
        <f t="shared" ca="1" si="570"/>
        <v>Within Eligible Balance</v>
      </c>
      <c r="AJ345" s="705" t="str">
        <f t="shared" ca="1" si="570"/>
        <v>Within Eligible Balance</v>
      </c>
      <c r="AK345" s="705" t="str">
        <f t="shared" ca="1" si="570"/>
        <v>Within Eligible Balance</v>
      </c>
      <c r="AL345" s="705" t="str">
        <f t="shared" ca="1" si="570"/>
        <v>Within Eligible Balance</v>
      </c>
      <c r="AM345" s="570"/>
      <c r="AN345" s="694"/>
      <c r="AO345" s="694"/>
      <c r="AP345" s="705" t="str">
        <f t="shared" ref="AP345:AT345" ca="1" si="571">IF(OR(AP328&gt;AP335,AP328&gt;AP343),"Overdraw","Within Eligible Balance")</f>
        <v>Within Eligible Balance</v>
      </c>
      <c r="AQ345" s="705" t="str">
        <f t="shared" ca="1" si="571"/>
        <v>Within Eligible Balance</v>
      </c>
      <c r="AR345" s="705" t="str">
        <f t="shared" ca="1" si="571"/>
        <v>Within Eligible Balance</v>
      </c>
      <c r="AS345" s="705" t="str">
        <f t="shared" ca="1" si="571"/>
        <v>Within Eligible Balance</v>
      </c>
      <c r="AT345" s="705" t="str">
        <f t="shared" ca="1" si="571"/>
        <v>Within Eligible Balance</v>
      </c>
    </row>
    <row r="346" spans="1:46" x14ac:dyDescent="0.25">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c r="AQ346" s="570"/>
      <c r="AR346" s="570"/>
      <c r="AS346" s="570"/>
      <c r="AT346" s="570"/>
    </row>
    <row r="347" spans="1:46" x14ac:dyDescent="0.25">
      <c r="A347" s="69" t="s">
        <v>207</v>
      </c>
      <c r="B347" s="754" t="s">
        <v>452</v>
      </c>
      <c r="C347" s="676"/>
      <c r="D347" s="676"/>
      <c r="E347" s="676"/>
      <c r="F347" s="676"/>
      <c r="G347" s="676"/>
      <c r="H347" s="676"/>
      <c r="I347" s="676"/>
      <c r="J347" s="676"/>
      <c r="K347" s="676"/>
      <c r="L347" s="676"/>
      <c r="M347" s="676"/>
      <c r="N347" s="676"/>
      <c r="O347" s="676"/>
      <c r="P347" s="676"/>
      <c r="Q347" s="676"/>
      <c r="R347" s="676"/>
      <c r="S347" s="676"/>
      <c r="T347" s="676"/>
      <c r="U347" s="676"/>
      <c r="V347" s="676"/>
      <c r="W347" s="676"/>
      <c r="X347" s="676"/>
      <c r="Y347" s="676"/>
      <c r="Z347" s="676"/>
      <c r="AA347" s="676"/>
      <c r="AB347" s="676"/>
      <c r="AC347" s="676"/>
      <c r="AD347" s="676"/>
      <c r="AE347" s="676"/>
      <c r="AF347" s="676"/>
      <c r="AG347" s="676"/>
      <c r="AH347" s="676"/>
      <c r="AI347" s="676"/>
      <c r="AJ347" s="676"/>
      <c r="AK347" s="676"/>
      <c r="AL347" s="676"/>
      <c r="AM347" s="570"/>
      <c r="AN347" s="676"/>
      <c r="AO347" s="676"/>
      <c r="AP347" s="676"/>
      <c r="AQ347" s="676"/>
      <c r="AR347" s="676"/>
      <c r="AS347" s="676"/>
      <c r="AT347" s="676"/>
    </row>
    <row r="348" spans="1:46" x14ac:dyDescent="0.25">
      <c r="B348" s="98" t="s">
        <v>411</v>
      </c>
      <c r="I348" s="69" t="s">
        <v>453</v>
      </c>
      <c r="J348" s="116"/>
      <c r="K348" s="116"/>
      <c r="L348" s="116"/>
      <c r="M348" s="116"/>
      <c r="N348" s="116"/>
      <c r="O348" s="116"/>
      <c r="P348" s="116"/>
      <c r="Q348" s="116"/>
      <c r="R348" s="116"/>
      <c r="S348" s="125">
        <f>IF(R351&gt;0,R351,0)</f>
        <v>0</v>
      </c>
      <c r="T348" s="125">
        <f t="shared" ref="T348:AL348" si="572">IF(S351&gt;0,S351,0)</f>
        <v>0</v>
      </c>
      <c r="U348" s="125">
        <f t="shared" si="572"/>
        <v>0</v>
      </c>
      <c r="V348" s="125">
        <f t="shared" si="572"/>
        <v>0</v>
      </c>
      <c r="W348" s="125">
        <f t="shared" ca="1" si="572"/>
        <v>0</v>
      </c>
      <c r="X348" s="125">
        <f t="shared" ca="1" si="572"/>
        <v>0</v>
      </c>
      <c r="Y348" s="125">
        <f t="shared" ca="1" si="572"/>
        <v>0</v>
      </c>
      <c r="Z348" s="125">
        <f t="shared" ca="1" si="572"/>
        <v>0</v>
      </c>
      <c r="AA348" s="125">
        <f t="shared" ca="1" si="572"/>
        <v>0</v>
      </c>
      <c r="AB348" s="125">
        <f t="shared" ca="1" si="572"/>
        <v>0</v>
      </c>
      <c r="AC348" s="125">
        <f t="shared" ca="1" si="572"/>
        <v>0</v>
      </c>
      <c r="AD348" s="125">
        <f t="shared" ca="1" si="572"/>
        <v>0</v>
      </c>
      <c r="AE348" s="125">
        <f t="shared" ca="1" si="572"/>
        <v>0</v>
      </c>
      <c r="AF348" s="125">
        <f t="shared" ca="1" si="572"/>
        <v>0</v>
      </c>
      <c r="AG348" s="125">
        <f t="shared" ca="1" si="572"/>
        <v>0</v>
      </c>
      <c r="AH348" s="125">
        <f t="shared" ca="1" si="572"/>
        <v>0</v>
      </c>
      <c r="AI348" s="125">
        <f t="shared" ca="1" si="572"/>
        <v>0</v>
      </c>
      <c r="AJ348" s="125">
        <f t="shared" ca="1" si="572"/>
        <v>0</v>
      </c>
      <c r="AK348" s="125">
        <f t="shared" ca="1" si="572"/>
        <v>0</v>
      </c>
      <c r="AL348" s="125">
        <f t="shared" ca="1" si="572"/>
        <v>0</v>
      </c>
      <c r="AM348" s="570"/>
      <c r="AN348" s="684"/>
      <c r="AO348" s="684"/>
      <c r="AP348" s="125">
        <f>+AO351</f>
        <v>0</v>
      </c>
      <c r="AQ348" s="125">
        <f ca="1">+AP351</f>
        <v>0</v>
      </c>
      <c r="AR348" s="125">
        <f t="shared" ref="AR348:AT348" ca="1" si="573">+AQ351</f>
        <v>0</v>
      </c>
      <c r="AS348" s="125">
        <f t="shared" ca="1" si="573"/>
        <v>0</v>
      </c>
      <c r="AT348" s="125">
        <f t="shared" ca="1" si="573"/>
        <v>0</v>
      </c>
    </row>
    <row r="349" spans="1:46" x14ac:dyDescent="0.25">
      <c r="B349" s="638" t="s">
        <v>454</v>
      </c>
      <c r="J349" s="116"/>
      <c r="K349" s="116"/>
      <c r="L349" s="116"/>
      <c r="M349" s="116"/>
      <c r="N349" s="116"/>
      <c r="O349" s="116"/>
      <c r="P349" s="116"/>
      <c r="Q349" s="116"/>
      <c r="R349" s="116"/>
      <c r="S349" s="570">
        <f>IF(S348&gt;0,-S348*S353,0)</f>
        <v>0</v>
      </c>
      <c r="T349" s="570">
        <f t="shared" ref="T349:AL349" si="574">IF(T348&gt;0,-T348*T353,0)</f>
        <v>0</v>
      </c>
      <c r="U349" s="570">
        <f t="shared" si="574"/>
        <v>0</v>
      </c>
      <c r="V349" s="570">
        <f t="shared" si="574"/>
        <v>0</v>
      </c>
      <c r="W349" s="570">
        <f t="shared" ca="1" si="574"/>
        <v>0</v>
      </c>
      <c r="X349" s="570">
        <f t="shared" ca="1" si="574"/>
        <v>0</v>
      </c>
      <c r="Y349" s="570">
        <f t="shared" ca="1" si="574"/>
        <v>0</v>
      </c>
      <c r="Z349" s="570">
        <f t="shared" ca="1" si="574"/>
        <v>0</v>
      </c>
      <c r="AA349" s="570">
        <f t="shared" ca="1" si="574"/>
        <v>0</v>
      </c>
      <c r="AB349" s="570">
        <f t="shared" ca="1" si="574"/>
        <v>0</v>
      </c>
      <c r="AC349" s="570">
        <f t="shared" ca="1" si="574"/>
        <v>0</v>
      </c>
      <c r="AD349" s="570">
        <f t="shared" ca="1" si="574"/>
        <v>0</v>
      </c>
      <c r="AE349" s="570">
        <f t="shared" ca="1" si="574"/>
        <v>0</v>
      </c>
      <c r="AF349" s="570">
        <f t="shared" ca="1" si="574"/>
        <v>0</v>
      </c>
      <c r="AG349" s="570">
        <f t="shared" ca="1" si="574"/>
        <v>0</v>
      </c>
      <c r="AH349" s="570">
        <f t="shared" ca="1" si="574"/>
        <v>0</v>
      </c>
      <c r="AI349" s="570">
        <f t="shared" ca="1" si="574"/>
        <v>0</v>
      </c>
      <c r="AJ349" s="570">
        <f t="shared" ca="1" si="574"/>
        <v>0</v>
      </c>
      <c r="AK349" s="570">
        <f t="shared" ca="1" si="574"/>
        <v>0</v>
      </c>
      <c r="AL349" s="570">
        <f t="shared" ca="1" si="574"/>
        <v>0</v>
      </c>
      <c r="AM349" s="570"/>
      <c r="AN349" s="682"/>
      <c r="AO349" s="682"/>
      <c r="AP349" s="601">
        <f>SUMIF($K$4:$AL$4,AP$4,$K349:$AL349)</f>
        <v>0</v>
      </c>
      <c r="AQ349" s="601">
        <f t="shared" ref="AQ349:AT352" ca="1" si="575">SUMIF($K$4:$AL$4,AQ$4,$K349:$AL349)</f>
        <v>0</v>
      </c>
      <c r="AR349" s="601">
        <f t="shared" ca="1" si="575"/>
        <v>0</v>
      </c>
      <c r="AS349" s="601">
        <f t="shared" ca="1" si="575"/>
        <v>0</v>
      </c>
      <c r="AT349" s="601">
        <f t="shared" ca="1" si="575"/>
        <v>0</v>
      </c>
    </row>
    <row r="350" spans="1:46" x14ac:dyDescent="0.25">
      <c r="B350" s="638" t="s">
        <v>455</v>
      </c>
      <c r="J350" s="116"/>
      <c r="K350" s="116"/>
      <c r="L350" s="116"/>
      <c r="M350" s="116"/>
      <c r="N350" s="116"/>
      <c r="O350" s="116"/>
      <c r="P350" s="116"/>
      <c r="Q350" s="116"/>
      <c r="R350" s="116"/>
      <c r="S350" s="706">
        <f t="shared" ref="S350:AL350" si="576">MAX(S319-S327,-SUM(S348:S349))</f>
        <v>0</v>
      </c>
      <c r="T350" s="706">
        <f t="shared" si="576"/>
        <v>0</v>
      </c>
      <c r="U350" s="706">
        <f t="shared" si="576"/>
        <v>0</v>
      </c>
      <c r="V350" s="706">
        <f ca="1">MAX(V319-V327,-SUM(V348:V349))</f>
        <v>0</v>
      </c>
      <c r="W350" s="706">
        <f t="shared" ca="1" si="576"/>
        <v>0</v>
      </c>
      <c r="X350" s="706">
        <f t="shared" ca="1" si="576"/>
        <v>0</v>
      </c>
      <c r="Y350" s="706">
        <f t="shared" ca="1" si="576"/>
        <v>0</v>
      </c>
      <c r="Z350" s="706">
        <f t="shared" ca="1" si="576"/>
        <v>0</v>
      </c>
      <c r="AA350" s="706">
        <f t="shared" ca="1" si="576"/>
        <v>0</v>
      </c>
      <c r="AB350" s="706">
        <f t="shared" ca="1" si="576"/>
        <v>0</v>
      </c>
      <c r="AC350" s="706">
        <f t="shared" ca="1" si="576"/>
        <v>0</v>
      </c>
      <c r="AD350" s="706">
        <f t="shared" ca="1" si="576"/>
        <v>0</v>
      </c>
      <c r="AE350" s="706">
        <f t="shared" ca="1" si="576"/>
        <v>0</v>
      </c>
      <c r="AF350" s="706">
        <f t="shared" ca="1" si="576"/>
        <v>0</v>
      </c>
      <c r="AG350" s="706">
        <f t="shared" ca="1" si="576"/>
        <v>0</v>
      </c>
      <c r="AH350" s="706">
        <f t="shared" ca="1" si="576"/>
        <v>0</v>
      </c>
      <c r="AI350" s="706">
        <f t="shared" ca="1" si="576"/>
        <v>0</v>
      </c>
      <c r="AJ350" s="706">
        <f t="shared" ca="1" si="576"/>
        <v>0</v>
      </c>
      <c r="AK350" s="706">
        <f t="shared" ca="1" si="576"/>
        <v>0</v>
      </c>
      <c r="AL350" s="706">
        <f t="shared" ca="1" si="576"/>
        <v>0</v>
      </c>
      <c r="AM350" s="570"/>
      <c r="AN350" s="69" t="s">
        <v>430</v>
      </c>
      <c r="AO350" s="687">
        <f>Closing_Date</f>
        <v>45199</v>
      </c>
      <c r="AP350" s="601">
        <f ca="1">SUMIF($K$4:$AL$4,AP$4,$K350:$AL350)</f>
        <v>0</v>
      </c>
      <c r="AQ350" s="601">
        <f t="shared" ca="1" si="575"/>
        <v>0</v>
      </c>
      <c r="AR350" s="601">
        <f t="shared" ca="1" si="575"/>
        <v>0</v>
      </c>
      <c r="AS350" s="601">
        <f t="shared" ca="1" si="575"/>
        <v>0</v>
      </c>
      <c r="AT350" s="601">
        <f t="shared" ca="1" si="575"/>
        <v>0</v>
      </c>
    </row>
    <row r="351" spans="1:46" x14ac:dyDescent="0.25">
      <c r="B351" s="665" t="s">
        <v>416</v>
      </c>
      <c r="C351" s="122"/>
      <c r="D351" s="122"/>
      <c r="E351" s="122"/>
      <c r="F351" s="122"/>
      <c r="G351" s="122"/>
      <c r="H351" s="122"/>
      <c r="I351" s="122"/>
      <c r="J351" s="683"/>
      <c r="K351" s="683"/>
      <c r="L351" s="683"/>
      <c r="M351" s="683"/>
      <c r="N351" s="683"/>
      <c r="O351" s="683"/>
      <c r="P351" s="683"/>
      <c r="Q351" s="683"/>
      <c r="R351" s="125">
        <f>IF(R$311="Yes",'Transaction Structure'!$J$103,SUM(R348:R350))</f>
        <v>0</v>
      </c>
      <c r="S351" s="125">
        <f>IF(S$311="Yes",'Transaction Structure'!$J$103,SUM(S348:S350))</f>
        <v>0</v>
      </c>
      <c r="T351" s="125">
        <f>IF(T$311="Yes",'Transaction Structure'!$J$103,SUM(T348:T350))</f>
        <v>0</v>
      </c>
      <c r="U351" s="125">
        <f>IF(U$311="Yes",'Transaction Structure'!$J$103,SUM(U348:U350))</f>
        <v>0</v>
      </c>
      <c r="V351" s="125">
        <f ca="1">IF(V$311="Yes",'Transaction Structure'!$J$103,SUM(V348:V350))</f>
        <v>0</v>
      </c>
      <c r="W351" s="125">
        <f ca="1">IF(W$311="Yes",'Transaction Structure'!$J$103,SUM(W348:W350))</f>
        <v>0</v>
      </c>
      <c r="X351" s="125">
        <f ca="1">IF(X$311="Yes",'Transaction Structure'!$J$103,SUM(X348:X350))</f>
        <v>0</v>
      </c>
      <c r="Y351" s="125">
        <f ca="1">IF(Y$311="Yes",'Transaction Structure'!$J$103,SUM(Y348:Y350))</f>
        <v>0</v>
      </c>
      <c r="Z351" s="125">
        <f ca="1">IF(Z$311="Yes",'Transaction Structure'!$J$103,SUM(Z348:Z350))</f>
        <v>0</v>
      </c>
      <c r="AA351" s="125">
        <f ca="1">IF(AA$311="Yes",'Transaction Structure'!$J$103,SUM(AA348:AA350))</f>
        <v>0</v>
      </c>
      <c r="AB351" s="125">
        <f ca="1">IF(AB$311="Yes",'Transaction Structure'!$J$103,SUM(AB348:AB350))</f>
        <v>0</v>
      </c>
      <c r="AC351" s="125">
        <f ca="1">IF(AC$311="Yes",'Transaction Structure'!$J$103,SUM(AC348:AC350))</f>
        <v>0</v>
      </c>
      <c r="AD351" s="125">
        <f ca="1">IF(AD$311="Yes",'Transaction Structure'!$J$103,SUM(AD348:AD350))</f>
        <v>0</v>
      </c>
      <c r="AE351" s="125">
        <f ca="1">IF(AE$311="Yes",'Transaction Structure'!$J$103,SUM(AE348:AE350))</f>
        <v>0</v>
      </c>
      <c r="AF351" s="125">
        <f ca="1">IF(AF$311="Yes",'Transaction Structure'!$J$103,SUM(AF348:AF350))</f>
        <v>0</v>
      </c>
      <c r="AG351" s="125">
        <f ca="1">IF(AG$311="Yes",'Transaction Structure'!$J$103,SUM(AG348:AG350))</f>
        <v>0</v>
      </c>
      <c r="AH351" s="125">
        <f ca="1">IF(AH$311="Yes",'Transaction Structure'!$J$103,SUM(AH348:AH350))</f>
        <v>0</v>
      </c>
      <c r="AI351" s="125">
        <f ca="1">IF(AI$311="Yes",'Transaction Structure'!$J$103,SUM(AI348:AI350))</f>
        <v>0</v>
      </c>
      <c r="AJ351" s="125">
        <f ca="1">IF(AJ$311="Yes",'Transaction Structure'!$J$103,SUM(AJ348:AJ350))</f>
        <v>0</v>
      </c>
      <c r="AK351" s="125">
        <f ca="1">IF(AK$311="Yes",'Transaction Structure'!$J$103,SUM(AK348:AK350))</f>
        <v>0</v>
      </c>
      <c r="AL351" s="125">
        <f ca="1">IF(AL$311="Yes",'Transaction Structure'!$J$103,SUM(AL348:AL350))</f>
        <v>0</v>
      </c>
      <c r="AM351" s="570"/>
      <c r="AN351" s="684"/>
      <c r="AO351" s="125">
        <f>INDEX(S$351:AL$351,MATCH(Closing_Date,$S$5:$AL$5,0))</f>
        <v>0</v>
      </c>
      <c r="AP351" s="125">
        <f ca="1">SUM(AP348:AP350)</f>
        <v>0</v>
      </c>
      <c r="AQ351" s="125">
        <f ca="1">IF(AQ$311="Yes",'Transaction Structure'!$J$103,SUM(AQ348:AQ350))</f>
        <v>0</v>
      </c>
      <c r="AR351" s="125">
        <f ca="1">IF(AR$311="Yes",'Transaction Structure'!$J$103,SUM(AR348:AR350))</f>
        <v>0</v>
      </c>
      <c r="AS351" s="125">
        <f ca="1">IF(AS$311="Yes",'Transaction Structure'!$J$103,SUM(AS348:AS350))</f>
        <v>0</v>
      </c>
      <c r="AT351" s="125">
        <f ca="1">IF(AT$311="Yes",'Transaction Structure'!$J$103,SUM(AT348:AT350))</f>
        <v>0</v>
      </c>
    </row>
    <row r="352" spans="1:46" x14ac:dyDescent="0.25">
      <c r="B352" s="98" t="s">
        <v>437</v>
      </c>
      <c r="J352" s="116"/>
      <c r="K352" s="116"/>
      <c r="L352" s="116"/>
      <c r="M352" s="116"/>
      <c r="N352" s="116"/>
      <c r="O352" s="116"/>
      <c r="P352" s="116"/>
      <c r="Q352" s="116"/>
      <c r="R352" s="116"/>
      <c r="S352" s="570">
        <f t="shared" ref="S352:AL352" si="577">+AVERAGE(S348,S351)*S354/$H$353</f>
        <v>0</v>
      </c>
      <c r="T352" s="570">
        <f t="shared" si="577"/>
        <v>0</v>
      </c>
      <c r="U352" s="570">
        <f t="shared" si="577"/>
        <v>0</v>
      </c>
      <c r="V352" s="570">
        <f t="shared" ca="1" si="577"/>
        <v>0</v>
      </c>
      <c r="W352" s="570">
        <f t="shared" ca="1" si="577"/>
        <v>0</v>
      </c>
      <c r="X352" s="570">
        <f t="shared" ca="1" si="577"/>
        <v>0</v>
      </c>
      <c r="Y352" s="570">
        <f t="shared" ca="1" si="577"/>
        <v>0</v>
      </c>
      <c r="Z352" s="570">
        <f t="shared" ca="1" si="577"/>
        <v>0</v>
      </c>
      <c r="AA352" s="570">
        <f t="shared" ca="1" si="577"/>
        <v>0</v>
      </c>
      <c r="AB352" s="570">
        <f t="shared" ca="1" si="577"/>
        <v>0</v>
      </c>
      <c r="AC352" s="570">
        <f t="shared" ca="1" si="577"/>
        <v>0</v>
      </c>
      <c r="AD352" s="570">
        <f t="shared" ca="1" si="577"/>
        <v>0</v>
      </c>
      <c r="AE352" s="570">
        <f t="shared" ca="1" si="577"/>
        <v>0</v>
      </c>
      <c r="AF352" s="570">
        <f t="shared" ca="1" si="577"/>
        <v>0</v>
      </c>
      <c r="AG352" s="570">
        <f t="shared" ca="1" si="577"/>
        <v>0</v>
      </c>
      <c r="AH352" s="570">
        <f t="shared" ca="1" si="577"/>
        <v>0</v>
      </c>
      <c r="AI352" s="570">
        <f t="shared" ca="1" si="577"/>
        <v>0</v>
      </c>
      <c r="AJ352" s="570">
        <f t="shared" ca="1" si="577"/>
        <v>0</v>
      </c>
      <c r="AK352" s="570">
        <f t="shared" ca="1" si="577"/>
        <v>0</v>
      </c>
      <c r="AL352" s="570">
        <f t="shared" ca="1" si="577"/>
        <v>0</v>
      </c>
      <c r="AM352" s="570"/>
      <c r="AN352" s="694"/>
      <c r="AO352" s="694"/>
      <c r="AP352" s="601">
        <f ca="1">SUMIF($K$4:$AL$4,AP$4,$K352:$AL352)</f>
        <v>0</v>
      </c>
      <c r="AQ352" s="601">
        <f t="shared" ca="1" si="575"/>
        <v>0</v>
      </c>
      <c r="AR352" s="601">
        <f t="shared" ca="1" si="575"/>
        <v>0</v>
      </c>
      <c r="AS352" s="601">
        <f t="shared" ca="1" si="575"/>
        <v>0</v>
      </c>
      <c r="AT352" s="601">
        <f t="shared" ca="1" si="575"/>
        <v>0</v>
      </c>
    </row>
    <row r="353" spans="1:46" x14ac:dyDescent="0.25">
      <c r="B353" s="98" t="s">
        <v>456</v>
      </c>
      <c r="C353" s="707">
        <v>7</v>
      </c>
      <c r="D353" s="76" t="s">
        <v>443</v>
      </c>
      <c r="E353" s="76"/>
      <c r="F353" s="76"/>
      <c r="G353" s="76"/>
      <c r="H353" s="708">
        <v>4</v>
      </c>
      <c r="J353" s="116"/>
      <c r="K353" s="116"/>
      <c r="L353" s="116"/>
      <c r="M353" s="116"/>
      <c r="N353" s="116"/>
      <c r="O353" s="116"/>
      <c r="P353" s="116"/>
      <c r="Q353" s="116"/>
      <c r="R353" s="116"/>
      <c r="S353" s="692">
        <f>+(1/$C$353)/$H$353</f>
        <v>3.5714285714285712E-2</v>
      </c>
      <c r="T353" s="692">
        <f t="shared" ref="T353:AL353" si="578">+(1/$C$353)/$H$353</f>
        <v>3.5714285714285712E-2</v>
      </c>
      <c r="U353" s="692">
        <f t="shared" si="578"/>
        <v>3.5714285714285712E-2</v>
      </c>
      <c r="V353" s="692">
        <f t="shared" si="578"/>
        <v>3.5714285714285712E-2</v>
      </c>
      <c r="W353" s="692">
        <f t="shared" si="578"/>
        <v>3.5714285714285712E-2</v>
      </c>
      <c r="X353" s="692">
        <f t="shared" si="578"/>
        <v>3.5714285714285712E-2</v>
      </c>
      <c r="Y353" s="692">
        <f t="shared" si="578"/>
        <v>3.5714285714285712E-2</v>
      </c>
      <c r="Z353" s="692">
        <f t="shared" si="578"/>
        <v>3.5714285714285712E-2</v>
      </c>
      <c r="AA353" s="692">
        <f t="shared" si="578"/>
        <v>3.5714285714285712E-2</v>
      </c>
      <c r="AB353" s="692">
        <f t="shared" si="578"/>
        <v>3.5714285714285712E-2</v>
      </c>
      <c r="AC353" s="692">
        <f t="shared" si="578"/>
        <v>3.5714285714285712E-2</v>
      </c>
      <c r="AD353" s="692">
        <f t="shared" si="578"/>
        <v>3.5714285714285712E-2</v>
      </c>
      <c r="AE353" s="692">
        <f t="shared" si="578"/>
        <v>3.5714285714285712E-2</v>
      </c>
      <c r="AF353" s="692">
        <f t="shared" si="578"/>
        <v>3.5714285714285712E-2</v>
      </c>
      <c r="AG353" s="692">
        <f t="shared" si="578"/>
        <v>3.5714285714285712E-2</v>
      </c>
      <c r="AH353" s="692">
        <f t="shared" si="578"/>
        <v>3.5714285714285712E-2</v>
      </c>
      <c r="AI353" s="692">
        <f t="shared" si="578"/>
        <v>3.5714285714285712E-2</v>
      </c>
      <c r="AJ353" s="692">
        <f t="shared" si="578"/>
        <v>3.5714285714285712E-2</v>
      </c>
      <c r="AK353" s="692">
        <f t="shared" si="578"/>
        <v>3.5714285714285712E-2</v>
      </c>
      <c r="AL353" s="692">
        <f t="shared" si="578"/>
        <v>3.5714285714285712E-2</v>
      </c>
      <c r="AM353" s="570"/>
      <c r="AN353" s="697"/>
      <c r="AO353" s="709"/>
      <c r="AP353" s="692">
        <f t="shared" ref="AP353" si="579">INDEX($K353:$AL353,MATCH(AP$5,$K$5:$AL$5,0))</f>
        <v>3.5714285714285712E-2</v>
      </c>
      <c r="AQ353" s="692">
        <f t="shared" ref="AQ353:AT353" si="580">+AP353</f>
        <v>3.5714285714285712E-2</v>
      </c>
      <c r="AR353" s="692">
        <f t="shared" si="580"/>
        <v>3.5714285714285712E-2</v>
      </c>
      <c r="AS353" s="692">
        <f t="shared" si="580"/>
        <v>3.5714285714285712E-2</v>
      </c>
      <c r="AT353" s="692">
        <f t="shared" si="580"/>
        <v>3.5714285714285712E-2</v>
      </c>
    </row>
    <row r="354" spans="1:46" x14ac:dyDescent="0.25">
      <c r="B354" s="98" t="s">
        <v>457</v>
      </c>
      <c r="J354" s="116"/>
      <c r="K354" s="116"/>
      <c r="L354" s="116"/>
      <c r="M354" s="116"/>
      <c r="N354" s="116"/>
      <c r="O354" s="116"/>
      <c r="P354" s="116"/>
      <c r="Q354" s="116"/>
      <c r="R354" s="116"/>
      <c r="S354" s="710">
        <f>+'Transaction Structure'!G53</f>
        <v>8.5500000000000007E-2</v>
      </c>
      <c r="T354" s="710">
        <f>+S354</f>
        <v>8.5500000000000007E-2</v>
      </c>
      <c r="U354" s="710">
        <f>+T354</f>
        <v>8.5500000000000007E-2</v>
      </c>
      <c r="V354" s="710">
        <f t="shared" ref="V354:AL354" si="581">+U354</f>
        <v>8.5500000000000007E-2</v>
      </c>
      <c r="W354" s="710">
        <f t="shared" si="581"/>
        <v>8.5500000000000007E-2</v>
      </c>
      <c r="X354" s="710">
        <f t="shared" si="581"/>
        <v>8.5500000000000007E-2</v>
      </c>
      <c r="Y354" s="710">
        <f t="shared" si="581"/>
        <v>8.5500000000000007E-2</v>
      </c>
      <c r="Z354" s="710">
        <f t="shared" si="581"/>
        <v>8.5500000000000007E-2</v>
      </c>
      <c r="AA354" s="710">
        <f t="shared" si="581"/>
        <v>8.5500000000000007E-2</v>
      </c>
      <c r="AB354" s="710">
        <f t="shared" si="581"/>
        <v>8.5500000000000007E-2</v>
      </c>
      <c r="AC354" s="710">
        <f t="shared" si="581"/>
        <v>8.5500000000000007E-2</v>
      </c>
      <c r="AD354" s="710">
        <f t="shared" si="581"/>
        <v>8.5500000000000007E-2</v>
      </c>
      <c r="AE354" s="710">
        <f t="shared" si="581"/>
        <v>8.5500000000000007E-2</v>
      </c>
      <c r="AF354" s="710">
        <f t="shared" si="581"/>
        <v>8.5500000000000007E-2</v>
      </c>
      <c r="AG354" s="710">
        <f t="shared" si="581"/>
        <v>8.5500000000000007E-2</v>
      </c>
      <c r="AH354" s="710">
        <f t="shared" si="581"/>
        <v>8.5500000000000007E-2</v>
      </c>
      <c r="AI354" s="710">
        <f t="shared" si="581"/>
        <v>8.5500000000000007E-2</v>
      </c>
      <c r="AJ354" s="710">
        <f t="shared" si="581"/>
        <v>8.5500000000000007E-2</v>
      </c>
      <c r="AK354" s="710">
        <f t="shared" si="581"/>
        <v>8.5500000000000007E-2</v>
      </c>
      <c r="AL354" s="710">
        <f t="shared" si="581"/>
        <v>8.5500000000000007E-2</v>
      </c>
      <c r="AM354" s="570"/>
      <c r="AN354" s="694"/>
      <c r="AO354" s="694"/>
      <c r="AP354" s="696">
        <f t="shared" ref="AP354:AT354" si="582">INDEX($K354:$AL354,MATCH(AP$5,$K$5:$AL$5,0))</f>
        <v>8.5500000000000007E-2</v>
      </c>
      <c r="AQ354" s="696">
        <f t="shared" si="582"/>
        <v>8.5500000000000007E-2</v>
      </c>
      <c r="AR354" s="696">
        <f t="shared" si="582"/>
        <v>8.5500000000000007E-2</v>
      </c>
      <c r="AS354" s="696">
        <f t="shared" si="582"/>
        <v>8.5500000000000007E-2</v>
      </c>
      <c r="AT354" s="696">
        <f t="shared" si="582"/>
        <v>8.5500000000000007E-2</v>
      </c>
    </row>
    <row r="355" spans="1:46" x14ac:dyDescent="0.25">
      <c r="B355" s="98"/>
      <c r="J355" s="116"/>
      <c r="K355" s="116"/>
      <c r="L355" s="116"/>
      <c r="M355" s="116"/>
      <c r="N355" s="116"/>
      <c r="O355" s="116"/>
      <c r="P355" s="116"/>
      <c r="Q355" s="116"/>
      <c r="R355" s="116"/>
      <c r="S355" s="570"/>
      <c r="T355" s="570"/>
      <c r="U355" s="570"/>
      <c r="V355" s="710"/>
      <c r="W355" s="710"/>
      <c r="X355" s="710"/>
      <c r="Y355" s="710"/>
      <c r="Z355" s="710"/>
      <c r="AA355" s="710"/>
      <c r="AB355" s="710"/>
      <c r="AC355" s="710"/>
      <c r="AD355" s="710"/>
      <c r="AE355" s="710"/>
      <c r="AF355" s="710"/>
      <c r="AG355" s="710"/>
      <c r="AH355" s="710"/>
      <c r="AI355" s="710"/>
      <c r="AJ355" s="710"/>
      <c r="AK355" s="710"/>
      <c r="AL355" s="710"/>
      <c r="AM355" s="570"/>
      <c r="AN355" s="710"/>
      <c r="AO355" s="710"/>
      <c r="AP355" s="710"/>
      <c r="AQ355" s="710"/>
      <c r="AR355" s="710"/>
      <c r="AS355" s="710"/>
      <c r="AT355" s="710"/>
    </row>
    <row r="356" spans="1:46" x14ac:dyDescent="0.25">
      <c r="A356" s="69" t="s">
        <v>207</v>
      </c>
      <c r="B356" s="754" t="s">
        <v>458</v>
      </c>
      <c r="C356" s="676"/>
      <c r="D356" s="676"/>
      <c r="E356" s="676"/>
      <c r="F356" s="676"/>
      <c r="G356" s="676"/>
      <c r="H356" s="676"/>
      <c r="I356" s="676"/>
      <c r="J356" s="676"/>
      <c r="K356" s="676"/>
      <c r="L356" s="676"/>
      <c r="M356" s="676"/>
      <c r="N356" s="676"/>
      <c r="O356" s="676"/>
      <c r="P356" s="676"/>
      <c r="Q356" s="676"/>
      <c r="R356" s="676"/>
      <c r="S356" s="676"/>
      <c r="T356" s="676"/>
      <c r="U356" s="676"/>
      <c r="V356" s="676"/>
      <c r="W356" s="676"/>
      <c r="X356" s="676"/>
      <c r="Y356" s="676"/>
      <c r="Z356" s="676"/>
      <c r="AA356" s="676"/>
      <c r="AB356" s="676"/>
      <c r="AC356" s="676"/>
      <c r="AD356" s="676"/>
      <c r="AE356" s="676"/>
      <c r="AF356" s="676"/>
      <c r="AG356" s="676"/>
      <c r="AH356" s="676"/>
      <c r="AI356" s="676"/>
      <c r="AJ356" s="676"/>
      <c r="AK356" s="676"/>
      <c r="AL356" s="676"/>
      <c r="AM356" s="570"/>
      <c r="AN356" s="676"/>
      <c r="AO356" s="676"/>
      <c r="AP356" s="676"/>
      <c r="AQ356" s="676"/>
      <c r="AR356" s="676"/>
      <c r="AS356" s="676"/>
      <c r="AT356" s="676"/>
    </row>
    <row r="357" spans="1:46" x14ac:dyDescent="0.25">
      <c r="B357" s="98" t="s">
        <v>411</v>
      </c>
      <c r="J357" s="116"/>
      <c r="K357" s="116"/>
      <c r="L357" s="116"/>
      <c r="M357" s="116"/>
      <c r="N357" s="116"/>
      <c r="O357" s="116"/>
      <c r="P357" s="116"/>
      <c r="Q357" s="116"/>
      <c r="R357" s="116"/>
      <c r="S357" s="570">
        <f>IF(R360&gt;0,R360,0)</f>
        <v>0</v>
      </c>
      <c r="T357" s="570">
        <f>IF(S360&gt;0,S360,0)</f>
        <v>0</v>
      </c>
      <c r="U357" s="570">
        <f t="shared" ref="U357:AL357" si="583">IF(T360&gt;0,T360,0)</f>
        <v>0</v>
      </c>
      <c r="V357" s="570">
        <f t="shared" si="583"/>
        <v>0</v>
      </c>
      <c r="W357" s="570">
        <f t="shared" ca="1" si="583"/>
        <v>0</v>
      </c>
      <c r="X357" s="570">
        <f t="shared" ca="1" si="583"/>
        <v>0</v>
      </c>
      <c r="Y357" s="570">
        <f t="shared" ca="1" si="583"/>
        <v>0</v>
      </c>
      <c r="Z357" s="570">
        <f t="shared" ca="1" si="583"/>
        <v>0</v>
      </c>
      <c r="AA357" s="570">
        <f t="shared" ca="1" si="583"/>
        <v>0</v>
      </c>
      <c r="AB357" s="570">
        <f t="shared" ca="1" si="583"/>
        <v>0</v>
      </c>
      <c r="AC357" s="570">
        <f t="shared" ca="1" si="583"/>
        <v>0</v>
      </c>
      <c r="AD357" s="570">
        <f t="shared" ca="1" si="583"/>
        <v>0</v>
      </c>
      <c r="AE357" s="570">
        <f t="shared" ca="1" si="583"/>
        <v>0</v>
      </c>
      <c r="AF357" s="570">
        <f t="shared" ca="1" si="583"/>
        <v>0</v>
      </c>
      <c r="AG357" s="570">
        <f t="shared" ca="1" si="583"/>
        <v>0</v>
      </c>
      <c r="AH357" s="570">
        <f t="shared" ca="1" si="583"/>
        <v>0</v>
      </c>
      <c r="AI357" s="570">
        <f t="shared" ca="1" si="583"/>
        <v>0</v>
      </c>
      <c r="AJ357" s="570">
        <f t="shared" ca="1" si="583"/>
        <v>0</v>
      </c>
      <c r="AK357" s="570">
        <f t="shared" ca="1" si="583"/>
        <v>0</v>
      </c>
      <c r="AL357" s="570">
        <f t="shared" ca="1" si="583"/>
        <v>0</v>
      </c>
      <c r="AM357" s="570"/>
      <c r="AN357" s="682"/>
      <c r="AO357" s="682"/>
      <c r="AP357" s="570">
        <f t="shared" ref="AP357" si="584">IF(AO360&gt;0,AO360,0)</f>
        <v>0</v>
      </c>
      <c r="AQ357" s="570">
        <f t="shared" ref="AQ357" ca="1" si="585">IF(AP360&gt;0,AP360,0)</f>
        <v>0</v>
      </c>
      <c r="AR357" s="570">
        <f t="shared" ref="AR357" ca="1" si="586">IF(AQ360&gt;0,AQ360,0)</f>
        <v>0</v>
      </c>
      <c r="AS357" s="570">
        <f t="shared" ref="AS357" ca="1" si="587">IF(AR360&gt;0,AR360,0)</f>
        <v>0</v>
      </c>
      <c r="AT357" s="570">
        <f t="shared" ref="AT357" ca="1" si="588">IF(AS360&gt;0,AS360,0)</f>
        <v>0</v>
      </c>
    </row>
    <row r="358" spans="1:46" x14ac:dyDescent="0.25">
      <c r="B358" s="638" t="s">
        <v>459</v>
      </c>
      <c r="J358" s="116"/>
      <c r="K358" s="116"/>
      <c r="L358" s="116"/>
      <c r="M358" s="116"/>
      <c r="N358" s="116"/>
      <c r="O358" s="116"/>
      <c r="P358" s="116"/>
      <c r="Q358" s="116"/>
      <c r="R358" s="116"/>
      <c r="S358" s="570">
        <f t="shared" ref="S358:AL358" si="589">+S357*S363/$H$363</f>
        <v>0</v>
      </c>
      <c r="T358" s="570">
        <f t="shared" si="589"/>
        <v>0</v>
      </c>
      <c r="U358" s="570">
        <f t="shared" si="589"/>
        <v>0</v>
      </c>
      <c r="V358" s="570">
        <f t="shared" si="589"/>
        <v>0</v>
      </c>
      <c r="W358" s="570">
        <f t="shared" ca="1" si="589"/>
        <v>0</v>
      </c>
      <c r="X358" s="570">
        <f t="shared" ca="1" si="589"/>
        <v>0</v>
      </c>
      <c r="Y358" s="570">
        <f t="shared" ca="1" si="589"/>
        <v>0</v>
      </c>
      <c r="Z358" s="570">
        <f t="shared" ca="1" si="589"/>
        <v>0</v>
      </c>
      <c r="AA358" s="570">
        <f t="shared" ca="1" si="589"/>
        <v>0</v>
      </c>
      <c r="AB358" s="570">
        <f t="shared" ca="1" si="589"/>
        <v>0</v>
      </c>
      <c r="AC358" s="570">
        <f t="shared" ca="1" si="589"/>
        <v>0</v>
      </c>
      <c r="AD358" s="570">
        <f t="shared" ca="1" si="589"/>
        <v>0</v>
      </c>
      <c r="AE358" s="570">
        <f t="shared" ca="1" si="589"/>
        <v>0</v>
      </c>
      <c r="AF358" s="570">
        <f t="shared" ca="1" si="589"/>
        <v>0</v>
      </c>
      <c r="AG358" s="570">
        <f t="shared" ca="1" si="589"/>
        <v>0</v>
      </c>
      <c r="AH358" s="570">
        <f t="shared" ca="1" si="589"/>
        <v>0</v>
      </c>
      <c r="AI358" s="570">
        <f t="shared" ca="1" si="589"/>
        <v>0</v>
      </c>
      <c r="AJ358" s="570">
        <f t="shared" ca="1" si="589"/>
        <v>0</v>
      </c>
      <c r="AK358" s="570">
        <f t="shared" ca="1" si="589"/>
        <v>0</v>
      </c>
      <c r="AL358" s="570">
        <f t="shared" ca="1" si="589"/>
        <v>0</v>
      </c>
      <c r="AM358" s="570"/>
      <c r="AN358" s="682"/>
      <c r="AO358" s="682"/>
      <c r="AP358" s="601">
        <f>SUMIF($K$4:$AL$4,AP$4,$K358:$AL358)</f>
        <v>0</v>
      </c>
      <c r="AQ358" s="601">
        <f t="shared" ref="AQ358:AT359" ca="1" si="590">SUMIF($K$4:$AL$4,AQ$4,$K358:$AL358)</f>
        <v>0</v>
      </c>
      <c r="AR358" s="601">
        <f t="shared" ca="1" si="590"/>
        <v>0</v>
      </c>
      <c r="AS358" s="601">
        <f t="shared" ca="1" si="590"/>
        <v>0</v>
      </c>
      <c r="AT358" s="601">
        <f t="shared" ca="1" si="590"/>
        <v>0</v>
      </c>
    </row>
    <row r="359" spans="1:46" x14ac:dyDescent="0.25">
      <c r="B359" s="638" t="s">
        <v>455</v>
      </c>
      <c r="J359" s="116"/>
      <c r="K359" s="116"/>
      <c r="L359" s="116"/>
      <c r="M359" s="116"/>
      <c r="N359" s="116"/>
      <c r="O359" s="116"/>
      <c r="P359" s="116"/>
      <c r="Q359" s="116"/>
      <c r="R359" s="116"/>
      <c r="S359" s="706">
        <f>MAX(S319-S327-S350,-SUM(S357:S358))</f>
        <v>0</v>
      </c>
      <c r="T359" s="706">
        <f t="shared" ref="T359:AL359" si="591">MAX(T319-T327-T350,-SUM(T357:T358))</f>
        <v>0</v>
      </c>
      <c r="U359" s="706">
        <f t="shared" si="591"/>
        <v>0</v>
      </c>
      <c r="V359" s="706">
        <f t="shared" ca="1" si="591"/>
        <v>0</v>
      </c>
      <c r="W359" s="706">
        <f t="shared" ca="1" si="591"/>
        <v>0</v>
      </c>
      <c r="X359" s="706">
        <f t="shared" ca="1" si="591"/>
        <v>0</v>
      </c>
      <c r="Y359" s="706">
        <f t="shared" ca="1" si="591"/>
        <v>0</v>
      </c>
      <c r="Z359" s="706">
        <f t="shared" ca="1" si="591"/>
        <v>0</v>
      </c>
      <c r="AA359" s="706">
        <f t="shared" ca="1" si="591"/>
        <v>0</v>
      </c>
      <c r="AB359" s="706">
        <f t="shared" ca="1" si="591"/>
        <v>0</v>
      </c>
      <c r="AC359" s="706">
        <f t="shared" ca="1" si="591"/>
        <v>0</v>
      </c>
      <c r="AD359" s="706">
        <f t="shared" ca="1" si="591"/>
        <v>0</v>
      </c>
      <c r="AE359" s="706">
        <f t="shared" ca="1" si="591"/>
        <v>0</v>
      </c>
      <c r="AF359" s="706">
        <f t="shared" ca="1" si="591"/>
        <v>0</v>
      </c>
      <c r="AG359" s="706">
        <f t="shared" ca="1" si="591"/>
        <v>0</v>
      </c>
      <c r="AH359" s="706">
        <f t="shared" ca="1" si="591"/>
        <v>0</v>
      </c>
      <c r="AI359" s="706">
        <f t="shared" ca="1" si="591"/>
        <v>0</v>
      </c>
      <c r="AJ359" s="706">
        <f t="shared" ca="1" si="591"/>
        <v>0</v>
      </c>
      <c r="AK359" s="706">
        <f t="shared" ca="1" si="591"/>
        <v>0</v>
      </c>
      <c r="AL359" s="706">
        <f t="shared" ca="1" si="591"/>
        <v>0</v>
      </c>
      <c r="AM359" s="570"/>
      <c r="AN359" s="69" t="s">
        <v>430</v>
      </c>
      <c r="AO359" s="687">
        <f>Closing_Date</f>
        <v>45199</v>
      </c>
      <c r="AP359" s="570">
        <f ca="1">SUMIF($K$4:$AL$4,AP$4,$K359:$AL359)</f>
        <v>0</v>
      </c>
      <c r="AQ359" s="570">
        <f t="shared" ca="1" si="590"/>
        <v>0</v>
      </c>
      <c r="AR359" s="570">
        <f t="shared" ca="1" si="590"/>
        <v>0</v>
      </c>
      <c r="AS359" s="570">
        <f t="shared" ca="1" si="590"/>
        <v>0</v>
      </c>
      <c r="AT359" s="570">
        <f t="shared" ca="1" si="590"/>
        <v>0</v>
      </c>
    </row>
    <row r="360" spans="1:46" x14ac:dyDescent="0.25">
      <c r="B360" s="665" t="s">
        <v>416</v>
      </c>
      <c r="C360" s="122"/>
      <c r="D360" s="122"/>
      <c r="E360" s="122"/>
      <c r="F360" s="122"/>
      <c r="G360" s="122"/>
      <c r="H360" s="122"/>
      <c r="I360" s="122"/>
      <c r="J360" s="683"/>
      <c r="K360" s="683"/>
      <c r="L360" s="683"/>
      <c r="M360" s="683"/>
      <c r="N360" s="683"/>
      <c r="O360" s="683"/>
      <c r="P360" s="683"/>
      <c r="Q360" s="683"/>
      <c r="R360" s="125">
        <f>IF(R$311="Yes",'Transaction Structure'!$J$104,SUM(R357:R359))</f>
        <v>0</v>
      </c>
      <c r="S360" s="125">
        <f>IF(S$311="Yes",'Transaction Structure'!$J$104,SUM(S357:S359))</f>
        <v>0</v>
      </c>
      <c r="T360" s="125">
        <f>IF(T$311="Yes",'Transaction Structure'!$J$104,SUM(T357:T359))</f>
        <v>0</v>
      </c>
      <c r="U360" s="125">
        <f>IF(U$311="Yes",'Transaction Structure'!$J$104,SUM(U357:U359))</f>
        <v>0</v>
      </c>
      <c r="V360" s="125">
        <f ca="1">IF(V$311="Yes",'Transaction Structure'!$J$104,SUM(V357:V359))</f>
        <v>0</v>
      </c>
      <c r="W360" s="125">
        <f ca="1">IF(W$311="Yes",'Transaction Structure'!$J$104,SUM(W357:W359))</f>
        <v>0</v>
      </c>
      <c r="X360" s="125">
        <f ca="1">IF(X$311="Yes",'Transaction Structure'!$J$104,SUM(X357:X359))</f>
        <v>0</v>
      </c>
      <c r="Y360" s="125">
        <f ca="1">IF(Y$311="Yes",'Transaction Structure'!$J$104,SUM(Y357:Y359))</f>
        <v>0</v>
      </c>
      <c r="Z360" s="125">
        <f ca="1">IF(Z$311="Yes",'Transaction Structure'!$J$104,SUM(Z357:Z359))</f>
        <v>0</v>
      </c>
      <c r="AA360" s="125">
        <f ca="1">IF(AA$311="Yes",'Transaction Structure'!$J$104,SUM(AA357:AA359))</f>
        <v>0</v>
      </c>
      <c r="AB360" s="125">
        <f ca="1">IF(AB$311="Yes",'Transaction Structure'!$J$104,SUM(AB357:AB359))</f>
        <v>0</v>
      </c>
      <c r="AC360" s="125">
        <f ca="1">IF(AC$311="Yes",'Transaction Structure'!$J$104,SUM(AC357:AC359))</f>
        <v>0</v>
      </c>
      <c r="AD360" s="125">
        <f ca="1">IF(AD$311="Yes",'Transaction Structure'!$J$104,SUM(AD357:AD359))</f>
        <v>0</v>
      </c>
      <c r="AE360" s="125">
        <f ca="1">IF(AE$311="Yes",'Transaction Structure'!$J$104,SUM(AE357:AE359))</f>
        <v>0</v>
      </c>
      <c r="AF360" s="125">
        <f ca="1">IF(AF$311="Yes",'Transaction Structure'!$J$104,SUM(AF357:AF359))</f>
        <v>0</v>
      </c>
      <c r="AG360" s="125">
        <f ca="1">IF(AG$311="Yes",'Transaction Structure'!$J$104,SUM(AG357:AG359))</f>
        <v>0</v>
      </c>
      <c r="AH360" s="125">
        <f ca="1">IF(AH$311="Yes",'Transaction Structure'!$J$104,SUM(AH357:AH359))</f>
        <v>0</v>
      </c>
      <c r="AI360" s="125">
        <f ca="1">IF(AI$311="Yes",'Transaction Structure'!$J$104,SUM(AI357:AI359))</f>
        <v>0</v>
      </c>
      <c r="AJ360" s="125">
        <f ca="1">IF(AJ$311="Yes",'Transaction Structure'!$J$104,SUM(AJ357:AJ359))</f>
        <v>0</v>
      </c>
      <c r="AK360" s="125">
        <f ca="1">IF(AK$311="Yes",'Transaction Structure'!$J$104,SUM(AK357:AK359))</f>
        <v>0</v>
      </c>
      <c r="AL360" s="125">
        <f ca="1">IF(AL$311="Yes",'Transaction Structure'!$J$104,SUM(AL357:AL359))</f>
        <v>0</v>
      </c>
      <c r="AM360" s="570"/>
      <c r="AN360" s="684"/>
      <c r="AO360" s="125">
        <f>INDEX(S$360:AL$360,MATCH(Closing_Date,$S$5:$AL$5,0))</f>
        <v>0</v>
      </c>
      <c r="AP360" s="125">
        <f ca="1">SUM(AP357:AP359)</f>
        <v>0</v>
      </c>
      <c r="AQ360" s="125">
        <f t="shared" ref="AQ360:AT360" ca="1" si="592">SUM(AQ357:AQ359)</f>
        <v>0</v>
      </c>
      <c r="AR360" s="125">
        <f t="shared" ca="1" si="592"/>
        <v>0</v>
      </c>
      <c r="AS360" s="125">
        <f t="shared" ca="1" si="592"/>
        <v>0</v>
      </c>
      <c r="AT360" s="125">
        <f t="shared" ca="1" si="592"/>
        <v>0</v>
      </c>
    </row>
    <row r="361" spans="1:46" x14ac:dyDescent="0.25">
      <c r="B361" s="98" t="s">
        <v>460</v>
      </c>
      <c r="J361" s="116"/>
      <c r="K361" s="116"/>
      <c r="L361" s="116"/>
      <c r="M361" s="116"/>
      <c r="N361" s="116"/>
      <c r="O361" s="116"/>
      <c r="P361" s="116"/>
      <c r="Q361" s="116"/>
      <c r="R361" s="116"/>
      <c r="S361" s="570">
        <f t="shared" ref="S361:AL361" si="593">+AVERAGE(S357,S360)*S362/$H$353</f>
        <v>0</v>
      </c>
      <c r="T361" s="570">
        <f t="shared" si="593"/>
        <v>0</v>
      </c>
      <c r="U361" s="570">
        <f t="shared" si="593"/>
        <v>0</v>
      </c>
      <c r="V361" s="570">
        <f t="shared" ca="1" si="593"/>
        <v>0</v>
      </c>
      <c r="W361" s="570">
        <f t="shared" ca="1" si="593"/>
        <v>0</v>
      </c>
      <c r="X361" s="570">
        <f t="shared" ca="1" si="593"/>
        <v>0</v>
      </c>
      <c r="Y361" s="570">
        <f t="shared" ca="1" si="593"/>
        <v>0</v>
      </c>
      <c r="Z361" s="570">
        <f t="shared" ca="1" si="593"/>
        <v>0</v>
      </c>
      <c r="AA361" s="570">
        <f t="shared" ca="1" si="593"/>
        <v>0</v>
      </c>
      <c r="AB361" s="570">
        <f t="shared" ca="1" si="593"/>
        <v>0</v>
      </c>
      <c r="AC361" s="570">
        <f t="shared" ca="1" si="593"/>
        <v>0</v>
      </c>
      <c r="AD361" s="570">
        <f t="shared" ca="1" si="593"/>
        <v>0</v>
      </c>
      <c r="AE361" s="570">
        <f t="shared" ca="1" si="593"/>
        <v>0</v>
      </c>
      <c r="AF361" s="570">
        <f t="shared" ca="1" si="593"/>
        <v>0</v>
      </c>
      <c r="AG361" s="570">
        <f t="shared" ca="1" si="593"/>
        <v>0</v>
      </c>
      <c r="AH361" s="570">
        <f t="shared" ca="1" si="593"/>
        <v>0</v>
      </c>
      <c r="AI361" s="570">
        <f t="shared" ca="1" si="593"/>
        <v>0</v>
      </c>
      <c r="AJ361" s="570">
        <f t="shared" ca="1" si="593"/>
        <v>0</v>
      </c>
      <c r="AK361" s="570">
        <f t="shared" ca="1" si="593"/>
        <v>0</v>
      </c>
      <c r="AL361" s="570">
        <f t="shared" ca="1" si="593"/>
        <v>0</v>
      </c>
      <c r="AM361" s="570"/>
      <c r="AN361" s="682"/>
      <c r="AO361" s="682"/>
      <c r="AP361" s="601">
        <f ca="1">SUMIF($K$4:$AL$4,AP$4,$K361:$AL361)</f>
        <v>0</v>
      </c>
      <c r="AQ361" s="601">
        <f t="shared" ref="AQ361:AT361" ca="1" si="594">SUMIF($K$4:$AL$4,AQ$4,$K361:$AL361)</f>
        <v>0</v>
      </c>
      <c r="AR361" s="601">
        <f t="shared" ca="1" si="594"/>
        <v>0</v>
      </c>
      <c r="AS361" s="601">
        <f t="shared" ca="1" si="594"/>
        <v>0</v>
      </c>
      <c r="AT361" s="601">
        <f t="shared" ca="1" si="594"/>
        <v>0</v>
      </c>
    </row>
    <row r="362" spans="1:46" x14ac:dyDescent="0.25">
      <c r="B362" s="98" t="s">
        <v>461</v>
      </c>
      <c r="J362" s="116"/>
      <c r="K362" s="116"/>
      <c r="L362" s="116"/>
      <c r="M362" s="116"/>
      <c r="N362" s="116"/>
      <c r="O362" s="116"/>
      <c r="P362" s="116"/>
      <c r="Q362" s="116"/>
      <c r="R362" s="116"/>
      <c r="S362" s="710">
        <f>+'Transaction Structure'!$G$54</f>
        <v>0.1</v>
      </c>
      <c r="T362" s="710">
        <f>+S362</f>
        <v>0.1</v>
      </c>
      <c r="U362" s="710">
        <f t="shared" ref="U362:AL362" si="595">+T362</f>
        <v>0.1</v>
      </c>
      <c r="V362" s="710">
        <f t="shared" si="595"/>
        <v>0.1</v>
      </c>
      <c r="W362" s="710">
        <f t="shared" si="595"/>
        <v>0.1</v>
      </c>
      <c r="X362" s="710">
        <f t="shared" si="595"/>
        <v>0.1</v>
      </c>
      <c r="Y362" s="710">
        <f t="shared" si="595"/>
        <v>0.1</v>
      </c>
      <c r="Z362" s="710">
        <f t="shared" si="595"/>
        <v>0.1</v>
      </c>
      <c r="AA362" s="710">
        <f t="shared" si="595"/>
        <v>0.1</v>
      </c>
      <c r="AB362" s="710">
        <f t="shared" si="595"/>
        <v>0.1</v>
      </c>
      <c r="AC362" s="710">
        <f t="shared" si="595"/>
        <v>0.1</v>
      </c>
      <c r="AD362" s="710">
        <f t="shared" si="595"/>
        <v>0.1</v>
      </c>
      <c r="AE362" s="710">
        <f t="shared" si="595"/>
        <v>0.1</v>
      </c>
      <c r="AF362" s="710">
        <f t="shared" si="595"/>
        <v>0.1</v>
      </c>
      <c r="AG362" s="710">
        <f t="shared" si="595"/>
        <v>0.1</v>
      </c>
      <c r="AH362" s="710">
        <f t="shared" si="595"/>
        <v>0.1</v>
      </c>
      <c r="AI362" s="710">
        <f t="shared" si="595"/>
        <v>0.1</v>
      </c>
      <c r="AJ362" s="710">
        <f t="shared" si="595"/>
        <v>0.1</v>
      </c>
      <c r="AK362" s="710">
        <f t="shared" si="595"/>
        <v>0.1</v>
      </c>
      <c r="AL362" s="710">
        <f t="shared" si="595"/>
        <v>0.1</v>
      </c>
      <c r="AM362" s="570"/>
      <c r="AN362" s="682"/>
      <c r="AO362" s="682"/>
      <c r="AP362" s="711">
        <f t="shared" ref="AP362:AT363" si="596">INDEX($K362:$AL362,MATCH(AP$5,$K$5:$AL$5,0))</f>
        <v>0.1</v>
      </c>
      <c r="AQ362" s="711">
        <f t="shared" si="596"/>
        <v>0.1</v>
      </c>
      <c r="AR362" s="711">
        <f t="shared" si="596"/>
        <v>0.1</v>
      </c>
      <c r="AS362" s="711">
        <f t="shared" si="596"/>
        <v>0.1</v>
      </c>
      <c r="AT362" s="711">
        <f t="shared" si="596"/>
        <v>0.1</v>
      </c>
    </row>
    <row r="363" spans="1:46" x14ac:dyDescent="0.25">
      <c r="B363" s="98" t="s">
        <v>462</v>
      </c>
      <c r="C363" s="707">
        <v>7</v>
      </c>
      <c r="D363" s="76" t="s">
        <v>463</v>
      </c>
      <c r="E363" s="76"/>
      <c r="F363" s="76"/>
      <c r="G363" s="76"/>
      <c r="H363" s="712">
        <v>4</v>
      </c>
      <c r="I363" s="69" t="s">
        <v>453</v>
      </c>
      <c r="J363" s="116"/>
      <c r="K363" s="116"/>
      <c r="L363" s="116"/>
      <c r="M363" s="116"/>
      <c r="N363" s="116"/>
      <c r="O363" s="116"/>
      <c r="P363" s="116"/>
      <c r="Q363" s="116"/>
      <c r="R363" s="116"/>
      <c r="S363" s="710">
        <f>+'Transaction Structure'!$E$54</f>
        <v>3.5000000000000003E-2</v>
      </c>
      <c r="T363" s="710">
        <f>+S363</f>
        <v>3.5000000000000003E-2</v>
      </c>
      <c r="U363" s="710">
        <f t="shared" ref="U363:AL363" si="597">+T363</f>
        <v>3.5000000000000003E-2</v>
      </c>
      <c r="V363" s="710">
        <f t="shared" si="597"/>
        <v>3.5000000000000003E-2</v>
      </c>
      <c r="W363" s="710">
        <f t="shared" si="597"/>
        <v>3.5000000000000003E-2</v>
      </c>
      <c r="X363" s="710">
        <f t="shared" si="597"/>
        <v>3.5000000000000003E-2</v>
      </c>
      <c r="Y363" s="710">
        <f t="shared" si="597"/>
        <v>3.5000000000000003E-2</v>
      </c>
      <c r="Z363" s="710">
        <f t="shared" si="597"/>
        <v>3.5000000000000003E-2</v>
      </c>
      <c r="AA363" s="710">
        <f t="shared" si="597"/>
        <v>3.5000000000000003E-2</v>
      </c>
      <c r="AB363" s="710">
        <f t="shared" si="597"/>
        <v>3.5000000000000003E-2</v>
      </c>
      <c r="AC363" s="710">
        <f t="shared" si="597"/>
        <v>3.5000000000000003E-2</v>
      </c>
      <c r="AD363" s="710">
        <f t="shared" si="597"/>
        <v>3.5000000000000003E-2</v>
      </c>
      <c r="AE363" s="710">
        <f t="shared" si="597"/>
        <v>3.5000000000000003E-2</v>
      </c>
      <c r="AF363" s="710">
        <f t="shared" si="597"/>
        <v>3.5000000000000003E-2</v>
      </c>
      <c r="AG363" s="710">
        <f t="shared" si="597"/>
        <v>3.5000000000000003E-2</v>
      </c>
      <c r="AH363" s="710">
        <f t="shared" si="597"/>
        <v>3.5000000000000003E-2</v>
      </c>
      <c r="AI363" s="710">
        <f t="shared" si="597"/>
        <v>3.5000000000000003E-2</v>
      </c>
      <c r="AJ363" s="710">
        <f t="shared" si="597"/>
        <v>3.5000000000000003E-2</v>
      </c>
      <c r="AK363" s="710">
        <f t="shared" si="597"/>
        <v>3.5000000000000003E-2</v>
      </c>
      <c r="AL363" s="710">
        <f t="shared" si="597"/>
        <v>3.5000000000000003E-2</v>
      </c>
      <c r="AM363" s="570"/>
      <c r="AN363" s="682"/>
      <c r="AO363" s="682"/>
      <c r="AP363" s="711">
        <f t="shared" si="596"/>
        <v>3.5000000000000003E-2</v>
      </c>
      <c r="AQ363" s="711">
        <f t="shared" si="596"/>
        <v>3.5000000000000003E-2</v>
      </c>
      <c r="AR363" s="711">
        <f t="shared" si="596"/>
        <v>3.5000000000000003E-2</v>
      </c>
      <c r="AS363" s="711">
        <f t="shared" si="596"/>
        <v>3.5000000000000003E-2</v>
      </c>
      <c r="AT363" s="711">
        <f t="shared" si="596"/>
        <v>3.5000000000000003E-2</v>
      </c>
    </row>
    <row r="364" spans="1:46" x14ac:dyDescent="0.25">
      <c r="B364" s="98"/>
      <c r="C364" s="708"/>
      <c r="J364" s="116"/>
      <c r="K364" s="116"/>
      <c r="L364" s="116"/>
      <c r="M364" s="116"/>
      <c r="N364" s="116"/>
      <c r="O364" s="116"/>
      <c r="P364" s="116"/>
      <c r="Q364" s="116"/>
      <c r="R364" s="116"/>
      <c r="S364" s="570"/>
      <c r="T364" s="570"/>
      <c r="U364" s="570"/>
      <c r="V364" s="710"/>
      <c r="W364" s="710"/>
      <c r="X364" s="710"/>
      <c r="Y364" s="710"/>
      <c r="Z364" s="710"/>
      <c r="AA364" s="710"/>
      <c r="AB364" s="710"/>
      <c r="AC364" s="710"/>
      <c r="AD364" s="710"/>
      <c r="AE364" s="710"/>
      <c r="AF364" s="710"/>
      <c r="AG364" s="710"/>
      <c r="AH364" s="710"/>
      <c r="AI364" s="710"/>
      <c r="AJ364" s="710"/>
      <c r="AK364" s="710"/>
      <c r="AL364" s="710"/>
      <c r="AM364" s="570"/>
      <c r="AN364" s="710"/>
      <c r="AO364" s="570"/>
      <c r="AP364" s="570"/>
      <c r="AQ364" s="570"/>
      <c r="AR364" s="570"/>
      <c r="AS364" s="570"/>
      <c r="AT364" s="570"/>
    </row>
    <row r="365" spans="1:46" x14ac:dyDescent="0.25">
      <c r="A365" s="69" t="s">
        <v>207</v>
      </c>
      <c r="B365" s="754" t="s">
        <v>464</v>
      </c>
      <c r="C365" s="676"/>
      <c r="D365" s="676"/>
      <c r="E365" s="676"/>
      <c r="F365" s="676"/>
      <c r="G365" s="676"/>
      <c r="H365" s="676"/>
      <c r="I365" s="676"/>
      <c r="J365" s="676"/>
      <c r="K365" s="676"/>
      <c r="L365" s="676"/>
      <c r="M365" s="676"/>
      <c r="N365" s="676"/>
      <c r="O365" s="676"/>
      <c r="P365" s="676"/>
      <c r="Q365" s="676"/>
      <c r="R365" s="676"/>
      <c r="S365" s="676"/>
      <c r="T365" s="676"/>
      <c r="U365" s="676"/>
      <c r="V365" s="676"/>
      <c r="W365" s="676"/>
      <c r="X365" s="676"/>
      <c r="Y365" s="676"/>
      <c r="Z365" s="676"/>
      <c r="AA365" s="676"/>
      <c r="AB365" s="676"/>
      <c r="AC365" s="676"/>
      <c r="AD365" s="676"/>
      <c r="AE365" s="676"/>
      <c r="AF365" s="676"/>
      <c r="AG365" s="676"/>
      <c r="AH365" s="676"/>
      <c r="AI365" s="676"/>
      <c r="AJ365" s="676"/>
      <c r="AK365" s="676"/>
      <c r="AL365" s="676"/>
      <c r="AM365" s="570"/>
      <c r="AN365" s="676"/>
      <c r="AO365" s="676"/>
      <c r="AP365" s="676"/>
      <c r="AQ365" s="676"/>
      <c r="AR365" s="676"/>
      <c r="AS365" s="676"/>
      <c r="AT365" s="676"/>
    </row>
    <row r="366" spans="1:46" x14ac:dyDescent="0.25">
      <c r="B366" s="98" t="s">
        <v>411</v>
      </c>
      <c r="J366" s="116"/>
      <c r="K366" s="116"/>
      <c r="L366" s="116"/>
      <c r="M366" s="116"/>
      <c r="N366" s="116"/>
      <c r="O366" s="116"/>
      <c r="P366" s="116"/>
      <c r="Q366" s="116"/>
      <c r="R366" s="116"/>
      <c r="S366" s="125">
        <f>IF(R368&gt;0,R368,0)</f>
        <v>0</v>
      </c>
      <c r="T366" s="125">
        <f>IF(S368&gt;0,S368,0)</f>
        <v>0</v>
      </c>
      <c r="U366" s="125">
        <f t="shared" ref="U366:W366" si="598">IF(T368&gt;0,T368,0)</f>
        <v>0</v>
      </c>
      <c r="V366" s="125">
        <f t="shared" si="598"/>
        <v>500000</v>
      </c>
      <c r="W366" s="125">
        <f t="shared" ca="1" si="598"/>
        <v>500000</v>
      </c>
      <c r="X366" s="125">
        <f t="shared" ref="X366:AE366" ca="1" si="599">IF(W368&gt;0,W368,0)</f>
        <v>500000</v>
      </c>
      <c r="Y366" s="125">
        <f t="shared" ca="1" si="599"/>
        <v>500000</v>
      </c>
      <c r="Z366" s="125">
        <f t="shared" ca="1" si="599"/>
        <v>500000</v>
      </c>
      <c r="AA366" s="125">
        <f t="shared" ca="1" si="599"/>
        <v>500000</v>
      </c>
      <c r="AB366" s="125">
        <f t="shared" ca="1" si="599"/>
        <v>500000</v>
      </c>
      <c r="AC366" s="125">
        <f t="shared" ca="1" si="599"/>
        <v>500000</v>
      </c>
      <c r="AD366" s="125">
        <f t="shared" ca="1" si="599"/>
        <v>500000</v>
      </c>
      <c r="AE366" s="125">
        <f t="shared" ca="1" si="599"/>
        <v>500000</v>
      </c>
      <c r="AF366" s="125">
        <f t="shared" ref="AF366:AL366" ca="1" si="600">IF(AE368&gt;0,AE368,0)</f>
        <v>500000</v>
      </c>
      <c r="AG366" s="125">
        <f t="shared" ca="1" si="600"/>
        <v>500000</v>
      </c>
      <c r="AH366" s="125">
        <f t="shared" ca="1" si="600"/>
        <v>500000</v>
      </c>
      <c r="AI366" s="125">
        <f t="shared" ca="1" si="600"/>
        <v>500000</v>
      </c>
      <c r="AJ366" s="125">
        <f t="shared" ca="1" si="600"/>
        <v>500000</v>
      </c>
      <c r="AK366" s="125">
        <f t="shared" ca="1" si="600"/>
        <v>500000</v>
      </c>
      <c r="AL366" s="125">
        <f t="shared" ca="1" si="600"/>
        <v>500000</v>
      </c>
      <c r="AM366" s="570"/>
      <c r="AN366" s="682"/>
      <c r="AO366" s="682"/>
      <c r="AP366" s="125">
        <f>+AO368</f>
        <v>500000</v>
      </c>
      <c r="AQ366" s="125">
        <f t="shared" ref="AQ366:AS366" ca="1" si="601">+AP368</f>
        <v>500000</v>
      </c>
      <c r="AR366" s="125">
        <f t="shared" ca="1" si="601"/>
        <v>500000</v>
      </c>
      <c r="AS366" s="125">
        <f t="shared" ca="1" si="601"/>
        <v>500000</v>
      </c>
      <c r="AT366" s="125">
        <f ca="1">+AS368</f>
        <v>500000</v>
      </c>
    </row>
    <row r="367" spans="1:46" x14ac:dyDescent="0.25">
      <c r="B367" s="638" t="s">
        <v>455</v>
      </c>
      <c r="J367" s="116"/>
      <c r="K367" s="116"/>
      <c r="L367" s="116"/>
      <c r="M367" s="116"/>
      <c r="N367" s="116"/>
      <c r="O367" s="116"/>
      <c r="P367" s="116"/>
      <c r="Q367" s="116"/>
      <c r="R367" s="116"/>
      <c r="S367" s="706">
        <f t="shared" ref="S367:AL367" si="602">MAX(S319-S327-S350-S359,0)</f>
        <v>0</v>
      </c>
      <c r="T367" s="706">
        <f t="shared" si="602"/>
        <v>0</v>
      </c>
      <c r="U367" s="706">
        <f t="shared" si="602"/>
        <v>0</v>
      </c>
      <c r="V367" s="706">
        <f t="shared" ca="1" si="602"/>
        <v>0</v>
      </c>
      <c r="W367" s="706">
        <f t="shared" ca="1" si="602"/>
        <v>0</v>
      </c>
      <c r="X367" s="706">
        <f t="shared" ca="1" si="602"/>
        <v>0</v>
      </c>
      <c r="Y367" s="706">
        <f t="shared" ca="1" si="602"/>
        <v>0</v>
      </c>
      <c r="Z367" s="706">
        <f t="shared" ca="1" si="602"/>
        <v>0</v>
      </c>
      <c r="AA367" s="706">
        <f t="shared" ca="1" si="602"/>
        <v>0</v>
      </c>
      <c r="AB367" s="706">
        <f t="shared" ca="1" si="602"/>
        <v>0</v>
      </c>
      <c r="AC367" s="706">
        <f t="shared" ca="1" si="602"/>
        <v>0</v>
      </c>
      <c r="AD367" s="706">
        <f t="shared" ca="1" si="602"/>
        <v>0</v>
      </c>
      <c r="AE367" s="706">
        <f t="shared" ca="1" si="602"/>
        <v>0</v>
      </c>
      <c r="AF367" s="706">
        <f t="shared" ca="1" si="602"/>
        <v>0</v>
      </c>
      <c r="AG367" s="706">
        <f t="shared" ca="1" si="602"/>
        <v>0</v>
      </c>
      <c r="AH367" s="706">
        <f t="shared" ca="1" si="602"/>
        <v>0</v>
      </c>
      <c r="AI367" s="706">
        <f t="shared" ca="1" si="602"/>
        <v>0</v>
      </c>
      <c r="AJ367" s="706">
        <f t="shared" ca="1" si="602"/>
        <v>0</v>
      </c>
      <c r="AK367" s="706">
        <f t="shared" ca="1" si="602"/>
        <v>0</v>
      </c>
      <c r="AL367" s="706">
        <f t="shared" ca="1" si="602"/>
        <v>0</v>
      </c>
      <c r="AM367" s="570"/>
      <c r="AN367" s="69" t="s">
        <v>430</v>
      </c>
      <c r="AO367" s="687">
        <f>Closing_Date</f>
        <v>45199</v>
      </c>
      <c r="AP367" s="601">
        <f ca="1">SUMIF($K$4:$AL$4,AP$4,$K367:$AL367)</f>
        <v>0</v>
      </c>
      <c r="AQ367" s="601">
        <f t="shared" ref="AQ367:AT367" ca="1" si="603">SUMIF($K$4:$AL$4,AQ$4,$K367:$AL367)</f>
        <v>0</v>
      </c>
      <c r="AR367" s="601">
        <f t="shared" ca="1" si="603"/>
        <v>0</v>
      </c>
      <c r="AS367" s="601">
        <f t="shared" ca="1" si="603"/>
        <v>0</v>
      </c>
      <c r="AT367" s="601">
        <f t="shared" ca="1" si="603"/>
        <v>0</v>
      </c>
    </row>
    <row r="368" spans="1:46" x14ac:dyDescent="0.25">
      <c r="B368" s="665" t="s">
        <v>416</v>
      </c>
      <c r="C368" s="122"/>
      <c r="D368" s="122"/>
      <c r="E368" s="122"/>
      <c r="F368" s="122"/>
      <c r="G368" s="122"/>
      <c r="H368" s="122"/>
      <c r="I368" s="122"/>
      <c r="J368" s="683"/>
      <c r="K368" s="683"/>
      <c r="L368" s="683"/>
      <c r="M368" s="683"/>
      <c r="N368" s="683"/>
      <c r="O368" s="683"/>
      <c r="P368" s="683"/>
      <c r="Q368" s="683"/>
      <c r="R368" s="125">
        <f>IF(R$311="Yes",'Transaction Structure'!$J$105,SUM(R366:R367))</f>
        <v>0</v>
      </c>
      <c r="S368" s="125">
        <f>IF(S$311="Yes",'Transaction Structure'!$J$105,SUM(S366:S367))</f>
        <v>0</v>
      </c>
      <c r="T368" s="125">
        <f>IF(T$311="Yes",'Transaction Structure'!$J$105,SUM(T366:T367))</f>
        <v>0</v>
      </c>
      <c r="U368" s="125">
        <f>IF(U$311="Yes",'Transaction Structure'!$J$105,SUM(U366:U367))</f>
        <v>500000</v>
      </c>
      <c r="V368" s="125">
        <f ca="1">IF(V$311="Yes",'Transaction Structure'!$J$105,SUM(V366:V367))</f>
        <v>500000</v>
      </c>
      <c r="W368" s="125">
        <f ca="1">IF(W$311="Yes",'Transaction Structure'!$J$105,SUM(W366:W367))</f>
        <v>500000</v>
      </c>
      <c r="X368" s="125">
        <f ca="1">IF(X$311="Yes",'Transaction Structure'!$J$105,SUM(X366:X367))</f>
        <v>500000</v>
      </c>
      <c r="Y368" s="125">
        <f ca="1">IF(Y$311="Yes",'Transaction Structure'!$J$105,SUM(Y366:Y367))</f>
        <v>500000</v>
      </c>
      <c r="Z368" s="125">
        <f ca="1">IF(Z$311="Yes",'Transaction Structure'!$J$105,SUM(Z366:Z367))</f>
        <v>500000</v>
      </c>
      <c r="AA368" s="125">
        <f ca="1">IF(AA$311="Yes",'Transaction Structure'!$J$105,SUM(AA366:AA367))</f>
        <v>500000</v>
      </c>
      <c r="AB368" s="125">
        <f ca="1">IF(AB$311="Yes",'Transaction Structure'!$J$105,SUM(AB366:AB367))</f>
        <v>500000</v>
      </c>
      <c r="AC368" s="125">
        <f ca="1">IF(AC$311="Yes",'Transaction Structure'!$J$105,SUM(AC366:AC367))</f>
        <v>500000</v>
      </c>
      <c r="AD368" s="125">
        <f ca="1">IF(AD$311="Yes",'Transaction Structure'!$J$105,SUM(AD366:AD367))</f>
        <v>500000</v>
      </c>
      <c r="AE368" s="125">
        <f ca="1">IF(AE$311="Yes",'Transaction Structure'!$J$105,SUM(AE366:AE367))</f>
        <v>500000</v>
      </c>
      <c r="AF368" s="125">
        <f ca="1">IF(AF$311="Yes",'Transaction Structure'!$J$105,SUM(AF366:AF367))</f>
        <v>500000</v>
      </c>
      <c r="AG368" s="125">
        <f ca="1">IF(AG$311="Yes",'Transaction Structure'!$J$105,SUM(AG366:AG367))</f>
        <v>500000</v>
      </c>
      <c r="AH368" s="125">
        <f ca="1">IF(AH$311="Yes",'Transaction Structure'!$J$105,SUM(AH366:AH367))</f>
        <v>500000</v>
      </c>
      <c r="AI368" s="125">
        <f ca="1">IF(AI$311="Yes",'Transaction Structure'!$J$105,SUM(AI366:AI367))</f>
        <v>500000</v>
      </c>
      <c r="AJ368" s="125">
        <f ca="1">IF(AJ$311="Yes",'Transaction Structure'!$J$105,SUM(AJ366:AJ367))</f>
        <v>500000</v>
      </c>
      <c r="AK368" s="125">
        <f ca="1">IF(AK$311="Yes",'Transaction Structure'!$J$105,SUM(AK366:AK367))</f>
        <v>500000</v>
      </c>
      <c r="AL368" s="125">
        <f ca="1">IF(AL$311="Yes",'Transaction Structure'!$J$105,SUM(AL366:AL367))</f>
        <v>500000</v>
      </c>
      <c r="AM368" s="570"/>
      <c r="AN368" s="684"/>
      <c r="AO368" s="125">
        <f>INDEX(S$368:AL$368,MATCH(Closing_Date,$S$5:$AL$5,0))</f>
        <v>500000</v>
      </c>
      <c r="AP368" s="125">
        <f ca="1">SUM(AP366:AP367)</f>
        <v>500000</v>
      </c>
      <c r="AQ368" s="125">
        <f t="shared" ref="AQ368:AT368" ca="1" si="604">SUM(AQ366:AQ367)</f>
        <v>500000</v>
      </c>
      <c r="AR368" s="125">
        <f t="shared" ca="1" si="604"/>
        <v>500000</v>
      </c>
      <c r="AS368" s="125">
        <f t="shared" ca="1" si="604"/>
        <v>500000</v>
      </c>
      <c r="AT368" s="125">
        <f t="shared" ca="1" si="604"/>
        <v>500000</v>
      </c>
    </row>
    <row r="369" spans="2:46" x14ac:dyDescent="0.25">
      <c r="B369" s="98" t="s">
        <v>465</v>
      </c>
      <c r="J369" s="116"/>
      <c r="K369" s="116"/>
      <c r="L369" s="116"/>
      <c r="M369" s="116"/>
      <c r="N369" s="116"/>
      <c r="O369" s="116"/>
      <c r="P369" s="116"/>
      <c r="Q369" s="116"/>
      <c r="R369" s="116"/>
      <c r="S369" s="570">
        <f t="shared" ref="S369:AL369" si="605">IFERROR(INDEX($D$376:$D$385,MATCH(S$5,$C$376:$C$385,0),),0)</f>
        <v>0</v>
      </c>
      <c r="T369" s="570">
        <f t="shared" si="605"/>
        <v>0</v>
      </c>
      <c r="U369" s="570">
        <f t="shared" si="605"/>
        <v>0</v>
      </c>
      <c r="V369" s="570">
        <f t="shared" si="605"/>
        <v>0</v>
      </c>
      <c r="W369" s="570">
        <f t="shared" si="605"/>
        <v>18150</v>
      </c>
      <c r="X369" s="570">
        <f t="shared" si="605"/>
        <v>0</v>
      </c>
      <c r="Y369" s="570">
        <f t="shared" si="605"/>
        <v>18150</v>
      </c>
      <c r="Z369" s="570">
        <f t="shared" si="605"/>
        <v>0</v>
      </c>
      <c r="AA369" s="570">
        <f t="shared" si="605"/>
        <v>18150</v>
      </c>
      <c r="AB369" s="570">
        <f t="shared" si="605"/>
        <v>0</v>
      </c>
      <c r="AC369" s="570">
        <f t="shared" si="605"/>
        <v>18150</v>
      </c>
      <c r="AD369" s="570">
        <f t="shared" si="605"/>
        <v>0</v>
      </c>
      <c r="AE369" s="570">
        <f t="shared" si="605"/>
        <v>18150</v>
      </c>
      <c r="AF369" s="570">
        <f t="shared" si="605"/>
        <v>0</v>
      </c>
      <c r="AG369" s="570">
        <f t="shared" si="605"/>
        <v>18150</v>
      </c>
      <c r="AH369" s="570">
        <f t="shared" si="605"/>
        <v>0</v>
      </c>
      <c r="AI369" s="570">
        <f t="shared" si="605"/>
        <v>18150</v>
      </c>
      <c r="AJ369" s="570">
        <f t="shared" si="605"/>
        <v>0</v>
      </c>
      <c r="AK369" s="570">
        <f t="shared" si="605"/>
        <v>18150</v>
      </c>
      <c r="AL369" s="570">
        <f t="shared" si="605"/>
        <v>0</v>
      </c>
      <c r="AM369" s="570"/>
      <c r="AN369" s="710"/>
      <c r="AO369" s="570"/>
      <c r="AP369" s="601">
        <f>SUMIF($K$4:$AL$4,AP$4,$K369:$AL369)</f>
        <v>0</v>
      </c>
      <c r="AQ369" s="601">
        <f t="shared" ref="AQ369:AT369" si="606">SUMIF($K$4:$AL$4,AQ$4,$K369:$AL369)</f>
        <v>36300</v>
      </c>
      <c r="AR369" s="601">
        <f t="shared" si="606"/>
        <v>36300</v>
      </c>
      <c r="AS369" s="601">
        <f t="shared" si="606"/>
        <v>36300</v>
      </c>
      <c r="AT369" s="601">
        <f t="shared" si="606"/>
        <v>36300</v>
      </c>
    </row>
    <row r="370" spans="2:46" x14ac:dyDescent="0.25">
      <c r="B370" s="98" t="s">
        <v>457</v>
      </c>
      <c r="D370" s="76"/>
      <c r="E370" s="76"/>
      <c r="F370" s="76"/>
      <c r="G370" s="76"/>
      <c r="J370" s="116"/>
      <c r="K370" s="116"/>
      <c r="L370" s="116"/>
      <c r="M370" s="116"/>
      <c r="N370" s="116"/>
      <c r="O370" s="116"/>
      <c r="P370" s="116"/>
      <c r="Q370" s="116"/>
      <c r="R370" s="116"/>
      <c r="S370" s="710"/>
      <c r="T370" s="710"/>
      <c r="U370" s="710"/>
      <c r="V370" s="710"/>
      <c r="W370" s="710"/>
      <c r="X370" s="710"/>
      <c r="Y370" s="710"/>
      <c r="Z370" s="710"/>
      <c r="AA370" s="710"/>
      <c r="AB370" s="710"/>
      <c r="AC370" s="710"/>
      <c r="AD370" s="710"/>
      <c r="AE370" s="710"/>
      <c r="AF370" s="710"/>
      <c r="AG370" s="710"/>
      <c r="AH370" s="710"/>
      <c r="AI370" s="710"/>
      <c r="AJ370" s="710"/>
      <c r="AK370" s="710"/>
      <c r="AL370" s="710"/>
      <c r="AM370" s="570"/>
      <c r="AN370" s="570"/>
      <c r="AO370" s="570"/>
      <c r="AP370" s="570"/>
      <c r="AQ370" s="570"/>
      <c r="AR370" s="570"/>
      <c r="AS370" s="570"/>
      <c r="AT370" s="570"/>
    </row>
    <row r="371" spans="2:46" x14ac:dyDescent="0.25">
      <c r="B371" s="636" t="s">
        <v>466</v>
      </c>
      <c r="J371" s="116"/>
      <c r="K371" s="116"/>
      <c r="L371" s="116"/>
      <c r="M371" s="116"/>
      <c r="N371" s="116"/>
      <c r="O371" s="116"/>
      <c r="P371" s="116"/>
      <c r="Q371" s="116"/>
      <c r="R371" s="116"/>
      <c r="S371" s="710"/>
      <c r="T371" s="713"/>
      <c r="U371" s="570"/>
      <c r="V371" s="570"/>
      <c r="W371" s="570"/>
      <c r="X371" s="570"/>
      <c r="Y371" s="570"/>
      <c r="Z371" s="570"/>
      <c r="AA371" s="570"/>
      <c r="AB371" s="570"/>
      <c r="AC371" s="570"/>
      <c r="AD371" s="570"/>
      <c r="AE371" s="570"/>
      <c r="AF371" s="570"/>
      <c r="AG371" s="570"/>
      <c r="AH371" s="570"/>
      <c r="AI371" s="570"/>
      <c r="AJ371" s="570"/>
      <c r="AK371" s="570"/>
      <c r="AL371" s="570"/>
      <c r="AM371" s="570"/>
      <c r="AN371" s="570"/>
      <c r="AO371" s="570"/>
      <c r="AP371" s="570"/>
      <c r="AQ371" s="570"/>
      <c r="AR371" s="570"/>
      <c r="AS371" s="570"/>
      <c r="AT371" s="570"/>
    </row>
    <row r="372" spans="2:46" outlineLevel="1" x14ac:dyDescent="0.25">
      <c r="B372" s="98"/>
      <c r="C372" s="69" t="s">
        <v>430</v>
      </c>
      <c r="D372" s="687">
        <f>Closing_Date</f>
        <v>45199</v>
      </c>
      <c r="E372" s="687"/>
      <c r="F372" s="687"/>
      <c r="G372" s="687"/>
      <c r="H372" s="707">
        <v>7</v>
      </c>
      <c r="J372" s="116"/>
      <c r="K372" s="116"/>
      <c r="L372" s="116"/>
      <c r="M372" s="116"/>
      <c r="N372" s="116"/>
      <c r="O372" s="116"/>
      <c r="P372" s="116"/>
      <c r="Q372" s="116"/>
      <c r="R372" s="116"/>
      <c r="S372" s="710"/>
      <c r="T372" s="713"/>
      <c r="U372" s="570"/>
      <c r="V372" s="570"/>
      <c r="W372" s="570"/>
      <c r="X372" s="570"/>
      <c r="Y372" s="570"/>
      <c r="Z372" s="570"/>
      <c r="AA372" s="570"/>
      <c r="AB372" s="570"/>
      <c r="AC372" s="570"/>
      <c r="AD372" s="570"/>
      <c r="AE372" s="570"/>
      <c r="AF372" s="570"/>
      <c r="AG372" s="570"/>
      <c r="AH372" s="570"/>
      <c r="AI372" s="570"/>
      <c r="AJ372" s="570"/>
      <c r="AK372" s="570"/>
      <c r="AL372" s="570"/>
      <c r="AM372" s="570"/>
      <c r="AN372" s="570"/>
      <c r="AO372" s="570"/>
      <c r="AP372" s="570"/>
      <c r="AQ372" s="570"/>
      <c r="AR372" s="570"/>
      <c r="AS372" s="570"/>
      <c r="AT372" s="570"/>
    </row>
    <row r="373" spans="2:46" outlineLevel="1" x14ac:dyDescent="0.25">
      <c r="B373" s="98"/>
      <c r="C373" s="69" t="s">
        <v>467</v>
      </c>
      <c r="D373" s="713">
        <f>+'Transaction Structure'!J105</f>
        <v>500000</v>
      </c>
      <c r="E373" s="713"/>
      <c r="F373" s="713"/>
      <c r="G373" s="713"/>
      <c r="J373" s="116"/>
      <c r="K373" s="116"/>
      <c r="L373" s="116"/>
      <c r="M373" s="116"/>
      <c r="N373" s="116"/>
      <c r="O373" s="116"/>
      <c r="P373" s="116"/>
      <c r="Q373" s="116"/>
      <c r="R373" s="116"/>
      <c r="S373" s="710"/>
      <c r="T373" s="713"/>
      <c r="U373" s="570"/>
      <c r="V373" s="570"/>
      <c r="W373" s="570"/>
      <c r="X373" s="570"/>
      <c r="Y373" s="570"/>
      <c r="Z373" s="570"/>
      <c r="AA373" s="570"/>
      <c r="AB373" s="570"/>
      <c r="AC373" s="570"/>
      <c r="AD373" s="570"/>
      <c r="AE373" s="570"/>
      <c r="AF373" s="570"/>
      <c r="AG373" s="570"/>
      <c r="AH373" s="570"/>
      <c r="AI373" s="570"/>
      <c r="AJ373" s="570"/>
      <c r="AK373" s="570"/>
      <c r="AL373" s="570"/>
      <c r="AM373" s="570"/>
      <c r="AN373" s="570"/>
      <c r="AO373" s="570"/>
      <c r="AP373" s="570"/>
      <c r="AQ373" s="570"/>
      <c r="AR373" s="570"/>
      <c r="AS373" s="570"/>
      <c r="AT373" s="570"/>
    </row>
    <row r="374" spans="2:46" outlineLevel="1" x14ac:dyDescent="0.25">
      <c r="B374" s="98"/>
      <c r="C374" s="69" t="s">
        <v>468</v>
      </c>
      <c r="D374" s="710">
        <f>+'Transaction Structure'!G55</f>
        <v>7.2599999999999998E-2</v>
      </c>
      <c r="E374" s="710"/>
      <c r="F374" s="710"/>
      <c r="G374" s="710"/>
      <c r="J374" s="116"/>
      <c r="K374" s="116"/>
      <c r="L374" s="116"/>
      <c r="M374" s="116"/>
      <c r="N374" s="116"/>
      <c r="O374" s="116"/>
      <c r="P374" s="116"/>
      <c r="Q374" s="116"/>
      <c r="R374" s="116"/>
      <c r="S374" s="710"/>
      <c r="T374" s="713"/>
      <c r="U374" s="570"/>
      <c r="V374" s="570"/>
      <c r="W374" s="570"/>
      <c r="X374" s="570"/>
      <c r="Y374" s="570"/>
      <c r="Z374" s="570"/>
      <c r="AA374" s="570"/>
      <c r="AB374" s="570"/>
      <c r="AC374" s="570"/>
      <c r="AD374" s="570"/>
      <c r="AE374" s="570"/>
      <c r="AF374" s="570"/>
      <c r="AG374" s="570"/>
      <c r="AH374" s="570"/>
      <c r="AI374" s="570"/>
      <c r="AJ374" s="570"/>
      <c r="AK374" s="570"/>
      <c r="AL374" s="570"/>
      <c r="AM374" s="570"/>
      <c r="AN374" s="570"/>
      <c r="AO374" s="570"/>
      <c r="AP374" s="570"/>
      <c r="AQ374" s="570"/>
      <c r="AR374" s="570"/>
      <c r="AS374" s="570"/>
      <c r="AT374" s="570"/>
    </row>
    <row r="375" spans="2:46" outlineLevel="1" x14ac:dyDescent="0.25">
      <c r="C375" s="76" t="s">
        <v>469</v>
      </c>
      <c r="D375" s="69">
        <v>2</v>
      </c>
      <c r="J375" s="116"/>
      <c r="K375" s="116"/>
      <c r="L375" s="116"/>
      <c r="M375" s="116"/>
      <c r="N375" s="116"/>
      <c r="O375" s="116"/>
      <c r="P375" s="116"/>
      <c r="Q375" s="116"/>
      <c r="R375" s="116"/>
      <c r="S375" s="710"/>
      <c r="T375" s="713"/>
      <c r="U375" s="570"/>
      <c r="V375" s="570"/>
      <c r="W375" s="570"/>
      <c r="X375" s="570"/>
      <c r="Y375" s="570"/>
      <c r="Z375" s="570"/>
      <c r="AA375" s="570"/>
      <c r="AB375" s="570"/>
      <c r="AC375" s="570"/>
      <c r="AD375" s="570"/>
      <c r="AE375" s="570"/>
      <c r="AF375" s="570"/>
      <c r="AG375" s="570"/>
      <c r="AH375" s="570"/>
      <c r="AI375" s="570"/>
      <c r="AJ375" s="570"/>
      <c r="AK375" s="570"/>
      <c r="AL375" s="570"/>
      <c r="AM375" s="570"/>
      <c r="AN375" s="570"/>
      <c r="AO375" s="570"/>
      <c r="AP375" s="570"/>
      <c r="AQ375" s="570"/>
      <c r="AR375" s="570"/>
      <c r="AS375" s="570"/>
      <c r="AT375" s="570"/>
    </row>
    <row r="376" spans="2:46" outlineLevel="1" x14ac:dyDescent="0.25">
      <c r="C376" s="714">
        <f>EOMONTH(D372,6)</f>
        <v>45382</v>
      </c>
      <c r="D376" s="570">
        <f>+D373*D374/D375</f>
        <v>18150</v>
      </c>
      <c r="E376" s="570"/>
      <c r="F376" s="570"/>
      <c r="G376" s="570"/>
      <c r="J376" s="116"/>
      <c r="K376" s="116"/>
      <c r="L376" s="116"/>
      <c r="M376" s="116"/>
      <c r="N376" s="116"/>
      <c r="O376" s="116"/>
      <c r="P376" s="116"/>
      <c r="Q376" s="116"/>
      <c r="R376" s="116"/>
      <c r="S376" s="710"/>
      <c r="T376" s="713"/>
      <c r="U376" s="570"/>
      <c r="V376" s="570"/>
      <c r="W376" s="570"/>
      <c r="X376" s="570"/>
      <c r="Y376" s="570"/>
      <c r="Z376" s="570"/>
      <c r="AA376" s="570"/>
      <c r="AB376" s="570"/>
      <c r="AC376" s="570"/>
      <c r="AD376" s="570"/>
      <c r="AE376" s="570"/>
      <c r="AF376" s="570"/>
      <c r="AG376" s="570"/>
      <c r="AH376" s="570"/>
      <c r="AI376" s="570"/>
      <c r="AJ376" s="570"/>
      <c r="AK376" s="570"/>
      <c r="AL376" s="570"/>
      <c r="AM376" s="570"/>
      <c r="AN376" s="570"/>
      <c r="AO376" s="570"/>
      <c r="AP376" s="570"/>
      <c r="AQ376" s="570"/>
      <c r="AR376" s="570"/>
      <c r="AS376" s="570"/>
      <c r="AT376" s="570"/>
    </row>
    <row r="377" spans="2:46" outlineLevel="1" x14ac:dyDescent="0.25">
      <c r="C377" s="714">
        <f>EOMONTH(C376,6)</f>
        <v>45565</v>
      </c>
      <c r="D377" s="570">
        <f>+D376</f>
        <v>18150</v>
      </c>
      <c r="E377" s="570"/>
      <c r="F377" s="570"/>
      <c r="G377" s="570"/>
      <c r="J377" s="116"/>
      <c r="K377" s="116"/>
      <c r="L377" s="116"/>
      <c r="M377" s="116"/>
      <c r="N377" s="116"/>
      <c r="O377" s="116"/>
      <c r="P377" s="116"/>
      <c r="Q377" s="116"/>
      <c r="R377" s="116"/>
      <c r="S377" s="710"/>
      <c r="T377" s="713"/>
      <c r="U377" s="570"/>
      <c r="V377" s="570"/>
      <c r="W377" s="570"/>
      <c r="X377" s="570"/>
      <c r="Y377" s="570"/>
      <c r="Z377" s="570"/>
      <c r="AA377" s="570"/>
      <c r="AB377" s="570"/>
      <c r="AC377" s="570"/>
      <c r="AD377" s="570"/>
      <c r="AE377" s="570"/>
      <c r="AF377" s="570"/>
      <c r="AG377" s="570"/>
      <c r="AH377" s="570"/>
      <c r="AI377" s="570"/>
      <c r="AJ377" s="570"/>
      <c r="AK377" s="570"/>
      <c r="AL377" s="570"/>
      <c r="AM377" s="570"/>
      <c r="AN377" s="570"/>
      <c r="AO377" s="570"/>
      <c r="AP377" s="570"/>
      <c r="AQ377" s="570"/>
      <c r="AR377" s="570"/>
      <c r="AS377" s="570"/>
      <c r="AT377" s="570"/>
    </row>
    <row r="378" spans="2:46" outlineLevel="1" x14ac:dyDescent="0.25">
      <c r="C378" s="714">
        <f>EOMONTH(C377,6)</f>
        <v>45747</v>
      </c>
      <c r="D378" s="570">
        <f t="shared" ref="D378:D385" si="607">+D377</f>
        <v>18150</v>
      </c>
      <c r="E378" s="570"/>
      <c r="F378" s="570"/>
      <c r="G378" s="570"/>
      <c r="J378" s="116"/>
      <c r="K378" s="116"/>
      <c r="L378" s="116"/>
      <c r="M378" s="116"/>
      <c r="N378" s="116"/>
      <c r="O378" s="116"/>
      <c r="P378" s="116"/>
      <c r="Q378" s="116"/>
      <c r="R378" s="116"/>
      <c r="S378" s="710"/>
      <c r="T378" s="713"/>
      <c r="U378" s="570"/>
      <c r="V378" s="570"/>
      <c r="W378" s="570"/>
      <c r="X378" s="570"/>
      <c r="Y378" s="570"/>
      <c r="Z378" s="570"/>
      <c r="AA378" s="570"/>
      <c r="AB378" s="570"/>
      <c r="AC378" s="570"/>
      <c r="AD378" s="570"/>
      <c r="AE378" s="570"/>
      <c r="AF378" s="570"/>
      <c r="AG378" s="570"/>
      <c r="AH378" s="570"/>
      <c r="AI378" s="570"/>
      <c r="AJ378" s="570"/>
      <c r="AK378" s="570"/>
      <c r="AL378" s="570"/>
      <c r="AM378" s="570"/>
      <c r="AN378" s="570"/>
      <c r="AO378" s="570"/>
      <c r="AP378" s="570"/>
      <c r="AQ378" s="570"/>
      <c r="AR378" s="570"/>
      <c r="AS378" s="570"/>
      <c r="AT378" s="570"/>
    </row>
    <row r="379" spans="2:46" outlineLevel="1" x14ac:dyDescent="0.25">
      <c r="C379" s="714">
        <f>EOMONTH(C378,6)</f>
        <v>45930</v>
      </c>
      <c r="D379" s="570">
        <f t="shared" si="607"/>
        <v>18150</v>
      </c>
      <c r="E379" s="570"/>
      <c r="F379" s="570"/>
      <c r="G379" s="570"/>
      <c r="J379" s="116"/>
      <c r="K379" s="116"/>
      <c r="L379" s="116"/>
      <c r="M379" s="116"/>
      <c r="N379" s="116"/>
      <c r="O379" s="116"/>
      <c r="P379" s="116"/>
      <c r="Q379" s="116"/>
      <c r="R379" s="116"/>
      <c r="S379" s="710"/>
      <c r="T379" s="713"/>
      <c r="U379" s="570"/>
      <c r="V379" s="570"/>
      <c r="W379" s="570"/>
      <c r="X379" s="570"/>
      <c r="Y379" s="570"/>
      <c r="Z379" s="570"/>
      <c r="AA379" s="570"/>
      <c r="AB379" s="570"/>
      <c r="AC379" s="570"/>
      <c r="AD379" s="570"/>
      <c r="AE379" s="570"/>
      <c r="AF379" s="570"/>
      <c r="AG379" s="570"/>
      <c r="AH379" s="570"/>
      <c r="AI379" s="570"/>
      <c r="AJ379" s="570"/>
      <c r="AK379" s="570"/>
      <c r="AL379" s="570"/>
      <c r="AM379" s="570"/>
      <c r="AN379" s="570"/>
      <c r="AO379" s="570"/>
      <c r="AP379" s="570"/>
      <c r="AQ379" s="570"/>
      <c r="AR379" s="570"/>
      <c r="AS379" s="570"/>
      <c r="AT379" s="570"/>
    </row>
    <row r="380" spans="2:46" outlineLevel="1" x14ac:dyDescent="0.25">
      <c r="C380" s="714">
        <f>EOMONTH(C379,6)</f>
        <v>46112</v>
      </c>
      <c r="D380" s="570">
        <f t="shared" si="607"/>
        <v>18150</v>
      </c>
      <c r="E380" s="570"/>
      <c r="F380" s="570"/>
      <c r="G380" s="570"/>
      <c r="J380" s="116"/>
      <c r="K380" s="116"/>
      <c r="L380" s="116"/>
      <c r="M380" s="116"/>
      <c r="N380" s="116"/>
      <c r="O380" s="116"/>
      <c r="P380" s="116"/>
      <c r="Q380" s="116"/>
      <c r="R380" s="116"/>
      <c r="S380" s="713"/>
      <c r="T380" s="713"/>
      <c r="U380" s="713"/>
      <c r="V380" s="713"/>
      <c r="W380" s="713"/>
      <c r="X380" s="570"/>
      <c r="Y380" s="570"/>
      <c r="Z380" s="570"/>
      <c r="AA380" s="570"/>
      <c r="AB380" s="570"/>
      <c r="AC380" s="570"/>
      <c r="AD380" s="570"/>
      <c r="AE380" s="570"/>
      <c r="AF380" s="570"/>
      <c r="AG380" s="570"/>
      <c r="AH380" s="570"/>
      <c r="AI380" s="570"/>
      <c r="AJ380" s="570"/>
      <c r="AK380" s="570"/>
      <c r="AL380" s="570"/>
      <c r="AM380" s="570"/>
      <c r="AN380" s="570"/>
      <c r="AO380" s="570"/>
      <c r="AP380" s="570"/>
      <c r="AQ380" s="570"/>
      <c r="AR380" s="570"/>
      <c r="AS380" s="570"/>
      <c r="AT380" s="570"/>
    </row>
    <row r="381" spans="2:46" outlineLevel="1" x14ac:dyDescent="0.25">
      <c r="C381" s="714">
        <f t="shared" ref="C381:C384" si="608">EOMONTH(C380,6)</f>
        <v>46295</v>
      </c>
      <c r="D381" s="570">
        <f t="shared" si="607"/>
        <v>18150</v>
      </c>
      <c r="E381" s="570"/>
      <c r="F381" s="570"/>
      <c r="G381" s="570"/>
      <c r="J381" s="116"/>
      <c r="K381" s="116"/>
      <c r="L381" s="116"/>
      <c r="M381" s="116"/>
      <c r="N381" s="116"/>
      <c r="O381" s="116"/>
      <c r="P381" s="116"/>
      <c r="Q381" s="116"/>
      <c r="R381" s="116"/>
      <c r="S381" s="713"/>
      <c r="T381" s="713"/>
      <c r="U381" s="713"/>
      <c r="V381" s="713"/>
      <c r="W381" s="713"/>
      <c r="X381" s="570"/>
      <c r="Y381" s="570"/>
      <c r="Z381" s="570"/>
      <c r="AA381" s="570"/>
      <c r="AB381" s="570"/>
      <c r="AC381" s="570"/>
      <c r="AD381" s="570"/>
      <c r="AE381" s="570"/>
      <c r="AF381" s="570"/>
      <c r="AG381" s="570"/>
      <c r="AH381" s="570"/>
      <c r="AI381" s="570"/>
      <c r="AJ381" s="570"/>
      <c r="AK381" s="570"/>
      <c r="AL381" s="570"/>
      <c r="AM381" s="570"/>
      <c r="AN381" s="570"/>
      <c r="AO381" s="570"/>
      <c r="AP381" s="570"/>
      <c r="AQ381" s="570"/>
      <c r="AR381" s="570"/>
      <c r="AS381" s="570"/>
      <c r="AT381" s="570"/>
    </row>
    <row r="382" spans="2:46" outlineLevel="1" x14ac:dyDescent="0.25">
      <c r="C382" s="714">
        <f t="shared" si="608"/>
        <v>46477</v>
      </c>
      <c r="D382" s="570">
        <f t="shared" si="607"/>
        <v>18150</v>
      </c>
      <c r="E382" s="570"/>
      <c r="F382" s="570"/>
      <c r="G382" s="570"/>
      <c r="J382" s="116"/>
      <c r="K382" s="116"/>
      <c r="L382" s="116"/>
      <c r="M382" s="116"/>
      <c r="N382" s="116"/>
      <c r="O382" s="116"/>
      <c r="P382" s="116"/>
      <c r="Q382" s="116"/>
      <c r="R382" s="116"/>
      <c r="S382" s="713"/>
      <c r="T382" s="713"/>
      <c r="U382" s="713"/>
      <c r="V382" s="713"/>
      <c r="W382" s="713"/>
      <c r="X382" s="570"/>
      <c r="Y382" s="570"/>
      <c r="Z382" s="570"/>
      <c r="AA382" s="570"/>
      <c r="AB382" s="570"/>
      <c r="AC382" s="570"/>
      <c r="AD382" s="570"/>
      <c r="AE382" s="570"/>
      <c r="AF382" s="570"/>
      <c r="AG382" s="570"/>
      <c r="AH382" s="570"/>
      <c r="AI382" s="570"/>
      <c r="AJ382" s="570"/>
      <c r="AK382" s="570"/>
      <c r="AL382" s="570"/>
      <c r="AM382" s="570"/>
      <c r="AN382" s="570"/>
      <c r="AO382" s="570"/>
      <c r="AP382" s="570"/>
      <c r="AQ382" s="570"/>
      <c r="AR382" s="570"/>
      <c r="AS382" s="570"/>
      <c r="AT382" s="570"/>
    </row>
    <row r="383" spans="2:46" outlineLevel="1" x14ac:dyDescent="0.25">
      <c r="C383" s="714">
        <f t="shared" si="608"/>
        <v>46660</v>
      </c>
      <c r="D383" s="570">
        <f t="shared" si="607"/>
        <v>18150</v>
      </c>
      <c r="E383" s="570"/>
      <c r="F383" s="570"/>
      <c r="G383" s="570"/>
      <c r="J383" s="116"/>
      <c r="K383" s="116"/>
      <c r="L383" s="116"/>
      <c r="M383" s="116"/>
      <c r="N383" s="116"/>
      <c r="O383" s="116"/>
      <c r="P383" s="116"/>
      <c r="Q383" s="116"/>
      <c r="R383" s="116"/>
      <c r="S383" s="713"/>
      <c r="T383" s="713"/>
      <c r="U383" s="713"/>
      <c r="V383" s="713"/>
      <c r="W383" s="713"/>
      <c r="X383" s="570"/>
      <c r="Y383" s="570"/>
      <c r="Z383" s="570"/>
      <c r="AA383" s="570"/>
      <c r="AB383" s="570"/>
      <c r="AC383" s="570"/>
      <c r="AD383" s="570"/>
      <c r="AE383" s="570"/>
      <c r="AF383" s="570"/>
      <c r="AG383" s="570"/>
      <c r="AH383" s="570"/>
      <c r="AI383" s="570"/>
      <c r="AJ383" s="570"/>
      <c r="AK383" s="570"/>
      <c r="AL383" s="570"/>
      <c r="AM383" s="570"/>
      <c r="AN383" s="570"/>
      <c r="AO383" s="570"/>
      <c r="AP383" s="570"/>
      <c r="AQ383" s="570"/>
      <c r="AR383" s="570"/>
      <c r="AS383" s="570"/>
      <c r="AT383" s="570"/>
    </row>
    <row r="384" spans="2:46" outlineLevel="1" x14ac:dyDescent="0.25">
      <c r="C384" s="714">
        <f t="shared" si="608"/>
        <v>46843</v>
      </c>
      <c r="D384" s="570">
        <f t="shared" si="607"/>
        <v>18150</v>
      </c>
      <c r="E384" s="570"/>
      <c r="F384" s="570"/>
      <c r="G384" s="570"/>
      <c r="J384" s="116"/>
      <c r="K384" s="116"/>
      <c r="L384" s="116"/>
      <c r="M384" s="116"/>
      <c r="N384" s="116"/>
      <c r="O384" s="116"/>
      <c r="P384" s="116"/>
      <c r="Q384" s="116"/>
      <c r="R384" s="116"/>
      <c r="S384" s="713"/>
      <c r="T384" s="713"/>
      <c r="U384" s="713"/>
      <c r="V384" s="713"/>
      <c r="W384" s="713"/>
      <c r="X384" s="570"/>
      <c r="Y384" s="570"/>
      <c r="Z384" s="570"/>
      <c r="AA384" s="570"/>
      <c r="AB384" s="570"/>
      <c r="AC384" s="570"/>
      <c r="AD384" s="570"/>
      <c r="AE384" s="570"/>
      <c r="AF384" s="570"/>
      <c r="AG384" s="570"/>
      <c r="AH384" s="570"/>
      <c r="AI384" s="570"/>
      <c r="AJ384" s="570"/>
      <c r="AK384" s="570"/>
      <c r="AL384" s="570"/>
      <c r="AM384" s="570"/>
      <c r="AN384" s="570"/>
      <c r="AO384" s="570"/>
      <c r="AP384" s="570"/>
      <c r="AQ384" s="570"/>
      <c r="AR384" s="570"/>
      <c r="AS384" s="570"/>
      <c r="AT384" s="570"/>
    </row>
    <row r="385" spans="1:46" outlineLevel="1" x14ac:dyDescent="0.25">
      <c r="B385" s="98"/>
      <c r="C385" s="714">
        <f t="shared" ref="C385" si="609">EOMONTH(C384,6)</f>
        <v>47026</v>
      </c>
      <c r="D385" s="570">
        <f t="shared" si="607"/>
        <v>18150</v>
      </c>
      <c r="E385" s="570"/>
      <c r="F385" s="570"/>
      <c r="G385" s="570"/>
      <c r="J385" s="116"/>
      <c r="K385" s="116"/>
      <c r="L385" s="116"/>
      <c r="M385" s="116"/>
      <c r="N385" s="116"/>
      <c r="O385" s="116"/>
      <c r="P385" s="116"/>
      <c r="Q385" s="116"/>
      <c r="R385" s="116"/>
      <c r="S385" s="713"/>
      <c r="T385" s="713"/>
      <c r="U385" s="713"/>
      <c r="V385" s="713"/>
      <c r="W385" s="713"/>
      <c r="X385" s="570"/>
      <c r="Y385" s="570"/>
      <c r="Z385" s="570"/>
      <c r="AA385" s="570"/>
      <c r="AB385" s="570"/>
      <c r="AC385" s="570"/>
      <c r="AD385" s="570"/>
      <c r="AE385" s="570"/>
      <c r="AF385" s="570"/>
      <c r="AG385" s="570"/>
      <c r="AH385" s="570"/>
      <c r="AI385" s="570"/>
      <c r="AJ385" s="570"/>
      <c r="AK385" s="570"/>
      <c r="AL385" s="570"/>
      <c r="AM385" s="570"/>
      <c r="AN385" s="570"/>
      <c r="AO385" s="570"/>
      <c r="AP385" s="570"/>
      <c r="AQ385" s="570"/>
      <c r="AR385" s="570"/>
      <c r="AS385" s="570"/>
      <c r="AT385" s="570"/>
    </row>
    <row r="386" spans="1:46" x14ac:dyDescent="0.25">
      <c r="B386" s="98"/>
      <c r="C386" s="714"/>
      <c r="D386" s="570"/>
      <c r="E386" s="570"/>
      <c r="F386" s="570"/>
      <c r="G386" s="570"/>
      <c r="J386" s="116"/>
      <c r="K386" s="116"/>
      <c r="L386" s="116"/>
      <c r="M386" s="116"/>
      <c r="N386" s="116"/>
      <c r="O386" s="116"/>
      <c r="P386" s="116"/>
      <c r="Q386" s="116"/>
      <c r="R386" s="116"/>
      <c r="S386" s="713"/>
      <c r="T386" s="713"/>
      <c r="U386" s="713"/>
      <c r="V386" s="713"/>
      <c r="W386" s="713"/>
      <c r="X386" s="570"/>
      <c r="Y386" s="570"/>
      <c r="Z386" s="570"/>
      <c r="AA386" s="570"/>
      <c r="AB386" s="570"/>
      <c r="AC386" s="570"/>
      <c r="AD386" s="570"/>
      <c r="AE386" s="570"/>
      <c r="AF386" s="570"/>
      <c r="AG386" s="570"/>
      <c r="AH386" s="570"/>
      <c r="AI386" s="570"/>
      <c r="AJ386" s="570"/>
      <c r="AK386" s="570"/>
      <c r="AL386" s="570"/>
      <c r="AM386" s="570"/>
      <c r="AN386" s="570"/>
      <c r="AO386" s="570"/>
      <c r="AP386" s="570"/>
      <c r="AQ386" s="570"/>
      <c r="AR386" s="570"/>
      <c r="AS386" s="570"/>
      <c r="AT386" s="570"/>
    </row>
    <row r="387" spans="1:46" x14ac:dyDescent="0.25">
      <c r="A387" s="69" t="s">
        <v>207</v>
      </c>
      <c r="B387" s="756" t="s">
        <v>470</v>
      </c>
      <c r="C387" s="676" t="s">
        <v>471</v>
      </c>
      <c r="D387" s="676"/>
      <c r="E387" s="676"/>
      <c r="F387" s="676"/>
      <c r="G387" s="676"/>
      <c r="H387" s="676"/>
      <c r="I387" s="676"/>
      <c r="J387" s="676"/>
      <c r="K387" s="676"/>
      <c r="L387" s="676"/>
      <c r="M387" s="676"/>
      <c r="N387" s="676"/>
      <c r="O387" s="676"/>
      <c r="P387" s="676"/>
      <c r="Q387" s="676"/>
      <c r="R387" s="676"/>
      <c r="S387" s="676"/>
      <c r="T387" s="676"/>
      <c r="U387" s="676"/>
      <c r="V387" s="676"/>
      <c r="W387" s="676"/>
      <c r="X387" s="676"/>
      <c r="Y387" s="676"/>
      <c r="Z387" s="676"/>
      <c r="AA387" s="676"/>
      <c r="AB387" s="676"/>
      <c r="AC387" s="676"/>
      <c r="AD387" s="676"/>
      <c r="AE387" s="676"/>
      <c r="AF387" s="676"/>
      <c r="AG387" s="676"/>
      <c r="AH387" s="676"/>
      <c r="AI387" s="676"/>
      <c r="AJ387" s="676"/>
      <c r="AK387" s="676"/>
      <c r="AL387" s="676"/>
      <c r="AM387" s="570"/>
      <c r="AN387" s="676"/>
      <c r="AO387" s="676"/>
      <c r="AP387" s="676"/>
      <c r="AQ387" s="676"/>
      <c r="AR387" s="676"/>
      <c r="AS387" s="676"/>
      <c r="AT387" s="676"/>
    </row>
    <row r="388" spans="1:46" x14ac:dyDescent="0.25">
      <c r="B388" s="98" t="s">
        <v>19</v>
      </c>
      <c r="C388" s="58">
        <f>+'Transaction Structure'!J102</f>
        <v>0</v>
      </c>
      <c r="D388" s="69" t="s">
        <v>453</v>
      </c>
      <c r="H388" s="567"/>
      <c r="J388" s="116"/>
      <c r="K388" s="116"/>
      <c r="L388" s="116"/>
      <c r="M388" s="116"/>
      <c r="N388" s="116"/>
      <c r="O388" s="116"/>
      <c r="P388" s="116"/>
      <c r="Q388" s="116"/>
      <c r="R388" s="116"/>
      <c r="S388" s="570">
        <f>+S329</f>
        <v>0</v>
      </c>
      <c r="T388" s="570">
        <f>+T329</f>
        <v>0</v>
      </c>
      <c r="U388" s="570">
        <f>+U329</f>
        <v>0</v>
      </c>
      <c r="V388" s="570">
        <f ca="1">+V329</f>
        <v>0</v>
      </c>
      <c r="W388" s="570">
        <f t="shared" ref="W388:AL388" ca="1" si="610">+W329</f>
        <v>0</v>
      </c>
      <c r="X388" s="570">
        <f t="shared" ca="1" si="610"/>
        <v>0</v>
      </c>
      <c r="Y388" s="570">
        <f t="shared" ca="1" si="610"/>
        <v>0</v>
      </c>
      <c r="Z388" s="570">
        <f t="shared" ca="1" si="610"/>
        <v>0</v>
      </c>
      <c r="AA388" s="570">
        <f t="shared" ca="1" si="610"/>
        <v>0</v>
      </c>
      <c r="AB388" s="570">
        <f t="shared" ca="1" si="610"/>
        <v>0</v>
      </c>
      <c r="AC388" s="570">
        <f t="shared" ca="1" si="610"/>
        <v>0</v>
      </c>
      <c r="AD388" s="570">
        <f t="shared" ca="1" si="610"/>
        <v>0</v>
      </c>
      <c r="AE388" s="570">
        <f t="shared" ca="1" si="610"/>
        <v>0</v>
      </c>
      <c r="AF388" s="570">
        <f t="shared" ca="1" si="610"/>
        <v>0</v>
      </c>
      <c r="AG388" s="570">
        <f t="shared" ca="1" si="610"/>
        <v>0</v>
      </c>
      <c r="AH388" s="570">
        <f t="shared" ca="1" si="610"/>
        <v>0</v>
      </c>
      <c r="AI388" s="570">
        <f t="shared" ca="1" si="610"/>
        <v>204.47278221706219</v>
      </c>
      <c r="AJ388" s="570">
        <f t="shared" ca="1" si="610"/>
        <v>237.20385655135593</v>
      </c>
      <c r="AK388" s="570">
        <f t="shared" ca="1" si="610"/>
        <v>30.663310464556115</v>
      </c>
      <c r="AL388" s="570">
        <f t="shared" ca="1" si="610"/>
        <v>0</v>
      </c>
      <c r="AM388" s="570"/>
      <c r="AN388" s="682"/>
      <c r="AO388" s="682"/>
      <c r="AP388" s="601">
        <f ca="1">SUMIF($K$4:$AL$4,AP$4,$K388:$AL388)</f>
        <v>0</v>
      </c>
      <c r="AQ388" s="601">
        <f t="shared" ref="AQ388:AT388" ca="1" si="611">SUMIF($K$4:$AL$4,AQ$4,$K388:$AL388)</f>
        <v>0</v>
      </c>
      <c r="AR388" s="601">
        <f t="shared" ca="1" si="611"/>
        <v>0</v>
      </c>
      <c r="AS388" s="601">
        <f t="shared" ca="1" si="611"/>
        <v>0</v>
      </c>
      <c r="AT388" s="601">
        <f t="shared" ca="1" si="611"/>
        <v>472.33994923297422</v>
      </c>
    </row>
    <row r="389" spans="1:46" x14ac:dyDescent="0.25">
      <c r="B389" s="98" t="s">
        <v>20</v>
      </c>
      <c r="C389" s="58">
        <f>+'Transaction Structure'!J103</f>
        <v>0</v>
      </c>
      <c r="D389" s="69" t="s">
        <v>453</v>
      </c>
      <c r="H389" s="567"/>
      <c r="J389" s="116"/>
      <c r="K389" s="116"/>
      <c r="L389" s="116"/>
      <c r="M389" s="116"/>
      <c r="N389" s="116"/>
      <c r="O389" s="116"/>
      <c r="P389" s="116"/>
      <c r="Q389" s="116"/>
      <c r="R389" s="116"/>
      <c r="S389" s="570">
        <f>+S352</f>
        <v>0</v>
      </c>
      <c r="T389" s="570">
        <f>+T352</f>
        <v>0</v>
      </c>
      <c r="U389" s="570">
        <f>+U352</f>
        <v>0</v>
      </c>
      <c r="V389" s="570">
        <f ca="1">+V352</f>
        <v>0</v>
      </c>
      <c r="W389" s="570">
        <f t="shared" ref="W389:AL389" ca="1" si="612">+W352</f>
        <v>0</v>
      </c>
      <c r="X389" s="570">
        <f t="shared" ca="1" si="612"/>
        <v>0</v>
      </c>
      <c r="Y389" s="570">
        <f t="shared" ca="1" si="612"/>
        <v>0</v>
      </c>
      <c r="Z389" s="570">
        <f t="shared" ca="1" si="612"/>
        <v>0</v>
      </c>
      <c r="AA389" s="570">
        <f t="shared" ca="1" si="612"/>
        <v>0</v>
      </c>
      <c r="AB389" s="570">
        <f t="shared" ca="1" si="612"/>
        <v>0</v>
      </c>
      <c r="AC389" s="570">
        <f t="shared" ca="1" si="612"/>
        <v>0</v>
      </c>
      <c r="AD389" s="570">
        <f t="shared" ca="1" si="612"/>
        <v>0</v>
      </c>
      <c r="AE389" s="570">
        <f t="shared" ca="1" si="612"/>
        <v>0</v>
      </c>
      <c r="AF389" s="570">
        <f t="shared" ca="1" si="612"/>
        <v>0</v>
      </c>
      <c r="AG389" s="570">
        <f t="shared" ca="1" si="612"/>
        <v>0</v>
      </c>
      <c r="AH389" s="570">
        <f t="shared" ca="1" si="612"/>
        <v>0</v>
      </c>
      <c r="AI389" s="570">
        <f t="shared" ca="1" si="612"/>
        <v>0</v>
      </c>
      <c r="AJ389" s="570">
        <f t="shared" ca="1" si="612"/>
        <v>0</v>
      </c>
      <c r="AK389" s="570">
        <f t="shared" ca="1" si="612"/>
        <v>0</v>
      </c>
      <c r="AL389" s="570">
        <f t="shared" ca="1" si="612"/>
        <v>0</v>
      </c>
      <c r="AM389" s="570"/>
      <c r="AN389" s="682"/>
      <c r="AO389" s="682"/>
      <c r="AP389" s="601">
        <f t="shared" ref="AP389:AT393" ca="1" si="613">SUMIF($K$4:$AL$4,AP$4,$K389:$AL389)</f>
        <v>0</v>
      </c>
      <c r="AQ389" s="601">
        <f t="shared" ca="1" si="613"/>
        <v>0</v>
      </c>
      <c r="AR389" s="601">
        <f t="shared" ca="1" si="613"/>
        <v>0</v>
      </c>
      <c r="AS389" s="601">
        <f t="shared" ca="1" si="613"/>
        <v>0</v>
      </c>
      <c r="AT389" s="601">
        <f t="shared" ca="1" si="613"/>
        <v>0</v>
      </c>
    </row>
    <row r="390" spans="1:46" x14ac:dyDescent="0.25">
      <c r="B390" s="98" t="s">
        <v>22</v>
      </c>
      <c r="C390" s="58">
        <f>+'Transaction Structure'!J105</f>
        <v>500000</v>
      </c>
      <c r="D390" s="69" t="s">
        <v>453</v>
      </c>
      <c r="J390" s="116"/>
      <c r="K390" s="116"/>
      <c r="L390" s="116"/>
      <c r="M390" s="116"/>
      <c r="N390" s="116"/>
      <c r="O390" s="116"/>
      <c r="P390" s="116"/>
      <c r="Q390" s="116"/>
      <c r="R390" s="116"/>
      <c r="S390" s="570">
        <f>_xlfn.IFNA(S369,0)</f>
        <v>0</v>
      </c>
      <c r="T390" s="570">
        <f t="shared" ref="T390:V390" si="614">_xlfn.IFNA(T369,0)</f>
        <v>0</v>
      </c>
      <c r="U390" s="570">
        <f t="shared" si="614"/>
        <v>0</v>
      </c>
      <c r="V390" s="570">
        <f t="shared" si="614"/>
        <v>0</v>
      </c>
      <c r="W390" s="570">
        <f t="shared" ref="W390:AL390" si="615">_xlfn.IFNA(W369,0)</f>
        <v>18150</v>
      </c>
      <c r="X390" s="570">
        <f t="shared" si="615"/>
        <v>0</v>
      </c>
      <c r="Y390" s="570">
        <f t="shared" si="615"/>
        <v>18150</v>
      </c>
      <c r="Z390" s="570">
        <f t="shared" si="615"/>
        <v>0</v>
      </c>
      <c r="AA390" s="570">
        <f t="shared" si="615"/>
        <v>18150</v>
      </c>
      <c r="AB390" s="570">
        <f t="shared" si="615"/>
        <v>0</v>
      </c>
      <c r="AC390" s="570">
        <f t="shared" si="615"/>
        <v>18150</v>
      </c>
      <c r="AD390" s="570">
        <f t="shared" si="615"/>
        <v>0</v>
      </c>
      <c r="AE390" s="570">
        <f t="shared" si="615"/>
        <v>18150</v>
      </c>
      <c r="AF390" s="570">
        <f t="shared" si="615"/>
        <v>0</v>
      </c>
      <c r="AG390" s="570">
        <f t="shared" si="615"/>
        <v>18150</v>
      </c>
      <c r="AH390" s="570">
        <f t="shared" si="615"/>
        <v>0</v>
      </c>
      <c r="AI390" s="570">
        <f t="shared" si="615"/>
        <v>18150</v>
      </c>
      <c r="AJ390" s="570">
        <f t="shared" si="615"/>
        <v>0</v>
      </c>
      <c r="AK390" s="570">
        <f t="shared" si="615"/>
        <v>18150</v>
      </c>
      <c r="AL390" s="570">
        <f t="shared" si="615"/>
        <v>0</v>
      </c>
      <c r="AM390" s="570"/>
      <c r="AN390" s="682"/>
      <c r="AO390" s="682"/>
      <c r="AP390" s="601">
        <f t="shared" si="613"/>
        <v>0</v>
      </c>
      <c r="AQ390" s="601">
        <f t="shared" si="613"/>
        <v>36300</v>
      </c>
      <c r="AR390" s="601">
        <f t="shared" si="613"/>
        <v>36300</v>
      </c>
      <c r="AS390" s="601">
        <f t="shared" si="613"/>
        <v>36300</v>
      </c>
      <c r="AT390" s="601">
        <f t="shared" si="613"/>
        <v>36300</v>
      </c>
    </row>
    <row r="391" spans="1:46" x14ac:dyDescent="0.25">
      <c r="B391" s="98" t="s">
        <v>472</v>
      </c>
      <c r="C391" s="58">
        <f>+'Transaction Structure'!J104</f>
        <v>0</v>
      </c>
      <c r="D391" s="69" t="s">
        <v>453</v>
      </c>
      <c r="I391" s="715"/>
      <c r="J391" s="116"/>
      <c r="K391" s="116"/>
      <c r="L391" s="116"/>
      <c r="M391" s="116"/>
      <c r="N391" s="116"/>
      <c r="O391" s="116"/>
      <c r="P391" s="116"/>
      <c r="Q391" s="116"/>
      <c r="R391" s="116"/>
      <c r="S391" s="570"/>
      <c r="T391" s="570"/>
      <c r="U391" s="570"/>
      <c r="V391" s="570"/>
      <c r="W391" s="570"/>
      <c r="X391" s="570"/>
      <c r="Y391" s="570"/>
      <c r="Z391" s="570"/>
      <c r="AA391" s="570"/>
      <c r="AB391" s="570"/>
      <c r="AC391" s="570"/>
      <c r="AD391" s="570"/>
      <c r="AE391" s="570"/>
      <c r="AF391" s="570"/>
      <c r="AG391" s="570"/>
      <c r="AH391" s="570"/>
      <c r="AI391" s="570"/>
      <c r="AJ391" s="570"/>
      <c r="AK391" s="570"/>
      <c r="AL391" s="570"/>
      <c r="AM391" s="570"/>
      <c r="AN391" s="682"/>
      <c r="AO391" s="682"/>
      <c r="AP391" s="601">
        <f t="shared" si="613"/>
        <v>0</v>
      </c>
      <c r="AQ391" s="601">
        <f t="shared" si="613"/>
        <v>0</v>
      </c>
      <c r="AR391" s="601">
        <f t="shared" si="613"/>
        <v>0</v>
      </c>
      <c r="AS391" s="601">
        <f t="shared" si="613"/>
        <v>0</v>
      </c>
      <c r="AT391" s="601">
        <f t="shared" si="613"/>
        <v>0</v>
      </c>
    </row>
    <row r="392" spans="1:46" x14ac:dyDescent="0.25">
      <c r="B392" s="638" t="s">
        <v>473</v>
      </c>
      <c r="I392" s="716"/>
      <c r="J392" s="116"/>
      <c r="K392" s="116"/>
      <c r="L392" s="116"/>
      <c r="M392" s="116"/>
      <c r="N392" s="116"/>
      <c r="O392" s="116"/>
      <c r="P392" s="116"/>
      <c r="Q392" s="116"/>
      <c r="R392" s="116"/>
      <c r="S392" s="570">
        <f>+S361</f>
        <v>0</v>
      </c>
      <c r="T392" s="570">
        <f>+T361</f>
        <v>0</v>
      </c>
      <c r="U392" s="570">
        <f>+U361</f>
        <v>0</v>
      </c>
      <c r="V392" s="570">
        <f ca="1">+V361</f>
        <v>0</v>
      </c>
      <c r="W392" s="570">
        <f t="shared" ref="W392:AL392" ca="1" si="616">+W361</f>
        <v>0</v>
      </c>
      <c r="X392" s="570">
        <f t="shared" ca="1" si="616"/>
        <v>0</v>
      </c>
      <c r="Y392" s="570">
        <f t="shared" ca="1" si="616"/>
        <v>0</v>
      </c>
      <c r="Z392" s="570">
        <f t="shared" ca="1" si="616"/>
        <v>0</v>
      </c>
      <c r="AA392" s="570">
        <f t="shared" ca="1" si="616"/>
        <v>0</v>
      </c>
      <c r="AB392" s="570">
        <f t="shared" ca="1" si="616"/>
        <v>0</v>
      </c>
      <c r="AC392" s="570">
        <f t="shared" ca="1" si="616"/>
        <v>0</v>
      </c>
      <c r="AD392" s="570">
        <f t="shared" ca="1" si="616"/>
        <v>0</v>
      </c>
      <c r="AE392" s="570">
        <f t="shared" ca="1" si="616"/>
        <v>0</v>
      </c>
      <c r="AF392" s="570">
        <f t="shared" ca="1" si="616"/>
        <v>0</v>
      </c>
      <c r="AG392" s="570">
        <f t="shared" ca="1" si="616"/>
        <v>0</v>
      </c>
      <c r="AH392" s="570">
        <f t="shared" ca="1" si="616"/>
        <v>0</v>
      </c>
      <c r="AI392" s="570">
        <f t="shared" ca="1" si="616"/>
        <v>0</v>
      </c>
      <c r="AJ392" s="570">
        <f t="shared" ca="1" si="616"/>
        <v>0</v>
      </c>
      <c r="AK392" s="570">
        <f t="shared" ca="1" si="616"/>
        <v>0</v>
      </c>
      <c r="AL392" s="570">
        <f t="shared" ca="1" si="616"/>
        <v>0</v>
      </c>
      <c r="AM392" s="570"/>
      <c r="AN392" s="682"/>
      <c r="AO392" s="682"/>
      <c r="AP392" s="601">
        <f t="shared" ca="1" si="613"/>
        <v>0</v>
      </c>
      <c r="AQ392" s="601">
        <f t="shared" ca="1" si="613"/>
        <v>0</v>
      </c>
      <c r="AR392" s="601">
        <f t="shared" ca="1" si="613"/>
        <v>0</v>
      </c>
      <c r="AS392" s="601">
        <f t="shared" ca="1" si="613"/>
        <v>0</v>
      </c>
      <c r="AT392" s="601">
        <f t="shared" ca="1" si="613"/>
        <v>0</v>
      </c>
    </row>
    <row r="393" spans="1:46" x14ac:dyDescent="0.25">
      <c r="B393" s="638" t="s">
        <v>474</v>
      </c>
      <c r="D393" s="717"/>
      <c r="E393" s="717"/>
      <c r="F393" s="717"/>
      <c r="G393" s="717"/>
      <c r="I393" s="716"/>
      <c r="J393" s="116"/>
      <c r="K393" s="116"/>
      <c r="L393" s="116"/>
      <c r="M393" s="116"/>
      <c r="N393" s="116"/>
      <c r="O393" s="116"/>
      <c r="P393" s="116"/>
      <c r="Q393" s="116"/>
      <c r="R393" s="116"/>
      <c r="S393" s="570">
        <f>+S358</f>
        <v>0</v>
      </c>
      <c r="T393" s="570">
        <f>+T358</f>
        <v>0</v>
      </c>
      <c r="U393" s="570">
        <f>+U358</f>
        <v>0</v>
      </c>
      <c r="V393" s="570">
        <f>+V358</f>
        <v>0</v>
      </c>
      <c r="W393" s="570">
        <f t="shared" ref="W393:AL393" ca="1" si="617">+W358</f>
        <v>0</v>
      </c>
      <c r="X393" s="570">
        <f t="shared" ca="1" si="617"/>
        <v>0</v>
      </c>
      <c r="Y393" s="570">
        <f t="shared" ca="1" si="617"/>
        <v>0</v>
      </c>
      <c r="Z393" s="570">
        <f t="shared" ca="1" si="617"/>
        <v>0</v>
      </c>
      <c r="AA393" s="570">
        <f t="shared" ca="1" si="617"/>
        <v>0</v>
      </c>
      <c r="AB393" s="570">
        <f t="shared" ca="1" si="617"/>
        <v>0</v>
      </c>
      <c r="AC393" s="570">
        <f t="shared" ca="1" si="617"/>
        <v>0</v>
      </c>
      <c r="AD393" s="570">
        <f t="shared" ca="1" si="617"/>
        <v>0</v>
      </c>
      <c r="AE393" s="570">
        <f t="shared" ca="1" si="617"/>
        <v>0</v>
      </c>
      <c r="AF393" s="570">
        <f t="shared" ca="1" si="617"/>
        <v>0</v>
      </c>
      <c r="AG393" s="570">
        <f t="shared" ca="1" si="617"/>
        <v>0</v>
      </c>
      <c r="AH393" s="570">
        <f t="shared" ca="1" si="617"/>
        <v>0</v>
      </c>
      <c r="AI393" s="570">
        <f t="shared" ca="1" si="617"/>
        <v>0</v>
      </c>
      <c r="AJ393" s="570">
        <f t="shared" ca="1" si="617"/>
        <v>0</v>
      </c>
      <c r="AK393" s="570">
        <f t="shared" ca="1" si="617"/>
        <v>0</v>
      </c>
      <c r="AL393" s="570">
        <f t="shared" ca="1" si="617"/>
        <v>0</v>
      </c>
      <c r="AM393" s="570"/>
      <c r="AN393" s="682"/>
      <c r="AO393" s="682"/>
      <c r="AP393" s="601">
        <f t="shared" si="613"/>
        <v>0</v>
      </c>
      <c r="AQ393" s="601">
        <f t="shared" ca="1" si="613"/>
        <v>0</v>
      </c>
      <c r="AR393" s="601">
        <f t="shared" ca="1" si="613"/>
        <v>0</v>
      </c>
      <c r="AS393" s="601">
        <f t="shared" ca="1" si="613"/>
        <v>0</v>
      </c>
      <c r="AT393" s="601">
        <f t="shared" ca="1" si="613"/>
        <v>0</v>
      </c>
    </row>
    <row r="394" spans="1:46" s="134" customFormat="1" x14ac:dyDescent="0.25">
      <c r="A394" s="69"/>
      <c r="B394" s="757" t="s">
        <v>475</v>
      </c>
      <c r="C394" s="718">
        <f>SUM(C388:C393)</f>
        <v>500000</v>
      </c>
      <c r="D394" s="719"/>
      <c r="E394" s="719"/>
      <c r="F394" s="719"/>
      <c r="G394" s="719"/>
      <c r="H394" s="719"/>
      <c r="I394" s="719"/>
      <c r="J394" s="719"/>
      <c r="K394" s="719"/>
      <c r="L394" s="719"/>
      <c r="M394" s="719"/>
      <c r="N394" s="719"/>
      <c r="O394" s="719"/>
      <c r="P394" s="719"/>
      <c r="Q394" s="719"/>
      <c r="R394" s="719"/>
      <c r="S394" s="718">
        <f t="shared" ref="S394:AL394" si="618">SUM(S388:S390,S392:S393)</f>
        <v>0</v>
      </c>
      <c r="T394" s="718">
        <f t="shared" si="618"/>
        <v>0</v>
      </c>
      <c r="U394" s="718">
        <f t="shared" si="618"/>
        <v>0</v>
      </c>
      <c r="V394" s="718">
        <f t="shared" ca="1" si="618"/>
        <v>0</v>
      </c>
      <c r="W394" s="718">
        <f t="shared" ca="1" si="618"/>
        <v>18150</v>
      </c>
      <c r="X394" s="718">
        <f t="shared" ca="1" si="618"/>
        <v>0</v>
      </c>
      <c r="Y394" s="718">
        <f t="shared" ca="1" si="618"/>
        <v>18150</v>
      </c>
      <c r="Z394" s="718">
        <f t="shared" ca="1" si="618"/>
        <v>0</v>
      </c>
      <c r="AA394" s="718">
        <f t="shared" ca="1" si="618"/>
        <v>18150</v>
      </c>
      <c r="AB394" s="718">
        <f t="shared" ca="1" si="618"/>
        <v>0</v>
      </c>
      <c r="AC394" s="718">
        <f t="shared" ca="1" si="618"/>
        <v>18150</v>
      </c>
      <c r="AD394" s="718">
        <f t="shared" ca="1" si="618"/>
        <v>0</v>
      </c>
      <c r="AE394" s="718">
        <f t="shared" ca="1" si="618"/>
        <v>18150</v>
      </c>
      <c r="AF394" s="718">
        <f t="shared" ca="1" si="618"/>
        <v>0</v>
      </c>
      <c r="AG394" s="718">
        <f t="shared" ca="1" si="618"/>
        <v>18150</v>
      </c>
      <c r="AH394" s="718">
        <f t="shared" ca="1" si="618"/>
        <v>0</v>
      </c>
      <c r="AI394" s="718">
        <f t="shared" ca="1" si="618"/>
        <v>18354.472782217061</v>
      </c>
      <c r="AJ394" s="718">
        <f t="shared" ca="1" si="618"/>
        <v>237.20385655135593</v>
      </c>
      <c r="AK394" s="718">
        <f t="shared" ca="1" si="618"/>
        <v>18180.663310464555</v>
      </c>
      <c r="AL394" s="718">
        <f t="shared" ca="1" si="618"/>
        <v>0</v>
      </c>
      <c r="AM394" s="720"/>
      <c r="AN394" s="718"/>
      <c r="AO394" s="718"/>
      <c r="AP394" s="718">
        <f ca="1">SUM(AP388:AP393)</f>
        <v>0</v>
      </c>
      <c r="AQ394" s="718">
        <f t="shared" ref="AQ394:AT394" ca="1" si="619">SUM(AQ388:AQ393)</f>
        <v>36300</v>
      </c>
      <c r="AR394" s="718">
        <f t="shared" ca="1" si="619"/>
        <v>36300</v>
      </c>
      <c r="AS394" s="718">
        <f t="shared" ca="1" si="619"/>
        <v>36300</v>
      </c>
      <c r="AT394" s="718">
        <f t="shared" ca="1" si="619"/>
        <v>36772.339949232977</v>
      </c>
    </row>
    <row r="395" spans="1:46" x14ac:dyDescent="0.25">
      <c r="A395" s="134"/>
      <c r="B395" s="98"/>
      <c r="S395" s="570"/>
      <c r="T395" s="570"/>
      <c r="U395" s="570"/>
      <c r="V395" s="570"/>
      <c r="W395" s="570"/>
      <c r="X395" s="570"/>
      <c r="Y395" s="570"/>
      <c r="Z395" s="570"/>
      <c r="AA395" s="570"/>
      <c r="AB395" s="570"/>
      <c r="AC395" s="570"/>
      <c r="AD395" s="570"/>
      <c r="AE395" s="570"/>
      <c r="AF395" s="570"/>
      <c r="AG395" s="570"/>
      <c r="AH395" s="570"/>
      <c r="AI395" s="570"/>
      <c r="AJ395" s="570"/>
      <c r="AK395" s="570"/>
      <c r="AL395" s="570"/>
      <c r="AM395" s="570"/>
      <c r="AN395" s="570"/>
      <c r="AO395" s="570"/>
      <c r="AP395" s="570"/>
      <c r="AQ395" s="570"/>
      <c r="AR395" s="570"/>
      <c r="AS395" s="570"/>
      <c r="AT395" s="570"/>
    </row>
    <row r="396" spans="1:46" x14ac:dyDescent="0.25">
      <c r="A396" s="69" t="s">
        <v>207</v>
      </c>
      <c r="B396" s="756" t="s">
        <v>476</v>
      </c>
      <c r="C396" s="676"/>
      <c r="D396" s="676"/>
      <c r="E396" s="676"/>
      <c r="F396" s="676"/>
      <c r="G396" s="676"/>
      <c r="H396" s="676"/>
      <c r="I396" s="676"/>
      <c r="J396" s="676"/>
      <c r="K396" s="676"/>
      <c r="L396" s="676"/>
      <c r="M396" s="676"/>
      <c r="N396" s="676"/>
      <c r="O396" s="676"/>
      <c r="P396" s="676"/>
      <c r="Q396" s="676"/>
      <c r="R396" s="676"/>
      <c r="S396" s="676"/>
      <c r="T396" s="676"/>
      <c r="U396" s="676"/>
      <c r="V396" s="676"/>
      <c r="W396" s="676"/>
      <c r="X396" s="676"/>
      <c r="Y396" s="676"/>
      <c r="Z396" s="676"/>
      <c r="AA396" s="676"/>
      <c r="AB396" s="676"/>
      <c r="AC396" s="676"/>
      <c r="AD396" s="676"/>
      <c r="AE396" s="676"/>
      <c r="AF396" s="676"/>
      <c r="AG396" s="676"/>
      <c r="AH396" s="676"/>
      <c r="AI396" s="676"/>
      <c r="AJ396" s="676"/>
      <c r="AK396" s="676"/>
      <c r="AL396" s="676"/>
      <c r="AM396" s="570"/>
      <c r="AN396" s="676"/>
      <c r="AO396" s="676"/>
      <c r="AP396" s="676"/>
      <c r="AQ396" s="676"/>
      <c r="AR396" s="676"/>
      <c r="AS396" s="676"/>
      <c r="AT396" s="676"/>
    </row>
    <row r="397" spans="1:46" x14ac:dyDescent="0.25">
      <c r="B397" s="98" t="s">
        <v>477</v>
      </c>
      <c r="J397" s="116"/>
      <c r="K397" s="116"/>
      <c r="L397" s="116"/>
      <c r="M397" s="116"/>
      <c r="N397" s="116"/>
      <c r="O397" s="116"/>
      <c r="P397" s="116"/>
      <c r="Q397" s="116"/>
      <c r="R397" s="116"/>
      <c r="S397" s="570">
        <f t="shared" ref="S397:AL397" si="620">IF(S$5&gt;=Closing_Date,S192,0)</f>
        <v>0</v>
      </c>
      <c r="T397" s="570">
        <f t="shared" si="620"/>
        <v>0</v>
      </c>
      <c r="U397" s="570">
        <f t="shared" ca="1" si="620"/>
        <v>635275.72016170959</v>
      </c>
      <c r="V397" s="570">
        <f t="shared" ca="1" si="620"/>
        <v>24999.999999999651</v>
      </c>
      <c r="W397" s="570">
        <f t="shared" ca="1" si="620"/>
        <v>50503.943002136992</v>
      </c>
      <c r="X397" s="570">
        <f t="shared" ca="1" si="620"/>
        <v>47663.768396651518</v>
      </c>
      <c r="Y397" s="570">
        <f t="shared" ca="1" si="620"/>
        <v>66074.312655787377</v>
      </c>
      <c r="Z397" s="570">
        <f t="shared" ca="1" si="620"/>
        <v>68283.876882257493</v>
      </c>
      <c r="AA397" s="570">
        <f t="shared" ca="1" si="620"/>
        <v>92748.340149424577</v>
      </c>
      <c r="AB397" s="570">
        <f t="shared" ca="1" si="620"/>
        <v>86826.044602563576</v>
      </c>
      <c r="AC397" s="570">
        <f t="shared" ca="1" si="620"/>
        <v>103186.39289381464</v>
      </c>
      <c r="AD397" s="570">
        <f t="shared" ca="1" si="620"/>
        <v>113367.12794134906</v>
      </c>
      <c r="AE397" s="570">
        <f t="shared" ca="1" si="620"/>
        <v>136318.94057490339</v>
      </c>
      <c r="AF397" s="570">
        <f t="shared" ca="1" si="620"/>
        <v>122278.96651408635</v>
      </c>
      <c r="AG397" s="570">
        <f t="shared" ca="1" si="620"/>
        <v>139262.57545557374</v>
      </c>
      <c r="AH397" s="570">
        <f t="shared" ca="1" si="620"/>
        <v>155310.66858863179</v>
      </c>
      <c r="AI397" s="570">
        <f t="shared" ca="1" si="620"/>
        <v>176695.3831276751</v>
      </c>
      <c r="AJ397" s="570">
        <f t="shared" ca="1" si="620"/>
        <v>162371.37704120483</v>
      </c>
      <c r="AK397" s="570">
        <f t="shared" ca="1" si="620"/>
        <v>172991.49388004711</v>
      </c>
      <c r="AL397" s="570">
        <f t="shared" ca="1" si="620"/>
        <v>191142.91300981201</v>
      </c>
      <c r="AM397" s="570"/>
      <c r="AN397" s="682"/>
      <c r="AO397" s="682"/>
      <c r="AP397" s="570">
        <f t="shared" ref="AP397:AT399" ca="1" si="621">INDEX($K397:$AL397,MATCH(AP$5,$K$5:$AL$5,0))</f>
        <v>24999.999999999651</v>
      </c>
      <c r="AQ397" s="570">
        <f t="shared" ca="1" si="621"/>
        <v>68283.876882257493</v>
      </c>
      <c r="AR397" s="570">
        <f t="shared" ca="1" si="621"/>
        <v>113367.12794134906</v>
      </c>
      <c r="AS397" s="570">
        <f t="shared" ca="1" si="621"/>
        <v>155310.66858863179</v>
      </c>
      <c r="AT397" s="570">
        <f t="shared" ca="1" si="621"/>
        <v>191142.91300981201</v>
      </c>
    </row>
    <row r="398" spans="1:46" x14ac:dyDescent="0.25">
      <c r="B398" s="98" t="s">
        <v>478</v>
      </c>
      <c r="J398" s="116"/>
      <c r="K398" s="116"/>
      <c r="L398" s="116"/>
      <c r="M398" s="116"/>
      <c r="N398" s="116"/>
      <c r="O398" s="116"/>
      <c r="P398" s="116"/>
      <c r="Q398" s="116"/>
      <c r="R398" s="116"/>
      <c r="S398" s="570">
        <f t="shared" ref="S398:AL398" si="622">IF(S$5&gt;=Closing_Date,S193,0)</f>
        <v>0</v>
      </c>
      <c r="T398" s="570">
        <f t="shared" si="622"/>
        <v>0</v>
      </c>
      <c r="U398" s="570">
        <f t="shared" ca="1" si="622"/>
        <v>24999.999999999651</v>
      </c>
      <c r="V398" s="570">
        <f t="shared" ca="1" si="622"/>
        <v>50503.943002136992</v>
      </c>
      <c r="W398" s="570">
        <f t="shared" ca="1" si="622"/>
        <v>47663.768396651518</v>
      </c>
      <c r="X398" s="570">
        <f t="shared" ca="1" si="622"/>
        <v>66074.312655787377</v>
      </c>
      <c r="Y398" s="570">
        <f t="shared" ca="1" si="622"/>
        <v>68283.876882257493</v>
      </c>
      <c r="Z398" s="570">
        <f t="shared" ca="1" si="622"/>
        <v>92748.340149424577</v>
      </c>
      <c r="AA398" s="570">
        <f t="shared" ca="1" si="622"/>
        <v>86826.044602563576</v>
      </c>
      <c r="AB398" s="570">
        <f t="shared" ca="1" si="622"/>
        <v>103186.39289381464</v>
      </c>
      <c r="AC398" s="570">
        <f t="shared" ca="1" si="622"/>
        <v>113367.12794134906</v>
      </c>
      <c r="AD398" s="570">
        <f t="shared" ca="1" si="622"/>
        <v>136318.94057490339</v>
      </c>
      <c r="AE398" s="570">
        <f t="shared" ca="1" si="622"/>
        <v>122278.96651408635</v>
      </c>
      <c r="AF398" s="570">
        <f t="shared" ca="1" si="622"/>
        <v>139262.57545557374</v>
      </c>
      <c r="AG398" s="570">
        <f t="shared" ca="1" si="622"/>
        <v>155310.66858863179</v>
      </c>
      <c r="AH398" s="570">
        <f t="shared" ca="1" si="622"/>
        <v>176695.3831276751</v>
      </c>
      <c r="AI398" s="570">
        <f t="shared" ca="1" si="622"/>
        <v>162371.37704120483</v>
      </c>
      <c r="AJ398" s="570">
        <f t="shared" ca="1" si="622"/>
        <v>172991.49388004711</v>
      </c>
      <c r="AK398" s="570">
        <f t="shared" ca="1" si="622"/>
        <v>191142.91300981201</v>
      </c>
      <c r="AL398" s="570">
        <f t="shared" ca="1" si="622"/>
        <v>211327.37941165364</v>
      </c>
      <c r="AM398" s="570"/>
      <c r="AN398" s="682"/>
      <c r="AO398" s="682"/>
      <c r="AP398" s="570">
        <f t="shared" ca="1" si="621"/>
        <v>50503.943002136992</v>
      </c>
      <c r="AQ398" s="570">
        <f t="shared" ca="1" si="621"/>
        <v>92748.340149424577</v>
      </c>
      <c r="AR398" s="570">
        <f t="shared" ca="1" si="621"/>
        <v>136318.94057490339</v>
      </c>
      <c r="AS398" s="570">
        <f t="shared" ca="1" si="621"/>
        <v>176695.3831276751</v>
      </c>
      <c r="AT398" s="570">
        <f t="shared" ca="1" si="621"/>
        <v>211327.37941165364</v>
      </c>
    </row>
    <row r="399" spans="1:46" x14ac:dyDescent="0.25">
      <c r="B399" s="98" t="s">
        <v>479</v>
      </c>
      <c r="C399" s="1236">
        <f>+'Transaction Structure'!G51</f>
        <v>2.5000000000000001E-2</v>
      </c>
      <c r="D399" s="76" t="s">
        <v>443</v>
      </c>
      <c r="E399" s="76"/>
      <c r="F399" s="76"/>
      <c r="G399" s="76"/>
      <c r="H399" s="721">
        <v>4</v>
      </c>
      <c r="J399" s="116"/>
      <c r="K399" s="116"/>
      <c r="L399" s="116"/>
      <c r="M399" s="116"/>
      <c r="N399" s="116"/>
      <c r="O399" s="116"/>
      <c r="P399" s="116"/>
      <c r="Q399" s="116"/>
      <c r="R399" s="116"/>
      <c r="S399" s="710">
        <f>+$C$399</f>
        <v>2.5000000000000001E-2</v>
      </c>
      <c r="T399" s="710">
        <f t="shared" ref="T399:AL399" si="623">+$C$399</f>
        <v>2.5000000000000001E-2</v>
      </c>
      <c r="U399" s="710">
        <f t="shared" si="623"/>
        <v>2.5000000000000001E-2</v>
      </c>
      <c r="V399" s="710">
        <f t="shared" si="623"/>
        <v>2.5000000000000001E-2</v>
      </c>
      <c r="W399" s="710">
        <f t="shared" si="623"/>
        <v>2.5000000000000001E-2</v>
      </c>
      <c r="X399" s="710">
        <f t="shared" si="623"/>
        <v>2.5000000000000001E-2</v>
      </c>
      <c r="Y399" s="710">
        <f t="shared" si="623"/>
        <v>2.5000000000000001E-2</v>
      </c>
      <c r="Z399" s="710">
        <f t="shared" si="623"/>
        <v>2.5000000000000001E-2</v>
      </c>
      <c r="AA399" s="710">
        <f t="shared" si="623"/>
        <v>2.5000000000000001E-2</v>
      </c>
      <c r="AB399" s="710">
        <f t="shared" si="623"/>
        <v>2.5000000000000001E-2</v>
      </c>
      <c r="AC399" s="710">
        <f t="shared" si="623"/>
        <v>2.5000000000000001E-2</v>
      </c>
      <c r="AD399" s="710">
        <f t="shared" si="623"/>
        <v>2.5000000000000001E-2</v>
      </c>
      <c r="AE399" s="710">
        <f t="shared" si="623"/>
        <v>2.5000000000000001E-2</v>
      </c>
      <c r="AF399" s="710">
        <f t="shared" si="623"/>
        <v>2.5000000000000001E-2</v>
      </c>
      <c r="AG399" s="710">
        <f t="shared" si="623"/>
        <v>2.5000000000000001E-2</v>
      </c>
      <c r="AH399" s="710">
        <f t="shared" si="623"/>
        <v>2.5000000000000001E-2</v>
      </c>
      <c r="AI399" s="710">
        <f t="shared" si="623"/>
        <v>2.5000000000000001E-2</v>
      </c>
      <c r="AJ399" s="710">
        <f t="shared" si="623"/>
        <v>2.5000000000000001E-2</v>
      </c>
      <c r="AK399" s="710">
        <f t="shared" si="623"/>
        <v>2.5000000000000001E-2</v>
      </c>
      <c r="AL399" s="710">
        <f t="shared" si="623"/>
        <v>2.5000000000000001E-2</v>
      </c>
      <c r="AM399" s="570"/>
      <c r="AN399" s="682"/>
      <c r="AO399" s="682"/>
      <c r="AP399" s="177">
        <f t="shared" si="621"/>
        <v>2.5000000000000001E-2</v>
      </c>
      <c r="AQ399" s="177">
        <f t="shared" si="621"/>
        <v>2.5000000000000001E-2</v>
      </c>
      <c r="AR399" s="177">
        <f t="shared" si="621"/>
        <v>2.5000000000000001E-2</v>
      </c>
      <c r="AS399" s="177">
        <f t="shared" si="621"/>
        <v>2.5000000000000001E-2</v>
      </c>
      <c r="AT399" s="177">
        <f t="shared" si="621"/>
        <v>2.5000000000000001E-2</v>
      </c>
    </row>
    <row r="400" spans="1:46" x14ac:dyDescent="0.25">
      <c r="B400" s="757" t="s">
        <v>480</v>
      </c>
      <c r="C400" s="719"/>
      <c r="D400" s="719"/>
      <c r="E400" s="719"/>
      <c r="F400" s="719"/>
      <c r="G400" s="719"/>
      <c r="H400" s="719"/>
      <c r="I400" s="719"/>
      <c r="J400" s="719"/>
      <c r="K400" s="719"/>
      <c r="L400" s="719"/>
      <c r="M400" s="719"/>
      <c r="N400" s="719"/>
      <c r="O400" s="719"/>
      <c r="P400" s="719"/>
      <c r="Q400" s="719"/>
      <c r="R400" s="719"/>
      <c r="S400" s="722">
        <f>AVERAGE(S397,S398)*S399/$H$399</f>
        <v>0</v>
      </c>
      <c r="T400" s="722">
        <f t="shared" ref="T400:AL400" si="624">AVERAGE(T397,T398)*T399/$H$399</f>
        <v>0</v>
      </c>
      <c r="U400" s="722">
        <f t="shared" ca="1" si="624"/>
        <v>2063.3616255053416</v>
      </c>
      <c r="V400" s="722">
        <f t="shared" ca="1" si="624"/>
        <v>235.94982188167702</v>
      </c>
      <c r="W400" s="722">
        <f t="shared" ca="1" si="624"/>
        <v>306.77409812121408</v>
      </c>
      <c r="X400" s="722">
        <f t="shared" ca="1" si="624"/>
        <v>355.43150328887157</v>
      </c>
      <c r="Y400" s="722">
        <f t="shared" ca="1" si="624"/>
        <v>419.86934230639019</v>
      </c>
      <c r="Z400" s="722">
        <f t="shared" ca="1" si="624"/>
        <v>503.22567822400651</v>
      </c>
      <c r="AA400" s="722">
        <f t="shared" ca="1" si="624"/>
        <v>561.16995234996307</v>
      </c>
      <c r="AB400" s="722">
        <f t="shared" ca="1" si="624"/>
        <v>593.78886717618195</v>
      </c>
      <c r="AC400" s="722">
        <f t="shared" ca="1" si="624"/>
        <v>676.72975260988665</v>
      </c>
      <c r="AD400" s="722">
        <f t="shared" ca="1" si="624"/>
        <v>780.26896411328892</v>
      </c>
      <c r="AE400" s="722">
        <f t="shared" ca="1" si="624"/>
        <v>808.11845965309294</v>
      </c>
      <c r="AF400" s="722">
        <f t="shared" ca="1" si="624"/>
        <v>817.31731865518782</v>
      </c>
      <c r="AG400" s="722">
        <f t="shared" ca="1" si="624"/>
        <v>920.54138763814228</v>
      </c>
      <c r="AH400" s="722">
        <f t="shared" ca="1" si="624"/>
        <v>1037.5189116134591</v>
      </c>
      <c r="AI400" s="722">
        <f t="shared" ca="1" si="624"/>
        <v>1059.5836255277497</v>
      </c>
      <c r="AJ400" s="722">
        <f t="shared" ca="1" si="624"/>
        <v>1048.0089716289124</v>
      </c>
      <c r="AK400" s="722">
        <f t="shared" ca="1" si="624"/>
        <v>1137.9200215308099</v>
      </c>
      <c r="AL400" s="722">
        <f t="shared" ca="1" si="624"/>
        <v>1257.7196638170801</v>
      </c>
      <c r="AM400" s="570"/>
      <c r="AN400" s="570"/>
      <c r="AO400" s="570"/>
      <c r="AP400" s="722">
        <f t="shared" ref="AP400:AT400" ca="1" si="625">SUMIF($K$4:$AL$4,AP$4,$K400:$AL400)</f>
        <v>2299.3114473870187</v>
      </c>
      <c r="AQ400" s="722">
        <f t="shared" ca="1" si="625"/>
        <v>1585.3006219404824</v>
      </c>
      <c r="AR400" s="722">
        <f t="shared" ca="1" si="625"/>
        <v>2611.9575362493206</v>
      </c>
      <c r="AS400" s="722">
        <f t="shared" ca="1" si="625"/>
        <v>3583.496077559882</v>
      </c>
      <c r="AT400" s="722">
        <f t="shared" ca="1" si="625"/>
        <v>4503.2322825045521</v>
      </c>
    </row>
    <row r="402" spans="1:46" x14ac:dyDescent="0.25">
      <c r="A402" s="69" t="s">
        <v>207</v>
      </c>
      <c r="B402" s="756" t="s">
        <v>181</v>
      </c>
      <c r="C402" s="676"/>
      <c r="D402" s="676"/>
      <c r="E402" s="676"/>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676"/>
      <c r="AF402" s="676"/>
      <c r="AG402" s="676"/>
      <c r="AH402" s="676"/>
      <c r="AI402" s="676"/>
      <c r="AJ402" s="676"/>
      <c r="AK402" s="676"/>
      <c r="AL402" s="676"/>
      <c r="AM402" s="570"/>
      <c r="AN402" s="676"/>
      <c r="AO402" s="676"/>
      <c r="AP402" s="676"/>
      <c r="AQ402" s="676"/>
      <c r="AR402" s="676"/>
      <c r="AS402" s="676"/>
      <c r="AT402" s="676"/>
    </row>
    <row r="403" spans="1:46" x14ac:dyDescent="0.25">
      <c r="B403" s="98" t="s">
        <v>477</v>
      </c>
      <c r="C403" s="134"/>
      <c r="D403" s="134"/>
      <c r="E403" s="134"/>
      <c r="F403" s="134"/>
      <c r="G403" s="134"/>
      <c r="H403" s="134"/>
      <c r="I403" s="134"/>
      <c r="J403" s="116"/>
      <c r="K403" s="116"/>
      <c r="L403" s="116"/>
      <c r="M403" s="116"/>
      <c r="N403" s="116"/>
      <c r="O403" s="116"/>
      <c r="P403" s="116"/>
      <c r="Q403" s="116"/>
      <c r="R403" s="116"/>
      <c r="S403" s="570">
        <f>IF(R405&gt;0,R405,0)</f>
        <v>0</v>
      </c>
      <c r="T403" s="570">
        <f>IF(S405&gt;0,S405,0)</f>
        <v>0</v>
      </c>
      <c r="U403" s="570">
        <f t="shared" ref="U403:V403" si="626">IF(T405&gt;0,T405,0)</f>
        <v>0</v>
      </c>
      <c r="V403" s="570">
        <f t="shared" si="626"/>
        <v>5000</v>
      </c>
      <c r="W403" s="570">
        <f t="shared" ref="W403:AL403" si="627">IF(V405&gt;0,V405,0)</f>
        <v>4821.4285714285716</v>
      </c>
      <c r="X403" s="570">
        <f t="shared" si="627"/>
        <v>4649.2346938775509</v>
      </c>
      <c r="Y403" s="570">
        <f t="shared" si="627"/>
        <v>4483.190597667638</v>
      </c>
      <c r="Z403" s="570">
        <f t="shared" si="627"/>
        <v>4323.0766477509369</v>
      </c>
      <c r="AA403" s="570">
        <f t="shared" si="627"/>
        <v>4168.6810531884039</v>
      </c>
      <c r="AB403" s="570">
        <f t="shared" si="627"/>
        <v>4019.7995870031036</v>
      </c>
      <c r="AC403" s="570">
        <f t="shared" si="627"/>
        <v>3876.235316038707</v>
      </c>
      <c r="AD403" s="570">
        <f t="shared" si="627"/>
        <v>3737.7983404658962</v>
      </c>
      <c r="AE403" s="570">
        <f t="shared" si="627"/>
        <v>3604.3055425921143</v>
      </c>
      <c r="AF403" s="570">
        <f t="shared" si="627"/>
        <v>3475.5803446423961</v>
      </c>
      <c r="AG403" s="570">
        <f t="shared" si="627"/>
        <v>3351.4524751908821</v>
      </c>
      <c r="AH403" s="570">
        <f t="shared" si="627"/>
        <v>3231.7577439340648</v>
      </c>
      <c r="AI403" s="570">
        <f t="shared" si="627"/>
        <v>3116.3378245078484</v>
      </c>
      <c r="AJ403" s="570">
        <f t="shared" si="627"/>
        <v>3005.0400450611396</v>
      </c>
      <c r="AK403" s="570">
        <f t="shared" si="627"/>
        <v>2897.7171863089561</v>
      </c>
      <c r="AL403" s="570">
        <f t="shared" si="627"/>
        <v>2794.2272867979218</v>
      </c>
      <c r="AM403" s="570"/>
      <c r="AN403" s="682"/>
      <c r="AO403" s="682"/>
      <c r="AP403" s="125">
        <f>+AO405</f>
        <v>5000</v>
      </c>
      <c r="AQ403" s="125">
        <f t="shared" ref="AQ403:AT403" si="628">+AP405</f>
        <v>4821.4285714285716</v>
      </c>
      <c r="AR403" s="125">
        <f t="shared" si="628"/>
        <v>4168.6810531884039</v>
      </c>
      <c r="AS403" s="125">
        <f t="shared" si="628"/>
        <v>3604.3055425921143</v>
      </c>
      <c r="AT403" s="125">
        <f t="shared" si="628"/>
        <v>3116.3378245078479</v>
      </c>
    </row>
    <row r="404" spans="1:46" x14ac:dyDescent="0.25">
      <c r="B404" s="638" t="s">
        <v>481</v>
      </c>
      <c r="C404" s="763">
        <f>+'Transaction Structure'!H52</f>
        <v>7</v>
      </c>
      <c r="D404" s="76" t="s">
        <v>482</v>
      </c>
      <c r="E404" s="76"/>
      <c r="F404" s="76"/>
      <c r="G404" s="76"/>
      <c r="H404" s="712">
        <v>4</v>
      </c>
      <c r="I404" s="69" t="s">
        <v>453</v>
      </c>
      <c r="J404" s="116"/>
      <c r="K404" s="116"/>
      <c r="L404" s="116"/>
      <c r="M404" s="116"/>
      <c r="N404" s="116"/>
      <c r="O404" s="116"/>
      <c r="P404" s="116"/>
      <c r="Q404" s="116"/>
      <c r="R404" s="116"/>
      <c r="S404" s="570">
        <f>MAX(-S$403/($C$404*$H$404),-S403)</f>
        <v>0</v>
      </c>
      <c r="T404" s="570">
        <f>MAX(-T$403/($C$404*$H$404),-T403)</f>
        <v>0</v>
      </c>
      <c r="U404" s="570">
        <f>MAX(-U$403/($C$404*$H$404),-U403)</f>
        <v>0</v>
      </c>
      <c r="V404" s="570">
        <f>MAX(-V$403/($C$404*$H$404),-V403)</f>
        <v>-178.57142857142858</v>
      </c>
      <c r="W404" s="570">
        <f t="shared" ref="W404" si="629">MAX(-W$403/($C$404*$H$404),-W403)</f>
        <v>-172.19387755102042</v>
      </c>
      <c r="X404" s="570">
        <f t="shared" ref="X404" si="630">MAX(-X$403/($C$404*$H$404),-X403)</f>
        <v>-166.04409620991254</v>
      </c>
      <c r="Y404" s="570">
        <f t="shared" ref="Y404" si="631">MAX(-Y$403/($C$404*$H$404),-Y403)</f>
        <v>-160.11394991670136</v>
      </c>
      <c r="Z404" s="570">
        <f t="shared" ref="Z404" si="632">MAX(-Z$403/($C$404*$H$404),-Z403)</f>
        <v>-154.39559456253346</v>
      </c>
      <c r="AA404" s="570">
        <f t="shared" ref="AA404" si="633">MAX(-AA$403/($C$404*$H$404),-AA403)</f>
        <v>-148.88146618530013</v>
      </c>
      <c r="AB404" s="570">
        <f t="shared" ref="AB404" si="634">MAX(-AB$403/($C$404*$H$404),-AB403)</f>
        <v>-143.56427096439657</v>
      </c>
      <c r="AC404" s="570">
        <f t="shared" ref="AC404" si="635">MAX(-AC$403/($C$404*$H$404),-AC403)</f>
        <v>-138.43697557281095</v>
      </c>
      <c r="AD404" s="570">
        <f t="shared" ref="AD404" si="636">MAX(-AD$403/($C$404*$H$404),-AD403)</f>
        <v>-133.492797873782</v>
      </c>
      <c r="AE404" s="570">
        <f t="shared" ref="AE404" si="637">MAX(-AE$403/($C$404*$H$404),-AE403)</f>
        <v>-128.72519794971836</v>
      </c>
      <c r="AF404" s="570">
        <f t="shared" ref="AF404" si="638">MAX(-AF$403/($C$404*$H$404),-AF403)</f>
        <v>-124.12786945151414</v>
      </c>
      <c r="AG404" s="570">
        <f t="shared" ref="AG404" si="639">MAX(-AG$403/($C$404*$H$404),-AG403)</f>
        <v>-119.69473125681722</v>
      </c>
      <c r="AH404" s="570">
        <f t="shared" ref="AH404" si="640">MAX(-AH$403/($C$404*$H$404),-AH403)</f>
        <v>-115.41991942621659</v>
      </c>
      <c r="AI404" s="570">
        <f t="shared" ref="AI404" si="641">MAX(-AI$403/($C$404*$H$404),-AI403)</f>
        <v>-111.29777944670887</v>
      </c>
      <c r="AJ404" s="570">
        <f t="shared" ref="AJ404" si="642">MAX(-AJ$403/($C$404*$H$404),-AJ403)</f>
        <v>-107.32285875218356</v>
      </c>
      <c r="AK404" s="570">
        <f t="shared" ref="AK404" si="643">MAX(-AK$403/($C$404*$H$404),-AK403)</f>
        <v>-103.48989951103415</v>
      </c>
      <c r="AL404" s="570">
        <f t="shared" ref="AL404" si="644">MAX(-AL$403/($C$404*$H$404),-AL403)</f>
        <v>-99.793831671354354</v>
      </c>
      <c r="AM404" s="570"/>
      <c r="AN404" s="69" t="s">
        <v>430</v>
      </c>
      <c r="AO404" s="687">
        <f>Closing_Date</f>
        <v>45199</v>
      </c>
      <c r="AP404" s="601">
        <f>SUMIF($K$4:$AL$4,AP$4,$K404:$AL404)</f>
        <v>-178.57142857142858</v>
      </c>
      <c r="AQ404" s="601">
        <f t="shared" ref="AQ404:AT404" si="645">SUMIF($K$4:$AL$4,AQ$4,$K404:$AL404)</f>
        <v>-652.74751824016778</v>
      </c>
      <c r="AR404" s="601">
        <f t="shared" si="645"/>
        <v>-564.3755105962897</v>
      </c>
      <c r="AS404" s="601">
        <f t="shared" si="645"/>
        <v>-487.96771808426632</v>
      </c>
      <c r="AT404" s="601">
        <f t="shared" si="645"/>
        <v>-421.90436938128096</v>
      </c>
    </row>
    <row r="405" spans="1:46" x14ac:dyDescent="0.25">
      <c r="B405" s="758" t="s">
        <v>416</v>
      </c>
      <c r="C405" s="719"/>
      <c r="D405" s="719"/>
      <c r="E405" s="719"/>
      <c r="F405" s="719"/>
      <c r="G405" s="719"/>
      <c r="H405" s="719"/>
      <c r="I405" s="719"/>
      <c r="J405" s="719"/>
      <c r="K405" s="719"/>
      <c r="L405" s="719"/>
      <c r="M405" s="719"/>
      <c r="N405" s="719"/>
      <c r="O405" s="719"/>
      <c r="P405" s="719"/>
      <c r="Q405" s="719"/>
      <c r="R405" s="125">
        <f>IF(R$311="Yes",'Transaction Structure'!$J$86,SUM(R403:R404))</f>
        <v>0</v>
      </c>
      <c r="S405" s="125">
        <f>IF(S$311="Yes",'Transaction Structure'!$J$86,SUM(S403:S404))</f>
        <v>0</v>
      </c>
      <c r="T405" s="125">
        <f>IF(T$311="Yes",'Transaction Structure'!$J$86,SUM(T403:T404))</f>
        <v>0</v>
      </c>
      <c r="U405" s="125">
        <f>IF(U$311="Yes",'Transaction Structure'!$J$86,SUM(U403:U404))</f>
        <v>5000</v>
      </c>
      <c r="V405" s="125">
        <f>IF(V$311="Yes",'Transaction Structure'!$J$86,SUM(V403:V404))</f>
        <v>4821.4285714285716</v>
      </c>
      <c r="W405" s="125">
        <f>IF(W$311="Yes",'Transaction Structure'!$I$85,SUM(W403:W404))</f>
        <v>4649.2346938775509</v>
      </c>
      <c r="X405" s="125">
        <f>IF(X$311="Yes",'Transaction Structure'!$I$85,SUM(X403:X404))</f>
        <v>4483.190597667638</v>
      </c>
      <c r="Y405" s="125">
        <f>IF(Y$311="Yes",'Transaction Structure'!$I$85,SUM(Y403:Y404))</f>
        <v>4323.0766477509369</v>
      </c>
      <c r="Z405" s="125">
        <f>IF(Z$311="Yes",'Transaction Structure'!$I$85,SUM(Z403:Z404))</f>
        <v>4168.6810531884039</v>
      </c>
      <c r="AA405" s="125">
        <f>IF(AA$311="Yes",'Transaction Structure'!$I$85,SUM(AA403:AA404))</f>
        <v>4019.7995870031036</v>
      </c>
      <c r="AB405" s="125">
        <f>IF(AB$311="Yes",'Transaction Structure'!$I$85,SUM(AB403:AB404))</f>
        <v>3876.235316038707</v>
      </c>
      <c r="AC405" s="125">
        <f>IF(AC$311="Yes",'Transaction Structure'!$I$85,SUM(AC403:AC404))</f>
        <v>3737.7983404658962</v>
      </c>
      <c r="AD405" s="125">
        <f>IF(AD$311="Yes",'Transaction Structure'!$I$85,SUM(AD403:AD404))</f>
        <v>3604.3055425921143</v>
      </c>
      <c r="AE405" s="125">
        <f>IF(AE$311="Yes",'Transaction Structure'!$I$85,SUM(AE403:AE404))</f>
        <v>3475.5803446423961</v>
      </c>
      <c r="AF405" s="125">
        <f>IF(AF$311="Yes",'Transaction Structure'!$I$85,SUM(AF403:AF404))</f>
        <v>3351.4524751908821</v>
      </c>
      <c r="AG405" s="125">
        <f>IF(AG$311="Yes",'Transaction Structure'!$I$85,SUM(AG403:AG404))</f>
        <v>3231.7577439340648</v>
      </c>
      <c r="AH405" s="125">
        <f>IF(AH$311="Yes",'Transaction Structure'!$I$85,SUM(AH403:AH404))</f>
        <v>3116.3378245078484</v>
      </c>
      <c r="AI405" s="125">
        <f>IF(AI$311="Yes",'Transaction Structure'!$I$85,SUM(AI403:AI404))</f>
        <v>3005.0400450611396</v>
      </c>
      <c r="AJ405" s="125">
        <f>IF(AJ$311="Yes",'Transaction Structure'!$I$85,SUM(AJ403:AJ404))</f>
        <v>2897.7171863089561</v>
      </c>
      <c r="AK405" s="125">
        <f>IF(AK$311="Yes",'Transaction Structure'!$I$85,SUM(AK403:AK404))</f>
        <v>2794.2272867979218</v>
      </c>
      <c r="AL405" s="125">
        <f>IF(AL$311="Yes",'Transaction Structure'!$I$85,SUM(AL403:AL404))</f>
        <v>2694.4334551265674</v>
      </c>
      <c r="AM405" s="570"/>
      <c r="AN405" s="684"/>
      <c r="AO405" s="125">
        <f>INDEX(S$405:AL$405,MATCH(Closing_Date,$S$5:$AL$5,0))</f>
        <v>5000</v>
      </c>
      <c r="AP405" s="125">
        <f>SUM(AP403:AP404)</f>
        <v>4821.4285714285716</v>
      </c>
      <c r="AQ405" s="125">
        <f t="shared" ref="AQ405:AT405" si="646">SUM(AQ403:AQ404)</f>
        <v>4168.6810531884039</v>
      </c>
      <c r="AR405" s="125">
        <f t="shared" si="646"/>
        <v>3604.3055425921143</v>
      </c>
      <c r="AS405" s="125">
        <f t="shared" si="646"/>
        <v>3116.3378245078479</v>
      </c>
      <c r="AT405" s="125">
        <f t="shared" si="646"/>
        <v>2694.433455126567</v>
      </c>
    </row>
    <row r="406" spans="1:46" x14ac:dyDescent="0.25">
      <c r="B406" s="636"/>
      <c r="C406" s="134"/>
      <c r="D406" s="134"/>
      <c r="E406" s="134"/>
      <c r="F406" s="134"/>
      <c r="G406" s="134"/>
      <c r="H406" s="134"/>
      <c r="I406" s="134"/>
      <c r="J406" s="134"/>
      <c r="K406" s="134"/>
      <c r="L406" s="134"/>
      <c r="M406" s="134"/>
      <c r="N406" s="134"/>
      <c r="O406" s="134"/>
      <c r="P406" s="134"/>
      <c r="Q406" s="134"/>
      <c r="R406" s="134"/>
      <c r="S406" s="723"/>
      <c r="T406" s="723"/>
      <c r="U406" s="723"/>
      <c r="V406" s="723"/>
      <c r="W406" s="723"/>
      <c r="X406" s="723"/>
      <c r="Y406" s="723"/>
      <c r="Z406" s="723"/>
      <c r="AA406" s="723"/>
      <c r="AB406" s="723"/>
      <c r="AC406" s="723"/>
      <c r="AD406" s="723"/>
      <c r="AE406" s="723"/>
      <c r="AF406" s="723"/>
      <c r="AG406" s="723"/>
      <c r="AH406" s="723"/>
      <c r="AI406" s="723"/>
      <c r="AJ406" s="723"/>
      <c r="AK406" s="723"/>
      <c r="AL406" s="723"/>
      <c r="AM406" s="570"/>
      <c r="AN406" s="570"/>
      <c r="AO406" s="570"/>
      <c r="AP406" s="723"/>
      <c r="AQ406" s="723"/>
      <c r="AR406" s="723"/>
      <c r="AS406" s="723"/>
      <c r="AT406" s="723"/>
    </row>
    <row r="407" spans="1:46" outlineLevel="1" x14ac:dyDescent="0.25">
      <c r="S407" s="570"/>
      <c r="T407" s="570"/>
      <c r="U407" s="570"/>
      <c r="V407" s="570"/>
      <c r="W407" s="570"/>
      <c r="X407" s="570"/>
      <c r="Y407" s="570"/>
      <c r="Z407" s="570"/>
      <c r="AA407" s="570"/>
      <c r="AB407" s="570"/>
      <c r="AC407" s="570"/>
      <c r="AD407" s="570"/>
      <c r="AE407" s="570"/>
      <c r="AF407" s="570"/>
      <c r="AG407" s="570"/>
      <c r="AH407" s="570"/>
      <c r="AI407" s="570"/>
      <c r="AJ407" s="570"/>
      <c r="AK407" s="570"/>
      <c r="AL407" s="570"/>
      <c r="AM407" s="570"/>
      <c r="AN407" s="570"/>
      <c r="AO407" s="570"/>
      <c r="AP407" s="570"/>
      <c r="AQ407" s="570"/>
      <c r="AR407" s="570"/>
      <c r="AS407" s="570"/>
      <c r="AT407" s="570"/>
    </row>
    <row r="408" spans="1:46" outlineLevel="1" x14ac:dyDescent="0.25">
      <c r="B408" s="753" t="s">
        <v>27</v>
      </c>
      <c r="C408" s="611"/>
      <c r="D408" s="611"/>
      <c r="E408" s="611"/>
      <c r="F408" s="611"/>
      <c r="G408" s="611"/>
      <c r="H408" s="611"/>
      <c r="I408" s="611"/>
      <c r="J408" s="675"/>
      <c r="K408" s="675"/>
      <c r="L408" s="675"/>
      <c r="M408" s="675"/>
      <c r="N408" s="675"/>
      <c r="O408" s="675"/>
      <c r="P408" s="675"/>
      <c r="Q408" s="675"/>
      <c r="R408" s="675"/>
      <c r="S408" s="675"/>
      <c r="T408" s="675"/>
      <c r="U408" s="675"/>
      <c r="V408" s="675"/>
      <c r="W408" s="675"/>
      <c r="X408" s="675"/>
      <c r="Y408" s="675"/>
      <c r="Z408" s="675"/>
      <c r="AA408" s="675"/>
      <c r="AB408" s="675"/>
      <c r="AC408" s="675"/>
      <c r="AD408" s="675"/>
      <c r="AE408" s="675"/>
      <c r="AF408" s="675"/>
      <c r="AG408" s="675"/>
      <c r="AH408" s="675"/>
      <c r="AI408" s="675"/>
      <c r="AJ408" s="675"/>
      <c r="AK408" s="675"/>
      <c r="AL408" s="675"/>
      <c r="AM408" s="570"/>
      <c r="AN408" s="675"/>
      <c r="AO408" s="675"/>
      <c r="AP408" s="675"/>
      <c r="AQ408" s="675"/>
      <c r="AR408" s="675"/>
      <c r="AS408" s="675"/>
      <c r="AT408" s="675"/>
    </row>
    <row r="409" spans="1:46" outlineLevel="1" x14ac:dyDescent="0.25">
      <c r="A409" s="69" t="s">
        <v>207</v>
      </c>
      <c r="B409" s="754" t="s">
        <v>483</v>
      </c>
      <c r="C409" s="676"/>
      <c r="D409" s="676"/>
      <c r="E409" s="676"/>
      <c r="F409" s="676"/>
      <c r="G409" s="676"/>
      <c r="H409" s="676"/>
      <c r="I409" s="676"/>
      <c r="J409" s="676"/>
      <c r="K409" s="676"/>
      <c r="L409" s="676"/>
      <c r="M409" s="676"/>
      <c r="N409" s="676"/>
      <c r="O409" s="676"/>
      <c r="P409" s="676"/>
      <c r="Q409" s="676"/>
      <c r="R409" s="676"/>
      <c r="S409" s="676"/>
      <c r="T409" s="676"/>
      <c r="U409" s="676"/>
      <c r="V409" s="676"/>
      <c r="W409" s="676"/>
      <c r="X409" s="676"/>
      <c r="Y409" s="676"/>
      <c r="Z409" s="676"/>
      <c r="AA409" s="676"/>
      <c r="AB409" s="676"/>
      <c r="AC409" s="676"/>
      <c r="AD409" s="676"/>
      <c r="AE409" s="676"/>
      <c r="AF409" s="676"/>
      <c r="AG409" s="676"/>
      <c r="AH409" s="676"/>
      <c r="AI409" s="676"/>
      <c r="AJ409" s="676"/>
      <c r="AK409" s="676"/>
      <c r="AL409" s="676"/>
      <c r="AM409" s="570"/>
      <c r="AN409" s="676"/>
      <c r="AO409" s="676"/>
      <c r="AP409" s="676"/>
      <c r="AQ409" s="676"/>
      <c r="AR409" s="676"/>
      <c r="AS409" s="676"/>
      <c r="AT409" s="676"/>
    </row>
    <row r="410" spans="1:46" outlineLevel="1" x14ac:dyDescent="0.25">
      <c r="B410" s="551" t="s">
        <v>484</v>
      </c>
      <c r="J410" s="116"/>
      <c r="K410" s="116"/>
      <c r="L410" s="116"/>
      <c r="M410" s="116"/>
      <c r="N410" s="116"/>
      <c r="O410" s="116"/>
      <c r="P410" s="116"/>
      <c r="Q410" s="116"/>
      <c r="R410" s="116"/>
      <c r="S410" s="570">
        <f t="shared" ref="S410:AL410" si="647">IF(S$5&gt;=Closing_Date,SUM(S101:S103),0)</f>
        <v>0</v>
      </c>
      <c r="T410" s="570">
        <f t="shared" si="647"/>
        <v>0</v>
      </c>
      <c r="U410" s="570">
        <f t="shared" ca="1" si="647"/>
        <v>95262.718997905147</v>
      </c>
      <c r="V410" s="570">
        <f t="shared" ca="1" si="647"/>
        <v>105489.59803394544</v>
      </c>
      <c r="W410" s="570">
        <f t="shared" ca="1" si="647"/>
        <v>107331.56153505699</v>
      </c>
      <c r="X410" s="570">
        <f t="shared" ca="1" si="647"/>
        <v>112436.11434892411</v>
      </c>
      <c r="Y410" s="570">
        <f t="shared" ca="1" si="647"/>
        <v>119586.7794316888</v>
      </c>
      <c r="Z410" s="570">
        <f t="shared" ca="1" si="647"/>
        <v>127284.09567471016</v>
      </c>
      <c r="AA410" s="570">
        <f t="shared" ca="1" si="647"/>
        <v>123776.04035411392</v>
      </c>
      <c r="AB410" s="570">
        <f t="shared" ca="1" si="647"/>
        <v>130204.26835818481</v>
      </c>
      <c r="AC410" s="570">
        <f t="shared" ca="1" si="647"/>
        <v>142487.94224157505</v>
      </c>
      <c r="AD410" s="570">
        <f t="shared" ca="1" si="647"/>
        <v>147007.08003471786</v>
      </c>
      <c r="AE410" s="570">
        <f t="shared" ca="1" si="647"/>
        <v>135154.42213557236</v>
      </c>
      <c r="AF410" s="570">
        <f t="shared" ca="1" si="647"/>
        <v>142549.88972502714</v>
      </c>
      <c r="AG410" s="570">
        <f t="shared" ca="1" si="647"/>
        <v>158860.01737844569</v>
      </c>
      <c r="AH410" s="570">
        <f t="shared" ca="1" si="647"/>
        <v>160674.54567509904</v>
      </c>
      <c r="AI410" s="570">
        <f t="shared" ca="1" si="647"/>
        <v>141366.60427563472</v>
      </c>
      <c r="AJ410" s="570">
        <f t="shared" ca="1" si="647"/>
        <v>149307.98984962911</v>
      </c>
      <c r="AK410" s="570">
        <f t="shared" ca="1" si="647"/>
        <v>167986.64276108667</v>
      </c>
      <c r="AL410" s="570">
        <f t="shared" ca="1" si="647"/>
        <v>168143.62074202654</v>
      </c>
      <c r="AM410" s="570"/>
      <c r="AN410" s="682"/>
      <c r="AO410" s="682"/>
      <c r="AP410" s="570">
        <f t="shared" ref="AP410:AT412" ca="1" si="648">INDEX($K410:$AL410,MATCH(AP$5,$K$5:$AL$5,0))</f>
        <v>105489.59803394544</v>
      </c>
      <c r="AQ410" s="570">
        <f t="shared" ca="1" si="648"/>
        <v>127284.09567471016</v>
      </c>
      <c r="AR410" s="570">
        <f t="shared" ca="1" si="648"/>
        <v>147007.08003471786</v>
      </c>
      <c r="AS410" s="570">
        <f t="shared" ca="1" si="648"/>
        <v>160674.54567509904</v>
      </c>
      <c r="AT410" s="570">
        <f t="shared" ca="1" si="648"/>
        <v>168143.62074202654</v>
      </c>
    </row>
    <row r="411" spans="1:46" outlineLevel="1" x14ac:dyDescent="0.25">
      <c r="B411" s="551" t="s">
        <v>485</v>
      </c>
      <c r="J411" s="116"/>
      <c r="K411" s="116"/>
      <c r="L411" s="116"/>
      <c r="M411" s="116"/>
      <c r="N411" s="116"/>
      <c r="O411" s="116"/>
      <c r="P411" s="116"/>
      <c r="Q411" s="116"/>
      <c r="R411" s="116"/>
      <c r="S411" s="570">
        <f t="shared" ref="S411:AL411" si="649">+IF(S410&gt;0,S123-S412,0)</f>
        <v>0</v>
      </c>
      <c r="T411" s="570">
        <f t="shared" si="649"/>
        <v>0</v>
      </c>
      <c r="U411" s="570">
        <f t="shared" ca="1" si="649"/>
        <v>22225.213591021573</v>
      </c>
      <c r="V411" s="570">
        <f t="shared" ca="1" si="649"/>
        <v>24587.903609583504</v>
      </c>
      <c r="W411" s="570">
        <f t="shared" ca="1" si="649"/>
        <v>27390.933254573669</v>
      </c>
      <c r="X411" s="570">
        <f t="shared" ca="1" si="649"/>
        <v>28502.207994733064</v>
      </c>
      <c r="Y411" s="570">
        <f t="shared" ca="1" si="649"/>
        <v>33378.151167295349</v>
      </c>
      <c r="Z411" s="570">
        <f t="shared" ca="1" si="649"/>
        <v>35067.157897834026</v>
      </c>
      <c r="AA411" s="570">
        <f t="shared" ca="1" si="649"/>
        <v>37727.479103951046</v>
      </c>
      <c r="AB411" s="570">
        <f t="shared" ca="1" si="649"/>
        <v>33724.265785510419</v>
      </c>
      <c r="AC411" s="570">
        <f t="shared" ca="1" si="649"/>
        <v>40193.140526452509</v>
      </c>
      <c r="AD411" s="570">
        <f t="shared" ca="1" si="649"/>
        <v>41160.577346888371</v>
      </c>
      <c r="AE411" s="570">
        <f t="shared" ca="1" si="649"/>
        <v>42390.122023862932</v>
      </c>
      <c r="AF411" s="570">
        <f t="shared" ca="1" si="649"/>
        <v>36937.53918669367</v>
      </c>
      <c r="AG411" s="570">
        <f t="shared" ca="1" si="649"/>
        <v>44568.429820075107</v>
      </c>
      <c r="AH411" s="570">
        <f t="shared" ca="1" si="649"/>
        <v>44922.858296603023</v>
      </c>
      <c r="AI411" s="570">
        <f t="shared" ca="1" si="649"/>
        <v>44733.651111771585</v>
      </c>
      <c r="AJ411" s="570">
        <f t="shared" ca="1" si="649"/>
        <v>38709.577837035293</v>
      </c>
      <c r="AK411" s="570">
        <f t="shared" ca="1" si="649"/>
        <v>46892.249098551634</v>
      </c>
      <c r="AL411" s="570">
        <f t="shared" ca="1" si="649"/>
        <v>46871.292123552819</v>
      </c>
      <c r="AM411" s="570"/>
      <c r="AN411" s="682"/>
      <c r="AO411" s="682"/>
      <c r="AP411" s="570">
        <f t="shared" ca="1" si="648"/>
        <v>24587.903609583504</v>
      </c>
      <c r="AQ411" s="570">
        <f t="shared" ca="1" si="648"/>
        <v>35067.157897834026</v>
      </c>
      <c r="AR411" s="570">
        <f t="shared" ca="1" si="648"/>
        <v>41160.577346888371</v>
      </c>
      <c r="AS411" s="570">
        <f t="shared" ca="1" si="648"/>
        <v>44922.858296603023</v>
      </c>
      <c r="AT411" s="570">
        <f t="shared" ca="1" si="648"/>
        <v>46871.292123552819</v>
      </c>
    </row>
    <row r="412" spans="1:46" outlineLevel="1" x14ac:dyDescent="0.25">
      <c r="B412" s="98" t="s">
        <v>486</v>
      </c>
      <c r="J412" s="116"/>
      <c r="K412" s="116"/>
      <c r="L412" s="116"/>
      <c r="M412" s="116"/>
      <c r="N412" s="116"/>
      <c r="O412" s="116"/>
      <c r="P412" s="116"/>
      <c r="Q412" s="116"/>
      <c r="R412" s="116"/>
      <c r="S412" s="570">
        <f t="shared" ref="S412:AL412" ca="1" si="650">+S119</f>
        <v>165416.88861504965</v>
      </c>
      <c r="T412" s="570">
        <f t="shared" ca="1" si="650"/>
        <v>172364.66628646778</v>
      </c>
      <c r="U412" s="570">
        <f t="shared" ca="1" si="650"/>
        <v>176808.76428463508</v>
      </c>
      <c r="V412" s="570">
        <f t="shared" ca="1" si="650"/>
        <v>195789.97607316787</v>
      </c>
      <c r="W412" s="570">
        <f t="shared" ca="1" si="650"/>
        <v>199208.68271848309</v>
      </c>
      <c r="X412" s="570">
        <f t="shared" ca="1" si="650"/>
        <v>208682.79478183229</v>
      </c>
      <c r="Y412" s="570">
        <f t="shared" ca="1" si="650"/>
        <v>221954.51608473485</v>
      </c>
      <c r="Z412" s="570">
        <f t="shared" ca="1" si="650"/>
        <v>236240.82858508016</v>
      </c>
      <c r="AA412" s="570">
        <f t="shared" ca="1" si="650"/>
        <v>229729.83527309625</v>
      </c>
      <c r="AB412" s="570">
        <f t="shared" ca="1" si="650"/>
        <v>241660.70457743196</v>
      </c>
      <c r="AC412" s="570">
        <f t="shared" ca="1" si="650"/>
        <v>264459.35260096181</v>
      </c>
      <c r="AD412" s="570">
        <f t="shared" ca="1" si="650"/>
        <v>272846.92727070377</v>
      </c>
      <c r="AE412" s="570">
        <f t="shared" ca="1" si="650"/>
        <v>250848.25015250684</v>
      </c>
      <c r="AF412" s="570">
        <f t="shared" ca="1" si="650"/>
        <v>264574.32788315957</v>
      </c>
      <c r="AG412" s="570">
        <f t="shared" ca="1" si="650"/>
        <v>294846.12304144178</v>
      </c>
      <c r="AH412" s="570">
        <f t="shared" ca="1" si="650"/>
        <v>298213.90961383464</v>
      </c>
      <c r="AI412" s="570">
        <f t="shared" ca="1" si="650"/>
        <v>262378.13570741803</v>
      </c>
      <c r="AJ412" s="570">
        <f t="shared" ca="1" si="650"/>
        <v>277117.44385247165</v>
      </c>
      <c r="AK412" s="570">
        <f t="shared" ca="1" si="650"/>
        <v>311785.25067676598</v>
      </c>
      <c r="AL412" s="570">
        <f t="shared" ca="1" si="650"/>
        <v>312076.60371730314</v>
      </c>
      <c r="AM412" s="570"/>
      <c r="AN412" s="682"/>
      <c r="AO412" s="682"/>
      <c r="AP412" s="570">
        <f t="shared" ca="1" si="648"/>
        <v>195789.97607316787</v>
      </c>
      <c r="AQ412" s="570">
        <f t="shared" ca="1" si="648"/>
        <v>236240.82858508016</v>
      </c>
      <c r="AR412" s="570">
        <f t="shared" ca="1" si="648"/>
        <v>272846.92727070377</v>
      </c>
      <c r="AS412" s="570">
        <f t="shared" ca="1" si="648"/>
        <v>298213.90961383464</v>
      </c>
      <c r="AT412" s="570">
        <f t="shared" ca="1" si="648"/>
        <v>312076.60371730314</v>
      </c>
    </row>
    <row r="413" spans="1:46" outlineLevel="1" x14ac:dyDescent="0.25">
      <c r="B413" s="758" t="s">
        <v>28</v>
      </c>
      <c r="C413" s="122"/>
      <c r="D413" s="122"/>
      <c r="E413" s="122"/>
      <c r="F413" s="122"/>
      <c r="G413" s="122"/>
      <c r="H413" s="122"/>
      <c r="I413" s="122"/>
      <c r="J413" s="683"/>
      <c r="K413" s="683"/>
      <c r="L413" s="683"/>
      <c r="M413" s="683"/>
      <c r="N413" s="683"/>
      <c r="O413" s="683"/>
      <c r="P413" s="683"/>
      <c r="Q413" s="683"/>
      <c r="R413" s="683"/>
      <c r="S413" s="771">
        <v>1.25</v>
      </c>
      <c r="T413" s="771">
        <v>1.25</v>
      </c>
      <c r="U413" s="771">
        <v>1.25</v>
      </c>
      <c r="V413" s="771">
        <v>1.25</v>
      </c>
      <c r="W413" s="771">
        <v>1.25</v>
      </c>
      <c r="X413" s="771">
        <v>1.25</v>
      </c>
      <c r="Y413" s="771">
        <v>1.25</v>
      </c>
      <c r="Z413" s="771">
        <v>1.25</v>
      </c>
      <c r="AA413" s="771">
        <v>1.25</v>
      </c>
      <c r="AB413" s="771">
        <v>1.25</v>
      </c>
      <c r="AC413" s="771">
        <v>1.25</v>
      </c>
      <c r="AD413" s="771">
        <v>1.25</v>
      </c>
      <c r="AE413" s="771">
        <v>1.25</v>
      </c>
      <c r="AF413" s="771">
        <v>1.25</v>
      </c>
      <c r="AG413" s="771">
        <v>1.25</v>
      </c>
      <c r="AH413" s="771">
        <v>1.25</v>
      </c>
      <c r="AI413" s="771">
        <v>1.25</v>
      </c>
      <c r="AJ413" s="771">
        <v>1.25</v>
      </c>
      <c r="AK413" s="771">
        <v>1.25</v>
      </c>
      <c r="AL413" s="771">
        <v>1.25</v>
      </c>
      <c r="AM413" s="570"/>
      <c r="AN413" s="682"/>
      <c r="AO413" s="682"/>
      <c r="AP413" s="771">
        <v>1.25</v>
      </c>
      <c r="AQ413" s="771">
        <v>1.25</v>
      </c>
      <c r="AR413" s="771">
        <v>1.25</v>
      </c>
      <c r="AS413" s="771">
        <v>1.25</v>
      </c>
      <c r="AT413" s="771">
        <v>1.25</v>
      </c>
    </row>
    <row r="414" spans="1:46" outlineLevel="1" x14ac:dyDescent="0.25">
      <c r="B414" s="60" t="s">
        <v>487</v>
      </c>
      <c r="J414" s="116"/>
      <c r="K414" s="116"/>
      <c r="L414" s="116"/>
      <c r="M414" s="116"/>
      <c r="N414" s="116"/>
      <c r="O414" s="116"/>
      <c r="P414" s="116"/>
      <c r="Q414" s="116"/>
      <c r="R414" s="116"/>
      <c r="S414" s="772">
        <f>IFERROR(S410/S411,0)</f>
        <v>0</v>
      </c>
      <c r="T414" s="772">
        <f t="shared" ref="T414:AL414" si="651">IFERROR(T410/T411,0)</f>
        <v>0</v>
      </c>
      <c r="U414" s="772">
        <f t="shared" ca="1" si="651"/>
        <v>4.2862453765748683</v>
      </c>
      <c r="V414" s="772">
        <f t="shared" ca="1" si="651"/>
        <v>4.2903046843257222</v>
      </c>
      <c r="W414" s="772">
        <f t="shared" ca="1" si="651"/>
        <v>3.9185069211592136</v>
      </c>
      <c r="X414" s="772">
        <f t="shared" ca="1" si="651"/>
        <v>3.9448212001575889</v>
      </c>
      <c r="Y414" s="772">
        <f t="shared" ca="1" si="651"/>
        <v>3.5827862014377407</v>
      </c>
      <c r="Z414" s="772">
        <f t="shared" ca="1" si="651"/>
        <v>3.6297237445231354</v>
      </c>
      <c r="AA414" s="772">
        <f t="shared" ca="1" si="651"/>
        <v>3.2807927615060652</v>
      </c>
      <c r="AB414" s="772">
        <f t="shared" ca="1" si="651"/>
        <v>3.8608481259843139</v>
      </c>
      <c r="AC414" s="772">
        <f t="shared" ca="1" si="651"/>
        <v>3.5450810853607906</v>
      </c>
      <c r="AD414" s="772">
        <f t="shared" ca="1" si="651"/>
        <v>3.5715504861797376</v>
      </c>
      <c r="AE414" s="772">
        <f t="shared" ca="1" si="651"/>
        <v>3.1883470884912537</v>
      </c>
      <c r="AF414" s="772">
        <f t="shared" ca="1" si="651"/>
        <v>3.8592145785493779</v>
      </c>
      <c r="AG414" s="772">
        <f t="shared" ca="1" si="651"/>
        <v>3.5644068687133741</v>
      </c>
      <c r="AH414" s="772">
        <f t="shared" ca="1" si="651"/>
        <v>3.5766768137113156</v>
      </c>
      <c r="AI414" s="772">
        <f t="shared" ca="1" si="651"/>
        <v>3.1601847996358683</v>
      </c>
      <c r="AJ414" s="772">
        <f t="shared" ca="1" si="651"/>
        <v>3.8571329937568852</v>
      </c>
      <c r="AK414" s="772">
        <f t="shared" ca="1" si="651"/>
        <v>3.582396792442939</v>
      </c>
      <c r="AL414" s="772">
        <f t="shared" ca="1" si="651"/>
        <v>3.5873476732580709</v>
      </c>
      <c r="AM414" s="570"/>
      <c r="AN414" s="682"/>
      <c r="AO414" s="682"/>
      <c r="AP414" s="772">
        <f t="shared" ref="AP414:AT414" ca="1" si="652">AP410/AP411</f>
        <v>4.2903046843257222</v>
      </c>
      <c r="AQ414" s="772">
        <f t="shared" ca="1" si="652"/>
        <v>3.6297237445231354</v>
      </c>
      <c r="AR414" s="772">
        <f t="shared" ca="1" si="652"/>
        <v>3.5715504861797376</v>
      </c>
      <c r="AS414" s="772">
        <f t="shared" ca="1" si="652"/>
        <v>3.5766768137113156</v>
      </c>
      <c r="AT414" s="772">
        <f t="shared" ca="1" si="652"/>
        <v>3.5873476732580709</v>
      </c>
    </row>
    <row r="415" spans="1:46" outlineLevel="1" x14ac:dyDescent="0.25">
      <c r="B415" s="759" t="s">
        <v>30</v>
      </c>
      <c r="C415" s="725"/>
      <c r="D415" s="725"/>
      <c r="E415" s="725"/>
      <c r="F415" s="725"/>
      <c r="G415" s="725"/>
      <c r="H415" s="725"/>
      <c r="I415" s="725"/>
      <c r="J415" s="726"/>
      <c r="K415" s="726"/>
      <c r="L415" s="726"/>
      <c r="M415" s="726"/>
      <c r="N415" s="726"/>
      <c r="O415" s="726"/>
      <c r="P415" s="726"/>
      <c r="Q415" s="726"/>
      <c r="R415" s="726"/>
      <c r="S415" s="770">
        <f>IF(S414=0,0,IF(S414&lt;S413,"FAIL","PASS"))</f>
        <v>0</v>
      </c>
      <c r="T415" s="770">
        <f t="shared" ref="T415:AL415" si="653">IF(T414=0,0,IF(T414&lt;T413,"FAIL","PASS"))</f>
        <v>0</v>
      </c>
      <c r="U415" s="770" t="str">
        <f t="shared" ca="1" si="653"/>
        <v>PASS</v>
      </c>
      <c r="V415" s="770" t="str">
        <f t="shared" ca="1" si="653"/>
        <v>PASS</v>
      </c>
      <c r="W415" s="770" t="str">
        <f t="shared" ca="1" si="653"/>
        <v>PASS</v>
      </c>
      <c r="X415" s="770" t="str">
        <f t="shared" ca="1" si="653"/>
        <v>PASS</v>
      </c>
      <c r="Y415" s="770" t="str">
        <f t="shared" ca="1" si="653"/>
        <v>PASS</v>
      </c>
      <c r="Z415" s="770" t="str">
        <f t="shared" ca="1" si="653"/>
        <v>PASS</v>
      </c>
      <c r="AA415" s="770" t="str">
        <f t="shared" ca="1" si="653"/>
        <v>PASS</v>
      </c>
      <c r="AB415" s="770" t="str">
        <f t="shared" ca="1" si="653"/>
        <v>PASS</v>
      </c>
      <c r="AC415" s="770" t="str">
        <f t="shared" ca="1" si="653"/>
        <v>PASS</v>
      </c>
      <c r="AD415" s="770" t="str">
        <f t="shared" ca="1" si="653"/>
        <v>PASS</v>
      </c>
      <c r="AE415" s="770" t="str">
        <f t="shared" ca="1" si="653"/>
        <v>PASS</v>
      </c>
      <c r="AF415" s="770" t="str">
        <f t="shared" ca="1" si="653"/>
        <v>PASS</v>
      </c>
      <c r="AG415" s="770" t="str">
        <f t="shared" ca="1" si="653"/>
        <v>PASS</v>
      </c>
      <c r="AH415" s="770" t="str">
        <f t="shared" ca="1" si="653"/>
        <v>PASS</v>
      </c>
      <c r="AI415" s="770" t="str">
        <f t="shared" ca="1" si="653"/>
        <v>PASS</v>
      </c>
      <c r="AJ415" s="770" t="str">
        <f t="shared" ca="1" si="653"/>
        <v>PASS</v>
      </c>
      <c r="AK415" s="770" t="str">
        <f t="shared" ca="1" si="653"/>
        <v>PASS</v>
      </c>
      <c r="AL415" s="770" t="str">
        <f t="shared" ca="1" si="653"/>
        <v>PASS</v>
      </c>
      <c r="AM415" s="570"/>
      <c r="AN415" s="682"/>
      <c r="AO415" s="682"/>
      <c r="AP415" s="770" t="str">
        <f t="shared" ref="AP415" ca="1" si="654">IF(AP414=0,0,IF(AP414&lt;AP413,"FAIL","PASS"))</f>
        <v>PASS</v>
      </c>
      <c r="AQ415" s="770" t="str">
        <f t="shared" ref="AQ415" ca="1" si="655">IF(AQ414=0,0,IF(AQ414&lt;AQ413,"FAIL","PASS"))</f>
        <v>PASS</v>
      </c>
      <c r="AR415" s="770" t="str">
        <f t="shared" ref="AR415" ca="1" si="656">IF(AR414=0,0,IF(AR414&lt;AR413,"FAIL","PASS"))</f>
        <v>PASS</v>
      </c>
      <c r="AS415" s="770" t="str">
        <f t="shared" ref="AS415" ca="1" si="657">IF(AS414=0,0,IF(AS414&lt;AS413,"FAIL","PASS"))</f>
        <v>PASS</v>
      </c>
      <c r="AT415" s="770" t="str">
        <f t="shared" ref="AT415" ca="1" si="658">IF(AT414=0,0,IF(AT414&lt;AT413,"FAIL","PASS"))</f>
        <v>PASS</v>
      </c>
    </row>
    <row r="416" spans="1:46" outlineLevel="1" x14ac:dyDescent="0.25"/>
    <row r="417" spans="1:46" outlineLevel="1" x14ac:dyDescent="0.25">
      <c r="A417" s="69" t="s">
        <v>207</v>
      </c>
      <c r="B417" s="754" t="s">
        <v>488</v>
      </c>
      <c r="C417" s="676"/>
      <c r="D417" s="676"/>
      <c r="E417" s="676"/>
      <c r="F417" s="676"/>
      <c r="G417" s="676"/>
      <c r="H417" s="676"/>
      <c r="I417" s="676"/>
      <c r="J417" s="676"/>
      <c r="K417" s="676"/>
      <c r="L417" s="676"/>
      <c r="M417" s="676"/>
      <c r="N417" s="676"/>
      <c r="O417" s="676"/>
      <c r="P417" s="676"/>
      <c r="Q417" s="676"/>
      <c r="R417" s="676"/>
      <c r="S417" s="676"/>
      <c r="T417" s="676"/>
      <c r="U417" s="676"/>
      <c r="V417" s="676"/>
      <c r="W417" s="676"/>
      <c r="X417" s="676"/>
      <c r="Y417" s="676"/>
      <c r="Z417" s="676"/>
      <c r="AA417" s="676"/>
      <c r="AB417" s="676"/>
      <c r="AC417" s="676"/>
      <c r="AD417" s="676"/>
      <c r="AE417" s="676"/>
      <c r="AF417" s="676"/>
      <c r="AG417" s="676"/>
      <c r="AH417" s="676"/>
      <c r="AI417" s="676"/>
      <c r="AJ417" s="676"/>
      <c r="AK417" s="676"/>
      <c r="AL417" s="676"/>
      <c r="AM417" s="570"/>
      <c r="AN417" s="676"/>
      <c r="AO417" s="676"/>
      <c r="AP417" s="676"/>
      <c r="AQ417" s="676"/>
      <c r="AR417" s="676"/>
      <c r="AS417" s="676"/>
      <c r="AT417" s="676"/>
    </row>
    <row r="418" spans="1:46" outlineLevel="1" x14ac:dyDescent="0.25">
      <c r="B418" s="551" t="s">
        <v>489</v>
      </c>
      <c r="J418" s="116"/>
      <c r="K418" s="116"/>
      <c r="L418" s="116"/>
      <c r="M418" s="116"/>
      <c r="N418" s="116"/>
      <c r="O418" s="116"/>
      <c r="P418" s="116"/>
      <c r="Q418" s="116"/>
      <c r="R418" s="116"/>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682"/>
      <c r="AO418" s="682"/>
      <c r="AP418" s="570"/>
      <c r="AQ418" s="570"/>
      <c r="AR418" s="570"/>
      <c r="AS418" s="570"/>
      <c r="AT418" s="570"/>
    </row>
    <row r="419" spans="1:46" outlineLevel="1" x14ac:dyDescent="0.25">
      <c r="B419" s="98" t="s">
        <v>12</v>
      </c>
      <c r="H419" s="73" t="s">
        <v>490</v>
      </c>
      <c r="J419" s="116"/>
      <c r="K419" s="116"/>
      <c r="L419" s="116"/>
      <c r="M419" s="116"/>
      <c r="N419" s="116"/>
      <c r="O419" s="116"/>
      <c r="P419" s="116"/>
      <c r="Q419" s="116"/>
      <c r="R419" s="116"/>
      <c r="S419" s="570">
        <f>IF(S$5=Closing_Date,S84*4,IF(S$5&gt;Closing_Date,S$86,0))</f>
        <v>0</v>
      </c>
      <c r="T419" s="570">
        <f>IF(T$5=Closing_Date,T84*4,IF(T$5&gt;Closing_Date,T$86,0))</f>
        <v>0</v>
      </c>
      <c r="U419" s="570">
        <f ca="1">IF(U$5=Closing_Date,U$84*4,IF(U$5&gt;Closing_Date,U$86,0))</f>
        <v>39156.995579399183</v>
      </c>
      <c r="V419" s="570">
        <f t="shared" ref="V419:AL419" ca="1" si="659">IF(V$5=Closing_Date,V84*4,IF(V$5&gt;Closing_Date,V$86,0))</f>
        <v>41321.170665469806</v>
      </c>
      <c r="W419" s="570">
        <f t="shared" ca="1" si="659"/>
        <v>47591.338797262048</v>
      </c>
      <c r="X419" s="570">
        <f t="shared" ca="1" si="659"/>
        <v>54708.755971379695</v>
      </c>
      <c r="Y419" s="570">
        <f t="shared" ca="1" si="659"/>
        <v>59854.153278246631</v>
      </c>
      <c r="Z419" s="570">
        <f t="shared" ca="1" si="659"/>
        <v>66364.302887671758</v>
      </c>
      <c r="AA419" s="570">
        <f t="shared" ca="1" si="659"/>
        <v>68763.356535020226</v>
      </c>
      <c r="AB419" s="570">
        <f t="shared" ca="1" si="659"/>
        <v>71537.309872818209</v>
      </c>
      <c r="AC419" s="570">
        <f t="shared" ca="1" si="659"/>
        <v>74397.331405289849</v>
      </c>
      <c r="AD419" s="570">
        <f t="shared" ca="1" si="659"/>
        <v>77220.2248058939</v>
      </c>
      <c r="AE419" s="570">
        <f t="shared" ca="1" si="659"/>
        <v>78880.195219921065</v>
      </c>
      <c r="AF419" s="570">
        <f t="shared" ca="1" si="659"/>
        <v>80807.586077738597</v>
      </c>
      <c r="AG419" s="570">
        <f t="shared" ca="1" si="659"/>
        <v>82852.21969793539</v>
      </c>
      <c r="AH419" s="570">
        <f t="shared" ca="1" si="659"/>
        <v>84808.404312544051</v>
      </c>
      <c r="AI419" s="570">
        <f t="shared" ca="1" si="659"/>
        <v>85714.687715325956</v>
      </c>
      <c r="AJ419" s="570">
        <f t="shared" ca="1" si="659"/>
        <v>86769.758173857655</v>
      </c>
      <c r="AK419" s="570">
        <f t="shared" ca="1" si="659"/>
        <v>87909.540696249373</v>
      </c>
      <c r="AL419" s="570">
        <f t="shared" ca="1" si="659"/>
        <v>88978.567691869714</v>
      </c>
      <c r="AM419" s="570"/>
      <c r="AN419" s="682"/>
      <c r="AO419" s="682"/>
      <c r="AP419" s="570">
        <f t="shared" ref="AP419:AT422" ca="1" si="660">INDEX($K419:$AL419,MATCH(AP$5,$K$5:$AL$5,0))</f>
        <v>41321.170665469806</v>
      </c>
      <c r="AQ419" s="570">
        <f t="shared" ca="1" si="660"/>
        <v>66364.302887671758</v>
      </c>
      <c r="AR419" s="570">
        <f t="shared" ca="1" si="660"/>
        <v>77220.2248058939</v>
      </c>
      <c r="AS419" s="570">
        <f t="shared" ca="1" si="660"/>
        <v>84808.404312544051</v>
      </c>
      <c r="AT419" s="570">
        <f t="shared" ca="1" si="660"/>
        <v>88978.567691869714</v>
      </c>
    </row>
    <row r="420" spans="1:46" outlineLevel="1" x14ac:dyDescent="0.25">
      <c r="B420" s="98" t="s">
        <v>491</v>
      </c>
      <c r="H420" s="73" t="s">
        <v>490</v>
      </c>
      <c r="J420" s="116"/>
      <c r="K420" s="116"/>
      <c r="L420" s="116"/>
      <c r="M420" s="116"/>
      <c r="N420" s="116"/>
      <c r="O420" s="116"/>
      <c r="P420" s="116"/>
      <c r="Q420" s="116"/>
      <c r="R420" s="116"/>
      <c r="S420" s="570">
        <f t="shared" ref="S420:AL420" si="661">IF(S$5=Closing_Date,S239*4,IF(S$5&gt;Closing_Date,SUM(P239:S239),0))</f>
        <v>0</v>
      </c>
      <c r="T420" s="570">
        <f t="shared" si="661"/>
        <v>0</v>
      </c>
      <c r="U420" s="570">
        <f t="shared" ca="1" si="661"/>
        <v>9717.793613488253</v>
      </c>
      <c r="V420" s="570">
        <f t="shared" ca="1" si="661"/>
        <v>7448.2674095929797</v>
      </c>
      <c r="W420" s="570">
        <f t="shared" ca="1" si="661"/>
        <v>7867.9317888649002</v>
      </c>
      <c r="X420" s="570">
        <f t="shared" ca="1" si="661"/>
        <v>8453.3086997367955</v>
      </c>
      <c r="Y420" s="570">
        <f t="shared" ca="1" si="661"/>
        <v>9254.1080453307441</v>
      </c>
      <c r="Z420" s="570">
        <f t="shared" ca="1" si="661"/>
        <v>9214.9222461616719</v>
      </c>
      <c r="AA420" s="570">
        <f t="shared" ca="1" si="661"/>
        <v>9538.4716633642274</v>
      </c>
      <c r="AB420" s="570">
        <f t="shared" ca="1" si="661"/>
        <v>9985.3534662222828</v>
      </c>
      <c r="AC420" s="570">
        <f t="shared" ca="1" si="661"/>
        <v>10496.437326183275</v>
      </c>
      <c r="AD420" s="570">
        <f t="shared" ca="1" si="661"/>
        <v>10703.167852483228</v>
      </c>
      <c r="AE420" s="570">
        <f t="shared" ca="1" si="661"/>
        <v>10954.682734997183</v>
      </c>
      <c r="AF420" s="570">
        <f t="shared" ca="1" si="661"/>
        <v>11307.503644454308</v>
      </c>
      <c r="AG420" s="570">
        <f t="shared" ca="1" si="661"/>
        <v>11797.32335018471</v>
      </c>
      <c r="AH420" s="570">
        <f t="shared" ca="1" si="661"/>
        <v>11819.790459265196</v>
      </c>
      <c r="AI420" s="570">
        <f t="shared" ca="1" si="661"/>
        <v>11943.63636322851</v>
      </c>
      <c r="AJ420" s="570">
        <f t="shared" ca="1" si="661"/>
        <v>12116.105011638887</v>
      </c>
      <c r="AK420" s="570">
        <f t="shared" ca="1" si="661"/>
        <v>12327.498533691085</v>
      </c>
      <c r="AL420" s="570">
        <f t="shared" ca="1" si="661"/>
        <v>12398.691284250894</v>
      </c>
      <c r="AM420" s="570"/>
      <c r="AN420" s="682"/>
      <c r="AO420" s="682"/>
      <c r="AP420" s="570">
        <f t="shared" ca="1" si="660"/>
        <v>7448.2674095929797</v>
      </c>
      <c r="AQ420" s="570">
        <f t="shared" ca="1" si="660"/>
        <v>9214.9222461616719</v>
      </c>
      <c r="AR420" s="570">
        <f t="shared" ca="1" si="660"/>
        <v>10703.167852483228</v>
      </c>
      <c r="AS420" s="570">
        <f t="shared" ca="1" si="660"/>
        <v>11819.790459265196</v>
      </c>
      <c r="AT420" s="570">
        <f t="shared" ca="1" si="660"/>
        <v>12398.691284250894</v>
      </c>
    </row>
    <row r="421" spans="1:46" outlineLevel="1" x14ac:dyDescent="0.25">
      <c r="B421" s="98" t="s">
        <v>492</v>
      </c>
      <c r="H421" s="73" t="s">
        <v>490</v>
      </c>
      <c r="J421" s="116"/>
      <c r="K421" s="116"/>
      <c r="L421" s="116"/>
      <c r="M421" s="116"/>
      <c r="N421" s="116"/>
      <c r="O421" s="116"/>
      <c r="P421" s="116"/>
      <c r="Q421" s="116"/>
      <c r="R421" s="116"/>
      <c r="S421" s="570">
        <f t="shared" ref="S421:AL421" si="662">IF(S$5=Closing_Date,S306*4,IF(S$5&gt;Closing_Date,SUM(P306:S306),0))</f>
        <v>0</v>
      </c>
      <c r="T421" s="570">
        <f t="shared" si="662"/>
        <v>0</v>
      </c>
      <c r="U421" s="570">
        <f t="shared" ca="1" si="662"/>
        <v>0</v>
      </c>
      <c r="V421" s="570">
        <f t="shared" ca="1" si="662"/>
        <v>0</v>
      </c>
      <c r="W421" s="570">
        <f t="shared" ca="1" si="662"/>
        <v>0</v>
      </c>
      <c r="X421" s="570">
        <f t="shared" ca="1" si="662"/>
        <v>0</v>
      </c>
      <c r="Y421" s="570">
        <f t="shared" ca="1" si="662"/>
        <v>0</v>
      </c>
      <c r="Z421" s="570">
        <f t="shared" ca="1" si="662"/>
        <v>0</v>
      </c>
      <c r="AA421" s="570">
        <f t="shared" ca="1" si="662"/>
        <v>-5406.6692456257151</v>
      </c>
      <c r="AB421" s="570">
        <f t="shared" ca="1" si="662"/>
        <v>-5406.6692456257151</v>
      </c>
      <c r="AC421" s="570">
        <f t="shared" ca="1" si="662"/>
        <v>-5406.6692456257151</v>
      </c>
      <c r="AD421" s="570">
        <f t="shared" ca="1" si="662"/>
        <v>-5406.6692456257151</v>
      </c>
      <c r="AE421" s="570">
        <f t="shared" ca="1" si="662"/>
        <v>-7069.7670545123892</v>
      </c>
      <c r="AF421" s="570">
        <f t="shared" ca="1" si="662"/>
        <v>-7069.7670545123892</v>
      </c>
      <c r="AG421" s="570">
        <f t="shared" ca="1" si="662"/>
        <v>-7069.7670545123892</v>
      </c>
      <c r="AH421" s="570">
        <f t="shared" ca="1" si="662"/>
        <v>-7069.7670545123892</v>
      </c>
      <c r="AI421" s="570">
        <f t="shared" ca="1" si="662"/>
        <v>-7761.9614652137689</v>
      </c>
      <c r="AJ421" s="570">
        <f t="shared" ca="1" si="662"/>
        <v>-7761.9614652137689</v>
      </c>
      <c r="AK421" s="570">
        <f t="shared" ca="1" si="662"/>
        <v>-7761.9614652137689</v>
      </c>
      <c r="AL421" s="570">
        <f t="shared" ca="1" si="662"/>
        <v>-7761.9614652137689</v>
      </c>
      <c r="AM421" s="570"/>
      <c r="AN421" s="682"/>
      <c r="AO421" s="682"/>
      <c r="AP421" s="570">
        <f t="shared" ca="1" si="660"/>
        <v>0</v>
      </c>
      <c r="AQ421" s="570">
        <f t="shared" ca="1" si="660"/>
        <v>0</v>
      </c>
      <c r="AR421" s="570">
        <f t="shared" ca="1" si="660"/>
        <v>-5406.6692456257151</v>
      </c>
      <c r="AS421" s="570">
        <f t="shared" ca="1" si="660"/>
        <v>-7069.7670545123892</v>
      </c>
      <c r="AT421" s="570">
        <f t="shared" ca="1" si="660"/>
        <v>-7761.9614652137689</v>
      </c>
    </row>
    <row r="422" spans="1:46" outlineLevel="1" x14ac:dyDescent="0.25">
      <c r="B422" s="98" t="s">
        <v>493</v>
      </c>
      <c r="J422" s="116"/>
      <c r="K422" s="116"/>
      <c r="L422" s="116"/>
      <c r="M422" s="116"/>
      <c r="N422" s="116"/>
      <c r="O422" s="116"/>
      <c r="P422" s="116"/>
      <c r="Q422" s="116"/>
      <c r="R422" s="116"/>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682"/>
      <c r="AO422" s="682"/>
      <c r="AP422" s="570">
        <f t="shared" si="660"/>
        <v>0</v>
      </c>
      <c r="AQ422" s="570">
        <f t="shared" si="660"/>
        <v>0</v>
      </c>
      <c r="AR422" s="570">
        <f t="shared" si="660"/>
        <v>0</v>
      </c>
      <c r="AS422" s="570">
        <f t="shared" si="660"/>
        <v>0</v>
      </c>
      <c r="AT422" s="570">
        <f t="shared" si="660"/>
        <v>0</v>
      </c>
    </row>
    <row r="423" spans="1:46" outlineLevel="1" x14ac:dyDescent="0.25">
      <c r="B423" s="670" t="s">
        <v>489</v>
      </c>
      <c r="C423" s="122"/>
      <c r="D423" s="122"/>
      <c r="E423" s="122"/>
      <c r="F423" s="122"/>
      <c r="G423" s="122"/>
      <c r="H423" s="122"/>
      <c r="I423" s="122"/>
      <c r="J423" s="683"/>
      <c r="K423" s="683"/>
      <c r="L423" s="683"/>
      <c r="M423" s="683"/>
      <c r="N423" s="683"/>
      <c r="O423" s="683"/>
      <c r="P423" s="683"/>
      <c r="Q423" s="683"/>
      <c r="R423" s="683"/>
      <c r="S423" s="125">
        <f>SUM(S419:S422)</f>
        <v>0</v>
      </c>
      <c r="T423" s="125">
        <f t="shared" ref="T423:V423" si="663">SUM(T419:T422)</f>
        <v>0</v>
      </c>
      <c r="U423" s="125">
        <f t="shared" ca="1" si="663"/>
        <v>48874.789192887438</v>
      </c>
      <c r="V423" s="125">
        <f t="shared" ca="1" si="663"/>
        <v>48769.43807506279</v>
      </c>
      <c r="W423" s="125">
        <f t="shared" ref="W423" ca="1" si="664">SUM(W419:W422)</f>
        <v>55459.27058612695</v>
      </c>
      <c r="X423" s="125">
        <f t="shared" ref="X423" ca="1" si="665">SUM(X419:X422)</f>
        <v>63162.064671116488</v>
      </c>
      <c r="Y423" s="125">
        <f t="shared" ref="Y423" ca="1" si="666">SUM(Y419:Y422)</f>
        <v>69108.261323577375</v>
      </c>
      <c r="Z423" s="125">
        <f t="shared" ref="Z423" ca="1" si="667">SUM(Z419:Z422)</f>
        <v>75579.225133833432</v>
      </c>
      <c r="AA423" s="125">
        <f t="shared" ref="AA423" ca="1" si="668">SUM(AA419:AA422)</f>
        <v>72895.158952758735</v>
      </c>
      <c r="AB423" s="125">
        <f t="shared" ref="AB423" ca="1" si="669">SUM(AB419:AB422)</f>
        <v>76115.994093414774</v>
      </c>
      <c r="AC423" s="125">
        <f t="shared" ref="AC423" ca="1" si="670">SUM(AC419:AC422)</f>
        <v>79487.099485847415</v>
      </c>
      <c r="AD423" s="125">
        <f t="shared" ref="AD423" ca="1" si="671">SUM(AD419:AD422)</f>
        <v>82516.723412751409</v>
      </c>
      <c r="AE423" s="125">
        <f t="shared" ref="AE423" ca="1" si="672">SUM(AE419:AE422)</f>
        <v>82765.110900405867</v>
      </c>
      <c r="AF423" s="125">
        <f t="shared" ref="AF423" ca="1" si="673">SUM(AF419:AF422)</f>
        <v>85045.322667680521</v>
      </c>
      <c r="AG423" s="125">
        <f t="shared" ref="AG423" ca="1" si="674">SUM(AG419:AG422)</f>
        <v>87579.77599360772</v>
      </c>
      <c r="AH423" s="125">
        <f t="shared" ref="AH423" ca="1" si="675">SUM(AH419:AH422)</f>
        <v>89558.427717296858</v>
      </c>
      <c r="AI423" s="125">
        <f t="shared" ref="AI423" ca="1" si="676">SUM(AI419:AI422)</f>
        <v>89896.362613340694</v>
      </c>
      <c r="AJ423" s="125">
        <f t="shared" ref="AJ423" ca="1" si="677">SUM(AJ419:AJ422)</f>
        <v>91123.901720282767</v>
      </c>
      <c r="AK423" s="125">
        <f t="shared" ref="AK423" ca="1" si="678">SUM(AK419:AK422)</f>
        <v>92475.077764726695</v>
      </c>
      <c r="AL423" s="125">
        <f t="shared" ref="AL423" ca="1" si="679">SUM(AL419:AL422)</f>
        <v>93615.297510906836</v>
      </c>
      <c r="AM423" s="570"/>
      <c r="AN423" s="682"/>
      <c r="AO423" s="682"/>
      <c r="AP423" s="125">
        <f t="shared" ref="AP423" ca="1" si="680">SUM(AP419:AP422)</f>
        <v>48769.43807506279</v>
      </c>
      <c r="AQ423" s="125">
        <f t="shared" ref="AQ423" ca="1" si="681">SUM(AQ419:AQ422)</f>
        <v>75579.225133833432</v>
      </c>
      <c r="AR423" s="125">
        <f t="shared" ref="AR423" ca="1" si="682">SUM(AR419:AR422)</f>
        <v>82516.723412751409</v>
      </c>
      <c r="AS423" s="125">
        <f t="shared" ref="AS423" ca="1" si="683">SUM(AS419:AS422)</f>
        <v>89558.427717296858</v>
      </c>
      <c r="AT423" s="125">
        <f t="shared" ref="AT423" ca="1" si="684">SUM(AT419:AT422)</f>
        <v>93615.297510906836</v>
      </c>
    </row>
    <row r="424" spans="1:46" outlineLevel="1" x14ac:dyDescent="0.25">
      <c r="J424" s="116"/>
      <c r="K424" s="116"/>
      <c r="L424" s="116"/>
      <c r="M424" s="116"/>
      <c r="N424" s="116"/>
      <c r="O424" s="116"/>
      <c r="P424" s="116"/>
      <c r="Q424" s="116"/>
      <c r="R424" s="116"/>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c r="AQ424" s="570"/>
      <c r="AR424" s="570"/>
      <c r="AS424" s="570"/>
      <c r="AT424" s="570"/>
    </row>
    <row r="425" spans="1:46" outlineLevel="1" x14ac:dyDescent="0.25">
      <c r="B425" s="551" t="s">
        <v>494</v>
      </c>
      <c r="J425" s="116"/>
      <c r="K425" s="116"/>
      <c r="L425" s="116"/>
      <c r="M425" s="116"/>
      <c r="N425" s="116"/>
      <c r="O425" s="116"/>
      <c r="P425" s="116"/>
      <c r="Q425" s="116"/>
      <c r="R425" s="116"/>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c r="AQ425" s="570"/>
      <c r="AR425" s="570"/>
      <c r="AS425" s="570"/>
      <c r="AT425" s="570"/>
    </row>
    <row r="426" spans="1:46" outlineLevel="1" x14ac:dyDescent="0.25">
      <c r="B426" s="98" t="s">
        <v>495</v>
      </c>
      <c r="H426" s="73" t="s">
        <v>490</v>
      </c>
      <c r="J426" s="116"/>
      <c r="K426" s="116"/>
      <c r="L426" s="116"/>
      <c r="M426" s="116"/>
      <c r="N426" s="116"/>
      <c r="O426" s="116"/>
      <c r="P426" s="116"/>
      <c r="Q426" s="116"/>
      <c r="R426" s="116"/>
      <c r="S426" s="570">
        <f t="shared" ref="S426:AB428" si="685">IF(S$5=Closing_Date,S388*4,IF(S$5&gt;Closing_Date,SUM(P388:S388),0))</f>
        <v>0</v>
      </c>
      <c r="T426" s="570">
        <f t="shared" si="685"/>
        <v>0</v>
      </c>
      <c r="U426" s="570">
        <f t="shared" si="685"/>
        <v>0</v>
      </c>
      <c r="V426" s="570">
        <f t="shared" ca="1" si="685"/>
        <v>0</v>
      </c>
      <c r="W426" s="570">
        <f t="shared" ca="1" si="685"/>
        <v>0</v>
      </c>
      <c r="X426" s="570">
        <f t="shared" ca="1" si="685"/>
        <v>0</v>
      </c>
      <c r="Y426" s="570">
        <f t="shared" ca="1" si="685"/>
        <v>0</v>
      </c>
      <c r="Z426" s="570">
        <f t="shared" ca="1" si="685"/>
        <v>0</v>
      </c>
      <c r="AA426" s="570">
        <f t="shared" ca="1" si="685"/>
        <v>0</v>
      </c>
      <c r="AB426" s="570">
        <f t="shared" ca="1" si="685"/>
        <v>0</v>
      </c>
      <c r="AC426" s="570">
        <f t="shared" ref="AC426:AL428" ca="1" si="686">IF(AC$5=Closing_Date,AC388*4,IF(AC$5&gt;Closing_Date,SUM(Z388:AC388),0))</f>
        <v>0</v>
      </c>
      <c r="AD426" s="570">
        <f t="shared" ca="1" si="686"/>
        <v>0</v>
      </c>
      <c r="AE426" s="570">
        <f t="shared" ca="1" si="686"/>
        <v>0</v>
      </c>
      <c r="AF426" s="570">
        <f t="shared" ca="1" si="686"/>
        <v>0</v>
      </c>
      <c r="AG426" s="570">
        <f t="shared" ca="1" si="686"/>
        <v>0</v>
      </c>
      <c r="AH426" s="570">
        <f t="shared" ca="1" si="686"/>
        <v>0</v>
      </c>
      <c r="AI426" s="570">
        <f t="shared" ca="1" si="686"/>
        <v>204.47278221706219</v>
      </c>
      <c r="AJ426" s="570">
        <f t="shared" ca="1" si="686"/>
        <v>441.67663876841812</v>
      </c>
      <c r="AK426" s="570">
        <f t="shared" ca="1" si="686"/>
        <v>472.33994923297422</v>
      </c>
      <c r="AL426" s="570">
        <f t="shared" ca="1" si="686"/>
        <v>472.33994923297422</v>
      </c>
      <c r="AM426" s="570"/>
      <c r="AN426" s="682"/>
      <c r="AO426" s="682"/>
      <c r="AP426" s="570">
        <f t="shared" ref="AP426:AT430" ca="1" si="687">INDEX($K426:$AL426,MATCH(AP$5,$K$5:$AL$5,0))</f>
        <v>0</v>
      </c>
      <c r="AQ426" s="570">
        <f t="shared" ca="1" si="687"/>
        <v>0</v>
      </c>
      <c r="AR426" s="570">
        <f t="shared" ca="1" si="687"/>
        <v>0</v>
      </c>
      <c r="AS426" s="570">
        <f t="shared" ca="1" si="687"/>
        <v>0</v>
      </c>
      <c r="AT426" s="570">
        <f t="shared" ca="1" si="687"/>
        <v>472.33994923297422</v>
      </c>
    </row>
    <row r="427" spans="1:46" outlineLevel="1" x14ac:dyDescent="0.25">
      <c r="B427" s="98" t="s">
        <v>496</v>
      </c>
      <c r="H427" s="73" t="s">
        <v>490</v>
      </c>
      <c r="J427" s="116"/>
      <c r="K427" s="116"/>
      <c r="L427" s="116"/>
      <c r="M427" s="116"/>
      <c r="N427" s="116"/>
      <c r="O427" s="116"/>
      <c r="P427" s="116"/>
      <c r="Q427" s="116"/>
      <c r="R427" s="116"/>
      <c r="S427" s="570">
        <f t="shared" si="685"/>
        <v>0</v>
      </c>
      <c r="T427" s="570">
        <f t="shared" si="685"/>
        <v>0</v>
      </c>
      <c r="U427" s="570">
        <f t="shared" si="685"/>
        <v>0</v>
      </c>
      <c r="V427" s="570">
        <f t="shared" ca="1" si="685"/>
        <v>0</v>
      </c>
      <c r="W427" s="570">
        <f t="shared" ca="1" si="685"/>
        <v>0</v>
      </c>
      <c r="X427" s="570">
        <f t="shared" ca="1" si="685"/>
        <v>0</v>
      </c>
      <c r="Y427" s="570">
        <f t="shared" ca="1" si="685"/>
        <v>0</v>
      </c>
      <c r="Z427" s="570">
        <f t="shared" ca="1" si="685"/>
        <v>0</v>
      </c>
      <c r="AA427" s="570">
        <f t="shared" ca="1" si="685"/>
        <v>0</v>
      </c>
      <c r="AB427" s="570">
        <f t="shared" ca="1" si="685"/>
        <v>0</v>
      </c>
      <c r="AC427" s="570">
        <f t="shared" ca="1" si="686"/>
        <v>0</v>
      </c>
      <c r="AD427" s="570">
        <f t="shared" ca="1" si="686"/>
        <v>0</v>
      </c>
      <c r="AE427" s="570">
        <f t="shared" ca="1" si="686"/>
        <v>0</v>
      </c>
      <c r="AF427" s="570">
        <f t="shared" ca="1" si="686"/>
        <v>0</v>
      </c>
      <c r="AG427" s="570">
        <f t="shared" ca="1" si="686"/>
        <v>0</v>
      </c>
      <c r="AH427" s="570">
        <f t="shared" ca="1" si="686"/>
        <v>0</v>
      </c>
      <c r="AI427" s="570">
        <f t="shared" ca="1" si="686"/>
        <v>0</v>
      </c>
      <c r="AJ427" s="570">
        <f t="shared" ca="1" si="686"/>
        <v>0</v>
      </c>
      <c r="AK427" s="570">
        <f t="shared" ca="1" si="686"/>
        <v>0</v>
      </c>
      <c r="AL427" s="570">
        <f t="shared" ca="1" si="686"/>
        <v>0</v>
      </c>
      <c r="AM427" s="570"/>
      <c r="AN427" s="682"/>
      <c r="AO427" s="682"/>
      <c r="AP427" s="570">
        <f t="shared" ca="1" si="687"/>
        <v>0</v>
      </c>
      <c r="AQ427" s="570">
        <f t="shared" ca="1" si="687"/>
        <v>0</v>
      </c>
      <c r="AR427" s="570">
        <f t="shared" ca="1" si="687"/>
        <v>0</v>
      </c>
      <c r="AS427" s="570">
        <f t="shared" ca="1" si="687"/>
        <v>0</v>
      </c>
      <c r="AT427" s="570">
        <f t="shared" ca="1" si="687"/>
        <v>0</v>
      </c>
    </row>
    <row r="428" spans="1:46" outlineLevel="1" x14ac:dyDescent="0.25">
      <c r="B428" s="98" t="s">
        <v>497</v>
      </c>
      <c r="H428" s="73" t="s">
        <v>490</v>
      </c>
      <c r="J428" s="116"/>
      <c r="K428" s="116"/>
      <c r="L428" s="116"/>
      <c r="M428" s="116"/>
      <c r="N428" s="116"/>
      <c r="O428" s="116"/>
      <c r="P428" s="116"/>
      <c r="Q428" s="116"/>
      <c r="R428" s="116"/>
      <c r="S428" s="570">
        <f t="shared" si="685"/>
        <v>0</v>
      </c>
      <c r="T428" s="570">
        <f t="shared" si="685"/>
        <v>0</v>
      </c>
      <c r="U428" s="570">
        <f t="shared" si="685"/>
        <v>0</v>
      </c>
      <c r="V428" s="570">
        <f t="shared" si="685"/>
        <v>0</v>
      </c>
      <c r="W428" s="570">
        <f t="shared" si="685"/>
        <v>18150</v>
      </c>
      <c r="X428" s="570">
        <f t="shared" si="685"/>
        <v>18150</v>
      </c>
      <c r="Y428" s="570">
        <f t="shared" si="685"/>
        <v>36300</v>
      </c>
      <c r="Z428" s="570">
        <f t="shared" si="685"/>
        <v>36300</v>
      </c>
      <c r="AA428" s="570">
        <f t="shared" si="685"/>
        <v>36300</v>
      </c>
      <c r="AB428" s="570">
        <f t="shared" si="685"/>
        <v>36300</v>
      </c>
      <c r="AC428" s="570">
        <f t="shared" si="686"/>
        <v>36300</v>
      </c>
      <c r="AD428" s="570">
        <f t="shared" si="686"/>
        <v>36300</v>
      </c>
      <c r="AE428" s="570">
        <f t="shared" si="686"/>
        <v>36300</v>
      </c>
      <c r="AF428" s="570">
        <f t="shared" si="686"/>
        <v>36300</v>
      </c>
      <c r="AG428" s="570">
        <f t="shared" si="686"/>
        <v>36300</v>
      </c>
      <c r="AH428" s="570">
        <f t="shared" si="686"/>
        <v>36300</v>
      </c>
      <c r="AI428" s="570">
        <f t="shared" si="686"/>
        <v>36300</v>
      </c>
      <c r="AJ428" s="570">
        <f t="shared" si="686"/>
        <v>36300</v>
      </c>
      <c r="AK428" s="570">
        <f t="shared" si="686"/>
        <v>36300</v>
      </c>
      <c r="AL428" s="570">
        <f t="shared" si="686"/>
        <v>36300</v>
      </c>
      <c r="AM428" s="570"/>
      <c r="AN428" s="682"/>
      <c r="AO428" s="682"/>
      <c r="AP428" s="570">
        <f t="shared" si="687"/>
        <v>0</v>
      </c>
      <c r="AQ428" s="570">
        <f t="shared" si="687"/>
        <v>36300</v>
      </c>
      <c r="AR428" s="570">
        <f t="shared" si="687"/>
        <v>36300</v>
      </c>
      <c r="AS428" s="570">
        <f t="shared" si="687"/>
        <v>36300</v>
      </c>
      <c r="AT428" s="570">
        <f t="shared" si="687"/>
        <v>36300</v>
      </c>
    </row>
    <row r="429" spans="1:46" outlineLevel="1" x14ac:dyDescent="0.25">
      <c r="B429" s="98" t="s">
        <v>498</v>
      </c>
      <c r="H429" s="73" t="s">
        <v>490</v>
      </c>
      <c r="J429" s="116"/>
      <c r="K429" s="116"/>
      <c r="L429" s="116"/>
      <c r="M429" s="116"/>
      <c r="N429" s="116"/>
      <c r="O429" s="116"/>
      <c r="P429" s="116"/>
      <c r="Q429" s="116"/>
      <c r="R429" s="116"/>
      <c r="S429" s="570">
        <f t="shared" ref="S429:AL429" si="688">IF(S$5=Closing_Date,S392*4,IF(S$5&gt;Closing_Date,SUM(P392:S392),0))</f>
        <v>0</v>
      </c>
      <c r="T429" s="570">
        <f t="shared" si="688"/>
        <v>0</v>
      </c>
      <c r="U429" s="570">
        <f t="shared" si="688"/>
        <v>0</v>
      </c>
      <c r="V429" s="570">
        <f t="shared" ca="1" si="688"/>
        <v>0</v>
      </c>
      <c r="W429" s="570">
        <f t="shared" ca="1" si="688"/>
        <v>0</v>
      </c>
      <c r="X429" s="570">
        <f t="shared" ca="1" si="688"/>
        <v>0</v>
      </c>
      <c r="Y429" s="570">
        <f t="shared" ca="1" si="688"/>
        <v>0</v>
      </c>
      <c r="Z429" s="570">
        <f t="shared" ca="1" si="688"/>
        <v>0</v>
      </c>
      <c r="AA429" s="570">
        <f t="shared" ca="1" si="688"/>
        <v>0</v>
      </c>
      <c r="AB429" s="570">
        <f t="shared" ca="1" si="688"/>
        <v>0</v>
      </c>
      <c r="AC429" s="570">
        <f t="shared" ca="1" si="688"/>
        <v>0</v>
      </c>
      <c r="AD429" s="570">
        <f t="shared" ca="1" si="688"/>
        <v>0</v>
      </c>
      <c r="AE429" s="570">
        <f t="shared" ca="1" si="688"/>
        <v>0</v>
      </c>
      <c r="AF429" s="570">
        <f t="shared" ca="1" si="688"/>
        <v>0</v>
      </c>
      <c r="AG429" s="570">
        <f t="shared" ca="1" si="688"/>
        <v>0</v>
      </c>
      <c r="AH429" s="570">
        <f t="shared" ca="1" si="688"/>
        <v>0</v>
      </c>
      <c r="AI429" s="570">
        <f t="shared" ca="1" si="688"/>
        <v>0</v>
      </c>
      <c r="AJ429" s="570">
        <f t="shared" ca="1" si="688"/>
        <v>0</v>
      </c>
      <c r="AK429" s="570">
        <f t="shared" ca="1" si="688"/>
        <v>0</v>
      </c>
      <c r="AL429" s="570">
        <f t="shared" ca="1" si="688"/>
        <v>0</v>
      </c>
      <c r="AM429" s="570"/>
      <c r="AN429" s="682"/>
      <c r="AO429" s="682"/>
      <c r="AP429" s="570">
        <f t="shared" ca="1" si="687"/>
        <v>0</v>
      </c>
      <c r="AQ429" s="570">
        <f t="shared" ca="1" si="687"/>
        <v>0</v>
      </c>
      <c r="AR429" s="570">
        <f t="shared" ca="1" si="687"/>
        <v>0</v>
      </c>
      <c r="AS429" s="570">
        <f t="shared" ca="1" si="687"/>
        <v>0</v>
      </c>
      <c r="AT429" s="570">
        <f t="shared" ca="1" si="687"/>
        <v>0</v>
      </c>
    </row>
    <row r="430" spans="1:46" outlineLevel="1" x14ac:dyDescent="0.25">
      <c r="B430" s="98" t="s">
        <v>499</v>
      </c>
      <c r="H430" s="73" t="s">
        <v>500</v>
      </c>
      <c r="J430" s="116"/>
      <c r="K430" s="116"/>
      <c r="L430" s="116"/>
      <c r="M430" s="116"/>
      <c r="N430" s="116"/>
      <c r="O430" s="116"/>
      <c r="P430" s="116"/>
      <c r="Q430" s="116"/>
      <c r="R430" s="116"/>
      <c r="S430" s="570">
        <f t="shared" ref="S430:AL430" si="689">IF(S$5=Closing_Date,S349*4,IF(S$5&gt;Closing_Date,SUM(P349:S349),0))</f>
        <v>0</v>
      </c>
      <c r="T430" s="570">
        <f t="shared" si="689"/>
        <v>0</v>
      </c>
      <c r="U430" s="570">
        <f t="shared" si="689"/>
        <v>0</v>
      </c>
      <c r="V430" s="570">
        <f t="shared" si="689"/>
        <v>0</v>
      </c>
      <c r="W430" s="570">
        <f t="shared" ca="1" si="689"/>
        <v>0</v>
      </c>
      <c r="X430" s="570">
        <f t="shared" ca="1" si="689"/>
        <v>0</v>
      </c>
      <c r="Y430" s="570">
        <f t="shared" ca="1" si="689"/>
        <v>0</v>
      </c>
      <c r="Z430" s="570">
        <f t="shared" ca="1" si="689"/>
        <v>0</v>
      </c>
      <c r="AA430" s="570">
        <f t="shared" ca="1" si="689"/>
        <v>0</v>
      </c>
      <c r="AB430" s="570">
        <f t="shared" ca="1" si="689"/>
        <v>0</v>
      </c>
      <c r="AC430" s="570">
        <f t="shared" ca="1" si="689"/>
        <v>0</v>
      </c>
      <c r="AD430" s="570">
        <f t="shared" ca="1" si="689"/>
        <v>0</v>
      </c>
      <c r="AE430" s="570">
        <f t="shared" ca="1" si="689"/>
        <v>0</v>
      </c>
      <c r="AF430" s="570">
        <f t="shared" ca="1" si="689"/>
        <v>0</v>
      </c>
      <c r="AG430" s="570">
        <f t="shared" ca="1" si="689"/>
        <v>0</v>
      </c>
      <c r="AH430" s="570">
        <f t="shared" ca="1" si="689"/>
        <v>0</v>
      </c>
      <c r="AI430" s="570">
        <f t="shared" ca="1" si="689"/>
        <v>0</v>
      </c>
      <c r="AJ430" s="570">
        <f t="shared" ca="1" si="689"/>
        <v>0</v>
      </c>
      <c r="AK430" s="570">
        <f t="shared" ca="1" si="689"/>
        <v>0</v>
      </c>
      <c r="AL430" s="570">
        <f t="shared" ca="1" si="689"/>
        <v>0</v>
      </c>
      <c r="AM430" s="570"/>
      <c r="AN430" s="682"/>
      <c r="AO430" s="682"/>
      <c r="AP430" s="570">
        <f t="shared" si="687"/>
        <v>0</v>
      </c>
      <c r="AQ430" s="570">
        <f t="shared" ca="1" si="687"/>
        <v>0</v>
      </c>
      <c r="AR430" s="570">
        <f t="shared" ca="1" si="687"/>
        <v>0</v>
      </c>
      <c r="AS430" s="570">
        <f t="shared" ca="1" si="687"/>
        <v>0</v>
      </c>
      <c r="AT430" s="570">
        <f t="shared" ca="1" si="687"/>
        <v>0</v>
      </c>
    </row>
    <row r="431" spans="1:46" outlineLevel="1" x14ac:dyDescent="0.25">
      <c r="B431" s="670" t="s">
        <v>494</v>
      </c>
      <c r="C431" s="122"/>
      <c r="D431" s="122"/>
      <c r="E431" s="122"/>
      <c r="F431" s="122"/>
      <c r="G431" s="122"/>
      <c r="H431" s="122"/>
      <c r="I431" s="122"/>
      <c r="J431" s="683"/>
      <c r="K431" s="683"/>
      <c r="L431" s="683"/>
      <c r="M431" s="683"/>
      <c r="N431" s="683"/>
      <c r="O431" s="683"/>
      <c r="P431" s="683"/>
      <c r="Q431" s="683"/>
      <c r="R431" s="683"/>
      <c r="S431" s="125">
        <f>SUM(S426:S430)</f>
        <v>0</v>
      </c>
      <c r="T431" s="125">
        <f t="shared" ref="T431:V431" si="690">SUM(T426:T430)</f>
        <v>0</v>
      </c>
      <c r="U431" s="125">
        <f t="shared" si="690"/>
        <v>0</v>
      </c>
      <c r="V431" s="125">
        <f t="shared" ca="1" si="690"/>
        <v>0</v>
      </c>
      <c r="W431" s="125">
        <f t="shared" ref="W431" ca="1" si="691">SUM(W426:W430)</f>
        <v>18150</v>
      </c>
      <c r="X431" s="125">
        <f t="shared" ref="X431" ca="1" si="692">SUM(X426:X430)</f>
        <v>18150</v>
      </c>
      <c r="Y431" s="125">
        <f t="shared" ref="Y431" ca="1" si="693">SUM(Y426:Y430)</f>
        <v>36300</v>
      </c>
      <c r="Z431" s="125">
        <f t="shared" ref="Z431" ca="1" si="694">SUM(Z426:Z430)</f>
        <v>36300</v>
      </c>
      <c r="AA431" s="125">
        <f t="shared" ref="AA431" ca="1" si="695">SUM(AA426:AA430)</f>
        <v>36300</v>
      </c>
      <c r="AB431" s="125">
        <f t="shared" ref="AB431" ca="1" si="696">SUM(AB426:AB430)</f>
        <v>36300</v>
      </c>
      <c r="AC431" s="125">
        <f t="shared" ref="AC431" ca="1" si="697">SUM(AC426:AC430)</f>
        <v>36300</v>
      </c>
      <c r="AD431" s="125">
        <f t="shared" ref="AD431" ca="1" si="698">SUM(AD426:AD430)</f>
        <v>36300</v>
      </c>
      <c r="AE431" s="125">
        <f t="shared" ref="AE431" ca="1" si="699">SUM(AE426:AE430)</f>
        <v>36300</v>
      </c>
      <c r="AF431" s="125">
        <f t="shared" ref="AF431" ca="1" si="700">SUM(AF426:AF430)</f>
        <v>36300</v>
      </c>
      <c r="AG431" s="125">
        <f t="shared" ref="AG431" ca="1" si="701">SUM(AG426:AG430)</f>
        <v>36300</v>
      </c>
      <c r="AH431" s="125">
        <f t="shared" ref="AH431" ca="1" si="702">SUM(AH426:AH430)</f>
        <v>36300</v>
      </c>
      <c r="AI431" s="125">
        <f t="shared" ref="AI431" ca="1" si="703">SUM(AI426:AI430)</f>
        <v>36504.472782217061</v>
      </c>
      <c r="AJ431" s="125">
        <f t="shared" ref="AJ431" ca="1" si="704">SUM(AJ426:AJ430)</f>
        <v>36741.676638768418</v>
      </c>
      <c r="AK431" s="125">
        <f t="shared" ref="AK431" ca="1" si="705">SUM(AK426:AK430)</f>
        <v>36772.339949232977</v>
      </c>
      <c r="AL431" s="125">
        <f t="shared" ref="AL431" ca="1" si="706">SUM(AL426:AL430)</f>
        <v>36772.339949232977</v>
      </c>
      <c r="AM431" s="570"/>
      <c r="AN431" s="682"/>
      <c r="AO431" s="682"/>
      <c r="AP431" s="125">
        <f t="shared" ref="AP431" ca="1" si="707">SUM(AP426:AP430)</f>
        <v>0</v>
      </c>
      <c r="AQ431" s="125">
        <f t="shared" ref="AQ431" ca="1" si="708">SUM(AQ426:AQ430)</f>
        <v>36300</v>
      </c>
      <c r="AR431" s="125">
        <f t="shared" ref="AR431" ca="1" si="709">SUM(AR426:AR430)</f>
        <v>36300</v>
      </c>
      <c r="AS431" s="125">
        <f t="shared" ref="AS431" ca="1" si="710">SUM(AS426:AS430)</f>
        <v>36300</v>
      </c>
      <c r="AT431" s="125">
        <f t="shared" ref="AT431" ca="1" si="711">SUM(AT426:AT430)</f>
        <v>36772.339949232977</v>
      </c>
    </row>
    <row r="432" spans="1:46" outlineLevel="1" x14ac:dyDescent="0.25"/>
    <row r="433" spans="2:46" outlineLevel="1" x14ac:dyDescent="0.25">
      <c r="B433" s="758" t="s">
        <v>31</v>
      </c>
      <c r="C433" s="122"/>
      <c r="D433" s="122"/>
      <c r="E433" s="122"/>
      <c r="F433" s="122"/>
      <c r="G433" s="122"/>
      <c r="H433" s="122"/>
      <c r="I433" s="122"/>
      <c r="J433" s="683"/>
      <c r="K433" s="683"/>
      <c r="L433" s="683"/>
      <c r="M433" s="683"/>
      <c r="N433" s="683"/>
      <c r="O433" s="683"/>
      <c r="P433" s="683"/>
      <c r="Q433" s="683"/>
      <c r="R433" s="683"/>
      <c r="S433" s="771">
        <v>1.25</v>
      </c>
      <c r="T433" s="771">
        <v>1.25</v>
      </c>
      <c r="U433" s="771">
        <v>1.25</v>
      </c>
      <c r="V433" s="771">
        <v>1.25</v>
      </c>
      <c r="W433" s="771">
        <v>1.25</v>
      </c>
      <c r="X433" s="771">
        <v>1.25</v>
      </c>
      <c r="Y433" s="771">
        <v>1.25</v>
      </c>
      <c r="Z433" s="771">
        <v>1.25</v>
      </c>
      <c r="AA433" s="771">
        <v>1.25</v>
      </c>
      <c r="AB433" s="771">
        <v>1.25</v>
      </c>
      <c r="AC433" s="771">
        <v>1.25</v>
      </c>
      <c r="AD433" s="771">
        <v>1.25</v>
      </c>
      <c r="AE433" s="771">
        <v>1.25</v>
      </c>
      <c r="AF433" s="771">
        <v>1.25</v>
      </c>
      <c r="AG433" s="771">
        <v>1.25</v>
      </c>
      <c r="AH433" s="771">
        <v>1.25</v>
      </c>
      <c r="AI433" s="771">
        <v>1.25</v>
      </c>
      <c r="AJ433" s="771">
        <v>1.25</v>
      </c>
      <c r="AK433" s="771">
        <v>1.25</v>
      </c>
      <c r="AL433" s="771">
        <v>1.25</v>
      </c>
      <c r="AM433" s="570"/>
      <c r="AN433" s="682"/>
      <c r="AO433" s="682"/>
      <c r="AP433" s="771">
        <v>1.25</v>
      </c>
      <c r="AQ433" s="771">
        <v>1.25</v>
      </c>
      <c r="AR433" s="771">
        <v>1.25</v>
      </c>
      <c r="AS433" s="771">
        <v>1.25</v>
      </c>
      <c r="AT433" s="771">
        <v>1.25</v>
      </c>
    </row>
    <row r="434" spans="2:46" outlineLevel="1" x14ac:dyDescent="0.25">
      <c r="B434" s="60" t="s">
        <v>32</v>
      </c>
      <c r="J434" s="116"/>
      <c r="K434" s="116"/>
      <c r="L434" s="116"/>
      <c r="M434" s="116"/>
      <c r="N434" s="116"/>
      <c r="O434" s="116"/>
      <c r="P434" s="116"/>
      <c r="Q434" s="116"/>
      <c r="R434" s="116"/>
      <c r="S434" s="772">
        <f>IFERROR(S423/S431,0)</f>
        <v>0</v>
      </c>
      <c r="T434" s="772">
        <f t="shared" ref="T434:U434" si="712">IFERROR(T423/T431,0)</f>
        <v>0</v>
      </c>
      <c r="U434" s="772">
        <f t="shared" ca="1" si="712"/>
        <v>0</v>
      </c>
      <c r="V434" s="772">
        <f t="shared" ref="V434" ca="1" si="713">IFERROR(V423/V431,0)</f>
        <v>0</v>
      </c>
      <c r="W434" s="772">
        <f t="shared" ref="W434:X434" ca="1" si="714">IFERROR(W423/W431,0)</f>
        <v>3.0556071948279313</v>
      </c>
      <c r="X434" s="772">
        <f t="shared" ca="1" si="714"/>
        <v>3.4800035631469139</v>
      </c>
      <c r="Y434" s="772">
        <f t="shared" ref="Y434:AL434" ca="1" si="715">IFERROR(Y423/Y431,0)</f>
        <v>1.9038088518891838</v>
      </c>
      <c r="Z434" s="772">
        <f t="shared" ca="1" si="715"/>
        <v>2.0820723177364582</v>
      </c>
      <c r="AA434" s="772">
        <f t="shared" ca="1" si="715"/>
        <v>2.0081311006269624</v>
      </c>
      <c r="AB434" s="772">
        <f t="shared" ca="1" si="715"/>
        <v>2.0968593414163847</v>
      </c>
      <c r="AC434" s="772">
        <f t="shared" ca="1" si="715"/>
        <v>2.1897272585632899</v>
      </c>
      <c r="AD434" s="772">
        <f t="shared" ca="1" si="715"/>
        <v>2.2731879728030693</v>
      </c>
      <c r="AE434" s="772">
        <f t="shared" ca="1" si="715"/>
        <v>2.2800306033169662</v>
      </c>
      <c r="AF434" s="772">
        <f t="shared" ca="1" si="715"/>
        <v>2.3428463544815572</v>
      </c>
      <c r="AG434" s="772">
        <f t="shared" ca="1" si="715"/>
        <v>2.4126660053335458</v>
      </c>
      <c r="AH434" s="772">
        <f t="shared" ca="1" si="715"/>
        <v>2.4671743172809051</v>
      </c>
      <c r="AI434" s="772">
        <f t="shared" ca="1" si="715"/>
        <v>2.4626122708210478</v>
      </c>
      <c r="AJ434" s="772">
        <f t="shared" ca="1" si="715"/>
        <v>2.4801236649100629</v>
      </c>
      <c r="AK434" s="772">
        <f t="shared" ca="1" si="715"/>
        <v>2.5147999254982305</v>
      </c>
      <c r="AL434" s="772">
        <f t="shared" ca="1" si="715"/>
        <v>2.5458074639837962</v>
      </c>
      <c r="AM434" s="570"/>
      <c r="AN434" s="682"/>
      <c r="AO434" s="682"/>
      <c r="AP434" s="772">
        <f t="shared" ref="AP434:AT434" ca="1" si="716">IFERROR(AP423/AP431,0)</f>
        <v>0</v>
      </c>
      <c r="AQ434" s="772">
        <f t="shared" ca="1" si="716"/>
        <v>2.0820723177364582</v>
      </c>
      <c r="AR434" s="772">
        <f t="shared" ca="1" si="716"/>
        <v>2.2731879728030693</v>
      </c>
      <c r="AS434" s="772">
        <f t="shared" ca="1" si="716"/>
        <v>2.4671743172809051</v>
      </c>
      <c r="AT434" s="772">
        <f t="shared" ca="1" si="716"/>
        <v>2.5458074639837962</v>
      </c>
    </row>
    <row r="435" spans="2:46" outlineLevel="1" x14ac:dyDescent="0.25">
      <c r="B435" s="759" t="s">
        <v>30</v>
      </c>
      <c r="C435" s="725"/>
      <c r="D435" s="725"/>
      <c r="E435" s="725"/>
      <c r="F435" s="725"/>
      <c r="G435" s="725"/>
      <c r="H435" s="725"/>
      <c r="I435" s="725"/>
      <c r="J435" s="726"/>
      <c r="K435" s="726"/>
      <c r="L435" s="726"/>
      <c r="M435" s="726"/>
      <c r="N435" s="726"/>
      <c r="O435" s="726"/>
      <c r="P435" s="726"/>
      <c r="Q435" s="726"/>
      <c r="R435" s="726"/>
      <c r="S435" s="770">
        <f>IF(S434=0,0,IF(S434&lt;S433,"FAIL","PASS"))</f>
        <v>0</v>
      </c>
      <c r="T435" s="770">
        <f t="shared" ref="T435:U435" si="717">IF(T434=0,0,IF(T434&lt;T433,"FAIL","PASS"))</f>
        <v>0</v>
      </c>
      <c r="U435" s="770">
        <f t="shared" ca="1" si="717"/>
        <v>0</v>
      </c>
      <c r="V435" s="770">
        <f t="shared" ref="V435" ca="1" si="718">IF(V434=0,0,IF(V434&lt;V433,"FAIL","PASS"))</f>
        <v>0</v>
      </c>
      <c r="W435" s="770" t="str">
        <f t="shared" ref="W435" ca="1" si="719">IF(W434=0,0,IF(W434&lt;W433,"FAIL","PASS"))</f>
        <v>PASS</v>
      </c>
      <c r="X435" s="770" t="str">
        <f t="shared" ref="X435" ca="1" si="720">IF(X434=0,0,IF(X434&lt;X433,"FAIL","PASS"))</f>
        <v>PASS</v>
      </c>
      <c r="Y435" s="770" t="str">
        <f t="shared" ref="Y435" ca="1" si="721">IF(Y434=0,0,IF(Y434&lt;Y433,"FAIL","PASS"))</f>
        <v>PASS</v>
      </c>
      <c r="Z435" s="770" t="str">
        <f t="shared" ref="Z435" ca="1" si="722">IF(Z434=0,0,IF(Z434&lt;Z433,"FAIL","PASS"))</f>
        <v>PASS</v>
      </c>
      <c r="AA435" s="770" t="str">
        <f t="shared" ref="AA435" ca="1" si="723">IF(AA434=0,0,IF(AA434&lt;AA433,"FAIL","PASS"))</f>
        <v>PASS</v>
      </c>
      <c r="AB435" s="770" t="str">
        <f t="shared" ref="AB435" ca="1" si="724">IF(AB434=0,0,IF(AB434&lt;AB433,"FAIL","PASS"))</f>
        <v>PASS</v>
      </c>
      <c r="AC435" s="770" t="str">
        <f t="shared" ref="AC435" ca="1" si="725">IF(AC434=0,0,IF(AC434&lt;AC433,"FAIL","PASS"))</f>
        <v>PASS</v>
      </c>
      <c r="AD435" s="770" t="str">
        <f t="shared" ref="AD435" ca="1" si="726">IF(AD434=0,0,IF(AD434&lt;AD433,"FAIL","PASS"))</f>
        <v>PASS</v>
      </c>
      <c r="AE435" s="770" t="str">
        <f t="shared" ref="AE435" ca="1" si="727">IF(AE434=0,0,IF(AE434&lt;AE433,"FAIL","PASS"))</f>
        <v>PASS</v>
      </c>
      <c r="AF435" s="770" t="str">
        <f t="shared" ref="AF435" ca="1" si="728">IF(AF434=0,0,IF(AF434&lt;AF433,"FAIL","PASS"))</f>
        <v>PASS</v>
      </c>
      <c r="AG435" s="770" t="str">
        <f t="shared" ref="AG435" ca="1" si="729">IF(AG434=0,0,IF(AG434&lt;AG433,"FAIL","PASS"))</f>
        <v>PASS</v>
      </c>
      <c r="AH435" s="770" t="str">
        <f t="shared" ref="AH435" ca="1" si="730">IF(AH434=0,0,IF(AH434&lt;AH433,"FAIL","PASS"))</f>
        <v>PASS</v>
      </c>
      <c r="AI435" s="770" t="str">
        <f t="shared" ref="AI435" ca="1" si="731">IF(AI434=0,0,IF(AI434&lt;AI433,"FAIL","PASS"))</f>
        <v>PASS</v>
      </c>
      <c r="AJ435" s="770" t="str">
        <f t="shared" ref="AJ435" ca="1" si="732">IF(AJ434=0,0,IF(AJ434&lt;AJ433,"FAIL","PASS"))</f>
        <v>PASS</v>
      </c>
      <c r="AK435" s="770" t="str">
        <f t="shared" ref="AK435" ca="1" si="733">IF(AK434=0,0,IF(AK434&lt;AK433,"FAIL","PASS"))</f>
        <v>PASS</v>
      </c>
      <c r="AL435" s="770" t="str">
        <f t="shared" ref="AL435" ca="1" si="734">IF(AL434=0,0,IF(AL434&lt;AL433,"FAIL","PASS"))</f>
        <v>PASS</v>
      </c>
      <c r="AM435" s="570"/>
      <c r="AN435" s="682"/>
      <c r="AO435" s="682"/>
      <c r="AP435" s="770">
        <f t="shared" ref="AP435" ca="1" si="735">IF(AP434=0,0,IF(AP434&lt;AP433,"FAIL","PASS"))</f>
        <v>0</v>
      </c>
      <c r="AQ435" s="770" t="str">
        <f t="shared" ref="AQ435" ca="1" si="736">IF(AQ434=0,0,IF(AQ434&lt;AQ433,"FAIL","PASS"))</f>
        <v>PASS</v>
      </c>
      <c r="AR435" s="770" t="str">
        <f t="shared" ref="AR435" ca="1" si="737">IF(AR434=0,0,IF(AR434&lt;AR433,"FAIL","PASS"))</f>
        <v>PASS</v>
      </c>
      <c r="AS435" s="770" t="str">
        <f t="shared" ref="AS435" ca="1" si="738">IF(AS434=0,0,IF(AS434&lt;AS433,"FAIL","PASS"))</f>
        <v>PASS</v>
      </c>
      <c r="AT435" s="770" t="str">
        <f t="shared" ref="AT435" ca="1" si="739">IF(AT434=0,0,IF(AT434&lt;AT433,"FAIL","PASS"))</f>
        <v>PASS</v>
      </c>
    </row>
    <row r="436" spans="2:46" outlineLevel="1" x14ac:dyDescent="0.25">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c r="AQ436" s="570"/>
      <c r="AR436" s="570"/>
      <c r="AS436" s="570"/>
      <c r="AT436" s="570"/>
    </row>
    <row r="437" spans="2:46" outlineLevel="1" x14ac:dyDescent="0.25">
      <c r="B437" s="754" t="s">
        <v>501</v>
      </c>
      <c r="C437" s="676"/>
      <c r="D437" s="676"/>
      <c r="E437" s="676"/>
      <c r="F437" s="676"/>
      <c r="G437" s="676"/>
      <c r="H437" s="676"/>
      <c r="I437" s="676"/>
      <c r="J437" s="676"/>
      <c r="K437" s="676"/>
      <c r="L437" s="676"/>
      <c r="M437" s="676"/>
      <c r="N437" s="676"/>
      <c r="O437" s="676"/>
      <c r="P437" s="676"/>
      <c r="Q437" s="676"/>
      <c r="R437" s="676"/>
      <c r="S437" s="676"/>
      <c r="T437" s="676"/>
      <c r="U437" s="676"/>
      <c r="V437" s="676"/>
      <c r="W437" s="676"/>
      <c r="X437" s="676"/>
      <c r="Y437" s="676"/>
      <c r="Z437" s="676"/>
      <c r="AA437" s="676"/>
      <c r="AB437" s="676"/>
      <c r="AC437" s="676"/>
      <c r="AD437" s="676"/>
      <c r="AE437" s="676"/>
      <c r="AF437" s="676"/>
      <c r="AG437" s="676"/>
      <c r="AH437" s="676"/>
      <c r="AI437" s="676"/>
      <c r="AJ437" s="676"/>
      <c r="AK437" s="676"/>
      <c r="AL437" s="676"/>
      <c r="AM437" s="570"/>
      <c r="AN437" s="676"/>
      <c r="AO437" s="676"/>
      <c r="AP437" s="676"/>
      <c r="AQ437" s="676"/>
      <c r="AR437" s="676"/>
      <c r="AS437" s="676"/>
      <c r="AT437" s="676"/>
    </row>
    <row r="438" spans="2:46" outlineLevel="1" x14ac:dyDescent="0.25">
      <c r="B438" s="551" t="s">
        <v>502</v>
      </c>
      <c r="J438" s="116"/>
      <c r="K438" s="116"/>
      <c r="L438" s="116"/>
      <c r="M438" s="116"/>
      <c r="N438" s="116"/>
      <c r="O438" s="116"/>
      <c r="P438" s="116"/>
      <c r="Q438" s="116"/>
      <c r="R438" s="116"/>
      <c r="AM438" s="570"/>
      <c r="AN438" s="682"/>
      <c r="AO438" s="682"/>
    </row>
    <row r="439" spans="2:46" outlineLevel="1" x14ac:dyDescent="0.25">
      <c r="B439" s="98" t="s">
        <v>19</v>
      </c>
      <c r="J439" s="116"/>
      <c r="K439" s="116"/>
      <c r="L439" s="116"/>
      <c r="M439" s="116"/>
      <c r="N439" s="116"/>
      <c r="O439" s="116"/>
      <c r="P439" s="116"/>
      <c r="Q439" s="116"/>
      <c r="R439" s="116"/>
      <c r="S439" s="570">
        <f t="shared" ref="S439:AL439" si="740">+S127</f>
        <v>0</v>
      </c>
      <c r="T439" s="570">
        <f t="shared" si="740"/>
        <v>0</v>
      </c>
      <c r="U439" s="570">
        <f t="shared" si="740"/>
        <v>0</v>
      </c>
      <c r="V439" s="570">
        <f t="shared" ca="1" si="740"/>
        <v>0</v>
      </c>
      <c r="W439" s="570">
        <f t="shared" ca="1" si="740"/>
        <v>0</v>
      </c>
      <c r="X439" s="570">
        <f t="shared" ca="1" si="740"/>
        <v>0</v>
      </c>
      <c r="Y439" s="570">
        <f t="shared" ca="1" si="740"/>
        <v>0</v>
      </c>
      <c r="Z439" s="570">
        <f t="shared" ca="1" si="740"/>
        <v>0</v>
      </c>
      <c r="AA439" s="570">
        <f t="shared" ca="1" si="740"/>
        <v>0</v>
      </c>
      <c r="AB439" s="570">
        <f t="shared" ca="1" si="740"/>
        <v>0</v>
      </c>
      <c r="AC439" s="570">
        <f t="shared" ca="1" si="740"/>
        <v>0</v>
      </c>
      <c r="AD439" s="570">
        <f t="shared" ca="1" si="740"/>
        <v>0</v>
      </c>
      <c r="AE439" s="570">
        <f t="shared" ca="1" si="740"/>
        <v>0</v>
      </c>
      <c r="AF439" s="570">
        <f t="shared" ca="1" si="740"/>
        <v>0</v>
      </c>
      <c r="AG439" s="570">
        <f t="shared" ca="1" si="740"/>
        <v>0</v>
      </c>
      <c r="AH439" s="570">
        <f t="shared" ca="1" si="740"/>
        <v>0</v>
      </c>
      <c r="AI439" s="570">
        <f t="shared" ca="1" si="740"/>
        <v>7752.5225485142055</v>
      </c>
      <c r="AJ439" s="570">
        <f t="shared" ca="1" si="740"/>
        <v>1135.6781653539301</v>
      </c>
      <c r="AK439" s="570">
        <f t="shared" ca="1" si="740"/>
        <v>0</v>
      </c>
      <c r="AL439" s="570">
        <f t="shared" ca="1" si="740"/>
        <v>0</v>
      </c>
      <c r="AM439" s="570"/>
      <c r="AN439" s="682"/>
      <c r="AO439" s="682"/>
      <c r="AP439" s="570">
        <f t="shared" ref="AP439:AT442" ca="1" si="741">INDEX($K439:$AL439,MATCH(AP$5,$K$5:$AL$5,0))</f>
        <v>0</v>
      </c>
      <c r="AQ439" s="570">
        <f t="shared" ca="1" si="741"/>
        <v>0</v>
      </c>
      <c r="AR439" s="570">
        <f t="shared" ca="1" si="741"/>
        <v>0</v>
      </c>
      <c r="AS439" s="570">
        <f t="shared" ca="1" si="741"/>
        <v>0</v>
      </c>
      <c r="AT439" s="570">
        <f t="shared" ca="1" si="741"/>
        <v>0</v>
      </c>
    </row>
    <row r="440" spans="2:46" outlineLevel="1" x14ac:dyDescent="0.25">
      <c r="B440" s="98" t="s">
        <v>130</v>
      </c>
      <c r="J440" s="116"/>
      <c r="K440" s="116"/>
      <c r="L440" s="116"/>
      <c r="M440" s="116"/>
      <c r="N440" s="116"/>
      <c r="O440" s="116"/>
      <c r="P440" s="116"/>
      <c r="Q440" s="116"/>
      <c r="R440" s="116"/>
      <c r="S440" s="570">
        <f t="shared" ref="S440:AL440" si="742">+S128</f>
        <v>0</v>
      </c>
      <c r="T440" s="570">
        <f t="shared" si="742"/>
        <v>0</v>
      </c>
      <c r="U440" s="570">
        <f t="shared" si="742"/>
        <v>0</v>
      </c>
      <c r="V440" s="570">
        <f t="shared" ca="1" si="742"/>
        <v>0</v>
      </c>
      <c r="W440" s="570">
        <f t="shared" ca="1" si="742"/>
        <v>0</v>
      </c>
      <c r="X440" s="570">
        <f t="shared" ca="1" si="742"/>
        <v>0</v>
      </c>
      <c r="Y440" s="570">
        <f t="shared" ca="1" si="742"/>
        <v>0</v>
      </c>
      <c r="Z440" s="570">
        <f t="shared" ca="1" si="742"/>
        <v>0</v>
      </c>
      <c r="AA440" s="570">
        <f t="shared" ca="1" si="742"/>
        <v>0</v>
      </c>
      <c r="AB440" s="570">
        <f t="shared" ca="1" si="742"/>
        <v>0</v>
      </c>
      <c r="AC440" s="570">
        <f t="shared" ca="1" si="742"/>
        <v>0</v>
      </c>
      <c r="AD440" s="570">
        <f t="shared" ca="1" si="742"/>
        <v>0</v>
      </c>
      <c r="AE440" s="570">
        <f t="shared" ca="1" si="742"/>
        <v>0</v>
      </c>
      <c r="AF440" s="570">
        <f t="shared" ca="1" si="742"/>
        <v>0</v>
      </c>
      <c r="AG440" s="570">
        <f t="shared" ca="1" si="742"/>
        <v>0</v>
      </c>
      <c r="AH440" s="570">
        <f t="shared" ca="1" si="742"/>
        <v>0</v>
      </c>
      <c r="AI440" s="570">
        <f t="shared" ca="1" si="742"/>
        <v>0</v>
      </c>
      <c r="AJ440" s="570">
        <f t="shared" ca="1" si="742"/>
        <v>0</v>
      </c>
      <c r="AK440" s="570">
        <f t="shared" ca="1" si="742"/>
        <v>0</v>
      </c>
      <c r="AL440" s="570">
        <f t="shared" ca="1" si="742"/>
        <v>0</v>
      </c>
      <c r="AM440" s="570"/>
      <c r="AN440" s="682"/>
      <c r="AO440" s="682"/>
      <c r="AP440" s="570">
        <f t="shared" ca="1" si="741"/>
        <v>0</v>
      </c>
      <c r="AQ440" s="570">
        <f t="shared" ca="1" si="741"/>
        <v>0</v>
      </c>
      <c r="AR440" s="570">
        <f t="shared" ca="1" si="741"/>
        <v>0</v>
      </c>
      <c r="AS440" s="570">
        <f t="shared" ca="1" si="741"/>
        <v>0</v>
      </c>
      <c r="AT440" s="570">
        <f t="shared" ca="1" si="741"/>
        <v>0</v>
      </c>
    </row>
    <row r="441" spans="2:46" outlineLevel="1" x14ac:dyDescent="0.25">
      <c r="B441" s="98" t="s">
        <v>21</v>
      </c>
      <c r="J441" s="116"/>
      <c r="K441" s="116"/>
      <c r="L441" s="116"/>
      <c r="M441" s="116"/>
      <c r="N441" s="116"/>
      <c r="O441" s="116"/>
      <c r="P441" s="116"/>
      <c r="Q441" s="116"/>
      <c r="R441" s="116"/>
      <c r="S441" s="570">
        <f t="shared" ref="S441:AL441" si="743">+S129</f>
        <v>0</v>
      </c>
      <c r="T441" s="570">
        <f t="shared" si="743"/>
        <v>0</v>
      </c>
      <c r="U441" s="570">
        <f t="shared" si="743"/>
        <v>0</v>
      </c>
      <c r="V441" s="570">
        <f t="shared" ca="1" si="743"/>
        <v>0</v>
      </c>
      <c r="W441" s="570">
        <f t="shared" ca="1" si="743"/>
        <v>0</v>
      </c>
      <c r="X441" s="570">
        <f t="shared" ca="1" si="743"/>
        <v>0</v>
      </c>
      <c r="Y441" s="570">
        <f t="shared" ca="1" si="743"/>
        <v>0</v>
      </c>
      <c r="Z441" s="570">
        <f t="shared" ca="1" si="743"/>
        <v>0</v>
      </c>
      <c r="AA441" s="570">
        <f t="shared" ca="1" si="743"/>
        <v>0</v>
      </c>
      <c r="AB441" s="570">
        <f t="shared" ca="1" si="743"/>
        <v>0</v>
      </c>
      <c r="AC441" s="570">
        <f t="shared" ca="1" si="743"/>
        <v>0</v>
      </c>
      <c r="AD441" s="570">
        <f t="shared" ca="1" si="743"/>
        <v>0</v>
      </c>
      <c r="AE441" s="570">
        <f t="shared" ca="1" si="743"/>
        <v>0</v>
      </c>
      <c r="AF441" s="570">
        <f t="shared" ca="1" si="743"/>
        <v>0</v>
      </c>
      <c r="AG441" s="570">
        <f t="shared" ca="1" si="743"/>
        <v>0</v>
      </c>
      <c r="AH441" s="570">
        <f t="shared" ca="1" si="743"/>
        <v>0</v>
      </c>
      <c r="AI441" s="570">
        <f t="shared" ca="1" si="743"/>
        <v>0</v>
      </c>
      <c r="AJ441" s="570">
        <f t="shared" ca="1" si="743"/>
        <v>0</v>
      </c>
      <c r="AK441" s="570">
        <f t="shared" ca="1" si="743"/>
        <v>0</v>
      </c>
      <c r="AL441" s="570">
        <f t="shared" ca="1" si="743"/>
        <v>0</v>
      </c>
      <c r="AM441" s="570"/>
      <c r="AN441" s="682"/>
      <c r="AO441" s="682"/>
      <c r="AP441" s="570">
        <f t="shared" ca="1" si="741"/>
        <v>0</v>
      </c>
      <c r="AQ441" s="570">
        <f t="shared" ca="1" si="741"/>
        <v>0</v>
      </c>
      <c r="AR441" s="570">
        <f t="shared" ca="1" si="741"/>
        <v>0</v>
      </c>
      <c r="AS441" s="570">
        <f t="shared" ca="1" si="741"/>
        <v>0</v>
      </c>
      <c r="AT441" s="570">
        <f t="shared" ca="1" si="741"/>
        <v>0</v>
      </c>
    </row>
    <row r="442" spans="2:46" outlineLevel="1" x14ac:dyDescent="0.25">
      <c r="B442" s="98" t="s">
        <v>22</v>
      </c>
      <c r="J442" s="116"/>
      <c r="K442" s="116"/>
      <c r="L442" s="116"/>
      <c r="M442" s="116"/>
      <c r="N442" s="116"/>
      <c r="O442" s="116"/>
      <c r="P442" s="116"/>
      <c r="Q442" s="116"/>
      <c r="R442" s="116"/>
      <c r="S442" s="570">
        <f t="shared" ref="S442:AL442" si="744">+S130</f>
        <v>0</v>
      </c>
      <c r="T442" s="570">
        <f t="shared" si="744"/>
        <v>0</v>
      </c>
      <c r="U442" s="570">
        <f t="shared" si="744"/>
        <v>500000</v>
      </c>
      <c r="V442" s="570">
        <f t="shared" ca="1" si="744"/>
        <v>500000</v>
      </c>
      <c r="W442" s="570">
        <f t="shared" ca="1" si="744"/>
        <v>500000</v>
      </c>
      <c r="X442" s="570">
        <f t="shared" ca="1" si="744"/>
        <v>500000</v>
      </c>
      <c r="Y442" s="570">
        <f t="shared" ca="1" si="744"/>
        <v>500000</v>
      </c>
      <c r="Z442" s="570">
        <f t="shared" ca="1" si="744"/>
        <v>500000</v>
      </c>
      <c r="AA442" s="570">
        <f t="shared" ca="1" si="744"/>
        <v>500000</v>
      </c>
      <c r="AB442" s="570">
        <f t="shared" ca="1" si="744"/>
        <v>500000</v>
      </c>
      <c r="AC442" s="570">
        <f t="shared" ca="1" si="744"/>
        <v>500000</v>
      </c>
      <c r="AD442" s="570">
        <f t="shared" ca="1" si="744"/>
        <v>500000</v>
      </c>
      <c r="AE442" s="570">
        <f t="shared" ca="1" si="744"/>
        <v>500000</v>
      </c>
      <c r="AF442" s="570">
        <f t="shared" ca="1" si="744"/>
        <v>500000</v>
      </c>
      <c r="AG442" s="570">
        <f t="shared" ca="1" si="744"/>
        <v>500000</v>
      </c>
      <c r="AH442" s="570">
        <f t="shared" ca="1" si="744"/>
        <v>500000</v>
      </c>
      <c r="AI442" s="570">
        <f t="shared" ca="1" si="744"/>
        <v>500000</v>
      </c>
      <c r="AJ442" s="570">
        <f t="shared" ca="1" si="744"/>
        <v>500000</v>
      </c>
      <c r="AK442" s="570">
        <f t="shared" ca="1" si="744"/>
        <v>500000</v>
      </c>
      <c r="AL442" s="570">
        <f t="shared" ca="1" si="744"/>
        <v>500000</v>
      </c>
      <c r="AM442" s="570"/>
      <c r="AN442" s="682"/>
      <c r="AO442" s="682"/>
      <c r="AP442" s="570">
        <f t="shared" ca="1" si="741"/>
        <v>500000</v>
      </c>
      <c r="AQ442" s="570">
        <f t="shared" ca="1" si="741"/>
        <v>500000</v>
      </c>
      <c r="AR442" s="570">
        <f t="shared" ca="1" si="741"/>
        <v>500000</v>
      </c>
      <c r="AS442" s="570">
        <f t="shared" ca="1" si="741"/>
        <v>500000</v>
      </c>
      <c r="AT442" s="570">
        <f t="shared" ca="1" si="741"/>
        <v>500000</v>
      </c>
    </row>
    <row r="443" spans="2:46" outlineLevel="1" x14ac:dyDescent="0.25">
      <c r="B443" s="670" t="s">
        <v>502</v>
      </c>
      <c r="C443" s="122"/>
      <c r="D443" s="122"/>
      <c r="E443" s="122"/>
      <c r="F443" s="122"/>
      <c r="G443" s="122"/>
      <c r="H443" s="122"/>
      <c r="I443" s="122"/>
      <c r="J443" s="683"/>
      <c r="K443" s="683"/>
      <c r="L443" s="683"/>
      <c r="M443" s="683"/>
      <c r="N443" s="683"/>
      <c r="O443" s="683"/>
      <c r="P443" s="683"/>
      <c r="Q443" s="683"/>
      <c r="R443" s="683"/>
      <c r="S443" s="125">
        <f>SUM(S439:S442)</f>
        <v>0</v>
      </c>
      <c r="T443" s="125">
        <f t="shared" ref="T443:U443" si="745">SUM(T439:T442)</f>
        <v>0</v>
      </c>
      <c r="U443" s="125">
        <f t="shared" si="745"/>
        <v>500000</v>
      </c>
      <c r="V443" s="125">
        <f t="shared" ref="V443" ca="1" si="746">SUM(V439:V442)</f>
        <v>500000</v>
      </c>
      <c r="W443" s="125">
        <f t="shared" ref="W443" ca="1" si="747">SUM(W439:W442)</f>
        <v>500000</v>
      </c>
      <c r="X443" s="125">
        <f t="shared" ref="X443" ca="1" si="748">SUM(X439:X442)</f>
        <v>500000</v>
      </c>
      <c r="Y443" s="125">
        <f t="shared" ref="Y443" ca="1" si="749">SUM(Y439:Y442)</f>
        <v>500000</v>
      </c>
      <c r="Z443" s="125">
        <f t="shared" ref="Z443" ca="1" si="750">SUM(Z439:Z442)</f>
        <v>500000</v>
      </c>
      <c r="AA443" s="125">
        <f t="shared" ref="AA443" ca="1" si="751">SUM(AA439:AA442)</f>
        <v>500000</v>
      </c>
      <c r="AB443" s="125">
        <f t="shared" ref="AB443" ca="1" si="752">SUM(AB439:AB442)</f>
        <v>500000</v>
      </c>
      <c r="AC443" s="125">
        <f t="shared" ref="AC443" ca="1" si="753">SUM(AC439:AC442)</f>
        <v>500000</v>
      </c>
      <c r="AD443" s="125">
        <f t="shared" ref="AD443" ca="1" si="754">SUM(AD439:AD442)</f>
        <v>500000</v>
      </c>
      <c r="AE443" s="125">
        <f t="shared" ref="AE443" ca="1" si="755">SUM(AE439:AE442)</f>
        <v>500000</v>
      </c>
      <c r="AF443" s="125">
        <f t="shared" ref="AF443" ca="1" si="756">SUM(AF439:AF442)</f>
        <v>500000</v>
      </c>
      <c r="AG443" s="125">
        <f t="shared" ref="AG443" ca="1" si="757">SUM(AG439:AG442)</f>
        <v>500000</v>
      </c>
      <c r="AH443" s="125">
        <f t="shared" ref="AH443" ca="1" si="758">SUM(AH439:AH442)</f>
        <v>500000</v>
      </c>
      <c r="AI443" s="125">
        <f t="shared" ref="AI443" ca="1" si="759">SUM(AI439:AI442)</f>
        <v>507752.52254851419</v>
      </c>
      <c r="AJ443" s="125">
        <f t="shared" ref="AJ443" ca="1" si="760">SUM(AJ439:AJ442)</f>
        <v>501135.67816535395</v>
      </c>
      <c r="AK443" s="125">
        <f t="shared" ref="AK443" ca="1" si="761">SUM(AK439:AK442)</f>
        <v>500000</v>
      </c>
      <c r="AL443" s="125">
        <f t="shared" ref="AL443" ca="1" si="762">SUM(AL439:AL442)</f>
        <v>500000</v>
      </c>
      <c r="AM443" s="570"/>
      <c r="AN443" s="682"/>
      <c r="AO443" s="682"/>
      <c r="AP443" s="125">
        <f t="shared" ref="AP443" ca="1" si="763">SUM(AP439:AP442)</f>
        <v>500000</v>
      </c>
      <c r="AQ443" s="125">
        <f t="shared" ref="AQ443" ca="1" si="764">SUM(AQ439:AQ442)</f>
        <v>500000</v>
      </c>
      <c r="AR443" s="125">
        <f t="shared" ref="AR443" ca="1" si="765">SUM(AR439:AR442)</f>
        <v>500000</v>
      </c>
      <c r="AS443" s="125">
        <f t="shared" ref="AS443" ca="1" si="766">SUM(AS439:AS442)</f>
        <v>500000</v>
      </c>
      <c r="AT443" s="125">
        <f t="shared" ref="AT443" ca="1" si="767">SUM(AT439:AT442)</f>
        <v>500000</v>
      </c>
    </row>
    <row r="444" spans="2:46" outlineLevel="1" x14ac:dyDescent="0.25">
      <c r="J444" s="116"/>
      <c r="K444" s="116"/>
      <c r="L444" s="116"/>
      <c r="M444" s="116"/>
      <c r="N444" s="116"/>
      <c r="O444" s="116"/>
      <c r="P444" s="116"/>
      <c r="Q444" s="116"/>
      <c r="R444" s="116"/>
      <c r="S444" s="570"/>
      <c r="T444" s="570"/>
      <c r="U444" s="570"/>
      <c r="V444" s="570"/>
      <c r="W444" s="570"/>
      <c r="X444" s="570"/>
      <c r="Y444" s="570"/>
      <c r="Z444" s="570"/>
      <c r="AA444" s="570"/>
      <c r="AB444" s="570"/>
      <c r="AC444" s="570"/>
      <c r="AD444" s="570"/>
      <c r="AE444" s="570"/>
      <c r="AF444" s="570"/>
      <c r="AG444" s="570"/>
      <c r="AH444" s="570"/>
      <c r="AI444" s="570"/>
      <c r="AJ444" s="570"/>
      <c r="AK444" s="570"/>
      <c r="AL444" s="570"/>
      <c r="AM444" s="570"/>
      <c r="AN444" s="682"/>
      <c r="AO444" s="682"/>
      <c r="AP444" s="570"/>
      <c r="AQ444" s="570"/>
      <c r="AR444" s="570"/>
      <c r="AS444" s="570"/>
      <c r="AT444" s="570"/>
    </row>
    <row r="445" spans="2:46" outlineLevel="1" x14ac:dyDescent="0.25">
      <c r="B445" s="551" t="s">
        <v>503</v>
      </c>
      <c r="H445" s="73" t="s">
        <v>490</v>
      </c>
      <c r="J445" s="116"/>
      <c r="K445" s="116"/>
      <c r="L445" s="116"/>
      <c r="M445" s="116"/>
      <c r="N445" s="116"/>
      <c r="O445" s="116"/>
      <c r="P445" s="116"/>
      <c r="Q445" s="116"/>
      <c r="R445" s="116"/>
      <c r="S445" s="570">
        <f t="shared" ref="S445:AL445" si="768">IF(S$5=Closing_Date,S$84*4,IF(S$5&gt;Closing_Date,S$86,0))</f>
        <v>0</v>
      </c>
      <c r="T445" s="570">
        <f t="shared" si="768"/>
        <v>0</v>
      </c>
      <c r="U445" s="570">
        <f t="shared" ca="1" si="768"/>
        <v>39156.995579399183</v>
      </c>
      <c r="V445" s="570">
        <f t="shared" ca="1" si="768"/>
        <v>41321.170665469806</v>
      </c>
      <c r="W445" s="570">
        <f t="shared" ca="1" si="768"/>
        <v>47591.338797262048</v>
      </c>
      <c r="X445" s="570">
        <f t="shared" ca="1" si="768"/>
        <v>54708.755971379695</v>
      </c>
      <c r="Y445" s="570">
        <f t="shared" ca="1" si="768"/>
        <v>59854.153278246631</v>
      </c>
      <c r="Z445" s="570">
        <f t="shared" ca="1" si="768"/>
        <v>66364.302887671758</v>
      </c>
      <c r="AA445" s="570">
        <f t="shared" ca="1" si="768"/>
        <v>68763.356535020226</v>
      </c>
      <c r="AB445" s="570">
        <f t="shared" ca="1" si="768"/>
        <v>71537.309872818209</v>
      </c>
      <c r="AC445" s="570">
        <f t="shared" ca="1" si="768"/>
        <v>74397.331405289849</v>
      </c>
      <c r="AD445" s="570">
        <f t="shared" ca="1" si="768"/>
        <v>77220.2248058939</v>
      </c>
      <c r="AE445" s="570">
        <f t="shared" ca="1" si="768"/>
        <v>78880.195219921065</v>
      </c>
      <c r="AF445" s="570">
        <f t="shared" ca="1" si="768"/>
        <v>80807.586077738597</v>
      </c>
      <c r="AG445" s="570">
        <f t="shared" ca="1" si="768"/>
        <v>82852.21969793539</v>
      </c>
      <c r="AH445" s="570">
        <f t="shared" ca="1" si="768"/>
        <v>84808.404312544051</v>
      </c>
      <c r="AI445" s="570">
        <f t="shared" ca="1" si="768"/>
        <v>85714.687715325956</v>
      </c>
      <c r="AJ445" s="570">
        <f t="shared" ca="1" si="768"/>
        <v>86769.758173857655</v>
      </c>
      <c r="AK445" s="570">
        <f t="shared" ca="1" si="768"/>
        <v>87909.540696249373</v>
      </c>
      <c r="AL445" s="570">
        <f t="shared" ca="1" si="768"/>
        <v>88978.567691869714</v>
      </c>
      <c r="AM445" s="570"/>
      <c r="AN445" s="682"/>
      <c r="AO445" s="682"/>
      <c r="AP445" s="570">
        <f t="shared" ref="AP445:AT445" ca="1" si="769">INDEX($K445:$AL445,MATCH(AP$5,$K$5:$AL$5,0))</f>
        <v>41321.170665469806</v>
      </c>
      <c r="AQ445" s="570">
        <f t="shared" ca="1" si="769"/>
        <v>66364.302887671758</v>
      </c>
      <c r="AR445" s="570">
        <f t="shared" ca="1" si="769"/>
        <v>77220.2248058939</v>
      </c>
      <c r="AS445" s="570">
        <f t="shared" ca="1" si="769"/>
        <v>84808.404312544051</v>
      </c>
      <c r="AT445" s="570">
        <f t="shared" ca="1" si="769"/>
        <v>88978.567691869714</v>
      </c>
    </row>
    <row r="446" spans="2:46" outlineLevel="1" x14ac:dyDescent="0.25">
      <c r="J446" s="116"/>
      <c r="K446" s="116"/>
      <c r="L446" s="116"/>
      <c r="M446" s="116"/>
      <c r="N446" s="116"/>
      <c r="O446" s="116"/>
      <c r="P446" s="116"/>
      <c r="Q446" s="116"/>
      <c r="R446" s="116"/>
      <c r="S446" s="570"/>
      <c r="T446" s="570"/>
      <c r="U446" s="570"/>
      <c r="V446" s="570"/>
      <c r="W446" s="570"/>
      <c r="X446" s="570"/>
      <c r="Y446" s="570"/>
      <c r="Z446" s="570"/>
      <c r="AA446" s="570"/>
      <c r="AB446" s="570"/>
      <c r="AC446" s="570"/>
      <c r="AD446" s="570"/>
      <c r="AE446" s="570"/>
      <c r="AF446" s="570"/>
      <c r="AG446" s="570"/>
      <c r="AH446" s="570"/>
      <c r="AI446" s="570"/>
      <c r="AJ446" s="570"/>
      <c r="AK446" s="570"/>
      <c r="AL446" s="570"/>
      <c r="AM446" s="570"/>
      <c r="AN446" s="682"/>
      <c r="AO446" s="682"/>
      <c r="AP446" s="570"/>
      <c r="AQ446" s="570"/>
      <c r="AR446" s="570"/>
      <c r="AS446" s="570"/>
      <c r="AT446" s="570"/>
    </row>
    <row r="447" spans="2:46" outlineLevel="1" x14ac:dyDescent="0.25">
      <c r="B447" s="758" t="s">
        <v>33</v>
      </c>
      <c r="C447" s="122"/>
      <c r="D447" s="122"/>
      <c r="E447" s="122"/>
      <c r="F447" s="122"/>
      <c r="G447" s="122"/>
      <c r="H447" s="122"/>
      <c r="I447" s="122"/>
      <c r="J447" s="683"/>
      <c r="K447" s="683"/>
      <c r="L447" s="683"/>
      <c r="M447" s="683"/>
      <c r="N447" s="683"/>
      <c r="O447" s="683"/>
      <c r="P447" s="683"/>
      <c r="Q447" s="683"/>
      <c r="R447" s="683"/>
      <c r="S447" s="771">
        <v>3.5</v>
      </c>
      <c r="T447" s="771">
        <v>3.5</v>
      </c>
      <c r="U447" s="771">
        <v>3.5</v>
      </c>
      <c r="V447" s="771">
        <v>3.5</v>
      </c>
      <c r="W447" s="771">
        <v>3.5</v>
      </c>
      <c r="X447" s="771">
        <v>3.5</v>
      </c>
      <c r="Y447" s="771">
        <v>3.5</v>
      </c>
      <c r="Z447" s="771">
        <v>3.5</v>
      </c>
      <c r="AA447" s="771">
        <v>3.5</v>
      </c>
      <c r="AB447" s="771">
        <v>3.5</v>
      </c>
      <c r="AC447" s="771">
        <v>3.5</v>
      </c>
      <c r="AD447" s="771">
        <v>3.5</v>
      </c>
      <c r="AE447" s="771">
        <v>3.5</v>
      </c>
      <c r="AF447" s="771">
        <v>3.5</v>
      </c>
      <c r="AG447" s="771">
        <v>3.5</v>
      </c>
      <c r="AH447" s="771">
        <v>3.5</v>
      </c>
      <c r="AI447" s="771">
        <v>3.5</v>
      </c>
      <c r="AJ447" s="771">
        <v>3.5</v>
      </c>
      <c r="AK447" s="771">
        <v>3.5</v>
      </c>
      <c r="AL447" s="771">
        <v>3.5</v>
      </c>
      <c r="AM447" s="570"/>
      <c r="AN447" s="682"/>
      <c r="AO447" s="682"/>
      <c r="AP447" s="771">
        <v>3.5</v>
      </c>
      <c r="AQ447" s="771">
        <v>3.5</v>
      </c>
      <c r="AR447" s="771">
        <v>3.5</v>
      </c>
      <c r="AS447" s="771">
        <v>3.5</v>
      </c>
      <c r="AT447" s="771">
        <v>3.5</v>
      </c>
    </row>
    <row r="448" spans="2:46" outlineLevel="1" x14ac:dyDescent="0.25">
      <c r="B448" s="60" t="s">
        <v>34</v>
      </c>
      <c r="J448" s="116"/>
      <c r="K448" s="116"/>
      <c r="L448" s="116"/>
      <c r="M448" s="116"/>
      <c r="N448" s="116"/>
      <c r="O448" s="116"/>
      <c r="P448" s="116"/>
      <c r="Q448" s="116"/>
      <c r="R448" s="116"/>
      <c r="S448" s="772">
        <f>IFERROR((S439+S440)/S445,0)</f>
        <v>0</v>
      </c>
      <c r="T448" s="772">
        <f t="shared" ref="T448:AL448" si="770">IFERROR((T439+T440)/T445,0)</f>
        <v>0</v>
      </c>
      <c r="U448" s="772">
        <f t="shared" ca="1" si="770"/>
        <v>0</v>
      </c>
      <c r="V448" s="772">
        <f t="shared" ca="1" si="770"/>
        <v>0</v>
      </c>
      <c r="W448" s="772">
        <f t="shared" ca="1" si="770"/>
        <v>0</v>
      </c>
      <c r="X448" s="772">
        <f t="shared" ca="1" si="770"/>
        <v>0</v>
      </c>
      <c r="Y448" s="772">
        <f t="shared" ca="1" si="770"/>
        <v>0</v>
      </c>
      <c r="Z448" s="772">
        <f t="shared" ca="1" si="770"/>
        <v>0</v>
      </c>
      <c r="AA448" s="772">
        <f t="shared" ca="1" si="770"/>
        <v>0</v>
      </c>
      <c r="AB448" s="772">
        <f t="shared" ca="1" si="770"/>
        <v>0</v>
      </c>
      <c r="AC448" s="772">
        <f t="shared" ca="1" si="770"/>
        <v>0</v>
      </c>
      <c r="AD448" s="772">
        <f t="shared" ca="1" si="770"/>
        <v>0</v>
      </c>
      <c r="AE448" s="772">
        <f t="shared" ca="1" si="770"/>
        <v>0</v>
      </c>
      <c r="AF448" s="772">
        <f t="shared" ca="1" si="770"/>
        <v>0</v>
      </c>
      <c r="AG448" s="772">
        <f t="shared" ca="1" si="770"/>
        <v>0</v>
      </c>
      <c r="AH448" s="772">
        <f t="shared" ca="1" si="770"/>
        <v>0</v>
      </c>
      <c r="AI448" s="772">
        <f t="shared" ca="1" si="770"/>
        <v>9.0445672208032082E-2</v>
      </c>
      <c r="AJ448" s="772">
        <f t="shared" ca="1" si="770"/>
        <v>1.3088409939767377E-2</v>
      </c>
      <c r="AK448" s="772">
        <f t="shared" ca="1" si="770"/>
        <v>0</v>
      </c>
      <c r="AL448" s="772">
        <f t="shared" ca="1" si="770"/>
        <v>0</v>
      </c>
      <c r="AM448" s="570"/>
      <c r="AN448" s="682"/>
      <c r="AO448" s="682"/>
      <c r="AP448" s="772">
        <f ca="1">IFERROR((AP439+AP440)/AP445,0)</f>
        <v>0</v>
      </c>
      <c r="AQ448" s="772">
        <f t="shared" ref="AQ448:AT448" ca="1" si="771">IFERROR((AQ439+AQ440)/AQ445,0)</f>
        <v>0</v>
      </c>
      <c r="AR448" s="772">
        <f t="shared" ca="1" si="771"/>
        <v>0</v>
      </c>
      <c r="AS448" s="772">
        <f t="shared" ca="1" si="771"/>
        <v>0</v>
      </c>
      <c r="AT448" s="772">
        <f t="shared" ca="1" si="771"/>
        <v>0</v>
      </c>
    </row>
    <row r="449" spans="1:46" outlineLevel="1" x14ac:dyDescent="0.25">
      <c r="B449" s="759" t="s">
        <v>30</v>
      </c>
      <c r="C449" s="725"/>
      <c r="D449" s="725"/>
      <c r="E449" s="725"/>
      <c r="F449" s="725"/>
      <c r="G449" s="725"/>
      <c r="H449" s="725"/>
      <c r="I449" s="725"/>
      <c r="J449" s="726"/>
      <c r="K449" s="726"/>
      <c r="L449" s="726"/>
      <c r="M449" s="726"/>
      <c r="N449" s="726"/>
      <c r="O449" s="726"/>
      <c r="P449" s="726"/>
      <c r="Q449" s="726"/>
      <c r="R449" s="726"/>
      <c r="S449" s="770">
        <f>IF(S448=0,0,IF(S448&gt;S447,"FAIL","PASS"))</f>
        <v>0</v>
      </c>
      <c r="T449" s="770">
        <f t="shared" ref="T449:X449" si="772">IF(T448=0,0,IF(T448&gt;T447,"FAIL","PASS"))</f>
        <v>0</v>
      </c>
      <c r="U449" s="770">
        <f t="shared" ca="1" si="772"/>
        <v>0</v>
      </c>
      <c r="V449" s="770">
        <f t="shared" ca="1" si="772"/>
        <v>0</v>
      </c>
      <c r="W449" s="770">
        <f t="shared" ca="1" si="772"/>
        <v>0</v>
      </c>
      <c r="X449" s="770">
        <f t="shared" ca="1" si="772"/>
        <v>0</v>
      </c>
      <c r="Y449" s="770">
        <f t="shared" ref="Y449" ca="1" si="773">IF(Y448=0,0,IF(Y448&gt;Y447,"FAIL","PASS"))</f>
        <v>0</v>
      </c>
      <c r="Z449" s="770">
        <f t="shared" ref="Z449" ca="1" si="774">IF(Z448=0,0,IF(Z448&gt;Z447,"FAIL","PASS"))</f>
        <v>0</v>
      </c>
      <c r="AA449" s="770">
        <f t="shared" ref="AA449" ca="1" si="775">IF(AA448=0,0,IF(AA448&gt;AA447,"FAIL","PASS"))</f>
        <v>0</v>
      </c>
      <c r="AB449" s="770">
        <f t="shared" ref="AB449" ca="1" si="776">IF(AB448=0,0,IF(AB448&gt;AB447,"FAIL","PASS"))</f>
        <v>0</v>
      </c>
      <c r="AC449" s="770">
        <f t="shared" ref="AC449" ca="1" si="777">IF(AC448=0,0,IF(AC448&gt;AC447,"FAIL","PASS"))</f>
        <v>0</v>
      </c>
      <c r="AD449" s="770">
        <f t="shared" ref="AD449" ca="1" si="778">IF(AD448=0,0,IF(AD448&gt;AD447,"FAIL","PASS"))</f>
        <v>0</v>
      </c>
      <c r="AE449" s="770">
        <f t="shared" ref="AE449" ca="1" si="779">IF(AE448=0,0,IF(AE448&gt;AE447,"FAIL","PASS"))</f>
        <v>0</v>
      </c>
      <c r="AF449" s="770">
        <f t="shared" ref="AF449" ca="1" si="780">IF(AF448=0,0,IF(AF448&gt;AF447,"FAIL","PASS"))</f>
        <v>0</v>
      </c>
      <c r="AG449" s="770">
        <f t="shared" ref="AG449" ca="1" si="781">IF(AG448=0,0,IF(AG448&gt;AG447,"FAIL","PASS"))</f>
        <v>0</v>
      </c>
      <c r="AH449" s="770">
        <f t="shared" ref="AH449" ca="1" si="782">IF(AH448=0,0,IF(AH448&gt;AH447,"FAIL","PASS"))</f>
        <v>0</v>
      </c>
      <c r="AI449" s="770" t="str">
        <f t="shared" ref="AI449" ca="1" si="783">IF(AI448=0,0,IF(AI448&gt;AI447,"FAIL","PASS"))</f>
        <v>PASS</v>
      </c>
      <c r="AJ449" s="770" t="str">
        <f t="shared" ref="AJ449" ca="1" si="784">IF(AJ448=0,0,IF(AJ448&gt;AJ447,"FAIL","PASS"))</f>
        <v>PASS</v>
      </c>
      <c r="AK449" s="770">
        <f t="shared" ref="AK449" ca="1" si="785">IF(AK448=0,0,IF(AK448&gt;AK447,"FAIL","PASS"))</f>
        <v>0</v>
      </c>
      <c r="AL449" s="770">
        <f t="shared" ref="AL449" ca="1" si="786">IF(AL448=0,0,IF(AL448&gt;AL447,"FAIL","PASS"))</f>
        <v>0</v>
      </c>
      <c r="AM449" s="570"/>
      <c r="AN449" s="682"/>
      <c r="AO449" s="682"/>
      <c r="AP449" s="770">
        <f t="shared" ref="AP449" ca="1" si="787">IF(AP448=0,0,IF(AP448&gt;AP447,"FAIL","PASS"))</f>
        <v>0</v>
      </c>
      <c r="AQ449" s="770">
        <f t="shared" ref="AQ449" ca="1" si="788">IF(AQ448=0,0,IF(AQ448&gt;AQ447,"FAIL","PASS"))</f>
        <v>0</v>
      </c>
      <c r="AR449" s="770">
        <f t="shared" ref="AR449" ca="1" si="789">IF(AR448=0,0,IF(AR448&gt;AR447,"FAIL","PASS"))</f>
        <v>0</v>
      </c>
      <c r="AS449" s="770">
        <f t="shared" ref="AS449" ca="1" si="790">IF(AS448=0,0,IF(AS448&gt;AS447,"FAIL","PASS"))</f>
        <v>0</v>
      </c>
      <c r="AT449" s="770">
        <f t="shared" ref="AT449" ca="1" si="791">IF(AT448=0,0,IF(AT448&gt;AT447,"FAIL","PASS"))</f>
        <v>0</v>
      </c>
    </row>
    <row r="450" spans="1:46" outlineLevel="1" x14ac:dyDescent="0.25">
      <c r="J450" s="116"/>
      <c r="K450" s="116"/>
      <c r="L450" s="116"/>
      <c r="M450" s="116"/>
      <c r="N450" s="116"/>
      <c r="O450" s="116"/>
      <c r="P450" s="116"/>
      <c r="Q450" s="116"/>
      <c r="R450" s="116"/>
      <c r="AM450" s="570"/>
      <c r="AN450" s="682"/>
      <c r="AO450" s="682"/>
    </row>
    <row r="451" spans="1:46" outlineLevel="1" x14ac:dyDescent="0.25">
      <c r="B451" s="758" t="s">
        <v>35</v>
      </c>
      <c r="C451" s="122"/>
      <c r="D451" s="122"/>
      <c r="E451" s="122"/>
      <c r="F451" s="122"/>
      <c r="G451" s="122"/>
      <c r="H451" s="122"/>
      <c r="I451" s="122"/>
      <c r="J451" s="683"/>
      <c r="K451" s="683"/>
      <c r="L451" s="683"/>
      <c r="M451" s="683"/>
      <c r="N451" s="683"/>
      <c r="O451" s="683"/>
      <c r="P451" s="683"/>
      <c r="Q451" s="683"/>
      <c r="R451" s="683"/>
      <c r="S451" s="771">
        <v>4.5</v>
      </c>
      <c r="T451" s="771">
        <v>4.5</v>
      </c>
      <c r="U451" s="771">
        <v>4.5</v>
      </c>
      <c r="V451" s="771">
        <v>4.5</v>
      </c>
      <c r="W451" s="771">
        <v>4.5</v>
      </c>
      <c r="X451" s="771">
        <v>4.5</v>
      </c>
      <c r="Y451" s="771">
        <v>4.5</v>
      </c>
      <c r="Z451" s="771">
        <v>4.5</v>
      </c>
      <c r="AA451" s="771">
        <v>4.5</v>
      </c>
      <c r="AB451" s="771">
        <v>4.5</v>
      </c>
      <c r="AC451" s="771">
        <v>4.5</v>
      </c>
      <c r="AD451" s="771">
        <v>4.5</v>
      </c>
      <c r="AE451" s="771">
        <v>4.5</v>
      </c>
      <c r="AF451" s="771">
        <v>4.5</v>
      </c>
      <c r="AG451" s="771">
        <v>4.5</v>
      </c>
      <c r="AH451" s="771">
        <v>4.5</v>
      </c>
      <c r="AI451" s="771">
        <v>4.5</v>
      </c>
      <c r="AJ451" s="771">
        <v>4.5</v>
      </c>
      <c r="AK451" s="771">
        <v>4.5</v>
      </c>
      <c r="AL451" s="771">
        <v>4.5</v>
      </c>
      <c r="AM451" s="570"/>
      <c r="AN451" s="682"/>
      <c r="AO451" s="682"/>
      <c r="AP451" s="771">
        <v>4.5</v>
      </c>
      <c r="AQ451" s="771">
        <v>4.5</v>
      </c>
      <c r="AR451" s="771">
        <v>4.5</v>
      </c>
      <c r="AS451" s="771">
        <v>4.5</v>
      </c>
      <c r="AT451" s="771">
        <v>4.5</v>
      </c>
    </row>
    <row r="452" spans="1:46" outlineLevel="1" x14ac:dyDescent="0.25">
      <c r="B452" s="60" t="s">
        <v>36</v>
      </c>
      <c r="J452" s="116"/>
      <c r="K452" s="116"/>
      <c r="L452" s="116"/>
      <c r="M452" s="116"/>
      <c r="N452" s="116"/>
      <c r="O452" s="116"/>
      <c r="P452" s="116"/>
      <c r="Q452" s="116"/>
      <c r="R452" s="116"/>
      <c r="S452" s="772">
        <f>IFERROR(S443/S445,0)</f>
        <v>0</v>
      </c>
      <c r="T452" s="772">
        <f t="shared" ref="T452:X452" si="792">IFERROR(T443/T445,0)</f>
        <v>0</v>
      </c>
      <c r="U452" s="772">
        <f t="shared" ca="1" si="792"/>
        <v>12.769110413135325</v>
      </c>
      <c r="V452" s="772">
        <f t="shared" ca="1" si="792"/>
        <v>12.100334815001428</v>
      </c>
      <c r="W452" s="772">
        <f t="shared" ca="1" si="792"/>
        <v>10.506113352473397</v>
      </c>
      <c r="X452" s="772">
        <f t="shared" ca="1" si="792"/>
        <v>9.1393048721774939</v>
      </c>
      <c r="Y452" s="772">
        <f t="shared" ref="Y452:AL452" ca="1" si="793">IFERROR(Y443/Y445,0)</f>
        <v>8.3536391814888447</v>
      </c>
      <c r="Z452" s="772">
        <f t="shared" ca="1" si="793"/>
        <v>7.5341709058000683</v>
      </c>
      <c r="AA452" s="772">
        <f t="shared" ca="1" si="793"/>
        <v>7.2713146244592775</v>
      </c>
      <c r="AB452" s="772">
        <f t="shared" ca="1" si="793"/>
        <v>6.9893598304006579</v>
      </c>
      <c r="AC452" s="772">
        <f t="shared" ca="1" si="793"/>
        <v>6.7206711659613187</v>
      </c>
      <c r="AD452" s="772">
        <f t="shared" ca="1" si="793"/>
        <v>6.474987624768441</v>
      </c>
      <c r="AE452" s="772">
        <f t="shared" ca="1" si="793"/>
        <v>6.338726705809747</v>
      </c>
      <c r="AF452" s="772">
        <f t="shared" ca="1" si="793"/>
        <v>6.1875378818888302</v>
      </c>
      <c r="AG452" s="772">
        <f t="shared" ca="1" si="793"/>
        <v>6.0348413334357485</v>
      </c>
      <c r="AH452" s="772">
        <f t="shared" ca="1" si="793"/>
        <v>5.8956421129838992</v>
      </c>
      <c r="AI452" s="772">
        <f t="shared" ca="1" si="793"/>
        <v>5.923751647265548</v>
      </c>
      <c r="AJ452" s="772">
        <f t="shared" ca="1" si="793"/>
        <v>5.7754647323235035</v>
      </c>
      <c r="AK452" s="772">
        <f t="shared" ca="1" si="793"/>
        <v>5.6876647976996235</v>
      </c>
      <c r="AL452" s="772">
        <f t="shared" ca="1" si="793"/>
        <v>5.6193307328961062</v>
      </c>
      <c r="AM452" s="570"/>
      <c r="AN452" s="682"/>
      <c r="AO452" s="682"/>
      <c r="AP452" s="772">
        <f t="shared" ref="AP452:AT452" ca="1" si="794">IFERROR(AP443/AP445,0)</f>
        <v>12.100334815001428</v>
      </c>
      <c r="AQ452" s="772">
        <f t="shared" ca="1" si="794"/>
        <v>7.5341709058000683</v>
      </c>
      <c r="AR452" s="772">
        <f t="shared" ca="1" si="794"/>
        <v>6.474987624768441</v>
      </c>
      <c r="AS452" s="772">
        <f t="shared" ca="1" si="794"/>
        <v>5.8956421129838992</v>
      </c>
      <c r="AT452" s="772">
        <f t="shared" ca="1" si="794"/>
        <v>5.6193307328961062</v>
      </c>
    </row>
    <row r="453" spans="1:46" x14ac:dyDescent="0.25">
      <c r="B453" s="759" t="s">
        <v>30</v>
      </c>
      <c r="C453" s="725"/>
      <c r="D453" s="725"/>
      <c r="E453" s="725"/>
      <c r="F453" s="725"/>
      <c r="G453" s="725"/>
      <c r="H453" s="725"/>
      <c r="I453" s="725"/>
      <c r="J453" s="726"/>
      <c r="K453" s="726"/>
      <c r="L453" s="726"/>
      <c r="M453" s="726"/>
      <c r="N453" s="726"/>
      <c r="O453" s="726"/>
      <c r="P453" s="726"/>
      <c r="Q453" s="726"/>
      <c r="R453" s="726"/>
      <c r="S453" s="770">
        <f>IF(S452=0,0,IF(S452&gt;S451,"FAIL","PASS"))</f>
        <v>0</v>
      </c>
      <c r="T453" s="770">
        <f t="shared" ref="T453:X453" si="795">IF(T452=0,0,IF(T452&gt;T451,"FAIL","PASS"))</f>
        <v>0</v>
      </c>
      <c r="U453" s="770" t="str">
        <f t="shared" ca="1" si="795"/>
        <v>FAIL</v>
      </c>
      <c r="V453" s="770" t="str">
        <f t="shared" ca="1" si="795"/>
        <v>FAIL</v>
      </c>
      <c r="W453" s="770" t="str">
        <f t="shared" ca="1" si="795"/>
        <v>FAIL</v>
      </c>
      <c r="X453" s="770" t="str">
        <f t="shared" ca="1" si="795"/>
        <v>FAIL</v>
      </c>
      <c r="Y453" s="770" t="str">
        <f t="shared" ref="Y453" ca="1" si="796">IF(Y452=0,0,IF(Y452&gt;Y451,"FAIL","PASS"))</f>
        <v>FAIL</v>
      </c>
      <c r="Z453" s="770" t="str">
        <f t="shared" ref="Z453" ca="1" si="797">IF(Z452=0,0,IF(Z452&gt;Z451,"FAIL","PASS"))</f>
        <v>FAIL</v>
      </c>
      <c r="AA453" s="770" t="str">
        <f t="shared" ref="AA453" ca="1" si="798">IF(AA452=0,0,IF(AA452&gt;AA451,"FAIL","PASS"))</f>
        <v>FAIL</v>
      </c>
      <c r="AB453" s="770" t="str">
        <f t="shared" ref="AB453" ca="1" si="799">IF(AB452=0,0,IF(AB452&gt;AB451,"FAIL","PASS"))</f>
        <v>FAIL</v>
      </c>
      <c r="AC453" s="770" t="str">
        <f t="shared" ref="AC453" ca="1" si="800">IF(AC452=0,0,IF(AC452&gt;AC451,"FAIL","PASS"))</f>
        <v>FAIL</v>
      </c>
      <c r="AD453" s="770" t="str">
        <f t="shared" ref="AD453" ca="1" si="801">IF(AD452=0,0,IF(AD452&gt;AD451,"FAIL","PASS"))</f>
        <v>FAIL</v>
      </c>
      <c r="AE453" s="770" t="str">
        <f t="shared" ref="AE453" ca="1" si="802">IF(AE452=0,0,IF(AE452&gt;AE451,"FAIL","PASS"))</f>
        <v>FAIL</v>
      </c>
      <c r="AF453" s="770" t="str">
        <f t="shared" ref="AF453" ca="1" si="803">IF(AF452=0,0,IF(AF452&gt;AF451,"FAIL","PASS"))</f>
        <v>FAIL</v>
      </c>
      <c r="AG453" s="770" t="str">
        <f t="shared" ref="AG453" ca="1" si="804">IF(AG452=0,0,IF(AG452&gt;AG451,"FAIL","PASS"))</f>
        <v>FAIL</v>
      </c>
      <c r="AH453" s="770" t="str">
        <f t="shared" ref="AH453" ca="1" si="805">IF(AH452=0,0,IF(AH452&gt;AH451,"FAIL","PASS"))</f>
        <v>FAIL</v>
      </c>
      <c r="AI453" s="770" t="str">
        <f t="shared" ref="AI453" ca="1" si="806">IF(AI452=0,0,IF(AI452&gt;AI451,"FAIL","PASS"))</f>
        <v>FAIL</v>
      </c>
      <c r="AJ453" s="770" t="str">
        <f t="shared" ref="AJ453" ca="1" si="807">IF(AJ452=0,0,IF(AJ452&gt;AJ451,"FAIL","PASS"))</f>
        <v>FAIL</v>
      </c>
      <c r="AK453" s="770" t="str">
        <f t="shared" ref="AK453" ca="1" si="808">IF(AK452=0,0,IF(AK452&gt;AK451,"FAIL","PASS"))</f>
        <v>FAIL</v>
      </c>
      <c r="AL453" s="770" t="str">
        <f t="shared" ref="AL453" ca="1" si="809">IF(AL452=0,0,IF(AL452&gt;AL451,"FAIL","PASS"))</f>
        <v>FAIL</v>
      </c>
      <c r="AM453" s="570"/>
      <c r="AN453" s="682"/>
      <c r="AO453" s="682"/>
      <c r="AP453" s="770" t="str">
        <f t="shared" ref="AP453" ca="1" si="810">IF(AP452=0,0,IF(AP452&gt;AP451,"FAIL","PASS"))</f>
        <v>FAIL</v>
      </c>
      <c r="AQ453" s="770" t="str">
        <f t="shared" ref="AQ453" ca="1" si="811">IF(AQ452=0,0,IF(AQ452&gt;AQ451,"FAIL","PASS"))</f>
        <v>FAIL</v>
      </c>
      <c r="AR453" s="770" t="str">
        <f t="shared" ref="AR453" ca="1" si="812">IF(AR452=0,0,IF(AR452&gt;AR451,"FAIL","PASS"))</f>
        <v>FAIL</v>
      </c>
      <c r="AS453" s="770" t="str">
        <f t="shared" ref="AS453" ca="1" si="813">IF(AS452=0,0,IF(AS452&gt;AS451,"FAIL","PASS"))</f>
        <v>FAIL</v>
      </c>
      <c r="AT453" s="770" t="str">
        <f t="shared" ref="AT453" ca="1" si="814">IF(AT452=0,0,IF(AT452&gt;AT451,"FAIL","PASS"))</f>
        <v>FAIL</v>
      </c>
    </row>
    <row r="454" spans="1:46" x14ac:dyDescent="0.25">
      <c r="S454" s="570"/>
      <c r="T454" s="570"/>
      <c r="U454" s="570"/>
      <c r="V454" s="570"/>
      <c r="W454" s="570"/>
      <c r="X454" s="570"/>
      <c r="Y454" s="570"/>
      <c r="Z454" s="570"/>
      <c r="AA454" s="570"/>
      <c r="AB454" s="570"/>
      <c r="AC454" s="570"/>
      <c r="AD454" s="570"/>
      <c r="AE454" s="570"/>
      <c r="AF454" s="570"/>
      <c r="AG454" s="570"/>
      <c r="AH454" s="570"/>
      <c r="AI454" s="570"/>
      <c r="AJ454" s="570"/>
      <c r="AK454" s="570"/>
      <c r="AL454" s="570"/>
      <c r="AM454" s="570"/>
      <c r="AN454" s="570"/>
      <c r="AO454" s="570"/>
      <c r="AP454" s="570"/>
      <c r="AQ454" s="570"/>
      <c r="AR454" s="570"/>
      <c r="AS454" s="570"/>
      <c r="AT454" s="570"/>
    </row>
    <row r="455" spans="1:46" x14ac:dyDescent="0.25">
      <c r="A455" s="69" t="s">
        <v>207</v>
      </c>
      <c r="B455" s="753" t="s">
        <v>37</v>
      </c>
      <c r="C455" s="611"/>
      <c r="D455" s="611"/>
      <c r="E455" s="611"/>
      <c r="F455" s="611"/>
      <c r="G455" s="611"/>
      <c r="H455" s="611"/>
      <c r="I455" s="611"/>
      <c r="J455" s="675"/>
      <c r="K455" s="675"/>
      <c r="L455" s="675"/>
      <c r="M455" s="675"/>
      <c r="N455" s="675"/>
      <c r="O455" s="675"/>
      <c r="P455" s="675"/>
      <c r="Q455" s="675"/>
      <c r="R455" s="675"/>
      <c r="S455" s="675"/>
      <c r="T455" s="675"/>
      <c r="U455" s="675"/>
      <c r="V455" s="675"/>
      <c r="W455" s="675"/>
      <c r="X455" s="675"/>
      <c r="Y455" s="675"/>
      <c r="Z455" s="675"/>
      <c r="AA455" s="675"/>
      <c r="AB455" s="675"/>
      <c r="AC455" s="675"/>
      <c r="AD455" s="675"/>
      <c r="AE455" s="675"/>
      <c r="AF455" s="675"/>
      <c r="AG455" s="675"/>
      <c r="AH455" s="675"/>
      <c r="AI455" s="675"/>
      <c r="AJ455" s="675"/>
      <c r="AK455" s="675"/>
      <c r="AL455" s="675"/>
      <c r="AM455" s="570"/>
      <c r="AN455" s="675"/>
      <c r="AO455" s="675"/>
      <c r="AP455" s="675"/>
      <c r="AQ455" s="675"/>
      <c r="AR455" s="675"/>
      <c r="AS455" s="675"/>
      <c r="AT455" s="675"/>
    </row>
    <row r="456" spans="1:46" x14ac:dyDescent="0.25">
      <c r="B456" s="754" t="s">
        <v>504</v>
      </c>
      <c r="C456" s="676"/>
      <c r="D456" s="676"/>
      <c r="E456" s="676"/>
      <c r="F456" s="676"/>
      <c r="G456" s="676"/>
      <c r="H456" s="676"/>
      <c r="I456" s="676"/>
      <c r="J456" s="676"/>
      <c r="K456" s="676"/>
      <c r="L456" s="676"/>
      <c r="M456" s="676"/>
      <c r="N456" s="676"/>
      <c r="O456" s="676"/>
      <c r="P456" s="676"/>
      <c r="Q456" s="676"/>
      <c r="R456" s="676"/>
      <c r="S456" s="676"/>
      <c r="T456" s="676"/>
      <c r="U456" s="676"/>
      <c r="V456" s="676"/>
      <c r="W456" s="676"/>
      <c r="X456" s="676"/>
      <c r="Y456" s="676"/>
      <c r="Z456" s="676"/>
      <c r="AA456" s="676"/>
      <c r="AB456" s="676"/>
      <c r="AC456" s="676"/>
      <c r="AD456" s="676"/>
      <c r="AE456" s="676"/>
      <c r="AF456" s="676"/>
      <c r="AG456" s="676"/>
      <c r="AH456" s="676"/>
      <c r="AI456" s="676"/>
      <c r="AJ456" s="676"/>
      <c r="AK456" s="676"/>
      <c r="AL456" s="676"/>
      <c r="AM456" s="570"/>
      <c r="AN456" s="676"/>
      <c r="AO456" s="676"/>
      <c r="AP456" s="676"/>
      <c r="AQ456" s="676"/>
      <c r="AR456" s="676"/>
      <c r="AS456" s="676"/>
      <c r="AT456" s="676"/>
    </row>
    <row r="457" spans="1:46" x14ac:dyDescent="0.25">
      <c r="B457" s="551" t="s">
        <v>505</v>
      </c>
      <c r="D457" s="727"/>
      <c r="E457" s="727"/>
      <c r="F457" s="727"/>
      <c r="G457" s="727"/>
      <c r="J457" s="116"/>
      <c r="K457" s="116"/>
      <c r="L457" s="116"/>
      <c r="M457" s="116"/>
      <c r="N457" s="116"/>
      <c r="O457" s="116"/>
      <c r="P457" s="116"/>
      <c r="Q457" s="116"/>
      <c r="R457" s="116"/>
      <c r="S457" s="537">
        <f t="shared" ref="S457:AL457" si="815">+IF(S$5&lt;=Closing_Date,0,SUM(P7:S7))</f>
        <v>0</v>
      </c>
      <c r="T457" s="537">
        <f t="shared" si="815"/>
        <v>0</v>
      </c>
      <c r="U457" s="537">
        <f t="shared" si="815"/>
        <v>0</v>
      </c>
      <c r="V457" s="537">
        <f t="shared" ca="1" si="815"/>
        <v>504409.99136549217</v>
      </c>
      <c r="W457" s="537">
        <f t="shared" ca="1" si="815"/>
        <v>528404.06705380382</v>
      </c>
      <c r="X457" s="537">
        <f t="shared" ca="1" si="815"/>
        <v>554191.98234792147</v>
      </c>
      <c r="Y457" s="537">
        <f t="shared" ca="1" si="815"/>
        <v>586248.00702603301</v>
      </c>
      <c r="Z457" s="537">
        <f t="shared" ca="1" si="815"/>
        <v>614970.38897049869</v>
      </c>
      <c r="AA457" s="537">
        <f t="shared" ca="1" si="815"/>
        <v>636642.12508040504</v>
      </c>
      <c r="AB457" s="537">
        <f t="shared" ca="1" si="815"/>
        <v>660058.29710299487</v>
      </c>
      <c r="AC457" s="537">
        <f t="shared" ca="1" si="815"/>
        <v>690239.12329316267</v>
      </c>
      <c r="AD457" s="537">
        <f t="shared" ca="1" si="815"/>
        <v>716231.51362994616</v>
      </c>
      <c r="AE457" s="537">
        <f t="shared" ca="1" si="815"/>
        <v>731226.77678415272</v>
      </c>
      <c r="AF457" s="537">
        <f t="shared" ca="1" si="815"/>
        <v>747496.73895923677</v>
      </c>
      <c r="AG457" s="537">
        <f t="shared" ca="1" si="815"/>
        <v>769073.05620479397</v>
      </c>
      <c r="AH457" s="537">
        <f t="shared" ca="1" si="815"/>
        <v>787085.0413767593</v>
      </c>
      <c r="AI457" s="537">
        <f t="shared" ca="1" si="815"/>
        <v>795271.90904751141</v>
      </c>
      <c r="AJ457" s="537">
        <f t="shared" ca="1" si="815"/>
        <v>804178.22733927588</v>
      </c>
      <c r="AK457" s="537">
        <f t="shared" ca="1" si="815"/>
        <v>816205.96133090323</v>
      </c>
      <c r="AL457" s="537">
        <f t="shared" ca="1" si="815"/>
        <v>826049.25436661509</v>
      </c>
      <c r="AM457" s="570"/>
      <c r="AN457" s="116"/>
      <c r="AO457" s="116"/>
      <c r="AP457" s="537">
        <f ca="1">AP7</f>
        <v>504409.99136549217</v>
      </c>
      <c r="AQ457" s="537">
        <f ca="1">AQ7</f>
        <v>614970.38897049869</v>
      </c>
      <c r="AR457" s="537">
        <f ca="1">AR7</f>
        <v>716231.51362994616</v>
      </c>
      <c r="AS457" s="537">
        <f ca="1">AS7</f>
        <v>787085.0413767593</v>
      </c>
      <c r="AT457" s="537">
        <f ca="1">AT7</f>
        <v>826049.25436661509</v>
      </c>
    </row>
    <row r="458" spans="1:46" x14ac:dyDescent="0.25">
      <c r="B458" s="551" t="s">
        <v>506</v>
      </c>
      <c r="D458" s="728"/>
      <c r="E458" s="1215"/>
      <c r="F458" s="1215"/>
      <c r="G458" s="1215"/>
      <c r="H458" s="73" t="s">
        <v>507</v>
      </c>
      <c r="J458" s="116"/>
      <c r="K458" s="116"/>
      <c r="L458" s="116"/>
      <c r="M458" s="116"/>
      <c r="N458" s="116"/>
      <c r="O458" s="116"/>
      <c r="P458" s="116"/>
      <c r="Q458" s="116"/>
      <c r="R458" s="116"/>
      <c r="S458" s="729">
        <f>IF(ISNUMBER($D$458),$D$458,'Transaction Structure'!$K$33)</f>
        <v>15.000790712965987</v>
      </c>
      <c r="T458" s="729">
        <f>IF(ISNUMBER($D$458),$D$458,'Transaction Structure'!$K$33)</f>
        <v>15.000790712965987</v>
      </c>
      <c r="U458" s="729">
        <f>IF(ISNUMBER($D$458),$D$458,'Transaction Structure'!$K$33)</f>
        <v>15.000790712965987</v>
      </c>
      <c r="V458" s="729">
        <f>IF(ISNUMBER($D$458),$D$458,'Transaction Structure'!$K$33)</f>
        <v>15.000790712965987</v>
      </c>
      <c r="W458" s="729">
        <f>IF(ISNUMBER($D$458),$D$458,'Transaction Structure'!$K$33)</f>
        <v>15.000790712965987</v>
      </c>
      <c r="X458" s="729">
        <f>IF(ISNUMBER($D$458),$D$458,'Transaction Structure'!$K$33)</f>
        <v>15.000790712965987</v>
      </c>
      <c r="Y458" s="729">
        <f>IF(ISNUMBER($D$458),$D$458,'Transaction Structure'!$K$33)</f>
        <v>15.000790712965987</v>
      </c>
      <c r="Z458" s="729">
        <f>IF(ISNUMBER($D$458),$D$458,'Transaction Structure'!$K$33)</f>
        <v>15.000790712965987</v>
      </c>
      <c r="AA458" s="729">
        <f>IF(ISNUMBER($D$458),$D$458,'Transaction Structure'!$K$33)</f>
        <v>15.000790712965987</v>
      </c>
      <c r="AB458" s="729">
        <f>IF(ISNUMBER($D$458),$D$458,'Transaction Structure'!$K$33)</f>
        <v>15.000790712965987</v>
      </c>
      <c r="AC458" s="729">
        <f>IF(ISNUMBER($D$458),$D$458,'Transaction Structure'!$K$33)</f>
        <v>15.000790712965987</v>
      </c>
      <c r="AD458" s="729">
        <f>IF(ISNUMBER($D$458),$D$458,'Transaction Structure'!$K$33)</f>
        <v>15.000790712965987</v>
      </c>
      <c r="AE458" s="729">
        <f>IF(ISNUMBER($D$458),$D$458,'Transaction Structure'!$K$33)</f>
        <v>15.000790712965987</v>
      </c>
      <c r="AF458" s="729">
        <f>IF(ISNUMBER($D$458),$D$458,'Transaction Structure'!$K$33)</f>
        <v>15.000790712965987</v>
      </c>
      <c r="AG458" s="729">
        <f>IF(ISNUMBER($D$458),$D$458,'Transaction Structure'!$K$33)</f>
        <v>15.000790712965987</v>
      </c>
      <c r="AH458" s="729">
        <f>IF(ISNUMBER($D$458),$D$458,'Transaction Structure'!$K$33)</f>
        <v>15.000790712965987</v>
      </c>
      <c r="AI458" s="729">
        <f>IF(ISNUMBER($D$458),$D$458,'Transaction Structure'!$K$33)</f>
        <v>15.000790712965987</v>
      </c>
      <c r="AJ458" s="729">
        <f>IF(ISNUMBER($D$458),$D$458,'Transaction Structure'!$K$33)</f>
        <v>15.000790712965987</v>
      </c>
      <c r="AK458" s="729">
        <f>IF(ISNUMBER($D$458),$D$458,'Transaction Structure'!$K$33)</f>
        <v>15.000790712965987</v>
      </c>
      <c r="AL458" s="729">
        <f>IF(ISNUMBER($D$458),$D$458,'Transaction Structure'!$K$33)</f>
        <v>15.000790712965987</v>
      </c>
      <c r="AM458" s="570"/>
      <c r="AN458" s="116"/>
      <c r="AO458" s="116"/>
      <c r="AP458" s="729">
        <f>IF(ISNUMBER($D$458),$D$458,'Transaction Structure'!$K$33)</f>
        <v>15.000790712965987</v>
      </c>
      <c r="AQ458" s="729">
        <f>IF(ISNUMBER($D$458),$D$458,'Transaction Structure'!$K$33)</f>
        <v>15.000790712965987</v>
      </c>
      <c r="AR458" s="729">
        <f>IF(ISNUMBER($D$458),$D$458,'Transaction Structure'!$K$33)</f>
        <v>15.000790712965987</v>
      </c>
      <c r="AS458" s="729">
        <f>IF(ISNUMBER($D$458),$D$458,'Transaction Structure'!$K$33)</f>
        <v>15.000790712965987</v>
      </c>
      <c r="AT458" s="729">
        <f>IF(ISNUMBER($D$458),$D$458,'Transaction Structure'!$K$33)</f>
        <v>15.000790712965987</v>
      </c>
    </row>
    <row r="459" spans="1:46" x14ac:dyDescent="0.25">
      <c r="J459" s="116" t="s">
        <v>508</v>
      </c>
      <c r="K459" s="116" t="s">
        <v>508</v>
      </c>
      <c r="L459" s="116"/>
      <c r="M459" s="116"/>
      <c r="N459" s="116"/>
      <c r="O459" s="116"/>
      <c r="P459" s="116"/>
      <c r="Q459" s="116"/>
      <c r="R459" s="116"/>
      <c r="AM459" s="570"/>
      <c r="AN459" s="116"/>
      <c r="AO459" s="116"/>
    </row>
    <row r="460" spans="1:46" x14ac:dyDescent="0.25">
      <c r="B460" s="551" t="s">
        <v>503</v>
      </c>
      <c r="H460" s="73" t="s">
        <v>509</v>
      </c>
      <c r="J460" s="116"/>
      <c r="K460" s="116"/>
      <c r="L460" s="116"/>
      <c r="M460" s="116"/>
      <c r="N460" s="116"/>
      <c r="O460" s="116"/>
      <c r="P460" s="116"/>
      <c r="Q460" s="116"/>
      <c r="R460" s="116"/>
      <c r="S460" s="570">
        <f t="shared" ref="S460:AL460" si="816">+IF(S$5&lt;=Closing_Date,0,S86)</f>
        <v>0</v>
      </c>
      <c r="T460" s="570">
        <f t="shared" si="816"/>
        <v>0</v>
      </c>
      <c r="U460" s="570">
        <f t="shared" si="816"/>
        <v>0</v>
      </c>
      <c r="V460" s="570">
        <f t="shared" ca="1" si="816"/>
        <v>41321.170665469806</v>
      </c>
      <c r="W460" s="570">
        <f t="shared" ca="1" si="816"/>
        <v>47591.338797262048</v>
      </c>
      <c r="X460" s="570">
        <f t="shared" ca="1" si="816"/>
        <v>54708.755971379695</v>
      </c>
      <c r="Y460" s="570">
        <f t="shared" ca="1" si="816"/>
        <v>59854.153278246631</v>
      </c>
      <c r="Z460" s="570">
        <f t="shared" ca="1" si="816"/>
        <v>66364.302887671758</v>
      </c>
      <c r="AA460" s="570">
        <f t="shared" ca="1" si="816"/>
        <v>68763.356535020226</v>
      </c>
      <c r="AB460" s="570">
        <f t="shared" ca="1" si="816"/>
        <v>71537.309872818209</v>
      </c>
      <c r="AC460" s="570">
        <f t="shared" ca="1" si="816"/>
        <v>74397.331405289849</v>
      </c>
      <c r="AD460" s="570">
        <f t="shared" ca="1" si="816"/>
        <v>77220.2248058939</v>
      </c>
      <c r="AE460" s="570">
        <f t="shared" ca="1" si="816"/>
        <v>78880.195219921065</v>
      </c>
      <c r="AF460" s="570">
        <f t="shared" ca="1" si="816"/>
        <v>80807.586077738597</v>
      </c>
      <c r="AG460" s="570">
        <f t="shared" ca="1" si="816"/>
        <v>82852.21969793539</v>
      </c>
      <c r="AH460" s="570">
        <f t="shared" ca="1" si="816"/>
        <v>84808.404312544051</v>
      </c>
      <c r="AI460" s="570">
        <f t="shared" ca="1" si="816"/>
        <v>85714.687715325956</v>
      </c>
      <c r="AJ460" s="570">
        <f t="shared" ca="1" si="816"/>
        <v>86769.758173857655</v>
      </c>
      <c r="AK460" s="570">
        <f t="shared" ca="1" si="816"/>
        <v>87909.540696249373</v>
      </c>
      <c r="AL460" s="570">
        <f t="shared" ca="1" si="816"/>
        <v>88978.567691869714</v>
      </c>
      <c r="AM460" s="570"/>
      <c r="AN460" s="116"/>
      <c r="AO460" s="116"/>
      <c r="AP460" s="570">
        <f ca="1">+AP84</f>
        <v>36956.968834815438</v>
      </c>
      <c r="AQ460" s="570">
        <f ca="1">+AQ84</f>
        <v>59842.703681809864</v>
      </c>
      <c r="AR460" s="570">
        <f ca="1">+AR84</f>
        <v>68889.191722498945</v>
      </c>
      <c r="AS460" s="570">
        <f ca="1">+AS84</f>
        <v>74526.934155125506</v>
      </c>
      <c r="AT460" s="570">
        <f ca="1">+AT84</f>
        <v>76701.502737535469</v>
      </c>
    </row>
    <row r="461" spans="1:46" x14ac:dyDescent="0.25">
      <c r="B461" s="98" t="s">
        <v>510</v>
      </c>
      <c r="D461" s="730"/>
      <c r="E461" s="1216"/>
      <c r="F461" s="1216"/>
      <c r="G461" s="1216"/>
      <c r="H461" s="73" t="s">
        <v>507</v>
      </c>
      <c r="J461" s="116"/>
      <c r="K461" s="116"/>
      <c r="L461" s="116"/>
      <c r="M461" s="116"/>
      <c r="N461" s="116"/>
      <c r="O461" s="116"/>
      <c r="P461" s="116"/>
      <c r="Q461" s="116"/>
      <c r="R461" s="116"/>
      <c r="S461" s="729">
        <f>+IF(ISNUMBER($D$461),$D$461,'Transaction Structure'!$K$28)</f>
        <v>9.1471370989067324</v>
      </c>
      <c r="T461" s="729">
        <f>+IF(ISNUMBER($D$461),$D$461,'Transaction Structure'!$K$28)</f>
        <v>9.1471370989067324</v>
      </c>
      <c r="U461" s="729">
        <f>+IF(ISNUMBER($D$461),$D$461,'Transaction Structure'!$K$28)</f>
        <v>9.1471370989067324</v>
      </c>
      <c r="V461" s="729">
        <f>+IF(ISNUMBER($D$461),$D$461,'Transaction Structure'!$K$28)</f>
        <v>9.1471370989067324</v>
      </c>
      <c r="W461" s="729">
        <f>+IF(ISNUMBER($D$461),$D$461,'Transaction Structure'!$K$28)</f>
        <v>9.1471370989067324</v>
      </c>
      <c r="X461" s="729">
        <f>+IF(ISNUMBER($D$461),$D$461,'Transaction Structure'!$K$28)</f>
        <v>9.1471370989067324</v>
      </c>
      <c r="Y461" s="729">
        <f>+IF(ISNUMBER($D$461),$D$461,'Transaction Structure'!$K$28)</f>
        <v>9.1471370989067324</v>
      </c>
      <c r="Z461" s="729">
        <f>+IF(ISNUMBER($D$461),$D$461,'Transaction Structure'!$K$28)</f>
        <v>9.1471370989067324</v>
      </c>
      <c r="AA461" s="729">
        <f>+IF(ISNUMBER($D$461),$D$461,'Transaction Structure'!$K$28)</f>
        <v>9.1471370989067324</v>
      </c>
      <c r="AB461" s="729">
        <f>+IF(ISNUMBER($D$461),$D$461,'Transaction Structure'!$K$28)</f>
        <v>9.1471370989067324</v>
      </c>
      <c r="AC461" s="729">
        <f>+IF(ISNUMBER($D$461),$D$461,'Transaction Structure'!$K$28)</f>
        <v>9.1471370989067324</v>
      </c>
      <c r="AD461" s="729">
        <f>+IF(ISNUMBER($D$461),$D$461,'Transaction Structure'!$K$28)</f>
        <v>9.1471370989067324</v>
      </c>
      <c r="AE461" s="729">
        <f>+IF(ISNUMBER($D$461),$D$461,'Transaction Structure'!$K$28)</f>
        <v>9.1471370989067324</v>
      </c>
      <c r="AF461" s="729">
        <f>+IF(ISNUMBER($D$461),$D$461,'Transaction Structure'!$K$28)</f>
        <v>9.1471370989067324</v>
      </c>
      <c r="AG461" s="729">
        <f>+IF(ISNUMBER($D$461),$D$461,'Transaction Structure'!$K$28)</f>
        <v>9.1471370989067324</v>
      </c>
      <c r="AH461" s="729">
        <f>+IF(ISNUMBER($D$461),$D$461,'Transaction Structure'!$K$28)</f>
        <v>9.1471370989067324</v>
      </c>
      <c r="AI461" s="729">
        <f>+IF(ISNUMBER($D$461),$D$461,'Transaction Structure'!$K$28)</f>
        <v>9.1471370989067324</v>
      </c>
      <c r="AJ461" s="729">
        <f>+IF(ISNUMBER($D$461),$D$461,'Transaction Structure'!$K$28)</f>
        <v>9.1471370989067324</v>
      </c>
      <c r="AK461" s="729">
        <f>+IF(ISNUMBER($D$461),$D$461,'Transaction Structure'!$K$28)</f>
        <v>9.1471370989067324</v>
      </c>
      <c r="AL461" s="729">
        <f>+IF(ISNUMBER($D$461),$D$461,'Transaction Structure'!$K$28)</f>
        <v>9.1471370989067324</v>
      </c>
      <c r="AM461" s="570"/>
      <c r="AN461" s="116"/>
      <c r="AO461" s="116"/>
      <c r="AP461" s="729">
        <f>+IF(ISNUMBER($D$461),$D$461,'Transaction Structure'!$K$28)</f>
        <v>9.1471370989067324</v>
      </c>
      <c r="AQ461" s="729">
        <f>+IF(ISNUMBER($D$461),$D$461,'Transaction Structure'!$K$28)</f>
        <v>9.1471370989067324</v>
      </c>
      <c r="AR461" s="729">
        <f>+IF(ISNUMBER($D$461),$D$461,'Transaction Structure'!$K$28)</f>
        <v>9.1471370989067324</v>
      </c>
      <c r="AS461" s="729">
        <f>+IF(ISNUMBER($D$461),$D$461,'Transaction Structure'!$K$28)</f>
        <v>9.1471370989067324</v>
      </c>
      <c r="AT461" s="729">
        <f>+IF(ISNUMBER($D$461),$D$461,'Transaction Structure'!$K$28)</f>
        <v>9.1471370989067324</v>
      </c>
    </row>
    <row r="462" spans="1:46" x14ac:dyDescent="0.25">
      <c r="B462" s="98" t="s">
        <v>511</v>
      </c>
      <c r="D462" s="731" t="str">
        <f>+'Transaction Structure'!$K$36</f>
        <v>Offer / LTM Revenue</v>
      </c>
      <c r="E462" s="1217"/>
      <c r="F462" s="1217"/>
      <c r="G462" s="1217"/>
      <c r="H462" s="73" t="s">
        <v>512</v>
      </c>
      <c r="J462" s="116"/>
      <c r="K462" s="116"/>
      <c r="L462" s="116"/>
      <c r="M462" s="116"/>
      <c r="N462" s="116"/>
      <c r="O462" s="116"/>
      <c r="P462" s="116"/>
      <c r="Q462" s="116"/>
      <c r="R462" s="116"/>
      <c r="S462" s="58"/>
      <c r="T462" s="58"/>
      <c r="U462" s="58"/>
      <c r="V462" s="58"/>
      <c r="W462" s="58"/>
      <c r="X462" s="58"/>
      <c r="Y462" s="58"/>
      <c r="Z462" s="58"/>
      <c r="AA462" s="58"/>
      <c r="AB462" s="58"/>
      <c r="AC462" s="58"/>
      <c r="AD462" s="58"/>
      <c r="AE462" s="58"/>
      <c r="AF462" s="58"/>
      <c r="AG462" s="58"/>
      <c r="AH462" s="58"/>
      <c r="AI462" s="58"/>
      <c r="AJ462" s="58"/>
      <c r="AK462" s="58"/>
      <c r="AL462" s="58"/>
      <c r="AM462" s="570"/>
      <c r="AN462" s="116"/>
      <c r="AO462" s="116"/>
      <c r="AP462" s="58"/>
      <c r="AQ462" s="58"/>
      <c r="AR462" s="58"/>
      <c r="AS462" s="58"/>
      <c r="AT462" s="58"/>
    </row>
    <row r="463" spans="1:46" x14ac:dyDescent="0.25">
      <c r="B463" s="670" t="s">
        <v>513</v>
      </c>
      <c r="C463" s="122"/>
      <c r="D463" s="122"/>
      <c r="E463" s="122"/>
      <c r="F463" s="122"/>
      <c r="G463" s="122"/>
      <c r="H463" s="122"/>
      <c r="I463" s="122"/>
      <c r="J463" s="683"/>
      <c r="K463" s="683"/>
      <c r="L463" s="683"/>
      <c r="M463" s="683"/>
      <c r="N463" s="683"/>
      <c r="O463" s="683"/>
      <c r="P463" s="683"/>
      <c r="Q463" s="683"/>
      <c r="R463" s="683"/>
      <c r="S463" s="125">
        <f>IF('Transaction Structure'!$K$36='Transaction Structure'!$X$1,'Operating Model'!S$458*'Operating Model'!S$457,'Operating Model'!S$460*'Operating Model'!S$461)</f>
        <v>0</v>
      </c>
      <c r="T463" s="125">
        <f>IF('Transaction Structure'!$K$36='Transaction Structure'!$X$1,'Operating Model'!T$458*'Operating Model'!T$457,'Operating Model'!T$460*'Operating Model'!T$461)</f>
        <v>0</v>
      </c>
      <c r="U463" s="125">
        <f>IF('Transaction Structure'!$K$36='Transaction Structure'!$X$1,'Operating Model'!U$458*'Operating Model'!U$457,'Operating Model'!U$460*'Operating Model'!U$461)</f>
        <v>0</v>
      </c>
      <c r="V463" s="125">
        <f ca="1">IF('Transaction Structure'!$K$36='Transaction Structure'!$X$1,'Operating Model'!V$458*'Operating Model'!V$457,'Operating Model'!V$460*'Operating Model'!V$461)</f>
        <v>7566548.7140027285</v>
      </c>
      <c r="W463" s="125">
        <f ca="1">IF('Transaction Structure'!$K$36='Transaction Structure'!$X$1,'Operating Model'!W$458*'Operating Model'!W$457,'Operating Model'!W$460*'Operating Model'!W$461)</f>
        <v>7926478.8217541566</v>
      </c>
      <c r="X463" s="125">
        <f ca="1">IF('Transaction Structure'!$K$36='Transaction Structure'!$X$1,'Operating Model'!X$458*'Operating Model'!X$457,'Operating Model'!X$460*'Operating Model'!X$461)</f>
        <v>8313317.9420049107</v>
      </c>
      <c r="Y463" s="125">
        <f ca="1">IF('Transaction Structure'!$K$36='Transaction Structure'!$X$1,'Operating Model'!Y$458*'Operating Model'!Y$457,'Operating Model'!Y$460*'Operating Model'!Y$461)</f>
        <v>8794183.659290934</v>
      </c>
      <c r="Z463" s="125">
        <f ca="1">IF('Transaction Structure'!$K$36='Transaction Structure'!$X$1,'Operating Model'!Z$458*'Operating Model'!Z$457,'Operating Model'!Z$460*'Operating Model'!Z$461)</f>
        <v>9225042.0996177383</v>
      </c>
      <c r="AA463" s="125">
        <f ca="1">IF('Transaction Structure'!$K$36='Transaction Structure'!$X$1,'Operating Model'!AA$458*'Operating Model'!AA$457,'Operating Model'!AA$460*'Operating Model'!AA$461)</f>
        <v>9550135.27738907</v>
      </c>
      <c r="AB463" s="125">
        <f ca="1">IF('Transaction Structure'!$K$36='Transaction Structure'!$X$1,'Operating Model'!AB$458*'Operating Model'!AB$457,'Operating Model'!AB$460*'Operating Model'!AB$461)</f>
        <v>9901396.3731987495</v>
      </c>
      <c r="AC463" s="125">
        <f ca="1">IF('Transaction Structure'!$K$36='Transaction Structure'!$X$1,'Operating Model'!AC$458*'Operating Model'!AC$457,'Operating Model'!AC$460*'Operating Model'!AC$461)</f>
        <v>10354132.63042186</v>
      </c>
      <c r="AD463" s="125">
        <f ca="1">IF('Transaction Structure'!$K$36='Transaction Structure'!$X$1,'Operating Model'!AD$458*'Operating Model'!AD$457,'Operating Model'!AD$460*'Operating Model'!AD$461)</f>
        <v>10744039.037993668</v>
      </c>
      <c r="AE463" s="125">
        <f ca="1">IF('Transaction Structure'!$K$36='Transaction Structure'!$X$1,'Operating Model'!AE$458*'Operating Model'!AE$457,'Operating Model'!AE$460*'Operating Model'!AE$461)</f>
        <v>10968979.842255771</v>
      </c>
      <c r="AF463" s="125">
        <f ca="1">IF('Transaction Structure'!$K$36='Transaction Structure'!$X$1,'Operating Model'!AF$458*'Operating Model'!AF$457,'Operating Model'!AF$460*'Operating Model'!AF$461)</f>
        <v>11213042.139752079</v>
      </c>
      <c r="AG463" s="125">
        <f ca="1">IF('Transaction Structure'!$K$36='Transaction Structure'!$X$1,'Operating Model'!AG$458*'Operating Model'!AG$457,'Operating Model'!AG$460*'Operating Model'!AG$461)</f>
        <v>11536703.959109241</v>
      </c>
      <c r="AH463" s="125">
        <f ca="1">IF('Transaction Structure'!$K$36='Transaction Structure'!$X$1,'Operating Model'!AH$458*'Operating Model'!AH$457,'Operating Model'!AH$460*'Operating Model'!AH$461)</f>
        <v>11806897.97899894</v>
      </c>
      <c r="AI463" s="125">
        <f ca="1">IF('Transaction Structure'!$K$36='Transaction Structure'!$X$1,'Operating Model'!AI$458*'Operating Model'!AI$457,'Operating Model'!AI$460*'Operating Model'!AI$461)</f>
        <v>11929707.46752264</v>
      </c>
      <c r="AJ463" s="125">
        <f ca="1">IF('Transaction Structure'!$K$36='Transaction Structure'!$X$1,'Operating Model'!AJ$458*'Operating Model'!AJ$457,'Operating Model'!AJ$460*'Operating Model'!AJ$461)</f>
        <v>12063309.28424046</v>
      </c>
      <c r="AK463" s="125">
        <f ca="1">IF('Transaction Structure'!$K$36='Transaction Structure'!$X$1,'Operating Model'!AK$458*'Operating Model'!AK$457,'Operating Model'!AK$460*'Operating Model'!AK$461)</f>
        <v>12243734.804600088</v>
      </c>
      <c r="AL463" s="125">
        <f ca="1">IF('Transaction Structure'!$K$36='Transaction Structure'!$X$1,'Operating Model'!AL$458*'Operating Model'!AL$457,'Operating Model'!AL$460*'Operating Model'!AL$461)</f>
        <v>12391391.983355198</v>
      </c>
      <c r="AM463" s="570"/>
      <c r="AN463" s="683"/>
      <c r="AO463" s="683"/>
      <c r="AP463" s="125">
        <f ca="1">IF('Transaction Structure'!$K$36='Transaction Structure'!$X$1,'Operating Model'!AP$458*'Operating Model'!AP$457,'Operating Model'!AP$460*'Operating Model'!AP$461)</f>
        <v>7566548.7140027285</v>
      </c>
      <c r="AQ463" s="125">
        <f ca="1">IF('Transaction Structure'!$K$36='Transaction Structure'!$X$1,'Operating Model'!AQ$458*'Operating Model'!AQ$457,'Operating Model'!AQ$460*'Operating Model'!AQ$461)</f>
        <v>9225042.0996177383</v>
      </c>
      <c r="AR463" s="125">
        <f ca="1">IF('Transaction Structure'!$K$36='Transaction Structure'!$X$1,'Operating Model'!AR$458*'Operating Model'!AR$457,'Operating Model'!AR$460*'Operating Model'!AR$461)</f>
        <v>10744039.037993668</v>
      </c>
      <c r="AS463" s="125">
        <f ca="1">IF('Transaction Structure'!$K$36='Transaction Structure'!$X$1,'Operating Model'!AS$458*'Operating Model'!AS$457,'Operating Model'!AS$460*'Operating Model'!AS$461)</f>
        <v>11806897.97899894</v>
      </c>
      <c r="AT463" s="125">
        <f ca="1">IF('Transaction Structure'!$K$36='Transaction Structure'!$X$1,'Operating Model'!AT$458*'Operating Model'!AT$457,'Operating Model'!AT$460*'Operating Model'!AT$461)</f>
        <v>12391391.983355198</v>
      </c>
    </row>
    <row r="464" spans="1:46" x14ac:dyDescent="0.25">
      <c r="B464" s="98" t="s">
        <v>514</v>
      </c>
      <c r="H464" s="73" t="s">
        <v>515</v>
      </c>
      <c r="J464" s="116"/>
      <c r="K464" s="116"/>
      <c r="L464" s="116"/>
      <c r="M464" s="116"/>
      <c r="N464" s="116"/>
      <c r="O464" s="116"/>
      <c r="P464" s="116"/>
      <c r="Q464" s="116"/>
      <c r="R464" s="116"/>
      <c r="S464" s="570">
        <f t="shared" ref="S464:AL464" si="817">+IF(S$5&lt;=Closing_Date,0,SUM(S$99:S$100))</f>
        <v>0</v>
      </c>
      <c r="T464" s="570">
        <f t="shared" si="817"/>
        <v>0</v>
      </c>
      <c r="U464" s="570">
        <f t="shared" si="817"/>
        <v>0</v>
      </c>
      <c r="V464" s="570">
        <f t="shared" ca="1" si="817"/>
        <v>50503.943002136992</v>
      </c>
      <c r="W464" s="570">
        <f t="shared" ca="1" si="817"/>
        <v>47663.768396651518</v>
      </c>
      <c r="X464" s="570">
        <f t="shared" ca="1" si="817"/>
        <v>66074.312655787377</v>
      </c>
      <c r="Y464" s="570">
        <f t="shared" ca="1" si="817"/>
        <v>68283.876882257493</v>
      </c>
      <c r="Z464" s="570">
        <f t="shared" ca="1" si="817"/>
        <v>92748.340149424577</v>
      </c>
      <c r="AA464" s="570">
        <f t="shared" ca="1" si="817"/>
        <v>86826.044602563576</v>
      </c>
      <c r="AB464" s="570">
        <f t="shared" ca="1" si="817"/>
        <v>103186.39289381464</v>
      </c>
      <c r="AC464" s="570">
        <f t="shared" ca="1" si="817"/>
        <v>113367.12794134906</v>
      </c>
      <c r="AD464" s="570">
        <f t="shared" ca="1" si="817"/>
        <v>136318.94057490339</v>
      </c>
      <c r="AE464" s="570">
        <f t="shared" ca="1" si="817"/>
        <v>122278.96651408635</v>
      </c>
      <c r="AF464" s="570">
        <f t="shared" ca="1" si="817"/>
        <v>139262.57545557374</v>
      </c>
      <c r="AG464" s="570">
        <f t="shared" ca="1" si="817"/>
        <v>155310.66858863179</v>
      </c>
      <c r="AH464" s="570">
        <f t="shared" ca="1" si="817"/>
        <v>176695.3831276751</v>
      </c>
      <c r="AI464" s="570">
        <f t="shared" ca="1" si="817"/>
        <v>162371.37704120483</v>
      </c>
      <c r="AJ464" s="570">
        <f t="shared" ca="1" si="817"/>
        <v>172991.49388004711</v>
      </c>
      <c r="AK464" s="570">
        <f t="shared" ca="1" si="817"/>
        <v>191142.91300981201</v>
      </c>
      <c r="AL464" s="570">
        <f t="shared" ca="1" si="817"/>
        <v>211327.37941165364</v>
      </c>
      <c r="AM464" s="570"/>
      <c r="AN464" s="116"/>
      <c r="AO464" s="116"/>
      <c r="AP464" s="570">
        <f ca="1">+SUM(AP$100:AP$101)</f>
        <v>47813.83604769568</v>
      </c>
      <c r="AQ464" s="570">
        <f t="shared" ref="AQ464:AS464" ca="1" si="818">+SUM(AQ$100:AQ$101)</f>
        <v>57692.3317132312</v>
      </c>
      <c r="AR464" s="570">
        <f t="shared" ca="1" si="818"/>
        <v>66631.900714690637</v>
      </c>
      <c r="AS464" s="570">
        <f t="shared" ca="1" si="818"/>
        <v>72826.767066408196</v>
      </c>
      <c r="AT464" s="570">
        <f ca="1">+SUM(AT$99:AT$100)</f>
        <v>211327.37941165364</v>
      </c>
    </row>
    <row r="465" spans="2:47" x14ac:dyDescent="0.25">
      <c r="B465" s="98" t="s">
        <v>516</v>
      </c>
      <c r="H465" s="73" t="s">
        <v>515</v>
      </c>
      <c r="J465" s="116"/>
      <c r="K465" s="116"/>
      <c r="L465" s="116"/>
      <c r="M465" s="116"/>
      <c r="N465" s="116"/>
      <c r="O465" s="116"/>
      <c r="P465" s="116"/>
      <c r="Q465" s="116"/>
      <c r="R465" s="116"/>
      <c r="S465" s="570">
        <f t="shared" ref="S465:AL465" si="819">MAX(-S127,-SUM(S463:S464))</f>
        <v>0</v>
      </c>
      <c r="T465" s="570">
        <f t="shared" si="819"/>
        <v>0</v>
      </c>
      <c r="U465" s="570">
        <f t="shared" si="819"/>
        <v>0</v>
      </c>
      <c r="V465" s="570">
        <f t="shared" ca="1" si="819"/>
        <v>0</v>
      </c>
      <c r="W465" s="570">
        <f t="shared" ca="1" si="819"/>
        <v>0</v>
      </c>
      <c r="X465" s="570">
        <f t="shared" ca="1" si="819"/>
        <v>0</v>
      </c>
      <c r="Y465" s="570">
        <f t="shared" ca="1" si="819"/>
        <v>0</v>
      </c>
      <c r="Z465" s="570">
        <f t="shared" ca="1" si="819"/>
        <v>0</v>
      </c>
      <c r="AA465" s="570">
        <f t="shared" ca="1" si="819"/>
        <v>0</v>
      </c>
      <c r="AB465" s="570">
        <f t="shared" ca="1" si="819"/>
        <v>0</v>
      </c>
      <c r="AC465" s="570">
        <f t="shared" ca="1" si="819"/>
        <v>0</v>
      </c>
      <c r="AD465" s="570">
        <f t="shared" ca="1" si="819"/>
        <v>0</v>
      </c>
      <c r="AE465" s="570">
        <f t="shared" ca="1" si="819"/>
        <v>0</v>
      </c>
      <c r="AF465" s="570">
        <f t="shared" ca="1" si="819"/>
        <v>0</v>
      </c>
      <c r="AG465" s="570">
        <f t="shared" ca="1" si="819"/>
        <v>0</v>
      </c>
      <c r="AH465" s="570">
        <f t="shared" ca="1" si="819"/>
        <v>0</v>
      </c>
      <c r="AI465" s="570">
        <f t="shared" ca="1" si="819"/>
        <v>-7752.5225485142055</v>
      </c>
      <c r="AJ465" s="570">
        <f t="shared" ca="1" si="819"/>
        <v>-1135.6781653539301</v>
      </c>
      <c r="AK465" s="570">
        <f t="shared" ca="1" si="819"/>
        <v>0</v>
      </c>
      <c r="AL465" s="570">
        <f t="shared" ca="1" si="819"/>
        <v>0</v>
      </c>
      <c r="AM465" s="570"/>
      <c r="AN465" s="116"/>
      <c r="AO465" s="116"/>
      <c r="AP465" s="570">
        <f ca="1">MAX(-AP127,-SUM(AP463:AP464))</f>
        <v>0</v>
      </c>
      <c r="AQ465" s="570">
        <f ca="1">MAX(-AQ127,-SUM(AQ463:AQ464))</f>
        <v>0</v>
      </c>
      <c r="AR465" s="570">
        <f ca="1">MAX(-AR127,-SUM(AR463:AR464))</f>
        <v>0</v>
      </c>
      <c r="AS465" s="570">
        <f ca="1">MAX(-AS127,-SUM(AS463:AS464))</f>
        <v>0</v>
      </c>
      <c r="AT465" s="570">
        <f ca="1">MAX(-AT127,-SUM(AT463:AT464))</f>
        <v>0</v>
      </c>
      <c r="AU465" s="570">
        <f ca="1">+AT464+AT468</f>
        <v>-288672.62058834638</v>
      </c>
    </row>
    <row r="466" spans="2:47" x14ac:dyDescent="0.25">
      <c r="B466" s="98" t="s">
        <v>517</v>
      </c>
      <c r="H466" s="73" t="s">
        <v>515</v>
      </c>
      <c r="J466" s="116"/>
      <c r="K466" s="116"/>
      <c r="L466" s="116"/>
      <c r="M466" s="116"/>
      <c r="N466" s="116"/>
      <c r="O466" s="116"/>
      <c r="P466" s="116"/>
      <c r="Q466" s="116"/>
      <c r="R466" s="116"/>
      <c r="S466" s="570">
        <f t="shared" ref="S466:AL466" si="820">MAX(-S128,-SUM(S463:S465))</f>
        <v>0</v>
      </c>
      <c r="T466" s="570">
        <f t="shared" si="820"/>
        <v>0</v>
      </c>
      <c r="U466" s="570">
        <f t="shared" si="820"/>
        <v>0</v>
      </c>
      <c r="V466" s="570">
        <f t="shared" ca="1" si="820"/>
        <v>0</v>
      </c>
      <c r="W466" s="570">
        <f t="shared" ca="1" si="820"/>
        <v>0</v>
      </c>
      <c r="X466" s="570">
        <f t="shared" ca="1" si="820"/>
        <v>0</v>
      </c>
      <c r="Y466" s="570">
        <f t="shared" ca="1" si="820"/>
        <v>0</v>
      </c>
      <c r="Z466" s="570">
        <f t="shared" ca="1" si="820"/>
        <v>0</v>
      </c>
      <c r="AA466" s="570">
        <f t="shared" ca="1" si="820"/>
        <v>0</v>
      </c>
      <c r="AB466" s="570">
        <f t="shared" ca="1" si="820"/>
        <v>0</v>
      </c>
      <c r="AC466" s="570">
        <f t="shared" ca="1" si="820"/>
        <v>0</v>
      </c>
      <c r="AD466" s="570">
        <f t="shared" ca="1" si="820"/>
        <v>0</v>
      </c>
      <c r="AE466" s="570">
        <f t="shared" ca="1" si="820"/>
        <v>0</v>
      </c>
      <c r="AF466" s="570">
        <f t="shared" ca="1" si="820"/>
        <v>0</v>
      </c>
      <c r="AG466" s="570">
        <f t="shared" ca="1" si="820"/>
        <v>0</v>
      </c>
      <c r="AH466" s="570">
        <f t="shared" ca="1" si="820"/>
        <v>0</v>
      </c>
      <c r="AI466" s="570">
        <f t="shared" ca="1" si="820"/>
        <v>0</v>
      </c>
      <c r="AJ466" s="570">
        <f t="shared" ca="1" si="820"/>
        <v>0</v>
      </c>
      <c r="AK466" s="570">
        <f t="shared" ca="1" si="820"/>
        <v>0</v>
      </c>
      <c r="AL466" s="570">
        <f t="shared" ca="1" si="820"/>
        <v>0</v>
      </c>
      <c r="AM466" s="570"/>
      <c r="AN466" s="116"/>
      <c r="AO466" s="116"/>
      <c r="AP466" s="570">
        <f ca="1">MAX(-AP128,-SUM(AP463:AP465))</f>
        <v>0</v>
      </c>
      <c r="AQ466" s="570">
        <f ca="1">MAX(-AQ128,-SUM(AQ463:AQ465))</f>
        <v>0</v>
      </c>
      <c r="AR466" s="570">
        <f ca="1">MAX(-AR128,-SUM(AR463:AR465))</f>
        <v>0</v>
      </c>
      <c r="AS466" s="570">
        <f ca="1">MAX(-AS128,-SUM(AS463:AS465))</f>
        <v>0</v>
      </c>
      <c r="AT466" s="570">
        <f ca="1">MAX(-AT128,-SUM(AT463:AT465))</f>
        <v>0</v>
      </c>
    </row>
    <row r="467" spans="2:47" x14ac:dyDescent="0.25">
      <c r="B467" s="98" t="s">
        <v>518</v>
      </c>
      <c r="H467" s="73" t="s">
        <v>515</v>
      </c>
      <c r="J467" s="116"/>
      <c r="K467" s="116"/>
      <c r="L467" s="116"/>
      <c r="M467" s="116"/>
      <c r="N467" s="116"/>
      <c r="O467" s="116"/>
      <c r="P467" s="116"/>
      <c r="Q467" s="116"/>
      <c r="R467" s="116"/>
      <c r="S467" s="570">
        <f t="shared" ref="S467:AL467" si="821">MAX(-S129,-SUM(S463:S466))</f>
        <v>0</v>
      </c>
      <c r="T467" s="570">
        <f t="shared" si="821"/>
        <v>0</v>
      </c>
      <c r="U467" s="570">
        <f t="shared" si="821"/>
        <v>0</v>
      </c>
      <c r="V467" s="570">
        <f t="shared" ca="1" si="821"/>
        <v>0</v>
      </c>
      <c r="W467" s="570">
        <f t="shared" ca="1" si="821"/>
        <v>0</v>
      </c>
      <c r="X467" s="570">
        <f t="shared" ca="1" si="821"/>
        <v>0</v>
      </c>
      <c r="Y467" s="570">
        <f t="shared" ca="1" si="821"/>
        <v>0</v>
      </c>
      <c r="Z467" s="570">
        <f t="shared" ca="1" si="821"/>
        <v>0</v>
      </c>
      <c r="AA467" s="570">
        <f t="shared" ca="1" si="821"/>
        <v>0</v>
      </c>
      <c r="AB467" s="570">
        <f t="shared" ca="1" si="821"/>
        <v>0</v>
      </c>
      <c r="AC467" s="570">
        <f t="shared" ca="1" si="821"/>
        <v>0</v>
      </c>
      <c r="AD467" s="570">
        <f t="shared" ca="1" si="821"/>
        <v>0</v>
      </c>
      <c r="AE467" s="570">
        <f t="shared" ca="1" si="821"/>
        <v>0</v>
      </c>
      <c r="AF467" s="570">
        <f t="shared" ca="1" si="821"/>
        <v>0</v>
      </c>
      <c r="AG467" s="570">
        <f t="shared" ca="1" si="821"/>
        <v>0</v>
      </c>
      <c r="AH467" s="570">
        <f t="shared" ca="1" si="821"/>
        <v>0</v>
      </c>
      <c r="AI467" s="570">
        <f t="shared" ca="1" si="821"/>
        <v>0</v>
      </c>
      <c r="AJ467" s="570">
        <f t="shared" ca="1" si="821"/>
        <v>0</v>
      </c>
      <c r="AK467" s="570">
        <f t="shared" ca="1" si="821"/>
        <v>0</v>
      </c>
      <c r="AL467" s="570">
        <f t="shared" ca="1" si="821"/>
        <v>0</v>
      </c>
      <c r="AM467" s="570"/>
      <c r="AN467" s="116"/>
      <c r="AO467" s="116"/>
      <c r="AP467" s="570">
        <f ca="1">MAX(-AP129,-SUM(AP463:AP466))</f>
        <v>0</v>
      </c>
      <c r="AQ467" s="570">
        <f ca="1">MAX(-AQ129,-SUM(AQ463:AQ466))</f>
        <v>0</v>
      </c>
      <c r="AR467" s="570">
        <f ca="1">MAX(-AR129,-SUM(AR463:AR466))</f>
        <v>0</v>
      </c>
      <c r="AS467" s="570">
        <f ca="1">MAX(-AS129,-SUM(AS463:AS466))</f>
        <v>0</v>
      </c>
      <c r="AT467" s="570">
        <f ca="1">MAX(-AT129,-SUM(AT463:AT466))</f>
        <v>0</v>
      </c>
    </row>
    <row r="468" spans="2:47" x14ac:dyDescent="0.25">
      <c r="B468" s="98" t="s">
        <v>519</v>
      </c>
      <c r="H468" s="73" t="s">
        <v>515</v>
      </c>
      <c r="J468" s="116"/>
      <c r="K468" s="116"/>
      <c r="L468" s="116"/>
      <c r="M468" s="116"/>
      <c r="N468" s="116"/>
      <c r="O468" s="116"/>
      <c r="P468" s="116"/>
      <c r="Q468" s="116"/>
      <c r="R468" s="116"/>
      <c r="S468" s="570">
        <f t="shared" ref="S468:AL468" si="822">MAX(-S130,-SUM(S463:S467))</f>
        <v>0</v>
      </c>
      <c r="T468" s="570">
        <f t="shared" si="822"/>
        <v>0</v>
      </c>
      <c r="U468" s="570">
        <f t="shared" si="822"/>
        <v>0</v>
      </c>
      <c r="V468" s="570">
        <f t="shared" ca="1" si="822"/>
        <v>-500000</v>
      </c>
      <c r="W468" s="570">
        <f t="shared" ca="1" si="822"/>
        <v>-500000</v>
      </c>
      <c r="X468" s="570">
        <f t="shared" ca="1" si="822"/>
        <v>-500000</v>
      </c>
      <c r="Y468" s="570">
        <f t="shared" ca="1" si="822"/>
        <v>-500000</v>
      </c>
      <c r="Z468" s="570">
        <f t="shared" ca="1" si="822"/>
        <v>-500000</v>
      </c>
      <c r="AA468" s="570">
        <f t="shared" ca="1" si="822"/>
        <v>-500000</v>
      </c>
      <c r="AB468" s="570">
        <f t="shared" ca="1" si="822"/>
        <v>-500000</v>
      </c>
      <c r="AC468" s="570">
        <f t="shared" ca="1" si="822"/>
        <v>-500000</v>
      </c>
      <c r="AD468" s="570">
        <f t="shared" ca="1" si="822"/>
        <v>-500000</v>
      </c>
      <c r="AE468" s="570">
        <f t="shared" ca="1" si="822"/>
        <v>-500000</v>
      </c>
      <c r="AF468" s="570">
        <f t="shared" ca="1" si="822"/>
        <v>-500000</v>
      </c>
      <c r="AG468" s="570">
        <f t="shared" ca="1" si="822"/>
        <v>-500000</v>
      </c>
      <c r="AH468" s="570">
        <f t="shared" ca="1" si="822"/>
        <v>-500000</v>
      </c>
      <c r="AI468" s="570">
        <f t="shared" ca="1" si="822"/>
        <v>-500000</v>
      </c>
      <c r="AJ468" s="570">
        <f t="shared" ca="1" si="822"/>
        <v>-500000</v>
      </c>
      <c r="AK468" s="570">
        <f t="shared" ca="1" si="822"/>
        <v>-500000</v>
      </c>
      <c r="AL468" s="570">
        <f t="shared" ca="1" si="822"/>
        <v>-500000</v>
      </c>
      <c r="AM468" s="570"/>
      <c r="AN468" s="116"/>
      <c r="AO468" s="116"/>
      <c r="AP468" s="570">
        <f ca="1">MAX(-AP130,-SUM(AP463:AP467))</f>
        <v>-500000</v>
      </c>
      <c r="AQ468" s="570">
        <f ca="1">MAX(-AQ130,-SUM(AQ463:AQ467))</f>
        <v>-500000</v>
      </c>
      <c r="AR468" s="570">
        <f ca="1">MAX(-AR130,-SUM(AR463:AR467))</f>
        <v>-500000</v>
      </c>
      <c r="AS468" s="570">
        <f ca="1">MAX(-AS130,-SUM(AS463:AS467))</f>
        <v>-500000</v>
      </c>
      <c r="AT468" s="570">
        <f ca="1">MAX(-AT130,-SUM(AT463:AT467))</f>
        <v>-500000</v>
      </c>
    </row>
    <row r="469" spans="2:47" x14ac:dyDescent="0.25">
      <c r="B469" s="670" t="s">
        <v>520</v>
      </c>
      <c r="C469" s="122"/>
      <c r="D469" s="122"/>
      <c r="E469" s="122"/>
      <c r="F469" s="122"/>
      <c r="G469" s="122"/>
      <c r="H469" s="122"/>
      <c r="I469" s="122"/>
      <c r="J469" s="683"/>
      <c r="K469" s="683"/>
      <c r="L469" s="683"/>
      <c r="M469" s="683"/>
      <c r="N469" s="683"/>
      <c r="O469" s="683"/>
      <c r="P469" s="683"/>
      <c r="Q469" s="683"/>
      <c r="R469" s="683"/>
      <c r="S469" s="125">
        <f>SUM(S463:S468)</f>
        <v>0</v>
      </c>
      <c r="T469" s="125">
        <f t="shared" ref="T469:AL469" si="823">SUM(T463:T468)</f>
        <v>0</v>
      </c>
      <c r="U469" s="125">
        <f t="shared" si="823"/>
        <v>0</v>
      </c>
      <c r="V469" s="125">
        <f t="shared" ca="1" si="823"/>
        <v>7117052.6570048658</v>
      </c>
      <c r="W469" s="125">
        <f t="shared" ca="1" si="823"/>
        <v>7474142.590150808</v>
      </c>
      <c r="X469" s="125">
        <f t="shared" ca="1" si="823"/>
        <v>7879392.2546606977</v>
      </c>
      <c r="Y469" s="125">
        <f t="shared" ca="1" si="823"/>
        <v>8362467.5361731909</v>
      </c>
      <c r="Z469" s="125">
        <f t="shared" ca="1" si="823"/>
        <v>8817790.4397671632</v>
      </c>
      <c r="AA469" s="125">
        <f t="shared" ca="1" si="823"/>
        <v>9136961.3219916336</v>
      </c>
      <c r="AB469" s="125">
        <f t="shared" ca="1" si="823"/>
        <v>9504582.7660925649</v>
      </c>
      <c r="AC469" s="125">
        <f t="shared" ca="1" si="823"/>
        <v>9967499.7583632097</v>
      </c>
      <c r="AD469" s="125">
        <f t="shared" ca="1" si="823"/>
        <v>10380357.978568571</v>
      </c>
      <c r="AE469" s="125">
        <f t="shared" ca="1" si="823"/>
        <v>10591258.808769858</v>
      </c>
      <c r="AF469" s="125">
        <f t="shared" ca="1" si="823"/>
        <v>10852304.715207653</v>
      </c>
      <c r="AG469" s="125">
        <f t="shared" ca="1" si="823"/>
        <v>11192014.627697874</v>
      </c>
      <c r="AH469" s="125">
        <f t="shared" ca="1" si="823"/>
        <v>11483593.362126615</v>
      </c>
      <c r="AI469" s="125">
        <f t="shared" ca="1" si="823"/>
        <v>11584326.322015332</v>
      </c>
      <c r="AJ469" s="125">
        <f t="shared" ca="1" si="823"/>
        <v>11735165.099955153</v>
      </c>
      <c r="AK469" s="125">
        <f t="shared" ca="1" si="823"/>
        <v>11934877.717609899</v>
      </c>
      <c r="AL469" s="125">
        <f t="shared" ca="1" si="823"/>
        <v>12102719.362766853</v>
      </c>
      <c r="AM469" s="570"/>
      <c r="AN469" s="683"/>
      <c r="AO469" s="683"/>
      <c r="AP469" s="125">
        <f t="shared" ref="AP469" ca="1" si="824">SUM(AP463:AP468)</f>
        <v>7114362.5500504244</v>
      </c>
      <c r="AQ469" s="125">
        <f t="shared" ref="AQ469" ca="1" si="825">SUM(AQ463:AQ468)</f>
        <v>8782734.4313309696</v>
      </c>
      <c r="AR469" s="125">
        <f t="shared" ref="AR469" ca="1" si="826">SUM(AR463:AR468)</f>
        <v>10310670.938708358</v>
      </c>
      <c r="AS469" s="125">
        <f t="shared" ref="AS469" ca="1" si="827">SUM(AS463:AS468)</f>
        <v>11379724.746065348</v>
      </c>
      <c r="AT469" s="125">
        <f t="shared" ref="AT469" ca="1" si="828">SUM(AT463:AT468)</f>
        <v>12102719.362766853</v>
      </c>
    </row>
    <row r="470" spans="2:47" x14ac:dyDescent="0.25">
      <c r="B470" s="98" t="s">
        <v>521</v>
      </c>
      <c r="H470" s="73" t="s">
        <v>515</v>
      </c>
      <c r="J470" s="116"/>
      <c r="K470" s="116"/>
      <c r="L470" s="116"/>
      <c r="M470" s="116"/>
      <c r="N470" s="116"/>
      <c r="O470" s="116"/>
      <c r="P470" s="116"/>
      <c r="Q470" s="116"/>
      <c r="R470" s="116"/>
      <c r="S470" s="570">
        <f>MAX(-S140,-'Operating Model'!S$469)</f>
        <v>0</v>
      </c>
      <c r="T470" s="570">
        <f>MAX(-T140,-'Operating Model'!T$469)</f>
        <v>0</v>
      </c>
      <c r="U470" s="570">
        <f ca="1">MAX(-U140,-'Operating Model'!U$469)</f>
        <v>0</v>
      </c>
      <c r="V470" s="570">
        <f ca="1">MAX(-V140,-'Operating Model'!V$469)</f>
        <v>-4581670.2123345677</v>
      </c>
      <c r="W470" s="570">
        <f ca="1">MAX(-W140,-'Operating Model'!W$469)</f>
        <v>-4581670.2123345677</v>
      </c>
      <c r="X470" s="570">
        <f ca="1">MAX(-X140,-'Operating Model'!X$469)</f>
        <v>-4581670.2123345677</v>
      </c>
      <c r="Y470" s="570">
        <f ca="1">MAX(-Y140,-'Operating Model'!Y$469)</f>
        <v>-4581670.2123345677</v>
      </c>
      <c r="Z470" s="570">
        <f ca="1">MAX(-Z140,-'Operating Model'!Z$469)</f>
        <v>-4581670.2123345677</v>
      </c>
      <c r="AA470" s="570">
        <f ca="1">MAX(-AA140,-'Operating Model'!AA$469)</f>
        <v>-4581670.2123345677</v>
      </c>
      <c r="AB470" s="570">
        <f ca="1">MAX(-AB140,-'Operating Model'!AB$469)</f>
        <v>-4581670.2123345677</v>
      </c>
      <c r="AC470" s="570">
        <f ca="1">MAX(-AC140,-'Operating Model'!AC$469)</f>
        <v>-4581670.2123345677</v>
      </c>
      <c r="AD470" s="570">
        <f ca="1">MAX(-AD140,-'Operating Model'!AD$469)</f>
        <v>-4581670.2123345677</v>
      </c>
      <c r="AE470" s="570">
        <f ca="1">MAX(-AE140,-'Operating Model'!AE$469)</f>
        <v>-4581670.2123345677</v>
      </c>
      <c r="AF470" s="570">
        <f ca="1">MAX(-AF140,-'Operating Model'!AF$469)</f>
        <v>-4581670.2123345677</v>
      </c>
      <c r="AG470" s="570">
        <f ca="1">MAX(-AG140,-'Operating Model'!AG$469)</f>
        <v>-4581670.2123345677</v>
      </c>
      <c r="AH470" s="570">
        <f ca="1">MAX(-AH140,-'Operating Model'!AH$469)</f>
        <v>-4581670.2123345677</v>
      </c>
      <c r="AI470" s="570">
        <f ca="1">MAX(-AI140,-'Operating Model'!AI$469)</f>
        <v>-4581670.2123345677</v>
      </c>
      <c r="AJ470" s="570">
        <f ca="1">MAX(-AJ140,-'Operating Model'!AJ$469)</f>
        <v>-4581670.2123345677</v>
      </c>
      <c r="AK470" s="570">
        <f ca="1">MAX(-AK140,-'Operating Model'!AK$469)</f>
        <v>-4581670.2123345677</v>
      </c>
      <c r="AL470" s="570">
        <f ca="1">MAX(-AL140,-'Operating Model'!AL$469)</f>
        <v>-4581670.2123345677</v>
      </c>
      <c r="AM470" s="570"/>
      <c r="AN470" s="116"/>
      <c r="AO470" s="116"/>
      <c r="AP470" s="570">
        <f ca="1">MAX(-AP140,-'Operating Model'!AP$469)</f>
        <v>-4581670.2123345677</v>
      </c>
      <c r="AQ470" s="570">
        <f ca="1">MAX(-AQ140,-'Operating Model'!AQ$469)</f>
        <v>-4581670.2123345677</v>
      </c>
      <c r="AR470" s="570">
        <f ca="1">MAX(-AR140,-'Operating Model'!AR$469)</f>
        <v>-4581670.2123345677</v>
      </c>
      <c r="AS470" s="570">
        <f ca="1">MAX(-AS140,-'Operating Model'!AS$469)</f>
        <v>-4581670.2123345677</v>
      </c>
      <c r="AT470" s="570">
        <f ca="1">MAX(-AT140,-'Operating Model'!AT$469)</f>
        <v>-4581670.2123345677</v>
      </c>
    </row>
    <row r="471" spans="2:47" x14ac:dyDescent="0.25">
      <c r="B471" s="98" t="s">
        <v>522</v>
      </c>
      <c r="D471" s="732">
        <f>+'Transaction Structure'!$G$63</f>
        <v>0.08</v>
      </c>
      <c r="E471" s="1218"/>
      <c r="F471" s="1218"/>
      <c r="G471" s="1218"/>
      <c r="H471" s="73" t="s">
        <v>288</v>
      </c>
      <c r="J471" s="116"/>
      <c r="K471" s="116"/>
      <c r="L471" s="116"/>
      <c r="M471" s="116"/>
      <c r="N471" s="116"/>
      <c r="O471" s="116"/>
      <c r="P471" s="116"/>
      <c r="Q471" s="116"/>
      <c r="R471" s="116"/>
      <c r="S471" s="570">
        <f t="shared" ref="S471:AL471" si="829">MAX(-S140*(1+$D$471)^YEARFRAC(Closing_Date,S5,1)+S140,-SUM(S469:S470))</f>
        <v>0</v>
      </c>
      <c r="T471" s="570">
        <f t="shared" si="829"/>
        <v>0</v>
      </c>
      <c r="U471" s="570">
        <f t="shared" ca="1" si="829"/>
        <v>0</v>
      </c>
      <c r="V471" s="570">
        <f t="shared" ca="1" si="829"/>
        <v>-89744.706360564567</v>
      </c>
      <c r="W471" s="570">
        <f t="shared" ca="1" si="829"/>
        <v>-179741.1424384471</v>
      </c>
      <c r="X471" s="570">
        <f t="shared" ca="1" si="829"/>
        <v>-271728.61983276345</v>
      </c>
      <c r="Y471" s="570">
        <f t="shared" ca="1" si="829"/>
        <v>-366533.61698676553</v>
      </c>
      <c r="Z471" s="570">
        <f t="shared" ca="1" si="829"/>
        <v>-463855.19443414919</v>
      </c>
      <c r="AA471" s="570">
        <f t="shared" ca="1" si="829"/>
        <v>-560654.05082028825</v>
      </c>
      <c r="AB471" s="570">
        <f t="shared" ca="1" si="829"/>
        <v>-660183.55881772283</v>
      </c>
      <c r="AC471" s="570">
        <f t="shared" ca="1" si="829"/>
        <v>-762765.19602631778</v>
      </c>
      <c r="AD471" s="570">
        <f t="shared" ca="1" si="829"/>
        <v>-867354.32767329458</v>
      </c>
      <c r="AE471" s="570">
        <f t="shared" ca="1" si="829"/>
        <v>-971893.71750897262</v>
      </c>
      <c r="AF471" s="570">
        <f t="shared" ca="1" si="829"/>
        <v>-1079407.5149587495</v>
      </c>
      <c r="AG471" s="570">
        <f t="shared" ca="1" si="829"/>
        <v>-1190218.7717531947</v>
      </c>
      <c r="AH471" s="570">
        <f t="shared" ca="1" si="829"/>
        <v>-1303199.0739527522</v>
      </c>
      <c r="AI471" s="570">
        <f t="shared" ca="1" si="829"/>
        <v>-1416084.0135009866</v>
      </c>
      <c r="AJ471" s="570">
        <f t="shared" ca="1" si="829"/>
        <v>-1532213.1292236233</v>
      </c>
      <c r="AK471" s="570">
        <f t="shared" ca="1" si="829"/>
        <v>-1651904.2529474786</v>
      </c>
      <c r="AL471" s="570">
        <f t="shared" ca="1" si="829"/>
        <v>-1773938.5625481242</v>
      </c>
      <c r="AM471" s="570"/>
      <c r="AN471" s="116"/>
      <c r="AO471" s="116"/>
      <c r="AP471" s="570">
        <f ca="1">MAX(-AP140*(1+$D$471)^YEARFRAC(Closing_Date,AP5,1)+AP140,-SUM(AP469:AP470))</f>
        <v>-89744.706360564567</v>
      </c>
      <c r="AQ471" s="570">
        <f ca="1">MAX(-AQ140*(1+$D$471)^YEARFRAC(Closing_Date,AQ5,1)+AQ140,-SUM(AQ469:AQ470))</f>
        <v>-463855.19443414919</v>
      </c>
      <c r="AR471" s="570">
        <f ca="1">MAX(-AR140*(1+$D$471)^YEARFRAC(Closing_Date,AR5,1)+AR140,-SUM(AR469:AR470))</f>
        <v>-867354.32767329458</v>
      </c>
      <c r="AS471" s="570">
        <f ca="1">MAX(-AS140*(1+$D$471)^YEARFRAC(Closing_Date,AS5,1)+AS140,-SUM(AS469:AS470))</f>
        <v>-1303199.0739527522</v>
      </c>
      <c r="AT471" s="570">
        <f ca="1">MAX(-AT140*(1+$D$471)^YEARFRAC(Closing_Date,AT5,1)+AT140,-SUM(AT469:AT470))</f>
        <v>-1773938.5625481242</v>
      </c>
    </row>
    <row r="472" spans="2:47" x14ac:dyDescent="0.25">
      <c r="B472" s="670" t="s">
        <v>523</v>
      </c>
      <c r="C472" s="122"/>
      <c r="D472" s="733"/>
      <c r="E472" s="733"/>
      <c r="F472" s="733"/>
      <c r="G472" s="733"/>
      <c r="H472" s="124">
        <f ca="1">SUM(D473:D476)</f>
        <v>1</v>
      </c>
      <c r="I472" s="122" t="s">
        <v>524</v>
      </c>
      <c r="J472" s="683"/>
      <c r="K472" s="683"/>
      <c r="L472" s="683"/>
      <c r="M472" s="683"/>
      <c r="N472" s="683"/>
      <c r="O472" s="683"/>
      <c r="P472" s="683"/>
      <c r="Q472" s="683"/>
      <c r="R472" s="683"/>
      <c r="S472" s="125">
        <f>SUM(S469:S471)</f>
        <v>0</v>
      </c>
      <c r="T472" s="125">
        <f t="shared" ref="T472:AL472" si="830">SUM(T469:T471)</f>
        <v>0</v>
      </c>
      <c r="U472" s="125">
        <f t="shared" ca="1" si="830"/>
        <v>0</v>
      </c>
      <c r="V472" s="125">
        <f t="shared" ca="1" si="830"/>
        <v>2445637.7383097336</v>
      </c>
      <c r="W472" s="125">
        <f t="shared" ca="1" si="830"/>
        <v>2712731.2353777932</v>
      </c>
      <c r="X472" s="125">
        <f t="shared" ca="1" si="830"/>
        <v>3025993.4224933665</v>
      </c>
      <c r="Y472" s="125">
        <f t="shared" ca="1" si="830"/>
        <v>3414263.7068518577</v>
      </c>
      <c r="Z472" s="125">
        <f t="shared" ca="1" si="830"/>
        <v>3772265.0329984464</v>
      </c>
      <c r="AA472" s="125">
        <f t="shared" ca="1" si="830"/>
        <v>3994637.0588367777</v>
      </c>
      <c r="AB472" s="125">
        <f t="shared" ca="1" si="830"/>
        <v>4262728.9949402744</v>
      </c>
      <c r="AC472" s="125">
        <f t="shared" ca="1" si="830"/>
        <v>4623064.3500023242</v>
      </c>
      <c r="AD472" s="125">
        <f t="shared" ca="1" si="830"/>
        <v>4931333.4385607084</v>
      </c>
      <c r="AE472" s="125">
        <f t="shared" ca="1" si="830"/>
        <v>5037694.8789263172</v>
      </c>
      <c r="AF472" s="125">
        <f t="shared" ca="1" si="830"/>
        <v>5191226.9879143359</v>
      </c>
      <c r="AG472" s="125">
        <f t="shared" ca="1" si="830"/>
        <v>5420125.6436101114</v>
      </c>
      <c r="AH472" s="125">
        <f t="shared" ca="1" si="830"/>
        <v>5598724.0758392951</v>
      </c>
      <c r="AI472" s="125">
        <f t="shared" ca="1" si="830"/>
        <v>5586572.0961797778</v>
      </c>
      <c r="AJ472" s="125">
        <f t="shared" ca="1" si="830"/>
        <v>5621281.7583969617</v>
      </c>
      <c r="AK472" s="125">
        <f t="shared" ca="1" si="830"/>
        <v>5701303.2523278529</v>
      </c>
      <c r="AL472" s="125">
        <f t="shared" ca="1" si="830"/>
        <v>5747110.5878841607</v>
      </c>
      <c r="AM472" s="570"/>
      <c r="AN472" s="683"/>
      <c r="AO472" s="683"/>
      <c r="AP472" s="125">
        <f t="shared" ref="AP472" ca="1" si="831">SUM(AP469:AP471)</f>
        <v>2442947.6313552922</v>
      </c>
      <c r="AQ472" s="125">
        <f t="shared" ref="AQ472" ca="1" si="832">SUM(AQ469:AQ471)</f>
        <v>3737209.0245622527</v>
      </c>
      <c r="AR472" s="125">
        <f t="shared" ref="AR472" ca="1" si="833">SUM(AR469:AR471)</f>
        <v>4861646.3987004953</v>
      </c>
      <c r="AS472" s="125">
        <f t="shared" ref="AS472" ca="1" si="834">SUM(AS469:AS471)</f>
        <v>5494855.4597780285</v>
      </c>
      <c r="AT472" s="125">
        <f t="shared" ref="AT472" ca="1" si="835">SUM(AT469:AT471)</f>
        <v>5747110.5878841607</v>
      </c>
    </row>
    <row r="473" spans="2:47" x14ac:dyDescent="0.25">
      <c r="B473" s="98" t="s">
        <v>145</v>
      </c>
      <c r="D473" s="732">
        <f ca="1">+'Transaction Structure'!K62</f>
        <v>0.75326174896673137</v>
      </c>
      <c r="E473" s="1218"/>
      <c r="F473" s="1218"/>
      <c r="G473" s="1218"/>
      <c r="H473" s="73" t="s">
        <v>288</v>
      </c>
      <c r="J473" s="116"/>
      <c r="K473" s="116"/>
      <c r="L473" s="116"/>
      <c r="M473" s="116"/>
      <c r="N473" s="116"/>
      <c r="O473" s="116"/>
      <c r="P473" s="116"/>
      <c r="Q473" s="116"/>
      <c r="R473" s="116"/>
      <c r="S473" s="570">
        <f ca="1">+-S$472*$D473</f>
        <v>0</v>
      </c>
      <c r="T473" s="570">
        <f t="shared" ref="T473:AL476" ca="1" si="836">+-T$472*$D473</f>
        <v>0</v>
      </c>
      <c r="U473" s="570">
        <f t="shared" ca="1" si="836"/>
        <v>0</v>
      </c>
      <c r="V473" s="570">
        <f t="shared" ca="1" si="836"/>
        <v>-1842205.3600982311</v>
      </c>
      <c r="W473" s="570">
        <f t="shared" ca="1" si="836"/>
        <v>-2043396.6748373583</v>
      </c>
      <c r="X473" s="570">
        <f t="shared" ca="1" si="836"/>
        <v>-2279365.0977891786</v>
      </c>
      <c r="Y473" s="570">
        <f t="shared" ca="1" si="836"/>
        <v>-2571834.2512568659</v>
      </c>
      <c r="Z473" s="570">
        <f t="shared" ca="1" si="836"/>
        <v>-2841502.9563224544</v>
      </c>
      <c r="AA473" s="570">
        <f t="shared" ca="1" si="836"/>
        <v>-3009007.2974267108</v>
      </c>
      <c r="AB473" s="570">
        <f t="shared" ca="1" si="836"/>
        <v>-3210950.698099908</v>
      </c>
      <c r="AC473" s="570">
        <f t="shared" ca="1" si="836"/>
        <v>-3482377.537868496</v>
      </c>
      <c r="AD473" s="570">
        <f t="shared" ca="1" si="836"/>
        <v>-3714584.8506683647</v>
      </c>
      <c r="AE473" s="570">
        <f t="shared" ca="1" si="836"/>
        <v>-3794702.8552607838</v>
      </c>
      <c r="AF473" s="570">
        <f t="shared" ca="1" si="836"/>
        <v>-3910352.7201996497</v>
      </c>
      <c r="AG473" s="570">
        <f t="shared" ca="1" si="836"/>
        <v>-4082773.3219251833</v>
      </c>
      <c r="AH473" s="570">
        <f t="shared" ca="1" si="836"/>
        <v>-4217304.6893488541</v>
      </c>
      <c r="AI473" s="570">
        <f t="shared" ca="1" si="836"/>
        <v>-4208151.0678971177</v>
      </c>
      <c r="AJ473" s="570">
        <f t="shared" ca="1" si="836"/>
        <v>-4234296.5287648784</v>
      </c>
      <c r="AK473" s="570">
        <f t="shared" ca="1" si="836"/>
        <v>-4294573.6592381923</v>
      </c>
      <c r="AL473" s="570">
        <f t="shared" ca="1" si="836"/>
        <v>-4329078.5729348427</v>
      </c>
      <c r="AM473" s="570"/>
      <c r="AN473" s="116"/>
      <c r="AO473" s="116"/>
      <c r="AP473" s="570">
        <f t="shared" ref="AP473:AT476" ca="1" si="837">+-AP$472*$D473</f>
        <v>-1840179.0054288211</v>
      </c>
      <c r="AQ473" s="570">
        <f t="shared" ca="1" si="837"/>
        <v>-2815096.6060960144</v>
      </c>
      <c r="AR473" s="570">
        <f t="shared" ca="1" si="837"/>
        <v>-3662092.2691429462</v>
      </c>
      <c r="AS473" s="570">
        <f t="shared" ca="1" si="837"/>
        <v>-4139064.4339517904</v>
      </c>
      <c r="AT473" s="570">
        <f t="shared" ca="1" si="837"/>
        <v>-4329078.5729348427</v>
      </c>
    </row>
    <row r="474" spans="2:47" x14ac:dyDescent="0.25">
      <c r="B474" s="98" t="s">
        <v>144</v>
      </c>
      <c r="D474" s="732">
        <f ca="1">+'Transaction Structure'!K63</f>
        <v>0.17673825103326868</v>
      </c>
      <c r="E474" s="1218"/>
      <c r="F474" s="1218"/>
      <c r="G474" s="1218"/>
      <c r="H474" s="73" t="s">
        <v>288</v>
      </c>
      <c r="S474" s="570">
        <f ca="1">+-S$472*$D474</f>
        <v>0</v>
      </c>
      <c r="T474" s="570">
        <f t="shared" ca="1" si="836"/>
        <v>0</v>
      </c>
      <c r="U474" s="570">
        <f t="shared" ca="1" si="836"/>
        <v>0</v>
      </c>
      <c r="V474" s="570">
        <f t="shared" ca="1" si="836"/>
        <v>-432237.73652982112</v>
      </c>
      <c r="W474" s="570">
        <f t="shared" ca="1" si="836"/>
        <v>-479443.3740639895</v>
      </c>
      <c r="X474" s="570">
        <f t="shared" ca="1" si="836"/>
        <v>-534808.78512965248</v>
      </c>
      <c r="Y474" s="570">
        <f t="shared" ca="1" si="836"/>
        <v>-603430.99611536204</v>
      </c>
      <c r="Z474" s="570">
        <f t="shared" ca="1" si="836"/>
        <v>-666703.52436610102</v>
      </c>
      <c r="AA474" s="570">
        <f t="shared" ca="1" si="836"/>
        <v>-706005.16729149246</v>
      </c>
      <c r="AB474" s="570">
        <f t="shared" ca="1" si="836"/>
        <v>-753387.26719454734</v>
      </c>
      <c r="AC474" s="570">
        <f t="shared" ca="1" si="836"/>
        <v>-817072.30763366586</v>
      </c>
      <c r="AD474" s="570">
        <f t="shared" ca="1" si="836"/>
        <v>-871555.24719309446</v>
      </c>
      <c r="AE474" s="570">
        <f t="shared" ca="1" si="836"/>
        <v>-890353.38214069151</v>
      </c>
      <c r="AF474" s="570">
        <f t="shared" ca="1" si="836"/>
        <v>-917488.37856068311</v>
      </c>
      <c r="AG474" s="570">
        <f t="shared" ca="1" si="836"/>
        <v>-957943.52663222083</v>
      </c>
      <c r="AH474" s="570">
        <f t="shared" ca="1" si="836"/>
        <v>-989508.70118169056</v>
      </c>
      <c r="AI474" s="570">
        <f t="shared" ca="1" si="836"/>
        <v>-987360.98155007558</v>
      </c>
      <c r="AJ474" s="570">
        <f t="shared" ca="1" si="836"/>
        <v>-993495.50654429616</v>
      </c>
      <c r="AK474" s="570">
        <f t="shared" ca="1" si="836"/>
        <v>-1007638.3654267113</v>
      </c>
      <c r="AL474" s="570">
        <f t="shared" ca="1" si="836"/>
        <v>-1015734.2737974271</v>
      </c>
      <c r="AM474" s="570"/>
      <c r="AP474" s="570">
        <f t="shared" ca="1" si="837"/>
        <v>-431762.29173160071</v>
      </c>
      <c r="AQ474" s="570">
        <f t="shared" ca="1" si="837"/>
        <v>-660507.78674688062</v>
      </c>
      <c r="AR474" s="570">
        <f t="shared" ca="1" si="837"/>
        <v>-859238.88164851477</v>
      </c>
      <c r="AS474" s="570">
        <f t="shared" ca="1" si="837"/>
        <v>-971151.14364177617</v>
      </c>
      <c r="AT474" s="570">
        <f t="shared" ca="1" si="837"/>
        <v>-1015734.2737974271</v>
      </c>
    </row>
    <row r="475" spans="2:47" x14ac:dyDescent="0.25">
      <c r="B475" s="98" t="s">
        <v>153</v>
      </c>
      <c r="D475" s="732">
        <f>+'Transaction Structure'!K64</f>
        <v>0.05</v>
      </c>
      <c r="E475" s="1218"/>
      <c r="F475" s="1218"/>
      <c r="G475" s="1218"/>
      <c r="H475" s="73" t="s">
        <v>288</v>
      </c>
      <c r="J475" s="116"/>
      <c r="K475" s="116"/>
      <c r="L475" s="116"/>
      <c r="M475" s="116"/>
      <c r="N475" s="116"/>
      <c r="O475" s="116"/>
      <c r="P475" s="116"/>
      <c r="Q475" s="116"/>
      <c r="R475" s="116"/>
      <c r="S475" s="570">
        <f>+-S$472*$D475</f>
        <v>0</v>
      </c>
      <c r="T475" s="570">
        <f t="shared" ref="T475:AH475" si="838">+-T$472*$D475</f>
        <v>0</v>
      </c>
      <c r="U475" s="570">
        <f t="shared" ca="1" si="838"/>
        <v>0</v>
      </c>
      <c r="V475" s="570">
        <f t="shared" ca="1" si="838"/>
        <v>-122281.88691548668</v>
      </c>
      <c r="W475" s="570">
        <f t="shared" ca="1" si="838"/>
        <v>-135636.56176888966</v>
      </c>
      <c r="X475" s="570">
        <f t="shared" ca="1" si="838"/>
        <v>-151299.67112466833</v>
      </c>
      <c r="Y475" s="570">
        <f t="shared" ca="1" si="838"/>
        <v>-170713.18534259289</v>
      </c>
      <c r="Z475" s="570">
        <f t="shared" ca="1" si="838"/>
        <v>-188613.25164992234</v>
      </c>
      <c r="AA475" s="570">
        <f t="shared" ca="1" si="838"/>
        <v>-199731.85294183891</v>
      </c>
      <c r="AB475" s="570">
        <f t="shared" ca="1" si="838"/>
        <v>-213136.44974701374</v>
      </c>
      <c r="AC475" s="570">
        <f t="shared" ca="1" si="838"/>
        <v>-231153.21750011621</v>
      </c>
      <c r="AD475" s="570">
        <f t="shared" ca="1" si="838"/>
        <v>-246566.67192803544</v>
      </c>
      <c r="AE475" s="570">
        <f t="shared" ca="1" si="838"/>
        <v>-251884.74394631587</v>
      </c>
      <c r="AF475" s="570">
        <f t="shared" ca="1" si="838"/>
        <v>-259561.3493957168</v>
      </c>
      <c r="AG475" s="570">
        <f t="shared" ca="1" si="838"/>
        <v>-271006.28218050557</v>
      </c>
      <c r="AH475" s="570">
        <f t="shared" ca="1" si="838"/>
        <v>-279936.20379196474</v>
      </c>
      <c r="AI475" s="570">
        <f t="shared" ca="1" si="836"/>
        <v>-279328.60480898892</v>
      </c>
      <c r="AJ475" s="570">
        <f t="shared" ca="1" si="836"/>
        <v>-281064.0879198481</v>
      </c>
      <c r="AK475" s="570">
        <f t="shared" ca="1" si="836"/>
        <v>-285065.16261639266</v>
      </c>
      <c r="AL475" s="570">
        <f t="shared" ca="1" si="836"/>
        <v>-287355.52939420805</v>
      </c>
      <c r="AM475" s="570"/>
      <c r="AN475" s="116"/>
      <c r="AO475" s="116"/>
      <c r="AP475" s="570">
        <f t="shared" ca="1" si="837"/>
        <v>-122147.38156776462</v>
      </c>
      <c r="AQ475" s="570">
        <f t="shared" ca="1" si="837"/>
        <v>-186860.45122811265</v>
      </c>
      <c r="AR475" s="570">
        <f t="shared" ca="1" si="837"/>
        <v>-243082.31993502477</v>
      </c>
      <c r="AS475" s="570">
        <f t="shared" ca="1" si="837"/>
        <v>-274742.77298890142</v>
      </c>
      <c r="AT475" s="570">
        <f t="shared" ca="1" si="837"/>
        <v>-287355.52939420805</v>
      </c>
    </row>
    <row r="476" spans="2:47" x14ac:dyDescent="0.25">
      <c r="B476" s="98" t="s">
        <v>154</v>
      </c>
      <c r="D476" s="732">
        <f>+'Transaction Structure'!K65</f>
        <v>0.02</v>
      </c>
      <c r="E476" s="1218"/>
      <c r="F476" s="1218"/>
      <c r="G476" s="1218"/>
      <c r="H476" s="73" t="s">
        <v>288</v>
      </c>
      <c r="J476" s="116"/>
      <c r="K476" s="116"/>
      <c r="L476" s="116"/>
      <c r="M476" s="116"/>
      <c r="N476" s="116"/>
      <c r="O476" s="116"/>
      <c r="P476" s="116"/>
      <c r="Q476" s="116"/>
      <c r="R476" s="116"/>
      <c r="S476" s="570">
        <f>+-S$472*$D476</f>
        <v>0</v>
      </c>
      <c r="T476" s="570">
        <f t="shared" si="836"/>
        <v>0</v>
      </c>
      <c r="U476" s="570">
        <f t="shared" ca="1" si="836"/>
        <v>0</v>
      </c>
      <c r="V476" s="570">
        <f t="shared" ca="1" si="836"/>
        <v>-48912.754766194674</v>
      </c>
      <c r="W476" s="570">
        <f t="shared" ca="1" si="836"/>
        <v>-54254.624707555864</v>
      </c>
      <c r="X476" s="570">
        <f t="shared" ca="1" si="836"/>
        <v>-60519.868449867332</v>
      </c>
      <c r="Y476" s="570">
        <f t="shared" ca="1" si="836"/>
        <v>-68285.274137037151</v>
      </c>
      <c r="Z476" s="570">
        <f t="shared" ca="1" si="836"/>
        <v>-75445.300659968925</v>
      </c>
      <c r="AA476" s="570">
        <f t="shared" ca="1" si="836"/>
        <v>-79892.741176735552</v>
      </c>
      <c r="AB476" s="570">
        <f t="shared" ca="1" si="836"/>
        <v>-85254.579898805488</v>
      </c>
      <c r="AC476" s="570">
        <f t="shared" ca="1" si="836"/>
        <v>-92461.28700004649</v>
      </c>
      <c r="AD476" s="570">
        <f t="shared" ca="1" si="836"/>
        <v>-98626.668771214172</v>
      </c>
      <c r="AE476" s="570">
        <f t="shared" ca="1" si="836"/>
        <v>-100753.89757852635</v>
      </c>
      <c r="AF476" s="570">
        <f t="shared" ca="1" si="836"/>
        <v>-103824.53975828672</v>
      </c>
      <c r="AG476" s="570">
        <f t="shared" ca="1" si="836"/>
        <v>-108402.51287220223</v>
      </c>
      <c r="AH476" s="570">
        <f t="shared" ca="1" si="836"/>
        <v>-111974.48151678591</v>
      </c>
      <c r="AI476" s="570">
        <f t="shared" ca="1" si="836"/>
        <v>-111731.44192359556</v>
      </c>
      <c r="AJ476" s="570">
        <f t="shared" ca="1" si="836"/>
        <v>-112425.63516793924</v>
      </c>
      <c r="AK476" s="570">
        <f t="shared" ca="1" si="836"/>
        <v>-114026.06504655707</v>
      </c>
      <c r="AL476" s="570">
        <f t="shared" ca="1" si="836"/>
        <v>-114942.21175768321</v>
      </c>
      <c r="AM476" s="570"/>
      <c r="AN476" s="116"/>
      <c r="AO476" s="116"/>
      <c r="AP476" s="570">
        <f t="shared" ca="1" si="837"/>
        <v>-48858.952627105842</v>
      </c>
      <c r="AQ476" s="570">
        <f t="shared" ca="1" si="837"/>
        <v>-74744.180491245061</v>
      </c>
      <c r="AR476" s="570">
        <f t="shared" ca="1" si="837"/>
        <v>-97232.927974009901</v>
      </c>
      <c r="AS476" s="570">
        <f t="shared" ca="1" si="837"/>
        <v>-109897.10919556057</v>
      </c>
      <c r="AT476" s="570">
        <f t="shared" ca="1" si="837"/>
        <v>-114942.21175768321</v>
      </c>
    </row>
    <row r="477" spans="2:47" x14ac:dyDescent="0.25">
      <c r="B477" s="670" t="s">
        <v>525</v>
      </c>
      <c r="C477" s="122"/>
      <c r="D477" s="124"/>
      <c r="E477" s="124"/>
      <c r="F477" s="124"/>
      <c r="G477" s="124"/>
      <c r="H477" s="122"/>
      <c r="I477" s="122"/>
      <c r="J477" s="683"/>
      <c r="K477" s="683"/>
      <c r="L477" s="683"/>
      <c r="M477" s="683"/>
      <c r="N477" s="683"/>
      <c r="O477" s="683"/>
      <c r="P477" s="683"/>
      <c r="Q477" s="683"/>
      <c r="R477" s="683"/>
      <c r="S477" s="125">
        <f ca="1">ROUND(SUM(S472:S476),0)</f>
        <v>0</v>
      </c>
      <c r="T477" s="125">
        <f t="shared" ref="T477:AL477" ca="1" si="839">ROUND(SUM(T472:T476),0)</f>
        <v>0</v>
      </c>
      <c r="U477" s="125">
        <f t="shared" ca="1" si="839"/>
        <v>0</v>
      </c>
      <c r="V477" s="125">
        <f t="shared" ca="1" si="839"/>
        <v>0</v>
      </c>
      <c r="W477" s="125">
        <f t="shared" ca="1" si="839"/>
        <v>0</v>
      </c>
      <c r="X477" s="125">
        <f t="shared" ca="1" si="839"/>
        <v>0</v>
      </c>
      <c r="Y477" s="125">
        <f t="shared" ca="1" si="839"/>
        <v>0</v>
      </c>
      <c r="Z477" s="125">
        <f t="shared" ca="1" si="839"/>
        <v>0</v>
      </c>
      <c r="AA477" s="125">
        <f t="shared" ca="1" si="839"/>
        <v>0</v>
      </c>
      <c r="AB477" s="125">
        <f t="shared" ca="1" si="839"/>
        <v>0</v>
      </c>
      <c r="AC477" s="125">
        <f t="shared" ca="1" si="839"/>
        <v>0</v>
      </c>
      <c r="AD477" s="125">
        <f t="shared" ca="1" si="839"/>
        <v>0</v>
      </c>
      <c r="AE477" s="125">
        <f t="shared" ca="1" si="839"/>
        <v>0</v>
      </c>
      <c r="AF477" s="125">
        <f t="shared" ca="1" si="839"/>
        <v>0</v>
      </c>
      <c r="AG477" s="125">
        <f t="shared" ca="1" si="839"/>
        <v>0</v>
      </c>
      <c r="AH477" s="125">
        <f t="shared" ca="1" si="839"/>
        <v>0</v>
      </c>
      <c r="AI477" s="125">
        <f t="shared" ca="1" si="839"/>
        <v>0</v>
      </c>
      <c r="AJ477" s="125">
        <f t="shared" ca="1" si="839"/>
        <v>0</v>
      </c>
      <c r="AK477" s="125">
        <f t="shared" ca="1" si="839"/>
        <v>0</v>
      </c>
      <c r="AL477" s="125">
        <f t="shared" ca="1" si="839"/>
        <v>0</v>
      </c>
      <c r="AM477" s="570"/>
      <c r="AN477" s="683"/>
      <c r="AO477" s="683"/>
      <c r="AP477" s="125">
        <f t="shared" ref="AP477" ca="1" si="840">ROUND(SUM(AP472:AP476),0)</f>
        <v>0</v>
      </c>
      <c r="AQ477" s="125">
        <f t="shared" ref="AQ477" ca="1" si="841">ROUND(SUM(AQ472:AQ476),0)</f>
        <v>0</v>
      </c>
      <c r="AR477" s="125">
        <f t="shared" ref="AR477" ca="1" si="842">ROUND(SUM(AR472:AR476),0)</f>
        <v>0</v>
      </c>
      <c r="AS477" s="125">
        <f t="shared" ref="AS477" ca="1" si="843">ROUND(SUM(AS472:AS476),0)</f>
        <v>0</v>
      </c>
      <c r="AT477" s="125">
        <f t="shared" ref="AT477" ca="1" si="844">ROUND(SUM(AT472:AT476),0)</f>
        <v>0</v>
      </c>
    </row>
    <row r="478" spans="2:47" x14ac:dyDescent="0.25">
      <c r="S478" s="570"/>
      <c r="T478" s="570"/>
      <c r="U478" s="570"/>
      <c r="V478" s="570"/>
      <c r="W478" s="570"/>
      <c r="X478" s="570"/>
      <c r="Y478" s="570"/>
      <c r="Z478" s="570"/>
      <c r="AA478" s="570"/>
      <c r="AB478" s="570"/>
      <c r="AC478" s="570"/>
      <c r="AD478" s="570"/>
      <c r="AE478" s="570"/>
      <c r="AF478" s="570"/>
      <c r="AG478" s="570"/>
      <c r="AH478" s="570"/>
      <c r="AI478" s="570"/>
      <c r="AJ478" s="570"/>
      <c r="AK478" s="570"/>
      <c r="AL478" s="570"/>
      <c r="AM478" s="570"/>
      <c r="AP478" s="570"/>
      <c r="AQ478" s="570"/>
      <c r="AR478" s="570"/>
      <c r="AS478" s="570"/>
      <c r="AT478" s="570"/>
    </row>
    <row r="479" spans="2:47" x14ac:dyDescent="0.25">
      <c r="B479" s="754" t="s">
        <v>526</v>
      </c>
      <c r="C479" s="676"/>
      <c r="D479" s="676"/>
      <c r="E479" s="676"/>
      <c r="F479" s="676"/>
      <c r="G479" s="676"/>
      <c r="H479" s="676"/>
      <c r="I479" s="676"/>
      <c r="J479" s="676"/>
      <c r="K479" s="676"/>
      <c r="L479" s="676"/>
      <c r="M479" s="676"/>
      <c r="N479" s="676"/>
      <c r="O479" s="676"/>
      <c r="P479" s="676"/>
      <c r="Q479" s="676"/>
      <c r="R479" s="676"/>
      <c r="S479" s="676"/>
      <c r="T479" s="676"/>
      <c r="U479" s="676"/>
      <c r="V479" s="676"/>
      <c r="W479" s="676"/>
      <c r="X479" s="676"/>
      <c r="Y479" s="676"/>
      <c r="Z479" s="676"/>
      <c r="AA479" s="676"/>
      <c r="AB479" s="676"/>
      <c r="AC479" s="676"/>
      <c r="AD479" s="676"/>
      <c r="AE479" s="676"/>
      <c r="AF479" s="676"/>
      <c r="AG479" s="676"/>
      <c r="AH479" s="676"/>
      <c r="AI479" s="676"/>
      <c r="AJ479" s="676"/>
      <c r="AK479" s="676"/>
      <c r="AL479" s="676"/>
      <c r="AM479" s="570"/>
      <c r="AN479" s="676"/>
      <c r="AO479" s="676"/>
      <c r="AP479" s="676"/>
      <c r="AQ479" s="676"/>
      <c r="AR479" s="676"/>
      <c r="AS479" s="676"/>
      <c r="AT479" s="676"/>
    </row>
    <row r="480" spans="2:47" x14ac:dyDescent="0.25">
      <c r="B480" s="551" t="s">
        <v>527</v>
      </c>
      <c r="H480" s="73" t="s">
        <v>528</v>
      </c>
      <c r="J480" s="116"/>
      <c r="K480" s="116"/>
      <c r="L480" s="116"/>
      <c r="M480" s="116"/>
      <c r="N480" s="116"/>
      <c r="O480" s="116"/>
      <c r="P480" s="116"/>
      <c r="Q480" s="116"/>
      <c r="R480" s="116"/>
      <c r="S480" s="570">
        <f ca="1">-SUM(S470,S471,S473)</f>
        <v>0</v>
      </c>
      <c r="T480" s="570">
        <f t="shared" ref="T480:AL480" ca="1" si="845">-SUM(T470,T471,T473)</f>
        <v>0</v>
      </c>
      <c r="U480" s="570">
        <f t="shared" ca="1" si="845"/>
        <v>0</v>
      </c>
      <c r="V480" s="570">
        <f t="shared" ca="1" si="845"/>
        <v>6513620.2787933629</v>
      </c>
      <c r="W480" s="570">
        <f t="shared" ca="1" si="845"/>
        <v>6804808.0296103731</v>
      </c>
      <c r="X480" s="570">
        <f t="shared" ca="1" si="845"/>
        <v>7132763.9299565097</v>
      </c>
      <c r="Y480" s="570">
        <f t="shared" ca="1" si="845"/>
        <v>7520038.0805781987</v>
      </c>
      <c r="Z480" s="570">
        <f t="shared" ca="1" si="845"/>
        <v>7887028.3630911708</v>
      </c>
      <c r="AA480" s="570">
        <f t="shared" ca="1" si="845"/>
        <v>8151331.5605815668</v>
      </c>
      <c r="AB480" s="570">
        <f t="shared" ca="1" si="845"/>
        <v>8452804.4692521989</v>
      </c>
      <c r="AC480" s="570">
        <f t="shared" ca="1" si="845"/>
        <v>8826812.9462293815</v>
      </c>
      <c r="AD480" s="570">
        <f t="shared" ca="1" si="845"/>
        <v>9163609.3906762265</v>
      </c>
      <c r="AE480" s="570">
        <f t="shared" ca="1" si="845"/>
        <v>9348266.7851043232</v>
      </c>
      <c r="AF480" s="570">
        <f t="shared" ca="1" si="845"/>
        <v>9571430.4474929664</v>
      </c>
      <c r="AG480" s="570">
        <f t="shared" ca="1" si="845"/>
        <v>9854662.3060129452</v>
      </c>
      <c r="AH480" s="570">
        <f t="shared" ca="1" si="845"/>
        <v>10102173.975636173</v>
      </c>
      <c r="AI480" s="570">
        <f t="shared" ca="1" si="845"/>
        <v>10205905.293732673</v>
      </c>
      <c r="AJ480" s="570">
        <f t="shared" ca="1" si="845"/>
        <v>10348179.870323069</v>
      </c>
      <c r="AK480" s="570">
        <f t="shared" ca="1" si="845"/>
        <v>10528148.124520238</v>
      </c>
      <c r="AL480" s="570">
        <f t="shared" ca="1" si="845"/>
        <v>10684687.347817535</v>
      </c>
      <c r="AM480" s="570"/>
      <c r="AN480" s="116"/>
      <c r="AO480" s="116"/>
      <c r="AP480" s="570">
        <f t="shared" ref="AP480:AT480" ca="1" si="846">-SUM(AP470,AP471,AP473)</f>
        <v>6511593.9241239531</v>
      </c>
      <c r="AQ480" s="570">
        <f t="shared" ca="1" si="846"/>
        <v>7860622.0128647313</v>
      </c>
      <c r="AR480" s="570">
        <f t="shared" ca="1" si="846"/>
        <v>9111116.8091508076</v>
      </c>
      <c r="AS480" s="570">
        <f t="shared" ca="1" si="846"/>
        <v>10023933.72023911</v>
      </c>
      <c r="AT480" s="570">
        <f t="shared" ca="1" si="846"/>
        <v>10684687.347817535</v>
      </c>
    </row>
    <row r="481" spans="1:46" x14ac:dyDescent="0.25">
      <c r="B481" s="98" t="s">
        <v>521</v>
      </c>
      <c r="H481" s="73" t="s">
        <v>528</v>
      </c>
      <c r="J481" s="116"/>
      <c r="K481" s="116"/>
      <c r="L481" s="116"/>
      <c r="M481" s="116"/>
      <c r="N481" s="116"/>
      <c r="O481" s="116"/>
      <c r="P481" s="116"/>
      <c r="Q481" s="116"/>
      <c r="R481" s="116"/>
      <c r="S481" s="570">
        <f>+S470</f>
        <v>0</v>
      </c>
      <c r="T481" s="570">
        <f t="shared" ref="T481:AL481" si="847">+T470</f>
        <v>0</v>
      </c>
      <c r="U481" s="570">
        <f t="shared" ca="1" si="847"/>
        <v>0</v>
      </c>
      <c r="V481" s="570">
        <f t="shared" ca="1" si="847"/>
        <v>-4581670.2123345677</v>
      </c>
      <c r="W481" s="570">
        <f t="shared" ca="1" si="847"/>
        <v>-4581670.2123345677</v>
      </c>
      <c r="X481" s="570">
        <f t="shared" ca="1" si="847"/>
        <v>-4581670.2123345677</v>
      </c>
      <c r="Y481" s="570">
        <f t="shared" ca="1" si="847"/>
        <v>-4581670.2123345677</v>
      </c>
      <c r="Z481" s="570">
        <f t="shared" ca="1" si="847"/>
        <v>-4581670.2123345677</v>
      </c>
      <c r="AA481" s="570">
        <f t="shared" ca="1" si="847"/>
        <v>-4581670.2123345677</v>
      </c>
      <c r="AB481" s="570">
        <f t="shared" ca="1" si="847"/>
        <v>-4581670.2123345677</v>
      </c>
      <c r="AC481" s="570">
        <f t="shared" ca="1" si="847"/>
        <v>-4581670.2123345677</v>
      </c>
      <c r="AD481" s="570">
        <f t="shared" ca="1" si="847"/>
        <v>-4581670.2123345677</v>
      </c>
      <c r="AE481" s="570">
        <f t="shared" ca="1" si="847"/>
        <v>-4581670.2123345677</v>
      </c>
      <c r="AF481" s="570">
        <f t="shared" ca="1" si="847"/>
        <v>-4581670.2123345677</v>
      </c>
      <c r="AG481" s="570">
        <f t="shared" ca="1" si="847"/>
        <v>-4581670.2123345677</v>
      </c>
      <c r="AH481" s="570">
        <f t="shared" ca="1" si="847"/>
        <v>-4581670.2123345677</v>
      </c>
      <c r="AI481" s="570">
        <f t="shared" ca="1" si="847"/>
        <v>-4581670.2123345677</v>
      </c>
      <c r="AJ481" s="570">
        <f t="shared" ca="1" si="847"/>
        <v>-4581670.2123345677</v>
      </c>
      <c r="AK481" s="570">
        <f t="shared" ca="1" si="847"/>
        <v>-4581670.2123345677</v>
      </c>
      <c r="AL481" s="570">
        <f t="shared" ca="1" si="847"/>
        <v>-4581670.2123345677</v>
      </c>
      <c r="AM481" s="570"/>
      <c r="AN481" s="116"/>
      <c r="AO481" s="116"/>
      <c r="AP481" s="570">
        <f t="shared" ref="AP481:AT481" ca="1" si="848">+AP470</f>
        <v>-4581670.2123345677</v>
      </c>
      <c r="AQ481" s="570">
        <f t="shared" ca="1" si="848"/>
        <v>-4581670.2123345677</v>
      </c>
      <c r="AR481" s="570">
        <f t="shared" ca="1" si="848"/>
        <v>-4581670.2123345677</v>
      </c>
      <c r="AS481" s="570">
        <f t="shared" ca="1" si="848"/>
        <v>-4581670.2123345677</v>
      </c>
      <c r="AT481" s="570">
        <f t="shared" ca="1" si="848"/>
        <v>-4581670.2123345677</v>
      </c>
    </row>
    <row r="482" spans="1:46" x14ac:dyDescent="0.25">
      <c r="B482" s="98" t="s">
        <v>522</v>
      </c>
      <c r="H482" s="73" t="s">
        <v>528</v>
      </c>
      <c r="J482" s="116"/>
      <c r="K482" s="116"/>
      <c r="L482" s="116"/>
      <c r="M482" s="116"/>
      <c r="N482" s="116"/>
      <c r="O482" s="116"/>
      <c r="P482" s="116"/>
      <c r="Q482" s="116"/>
      <c r="R482" s="116"/>
      <c r="S482" s="570">
        <f>+S471</f>
        <v>0</v>
      </c>
      <c r="T482" s="570">
        <f t="shared" ref="T482:AL482" si="849">+T471</f>
        <v>0</v>
      </c>
      <c r="U482" s="570">
        <f t="shared" ca="1" si="849"/>
        <v>0</v>
      </c>
      <c r="V482" s="570">
        <f t="shared" ca="1" si="849"/>
        <v>-89744.706360564567</v>
      </c>
      <c r="W482" s="570">
        <f t="shared" ca="1" si="849"/>
        <v>-179741.1424384471</v>
      </c>
      <c r="X482" s="570">
        <f t="shared" ca="1" si="849"/>
        <v>-271728.61983276345</v>
      </c>
      <c r="Y482" s="570">
        <f t="shared" ca="1" si="849"/>
        <v>-366533.61698676553</v>
      </c>
      <c r="Z482" s="570">
        <f t="shared" ca="1" si="849"/>
        <v>-463855.19443414919</v>
      </c>
      <c r="AA482" s="570">
        <f t="shared" ca="1" si="849"/>
        <v>-560654.05082028825</v>
      </c>
      <c r="AB482" s="570">
        <f t="shared" ca="1" si="849"/>
        <v>-660183.55881772283</v>
      </c>
      <c r="AC482" s="570">
        <f t="shared" ca="1" si="849"/>
        <v>-762765.19602631778</v>
      </c>
      <c r="AD482" s="570">
        <f t="shared" ca="1" si="849"/>
        <v>-867354.32767329458</v>
      </c>
      <c r="AE482" s="570">
        <f t="shared" ca="1" si="849"/>
        <v>-971893.71750897262</v>
      </c>
      <c r="AF482" s="570">
        <f t="shared" ca="1" si="849"/>
        <v>-1079407.5149587495</v>
      </c>
      <c r="AG482" s="570">
        <f t="shared" ca="1" si="849"/>
        <v>-1190218.7717531947</v>
      </c>
      <c r="AH482" s="570">
        <f t="shared" ca="1" si="849"/>
        <v>-1303199.0739527522</v>
      </c>
      <c r="AI482" s="570">
        <f t="shared" ca="1" si="849"/>
        <v>-1416084.0135009866</v>
      </c>
      <c r="AJ482" s="570">
        <f t="shared" ca="1" si="849"/>
        <v>-1532213.1292236233</v>
      </c>
      <c r="AK482" s="570">
        <f t="shared" ca="1" si="849"/>
        <v>-1651904.2529474786</v>
      </c>
      <c r="AL482" s="570">
        <f t="shared" ca="1" si="849"/>
        <v>-1773938.5625481242</v>
      </c>
      <c r="AM482" s="570"/>
      <c r="AN482" s="116"/>
      <c r="AO482" s="116"/>
      <c r="AP482" s="570">
        <f t="shared" ref="AP482:AT482" ca="1" si="850">+AP471</f>
        <v>-89744.706360564567</v>
      </c>
      <c r="AQ482" s="570">
        <f t="shared" ca="1" si="850"/>
        <v>-463855.19443414919</v>
      </c>
      <c r="AR482" s="570">
        <f t="shared" ca="1" si="850"/>
        <v>-867354.32767329458</v>
      </c>
      <c r="AS482" s="570">
        <f t="shared" ca="1" si="850"/>
        <v>-1303199.0739527522</v>
      </c>
      <c r="AT482" s="570">
        <f t="shared" ca="1" si="850"/>
        <v>-1773938.5625481242</v>
      </c>
    </row>
    <row r="483" spans="1:46" x14ac:dyDescent="0.25">
      <c r="B483" s="98" t="s">
        <v>529</v>
      </c>
      <c r="D483" s="732">
        <f>+IF(D497=0,0,'Transaction Structure'!E62)</f>
        <v>0.2</v>
      </c>
      <c r="E483" s="1218"/>
      <c r="F483" s="1218"/>
      <c r="G483" s="1218"/>
      <c r="H483" s="73" t="s">
        <v>288</v>
      </c>
      <c r="S483" s="570">
        <f ca="1">+MAX(S482/(1-$D$483)-S482,-SUM(S480:S482))</f>
        <v>0</v>
      </c>
      <c r="T483" s="570">
        <f t="shared" ref="T483:AL483" ca="1" si="851">+MAX(T482/(1-$D$483)-T482,-SUM(T480:T482))</f>
        <v>0</v>
      </c>
      <c r="U483" s="570">
        <f t="shared" ca="1" si="851"/>
        <v>0</v>
      </c>
      <c r="V483" s="570">
        <f t="shared" ca="1" si="851"/>
        <v>-22436.176590141142</v>
      </c>
      <c r="W483" s="570">
        <f t="shared" ca="1" si="851"/>
        <v>-44935.285609611776</v>
      </c>
      <c r="X483" s="570">
        <f t="shared" ca="1" si="851"/>
        <v>-67932.154958190862</v>
      </c>
      <c r="Y483" s="570">
        <f t="shared" ca="1" si="851"/>
        <v>-91633.404246691382</v>
      </c>
      <c r="Z483" s="570">
        <f t="shared" ca="1" si="851"/>
        <v>-115963.7986085373</v>
      </c>
      <c r="AA483" s="570">
        <f t="shared" ca="1" si="851"/>
        <v>-140163.51270507206</v>
      </c>
      <c r="AB483" s="570">
        <f t="shared" ca="1" si="851"/>
        <v>-165045.88970443071</v>
      </c>
      <c r="AC483" s="570">
        <f t="shared" ca="1" si="851"/>
        <v>-190691.29900657944</v>
      </c>
      <c r="AD483" s="570">
        <f t="shared" ca="1" si="851"/>
        <v>-216838.58191832365</v>
      </c>
      <c r="AE483" s="570">
        <f t="shared" ca="1" si="851"/>
        <v>-242973.42937724316</v>
      </c>
      <c r="AF483" s="570">
        <f t="shared" ca="1" si="851"/>
        <v>-269851.87873968738</v>
      </c>
      <c r="AG483" s="570">
        <f t="shared" ca="1" si="851"/>
        <v>-297554.69293829869</v>
      </c>
      <c r="AH483" s="570">
        <f t="shared" ca="1" si="851"/>
        <v>-325799.76848818804</v>
      </c>
      <c r="AI483" s="570">
        <f t="shared" ca="1" si="851"/>
        <v>-354021.00337524666</v>
      </c>
      <c r="AJ483" s="570">
        <f t="shared" ca="1" si="851"/>
        <v>-383053.28230590583</v>
      </c>
      <c r="AK483" s="570">
        <f t="shared" ca="1" si="851"/>
        <v>-412976.06323686964</v>
      </c>
      <c r="AL483" s="570">
        <f t="shared" ca="1" si="851"/>
        <v>-443484.64063703083</v>
      </c>
      <c r="AM483" s="570"/>
      <c r="AP483" s="570">
        <f t="shared" ref="AP483" ca="1" si="852">+MAX(AP482/(1-$D$483)-AP482,-SUM(AP480:AP482))</f>
        <v>-22436.176590141142</v>
      </c>
      <c r="AQ483" s="570">
        <f t="shared" ref="AQ483" ca="1" si="853">+MAX(AQ482/(1-$D$483)-AQ482,-SUM(AQ480:AQ482))</f>
        <v>-115963.7986085373</v>
      </c>
      <c r="AR483" s="570">
        <f t="shared" ref="AR483" ca="1" si="854">+MAX(AR482/(1-$D$483)-AR482,-SUM(AR480:AR482))</f>
        <v>-216838.58191832365</v>
      </c>
      <c r="AS483" s="570">
        <f t="shared" ref="AS483" ca="1" si="855">+MAX(AS482/(1-$D$483)-AS482,-SUM(AS480:AS482))</f>
        <v>-325799.76848818804</v>
      </c>
      <c r="AT483" s="570">
        <f t="shared" ref="AT483" ca="1" si="856">+MAX(AT482/(1-$D$483)-AT482,-SUM(AT480:AT482))</f>
        <v>-443484.64063703083</v>
      </c>
    </row>
    <row r="484" spans="1:46" x14ac:dyDescent="0.25">
      <c r="B484" s="670" t="s">
        <v>530</v>
      </c>
      <c r="C484" s="122"/>
      <c r="D484" s="122"/>
      <c r="E484" s="122"/>
      <c r="F484" s="122"/>
      <c r="G484" s="122"/>
      <c r="H484" s="122"/>
      <c r="I484" s="122"/>
      <c r="J484" s="683"/>
      <c r="K484" s="683"/>
      <c r="L484" s="683"/>
      <c r="M484" s="683"/>
      <c r="N484" s="683"/>
      <c r="O484" s="683"/>
      <c r="P484" s="683"/>
      <c r="Q484" s="683"/>
      <c r="R484" s="683"/>
      <c r="S484" s="125">
        <f ca="1">SUM(S480:S483)</f>
        <v>0</v>
      </c>
      <c r="T484" s="125">
        <f t="shared" ref="T484:AL484" ca="1" si="857">SUM(T480:T483)</f>
        <v>0</v>
      </c>
      <c r="U484" s="125">
        <f t="shared" ca="1" si="857"/>
        <v>0</v>
      </c>
      <c r="V484" s="125">
        <f t="shared" ca="1" si="857"/>
        <v>1819769.1835080895</v>
      </c>
      <c r="W484" s="125">
        <f t="shared" ca="1" si="857"/>
        <v>1998461.3892277465</v>
      </c>
      <c r="X484" s="125">
        <f t="shared" ca="1" si="857"/>
        <v>2211432.9428309877</v>
      </c>
      <c r="Y484" s="125">
        <f t="shared" ca="1" si="857"/>
        <v>2480200.8470101738</v>
      </c>
      <c r="Z484" s="125">
        <f t="shared" ca="1" si="857"/>
        <v>2725539.1577139166</v>
      </c>
      <c r="AA484" s="125">
        <f t="shared" ca="1" si="857"/>
        <v>2868843.784721639</v>
      </c>
      <c r="AB484" s="125">
        <f t="shared" ca="1" si="857"/>
        <v>3045904.8083954779</v>
      </c>
      <c r="AC484" s="125">
        <f t="shared" ca="1" si="857"/>
        <v>3291686.2388619166</v>
      </c>
      <c r="AD484" s="125">
        <f t="shared" ca="1" si="857"/>
        <v>3497746.2687500408</v>
      </c>
      <c r="AE484" s="125">
        <f t="shared" ca="1" si="857"/>
        <v>3551729.42588354</v>
      </c>
      <c r="AF484" s="125">
        <f t="shared" ca="1" si="857"/>
        <v>3640500.8414599616</v>
      </c>
      <c r="AG484" s="125">
        <f t="shared" ca="1" si="857"/>
        <v>3785218.6289868839</v>
      </c>
      <c r="AH484" s="125">
        <f t="shared" ca="1" si="857"/>
        <v>3891504.9208606649</v>
      </c>
      <c r="AI484" s="125">
        <f t="shared" ca="1" si="857"/>
        <v>3854130.064521872</v>
      </c>
      <c r="AJ484" s="125">
        <f t="shared" ca="1" si="857"/>
        <v>3851243.2464589728</v>
      </c>
      <c r="AK484" s="125">
        <f t="shared" ca="1" si="857"/>
        <v>3881597.5960013224</v>
      </c>
      <c r="AL484" s="125">
        <f t="shared" ca="1" si="857"/>
        <v>3885593.9322978118</v>
      </c>
      <c r="AM484" s="570"/>
      <c r="AN484" s="683"/>
      <c r="AO484" s="683"/>
      <c r="AP484" s="125">
        <f t="shared" ref="AP484" ca="1" si="858">SUM(AP480:AP483)</f>
        <v>1817742.8288386797</v>
      </c>
      <c r="AQ484" s="125">
        <f t="shared" ref="AQ484" ca="1" si="859">SUM(AQ480:AQ483)</f>
        <v>2699132.8074874771</v>
      </c>
      <c r="AR484" s="125">
        <f t="shared" ref="AR484" ca="1" si="860">SUM(AR480:AR483)</f>
        <v>3445253.6872246219</v>
      </c>
      <c r="AS484" s="125">
        <f t="shared" ref="AS484" ca="1" si="861">SUM(AS480:AS483)</f>
        <v>3813264.6654636022</v>
      </c>
      <c r="AT484" s="125">
        <f t="shared" ref="AT484" ca="1" si="862">SUM(AT480:AT483)</f>
        <v>3885593.9322978118</v>
      </c>
    </row>
    <row r="485" spans="1:46" x14ac:dyDescent="0.25">
      <c r="B485" s="98" t="s">
        <v>531</v>
      </c>
      <c r="D485" s="734">
        <f>1-D486</f>
        <v>0.8</v>
      </c>
      <c r="E485" s="1219"/>
      <c r="F485" s="1219"/>
      <c r="G485" s="1219"/>
      <c r="H485" s="73" t="s">
        <v>532</v>
      </c>
      <c r="J485" s="116"/>
      <c r="K485" s="116"/>
      <c r="L485" s="116"/>
      <c r="M485" s="116"/>
      <c r="N485" s="116"/>
      <c r="O485" s="116"/>
      <c r="P485" s="116"/>
      <c r="Q485" s="116"/>
      <c r="R485" s="116"/>
      <c r="S485" s="570">
        <f ca="1">+-S$484*$D485</f>
        <v>0</v>
      </c>
      <c r="T485" s="570">
        <f t="shared" ref="T485:AL486" ca="1" si="863">+-T$484*$D485</f>
        <v>0</v>
      </c>
      <c r="U485" s="570">
        <f t="shared" ca="1" si="863"/>
        <v>0</v>
      </c>
      <c r="V485" s="570">
        <f t="shared" ca="1" si="863"/>
        <v>-1455815.3468064717</v>
      </c>
      <c r="W485" s="570">
        <f t="shared" ca="1" si="863"/>
        <v>-1598769.1113821974</v>
      </c>
      <c r="X485" s="570">
        <f t="shared" ca="1" si="863"/>
        <v>-1769146.3542647902</v>
      </c>
      <c r="Y485" s="570">
        <f t="shared" ca="1" si="863"/>
        <v>-1984160.6776081391</v>
      </c>
      <c r="Z485" s="570">
        <f t="shared" ca="1" si="863"/>
        <v>-2180431.3261711332</v>
      </c>
      <c r="AA485" s="570">
        <f t="shared" ca="1" si="863"/>
        <v>-2295075.0277773114</v>
      </c>
      <c r="AB485" s="570">
        <f t="shared" ca="1" si="863"/>
        <v>-2436723.8467163825</v>
      </c>
      <c r="AC485" s="570">
        <f t="shared" ca="1" si="863"/>
        <v>-2633348.9910895335</v>
      </c>
      <c r="AD485" s="570">
        <f t="shared" ca="1" si="863"/>
        <v>-2798197.0150000327</v>
      </c>
      <c r="AE485" s="570">
        <f t="shared" ca="1" si="863"/>
        <v>-2841383.540706832</v>
      </c>
      <c r="AF485" s="570">
        <f t="shared" ca="1" si="863"/>
        <v>-2912400.6731679696</v>
      </c>
      <c r="AG485" s="570">
        <f t="shared" ca="1" si="863"/>
        <v>-3028174.9031895073</v>
      </c>
      <c r="AH485" s="570">
        <f t="shared" ca="1" si="863"/>
        <v>-3113203.9366885321</v>
      </c>
      <c r="AI485" s="570">
        <f t="shared" ca="1" si="863"/>
        <v>-3083304.0516174976</v>
      </c>
      <c r="AJ485" s="570">
        <f t="shared" ca="1" si="863"/>
        <v>-3080994.5971671785</v>
      </c>
      <c r="AK485" s="570">
        <f t="shared" ca="1" si="863"/>
        <v>-3105278.0768010579</v>
      </c>
      <c r="AL485" s="570">
        <f t="shared" ca="1" si="863"/>
        <v>-3108475.1458382495</v>
      </c>
      <c r="AM485" s="570"/>
      <c r="AN485" s="116"/>
      <c r="AO485" s="116"/>
      <c r="AP485" s="570">
        <f t="shared" ref="AP485:AT486" ca="1" si="864">+-AP$484*$D485</f>
        <v>-1454194.2630709438</v>
      </c>
      <c r="AQ485" s="570">
        <f t="shared" ca="1" si="864"/>
        <v>-2159306.2459899816</v>
      </c>
      <c r="AR485" s="570">
        <f t="shared" ca="1" si="864"/>
        <v>-2756202.9497796977</v>
      </c>
      <c r="AS485" s="570">
        <f t="shared" ca="1" si="864"/>
        <v>-3050611.7323708818</v>
      </c>
      <c r="AT485" s="570">
        <f t="shared" ca="1" si="864"/>
        <v>-3108475.1458382495</v>
      </c>
    </row>
    <row r="486" spans="1:46" x14ac:dyDescent="0.25">
      <c r="B486" s="98" t="s">
        <v>533</v>
      </c>
      <c r="D486" s="732">
        <f>+IF(D497=0,0,'Transaction Structure'!F62)</f>
        <v>0.2</v>
      </c>
      <c r="E486" s="1218"/>
      <c r="F486" s="1218"/>
      <c r="G486" s="1218"/>
      <c r="H486" s="73" t="s">
        <v>288</v>
      </c>
      <c r="S486" s="570">
        <f ca="1">+-S$484*$D486</f>
        <v>0</v>
      </c>
      <c r="T486" s="570">
        <f t="shared" ca="1" si="863"/>
        <v>0</v>
      </c>
      <c r="U486" s="570">
        <f t="shared" ca="1" si="863"/>
        <v>0</v>
      </c>
      <c r="V486" s="570">
        <f t="shared" ca="1" si="863"/>
        <v>-363953.83670161793</v>
      </c>
      <c r="W486" s="570">
        <f t="shared" ca="1" si="863"/>
        <v>-399692.27784554934</v>
      </c>
      <c r="X486" s="570">
        <f t="shared" ca="1" si="863"/>
        <v>-442286.58856619755</v>
      </c>
      <c r="Y486" s="570">
        <f t="shared" ca="1" si="863"/>
        <v>-496040.16940203478</v>
      </c>
      <c r="Z486" s="570">
        <f t="shared" ca="1" si="863"/>
        <v>-545107.8315427833</v>
      </c>
      <c r="AA486" s="570">
        <f t="shared" ca="1" si="863"/>
        <v>-573768.75694432785</v>
      </c>
      <c r="AB486" s="570">
        <f t="shared" ca="1" si="863"/>
        <v>-609180.96167909564</v>
      </c>
      <c r="AC486" s="570">
        <f t="shared" ca="1" si="863"/>
        <v>-658337.24777238339</v>
      </c>
      <c r="AD486" s="570">
        <f t="shared" ca="1" si="863"/>
        <v>-699549.25375000818</v>
      </c>
      <c r="AE486" s="570">
        <f t="shared" ca="1" si="863"/>
        <v>-710345.88517670799</v>
      </c>
      <c r="AF486" s="570">
        <f t="shared" ca="1" si="863"/>
        <v>-728100.16829199239</v>
      </c>
      <c r="AG486" s="570">
        <f t="shared" ca="1" si="863"/>
        <v>-757043.72579737683</v>
      </c>
      <c r="AH486" s="570">
        <f t="shared" ca="1" si="863"/>
        <v>-778300.98417213303</v>
      </c>
      <c r="AI486" s="570">
        <f t="shared" ca="1" si="863"/>
        <v>-770826.01290437439</v>
      </c>
      <c r="AJ486" s="570">
        <f t="shared" ca="1" si="863"/>
        <v>-770248.64929179463</v>
      </c>
      <c r="AK486" s="570">
        <f t="shared" ca="1" si="863"/>
        <v>-776319.51920026448</v>
      </c>
      <c r="AL486" s="570">
        <f t="shared" ca="1" si="863"/>
        <v>-777118.78645956237</v>
      </c>
      <c r="AM486" s="570"/>
      <c r="AP486" s="570">
        <f t="shared" ca="1" si="864"/>
        <v>-363548.56576773594</v>
      </c>
      <c r="AQ486" s="570">
        <f t="shared" ca="1" si="864"/>
        <v>-539826.56149749539</v>
      </c>
      <c r="AR486" s="570">
        <f t="shared" ca="1" si="864"/>
        <v>-689050.73744492442</v>
      </c>
      <c r="AS486" s="570">
        <f t="shared" ca="1" si="864"/>
        <v>-762652.93309272046</v>
      </c>
      <c r="AT486" s="570">
        <f t="shared" ca="1" si="864"/>
        <v>-777118.78645956237</v>
      </c>
    </row>
    <row r="487" spans="1:46" x14ac:dyDescent="0.25">
      <c r="B487" s="670" t="s">
        <v>525</v>
      </c>
      <c r="C487" s="122"/>
      <c r="D487" s="122"/>
      <c r="E487" s="122"/>
      <c r="F487" s="122"/>
      <c r="G487" s="122"/>
      <c r="H487" s="122"/>
      <c r="I487" s="122"/>
      <c r="J487" s="683"/>
      <c r="K487" s="683"/>
      <c r="L487" s="683"/>
      <c r="M487" s="683"/>
      <c r="N487" s="683"/>
      <c r="O487" s="683"/>
      <c r="P487" s="683"/>
      <c r="Q487" s="683"/>
      <c r="R487" s="683"/>
      <c r="S487" s="125">
        <f ca="1">SUM(S484:S486)</f>
        <v>0</v>
      </c>
      <c r="T487" s="125">
        <f t="shared" ref="T487:AL487" ca="1" si="865">SUM(T484:T486)</f>
        <v>0</v>
      </c>
      <c r="U487" s="125">
        <f t="shared" ca="1" si="865"/>
        <v>0</v>
      </c>
      <c r="V487" s="125">
        <f t="shared" ca="1" si="865"/>
        <v>0</v>
      </c>
      <c r="W487" s="125">
        <f t="shared" ca="1" si="865"/>
        <v>0</v>
      </c>
      <c r="X487" s="125">
        <f t="shared" ca="1" si="865"/>
        <v>0</v>
      </c>
      <c r="Y487" s="125">
        <f t="shared" ca="1" si="865"/>
        <v>0</v>
      </c>
      <c r="Z487" s="125">
        <f t="shared" ca="1" si="865"/>
        <v>0</v>
      </c>
      <c r="AA487" s="125">
        <f t="shared" ca="1" si="865"/>
        <v>0</v>
      </c>
      <c r="AB487" s="125">
        <f t="shared" ca="1" si="865"/>
        <v>0</v>
      </c>
      <c r="AC487" s="125">
        <f t="shared" ca="1" si="865"/>
        <v>0</v>
      </c>
      <c r="AD487" s="125">
        <f t="shared" ca="1" si="865"/>
        <v>0</v>
      </c>
      <c r="AE487" s="125">
        <f t="shared" ca="1" si="865"/>
        <v>0</v>
      </c>
      <c r="AF487" s="125">
        <f t="shared" ca="1" si="865"/>
        <v>0</v>
      </c>
      <c r="AG487" s="125">
        <f t="shared" ca="1" si="865"/>
        <v>0</v>
      </c>
      <c r="AH487" s="125">
        <f t="shared" ca="1" si="865"/>
        <v>0</v>
      </c>
      <c r="AI487" s="125">
        <f t="shared" ca="1" si="865"/>
        <v>0</v>
      </c>
      <c r="AJ487" s="125">
        <f t="shared" ca="1" si="865"/>
        <v>0</v>
      </c>
      <c r="AK487" s="125">
        <f t="shared" ca="1" si="865"/>
        <v>0</v>
      </c>
      <c r="AL487" s="125">
        <f t="shared" ca="1" si="865"/>
        <v>0</v>
      </c>
      <c r="AM487" s="570"/>
      <c r="AN487" s="683"/>
      <c r="AO487" s="683"/>
      <c r="AP487" s="125">
        <f t="shared" ref="AP487" ca="1" si="866">SUM(AP484:AP486)</f>
        <v>0</v>
      </c>
      <c r="AQ487" s="125">
        <f t="shared" ref="AQ487" ca="1" si="867">SUM(AQ484:AQ486)</f>
        <v>0</v>
      </c>
      <c r="AR487" s="125">
        <f t="shared" ref="AR487" ca="1" si="868">SUM(AR484:AR486)</f>
        <v>0</v>
      </c>
      <c r="AS487" s="125">
        <f t="shared" ref="AS487" ca="1" si="869">SUM(AS484:AS486)</f>
        <v>0</v>
      </c>
      <c r="AT487" s="125">
        <f t="shared" ref="AT487" ca="1" si="870">SUM(AT484:AT486)</f>
        <v>0</v>
      </c>
    </row>
    <row r="488" spans="1:46" x14ac:dyDescent="0.25">
      <c r="S488" s="570"/>
      <c r="T488" s="570"/>
      <c r="U488" s="570"/>
      <c r="V488" s="570"/>
      <c r="W488" s="570"/>
      <c r="X488" s="570"/>
      <c r="Y488" s="570"/>
      <c r="Z488" s="570"/>
      <c r="AA488" s="570"/>
      <c r="AB488" s="570"/>
      <c r="AC488" s="570"/>
      <c r="AD488" s="570"/>
      <c r="AE488" s="570"/>
      <c r="AF488" s="570"/>
      <c r="AG488" s="570"/>
      <c r="AH488" s="570"/>
      <c r="AI488" s="570"/>
      <c r="AJ488" s="570"/>
      <c r="AK488" s="570"/>
      <c r="AL488" s="570"/>
      <c r="AM488" s="570"/>
      <c r="AP488" s="570"/>
      <c r="AQ488" s="570"/>
      <c r="AR488" s="570"/>
      <c r="AS488" s="570"/>
      <c r="AT488" s="570"/>
    </row>
    <row r="489" spans="1:46" x14ac:dyDescent="0.25">
      <c r="B489" s="754" t="s">
        <v>534</v>
      </c>
      <c r="C489" s="676"/>
      <c r="D489" s="676"/>
      <c r="E489" s="676"/>
      <c r="F489" s="676"/>
      <c r="G489" s="676"/>
      <c r="H489" s="676"/>
      <c r="I489" s="676"/>
      <c r="J489" s="676"/>
      <c r="K489" s="676"/>
      <c r="L489" s="676"/>
      <c r="M489" s="676"/>
      <c r="N489" s="676"/>
      <c r="O489" s="676"/>
      <c r="P489" s="676"/>
      <c r="Q489" s="676"/>
      <c r="R489" s="676"/>
      <c r="S489" s="676"/>
      <c r="T489" s="676"/>
      <c r="U489" s="676"/>
      <c r="V489" s="676"/>
      <c r="W489" s="676"/>
      <c r="X489" s="676"/>
      <c r="Y489" s="676"/>
      <c r="Z489" s="676"/>
      <c r="AA489" s="676"/>
      <c r="AB489" s="676"/>
      <c r="AC489" s="676"/>
      <c r="AD489" s="676"/>
      <c r="AE489" s="676"/>
      <c r="AF489" s="676"/>
      <c r="AG489" s="676"/>
      <c r="AH489" s="676"/>
      <c r="AI489" s="676"/>
      <c r="AJ489" s="676"/>
      <c r="AK489" s="676"/>
      <c r="AL489" s="676"/>
      <c r="AM489" s="570"/>
      <c r="AN489" s="676"/>
      <c r="AO489" s="676"/>
      <c r="AP489" s="676"/>
      <c r="AQ489" s="676"/>
      <c r="AR489" s="676"/>
      <c r="AS489" s="676"/>
      <c r="AT489" s="676"/>
    </row>
    <row r="490" spans="1:46" x14ac:dyDescent="0.25">
      <c r="A490" s="69" t="s">
        <v>207</v>
      </c>
      <c r="B490" s="551" t="s">
        <v>38</v>
      </c>
      <c r="H490" s="73" t="s">
        <v>535</v>
      </c>
      <c r="J490" s="116"/>
      <c r="K490" s="116"/>
      <c r="L490" s="116"/>
      <c r="M490" s="116"/>
      <c r="N490" s="116"/>
      <c r="O490" s="116"/>
      <c r="P490" s="116"/>
      <c r="Q490" s="116"/>
      <c r="R490" s="116"/>
      <c r="S490" s="570">
        <f ca="1">-SUM(S481:S482,S485)</f>
        <v>0</v>
      </c>
      <c r="T490" s="570">
        <f t="shared" ref="T490:U490" ca="1" si="871">-SUM(T481:T482,T485)</f>
        <v>0</v>
      </c>
      <c r="U490" s="570">
        <f t="shared" ca="1" si="871"/>
        <v>0</v>
      </c>
      <c r="V490" s="570">
        <f t="shared" ref="V490:AL490" ca="1" si="872">-SUM(V481:V482,V485)</f>
        <v>6127230.2655016035</v>
      </c>
      <c r="W490" s="570">
        <f t="shared" ca="1" si="872"/>
        <v>6360180.4661552124</v>
      </c>
      <c r="X490" s="570">
        <f t="shared" ca="1" si="872"/>
        <v>6622545.1864321213</v>
      </c>
      <c r="Y490" s="570">
        <f t="shared" ca="1" si="872"/>
        <v>6932364.5069294721</v>
      </c>
      <c r="Z490" s="570">
        <f t="shared" ca="1" si="872"/>
        <v>7225956.7329398505</v>
      </c>
      <c r="AA490" s="570">
        <f t="shared" ca="1" si="872"/>
        <v>7437399.2909321673</v>
      </c>
      <c r="AB490" s="570">
        <f t="shared" ca="1" si="872"/>
        <v>7678577.6178686731</v>
      </c>
      <c r="AC490" s="570">
        <f t="shared" ca="1" si="872"/>
        <v>7977784.3994504195</v>
      </c>
      <c r="AD490" s="570">
        <f t="shared" ca="1" si="872"/>
        <v>8247221.5550078955</v>
      </c>
      <c r="AE490" s="570">
        <f t="shared" ca="1" si="872"/>
        <v>8394947.4705503732</v>
      </c>
      <c r="AF490" s="570">
        <f t="shared" ca="1" si="872"/>
        <v>8573478.4004612863</v>
      </c>
      <c r="AG490" s="570">
        <f t="shared" ca="1" si="872"/>
        <v>8800063.8872772697</v>
      </c>
      <c r="AH490" s="570">
        <f t="shared" ca="1" si="872"/>
        <v>8998073.222975852</v>
      </c>
      <c r="AI490" s="570">
        <f t="shared" ca="1" si="872"/>
        <v>9081058.2774530519</v>
      </c>
      <c r="AJ490" s="570">
        <f t="shared" ca="1" si="872"/>
        <v>9194877.9387253691</v>
      </c>
      <c r="AK490" s="570">
        <f t="shared" ca="1" si="872"/>
        <v>9338852.5420831032</v>
      </c>
      <c r="AL490" s="570">
        <f t="shared" ca="1" si="872"/>
        <v>9464083.9207209423</v>
      </c>
      <c r="AM490" s="570"/>
      <c r="AN490" s="116"/>
      <c r="AO490" s="116"/>
      <c r="AP490" s="570">
        <f t="shared" ref="AP490:AT490" ca="1" si="873">-SUM(AP481:AP482,AP485)</f>
        <v>6125609.181766076</v>
      </c>
      <c r="AQ490" s="570">
        <f t="shared" ca="1" si="873"/>
        <v>7204831.6527586989</v>
      </c>
      <c r="AR490" s="570">
        <f t="shared" ca="1" si="873"/>
        <v>8205227.48978756</v>
      </c>
      <c r="AS490" s="570">
        <f t="shared" ca="1" si="873"/>
        <v>8935481.0186582021</v>
      </c>
      <c r="AT490" s="570">
        <f t="shared" ca="1" si="873"/>
        <v>9464083.9207209423</v>
      </c>
    </row>
    <row r="491" spans="1:46" x14ac:dyDescent="0.25">
      <c r="B491" s="551" t="s">
        <v>39</v>
      </c>
      <c r="D491" s="735">
        <f ca="1">+'Transaction Structure'!J115</f>
        <v>4581670.2123345677</v>
      </c>
      <c r="E491" s="1220"/>
      <c r="F491" s="1220"/>
      <c r="G491" s="1220"/>
      <c r="H491" s="73" t="s">
        <v>288</v>
      </c>
      <c r="J491" s="116"/>
      <c r="K491" s="116"/>
      <c r="L491" s="116"/>
      <c r="M491" s="116"/>
      <c r="N491" s="116"/>
      <c r="O491" s="116"/>
      <c r="P491" s="116"/>
      <c r="Q491" s="116"/>
      <c r="R491" s="116"/>
      <c r="S491" s="570">
        <f t="shared" ref="S491:AL491" si="874">+IF(S$5&lt;=Closing_Date,0,$D$491)</f>
        <v>0</v>
      </c>
      <c r="T491" s="570">
        <f t="shared" si="874"/>
        <v>0</v>
      </c>
      <c r="U491" s="570">
        <f t="shared" si="874"/>
        <v>0</v>
      </c>
      <c r="V491" s="570">
        <f t="shared" ca="1" si="874"/>
        <v>4581670.2123345677</v>
      </c>
      <c r="W491" s="570">
        <f t="shared" ca="1" si="874"/>
        <v>4581670.2123345677</v>
      </c>
      <c r="X491" s="570">
        <f t="shared" ca="1" si="874"/>
        <v>4581670.2123345677</v>
      </c>
      <c r="Y491" s="570">
        <f t="shared" ca="1" si="874"/>
        <v>4581670.2123345677</v>
      </c>
      <c r="Z491" s="570">
        <f t="shared" ca="1" si="874"/>
        <v>4581670.2123345677</v>
      </c>
      <c r="AA491" s="570">
        <f t="shared" ca="1" si="874"/>
        <v>4581670.2123345677</v>
      </c>
      <c r="AB491" s="570">
        <f t="shared" ca="1" si="874"/>
        <v>4581670.2123345677</v>
      </c>
      <c r="AC491" s="570">
        <f t="shared" ca="1" si="874"/>
        <v>4581670.2123345677</v>
      </c>
      <c r="AD491" s="570">
        <f t="shared" ca="1" si="874"/>
        <v>4581670.2123345677</v>
      </c>
      <c r="AE491" s="570">
        <f t="shared" ca="1" si="874"/>
        <v>4581670.2123345677</v>
      </c>
      <c r="AF491" s="570">
        <f t="shared" ca="1" si="874"/>
        <v>4581670.2123345677</v>
      </c>
      <c r="AG491" s="570">
        <f t="shared" ca="1" si="874"/>
        <v>4581670.2123345677</v>
      </c>
      <c r="AH491" s="570">
        <f t="shared" ca="1" si="874"/>
        <v>4581670.2123345677</v>
      </c>
      <c r="AI491" s="570">
        <f t="shared" ca="1" si="874"/>
        <v>4581670.2123345677</v>
      </c>
      <c r="AJ491" s="570">
        <f t="shared" ca="1" si="874"/>
        <v>4581670.2123345677</v>
      </c>
      <c r="AK491" s="570">
        <f t="shared" ca="1" si="874"/>
        <v>4581670.2123345677</v>
      </c>
      <c r="AL491" s="570">
        <f t="shared" ca="1" si="874"/>
        <v>4581670.2123345677</v>
      </c>
      <c r="AM491" s="570"/>
      <c r="AN491" s="116"/>
      <c r="AO491" s="116"/>
      <c r="AP491" s="570">
        <f ca="1">+IF(AP$5=Closing_Date,0,$D$491)</f>
        <v>4581670.2123345677</v>
      </c>
      <c r="AQ491" s="570">
        <f ca="1">+IF(AQ$5=Closing_Date,0,$D$491)</f>
        <v>4581670.2123345677</v>
      </c>
      <c r="AR491" s="570">
        <f ca="1">+IF(AR$5=Closing_Date,0,$D$491)</f>
        <v>4581670.2123345677</v>
      </c>
      <c r="AS491" s="570">
        <f ca="1">+IF(AS$5=Closing_Date,0,$D$491)</f>
        <v>4581670.2123345677</v>
      </c>
      <c r="AT491" s="570">
        <f ca="1">+IF(AT$5=Closing_Date,0,$D$491)</f>
        <v>4581670.2123345677</v>
      </c>
    </row>
    <row r="492" spans="1:46" x14ac:dyDescent="0.25">
      <c r="B492" s="758" t="s">
        <v>536</v>
      </c>
      <c r="C492" s="719"/>
      <c r="D492" s="719"/>
      <c r="E492" s="719"/>
      <c r="F492" s="719"/>
      <c r="G492" s="719"/>
      <c r="H492" s="719"/>
      <c r="I492" s="719"/>
      <c r="J492" s="736"/>
      <c r="K492" s="736"/>
      <c r="L492" s="736"/>
      <c r="M492" s="736"/>
      <c r="N492" s="736"/>
      <c r="O492" s="736"/>
      <c r="P492" s="736"/>
      <c r="Q492" s="736"/>
      <c r="R492" s="736"/>
      <c r="S492" s="737" t="str">
        <f ca="1">+IFERROR(S490/S491,"NA")</f>
        <v>NA</v>
      </c>
      <c r="T492" s="737" t="str">
        <f t="shared" ref="T492:AL492" ca="1" si="875">+IFERROR(T490/T491,"NA")</f>
        <v>NA</v>
      </c>
      <c r="U492" s="737" t="str">
        <f t="shared" ca="1" si="875"/>
        <v>NA</v>
      </c>
      <c r="V492" s="737">
        <f t="shared" ca="1" si="875"/>
        <v>1.3373355090041505</v>
      </c>
      <c r="W492" s="737">
        <f t="shared" ca="1" si="875"/>
        <v>1.3881794567039372</v>
      </c>
      <c r="X492" s="737">
        <f t="shared" ca="1" si="875"/>
        <v>1.4454434473706119</v>
      </c>
      <c r="Y492" s="737">
        <f t="shared" ca="1" si="875"/>
        <v>1.5130649273416648</v>
      </c>
      <c r="Z492" s="737">
        <f t="shared" ca="1" si="875"/>
        <v>1.5771446651673997</v>
      </c>
      <c r="AA492" s="737">
        <f t="shared" ca="1" si="875"/>
        <v>1.6232943329071423</v>
      </c>
      <c r="AB492" s="737">
        <f t="shared" ca="1" si="875"/>
        <v>1.6759341598172539</v>
      </c>
      <c r="AC492" s="737">
        <f t="shared" ca="1" si="875"/>
        <v>1.7412393362518728</v>
      </c>
      <c r="AD492" s="737">
        <f t="shared" ca="1" si="875"/>
        <v>1.8000469638353922</v>
      </c>
      <c r="AE492" s="737">
        <f t="shared" ca="1" si="875"/>
        <v>1.8322897723956366</v>
      </c>
      <c r="AF492" s="737">
        <f t="shared" ca="1" si="875"/>
        <v>1.8712561147199445</v>
      </c>
      <c r="AG492" s="737">
        <f t="shared" ca="1" si="875"/>
        <v>1.9207108935047597</v>
      </c>
      <c r="AH492" s="737">
        <f t="shared" ca="1" si="875"/>
        <v>1.9639286124853861</v>
      </c>
      <c r="AI492" s="737">
        <f t="shared" ca="1" si="875"/>
        <v>1.9820410148695191</v>
      </c>
      <c r="AJ492" s="737">
        <f t="shared" ca="1" si="875"/>
        <v>2.0068834098908579</v>
      </c>
      <c r="AK492" s="737">
        <f t="shared" ca="1" si="875"/>
        <v>2.03830745323866</v>
      </c>
      <c r="AL492" s="737">
        <f t="shared" ca="1" si="875"/>
        <v>2.0656405812976586</v>
      </c>
      <c r="AM492" s="570"/>
      <c r="AN492" s="736"/>
      <c r="AO492" s="736"/>
      <c r="AP492" s="738">
        <f t="shared" ref="AP492" ca="1" si="876">+IFERROR(AP490/AP491,0)</f>
        <v>1.3369816896194284</v>
      </c>
      <c r="AQ492" s="738">
        <f t="shared" ref="AQ492" ca="1" si="877">+IFERROR(AQ490/AQ491,0)</f>
        <v>1.5725338836833287</v>
      </c>
      <c r="AR492" s="738">
        <f t="shared" ref="AR492" ca="1" si="878">+IFERROR(AR490/AR491,0)</f>
        <v>1.7908812964533793</v>
      </c>
      <c r="AS492" s="738">
        <f t="shared" ref="AS492" ca="1" si="879">+IFERROR(AS490/AS491,0)</f>
        <v>1.9502671743161477</v>
      </c>
      <c r="AT492" s="738">
        <f t="shared" ref="AT492" ca="1" si="880">+IFERROR(AT490/AT491,0)</f>
        <v>2.0656405812976586</v>
      </c>
    </row>
    <row r="493" spans="1:46" x14ac:dyDescent="0.25">
      <c r="B493" s="759" t="s">
        <v>41</v>
      </c>
      <c r="C493" s="724"/>
      <c r="D493" s="724"/>
      <c r="E493" s="724"/>
      <c r="F493" s="724"/>
      <c r="G493" s="724"/>
      <c r="H493" s="724"/>
      <c r="I493" s="724"/>
      <c r="J493" s="739"/>
      <c r="K493" s="739"/>
      <c r="L493" s="739"/>
      <c r="M493" s="739"/>
      <c r="N493" s="739"/>
      <c r="O493" s="739"/>
      <c r="P493" s="739"/>
      <c r="Q493" s="739"/>
      <c r="R493" s="739"/>
      <c r="S493" s="740">
        <f t="shared" ref="S493:AL493" ca="1" si="881">+IFERROR((S490/$D$491)^(1/YEARFRAC(Closing_Date,S$5))-1,0)</f>
        <v>-1</v>
      </c>
      <c r="T493" s="740">
        <f t="shared" ca="1" si="881"/>
        <v>-1</v>
      </c>
      <c r="U493" s="740">
        <f t="shared" ca="1" si="881"/>
        <v>0</v>
      </c>
      <c r="V493" s="740">
        <f t="shared" ca="1" si="881"/>
        <v>2.1986115761905491</v>
      </c>
      <c r="W493" s="740">
        <f t="shared" ca="1" si="881"/>
        <v>0.92704220401483806</v>
      </c>
      <c r="X493" s="740">
        <f t="shared" ca="1" si="881"/>
        <v>0.63431138542543208</v>
      </c>
      <c r="Y493" s="740">
        <f t="shared" ca="1" si="881"/>
        <v>0.51306492734166476</v>
      </c>
      <c r="Z493" s="740">
        <f t="shared" ca="1" si="881"/>
        <v>0.43978360868331579</v>
      </c>
      <c r="AA493" s="740">
        <f t="shared" ca="1" si="881"/>
        <v>0.38122632908500775</v>
      </c>
      <c r="AB493" s="740">
        <f t="shared" ca="1" si="881"/>
        <v>0.34321901240336716</v>
      </c>
      <c r="AC493" s="740">
        <f t="shared" ca="1" si="881"/>
        <v>0.31956028140129811</v>
      </c>
      <c r="AD493" s="740">
        <f t="shared" ca="1" si="881"/>
        <v>0.29855241042786429</v>
      </c>
      <c r="AE493" s="740">
        <f t="shared" ca="1" si="881"/>
        <v>0.27408282980184051</v>
      </c>
      <c r="AF493" s="740">
        <f t="shared" ca="1" si="881"/>
        <v>0.2559071678301359</v>
      </c>
      <c r="AG493" s="740">
        <f t="shared" ca="1" si="881"/>
        <v>0.24304638007881185</v>
      </c>
      <c r="AH493" s="740">
        <f t="shared" ca="1" si="881"/>
        <v>0.23081426855255849</v>
      </c>
      <c r="AI493" s="740">
        <f t="shared" ca="1" si="881"/>
        <v>0.21587610875532337</v>
      </c>
      <c r="AJ493" s="740">
        <f t="shared" ca="1" si="881"/>
        <v>0.20412776741464578</v>
      </c>
      <c r="AK493" s="740">
        <f t="shared" ca="1" si="881"/>
        <v>0.1948611019189197</v>
      </c>
      <c r="AL493" s="740">
        <f t="shared" ca="1" si="881"/>
        <v>0.18612519510890957</v>
      </c>
      <c r="AM493" s="570"/>
      <c r="AN493" s="739"/>
      <c r="AO493" s="739"/>
      <c r="AP493" s="740">
        <f ca="1">IFERROR(AP492^(1/YEARFRAC(Closing_Date,AP$5,1))-1,"NA")</f>
        <v>2.1651117727257381</v>
      </c>
      <c r="AQ493" s="740">
        <f ca="1">IFERROR(AQ492^(1/YEARFRAC(Closing_Date,AQ$5,1))-1,"NA")</f>
        <v>0.43513804549076984</v>
      </c>
      <c r="AR493" s="740">
        <f ca="1">IFERROR(AR492^(1/YEARFRAC(Closing_Date,AR$5,1))-1,"NA")</f>
        <v>0.29520189185653956</v>
      </c>
      <c r="AS493" s="740">
        <f ca="1">IFERROR(AS492^(1/YEARFRAC(Closing_Date,AS$5,1))-1,"NA")</f>
        <v>0.22797432906954351</v>
      </c>
      <c r="AT493" s="740">
        <f ca="1">IFERROR(AT492^(1/YEARFRAC(Closing_Date,AT$5,1))-1,"NA")</f>
        <v>0.1860078694761953</v>
      </c>
    </row>
    <row r="494" spans="1:46" x14ac:dyDescent="0.25">
      <c r="B494" s="98" t="s">
        <v>537</v>
      </c>
      <c r="D494" s="731" t="str">
        <f>+'Transaction Structure'!$K$36</f>
        <v>Offer / LTM Revenue</v>
      </c>
      <c r="E494" s="1217"/>
      <c r="F494" s="1217"/>
      <c r="G494" s="1217"/>
      <c r="H494" s="73" t="s">
        <v>512</v>
      </c>
      <c r="J494" s="116"/>
      <c r="K494" s="116"/>
      <c r="L494" s="116"/>
      <c r="M494" s="116"/>
      <c r="N494" s="116"/>
      <c r="O494" s="116"/>
      <c r="P494" s="116"/>
      <c r="Q494" s="116"/>
      <c r="R494" s="116"/>
      <c r="S494" s="738">
        <f ca="1">+IFERROR(IF('Transaction Structure'!$K$36&lt;='Transaction Structure'!$X$1,($D$491-S$464-S$465-S$466-S$467-S$468)/S$457,($D$491-S$464-S$465-S$466-S$467-S$468)/'Operating Model'!S$461),0)</f>
        <v>0</v>
      </c>
      <c r="T494" s="738">
        <f ca="1">+IFERROR(IF('Transaction Structure'!$K$36&lt;='Transaction Structure'!$X$1,($D$491-T$464-T$465-T$466-T$467-T$468)/T$457,($D$491-T$464-T$465-T$466-T$467-T$468)/'Operating Model'!T$461),0)</f>
        <v>0</v>
      </c>
      <c r="U494" s="738">
        <f ca="1">+IFERROR(IF('Transaction Structure'!$K$36&lt;='Transaction Structure'!$X$1,($D$491-U$464-U$465-U$466-U$467-U$468)/U$457,($D$491-U$464-U$465-U$466-U$467-U$468)/'Operating Model'!U$461),0)</f>
        <v>0</v>
      </c>
      <c r="V494" s="738">
        <f ca="1">+IFERROR(IF('Transaction Structure'!$K$36&lt;='Transaction Structure'!$X$1,($D$491-V$464-V$465-V$466-V$467-V$468)/V$457,($D$491-V$464-V$465-V$466-V$467-V$468)/'Operating Model'!V$461),0)</f>
        <v>9.9743588657165994</v>
      </c>
      <c r="W494" s="738">
        <f ca="1">+IFERROR(IF('Transaction Structure'!$K$36&lt;='Transaction Structure'!$X$1,($D$491-W$464-W$465-W$466-W$467-W$468)/W$457,($D$491-W$464-W$465-W$466-W$467-W$468)/'Operating Model'!W$461),0)</f>
        <v>9.5268124486735584</v>
      </c>
      <c r="X494" s="738">
        <f ca="1">+IFERROR(IF('Transaction Structure'!$K$36&lt;='Transaction Structure'!$X$1,($D$491-X$464-X$465-X$466-X$467-X$468)/X$457,($D$491-X$464-X$465-X$466-X$467-X$468)/'Operating Model'!X$461),0)</f>
        <v>9.0502859287668151</v>
      </c>
      <c r="Y494" s="738">
        <f ca="1">+IFERROR(IF('Transaction Structure'!$K$36&lt;='Transaction Structure'!$X$1,($D$491-Y$464-Y$465-Y$466-Y$467-Y$468)/Y$457,($D$491-Y$464-Y$465-Y$466-Y$467-Y$468)/'Operating Model'!Y$461),0)</f>
        <v>8.5516475542230452</v>
      </c>
      <c r="Z494" s="738">
        <f ca="1">+IFERROR(IF('Transaction Structure'!$K$36&lt;='Transaction Structure'!$X$1,($D$491-Z$464-Z$465-Z$466-Z$467-Z$468)/Z$457,($D$491-Z$464-Z$465-Z$466-Z$467-Z$468)/'Operating Model'!Z$461),0)</f>
        <v>8.1124586836399217</v>
      </c>
      <c r="AA494" s="738">
        <f ca="1">+IFERROR(IF('Transaction Structure'!$K$36&lt;='Transaction Structure'!$X$1,($D$491-AA$464-AA$465-AA$466-AA$467-AA$468)/AA$457,($D$491-AA$464-AA$465-AA$466-AA$467-AA$468)/'Operating Model'!AA$461),0)</f>
        <v>7.8456074000776779</v>
      </c>
      <c r="AB494" s="738">
        <f ca="1">+IFERROR(IF('Transaction Structure'!$K$36&lt;='Transaction Structure'!$X$1,($D$491-AB$464-AB$465-AB$466-AB$467-AB$468)/AB$457,($D$491-AB$464-AB$465-AB$466-AB$467-AB$468)/'Operating Model'!AB$461),0)</f>
        <v>7.5424910819110806</v>
      </c>
      <c r="AC494" s="738">
        <f ca="1">+IFERROR(IF('Transaction Structure'!$K$36&lt;='Transaction Structure'!$X$1,($D$491-AC$464-AC$465-AC$466-AC$467-AC$468)/AC$457,($D$491-AC$464-AC$465-AC$466-AC$467-AC$468)/'Operating Model'!AC$461),0)</f>
        <v>7.1979447654158104</v>
      </c>
      <c r="AD494" s="738">
        <f ca="1">+IFERROR(IF('Transaction Structure'!$K$36&lt;='Transaction Structure'!$X$1,($D$491-AD$464-AD$465-AD$466-AD$467-AD$468)/AD$457,($D$491-AD$464-AD$465-AD$466-AD$467-AD$468)/'Operating Model'!AD$461),0)</f>
        <v>6.904682602830527</v>
      </c>
      <c r="AE494" s="738">
        <f ca="1">+IFERROR(IF('Transaction Structure'!$K$36&lt;='Transaction Structure'!$X$1,($D$491-AE$464-AE$465-AE$466-AE$467-AE$468)/AE$457,($D$491-AE$464-AE$465-AE$466-AE$467-AE$468)/'Operating Model'!AE$461),0)</f>
        <v>6.7822888921427174</v>
      </c>
      <c r="AF494" s="738">
        <f ca="1">+IFERROR(IF('Transaction Structure'!$K$36&lt;='Transaction Structure'!$X$1,($D$491-AF$464-AF$465-AF$466-AF$467-AF$468)/AF$457,($D$491-AF$464-AF$465-AF$466-AF$467-AF$468)/'Operating Model'!AF$461),0)</f>
        <v>6.6119454163244429</v>
      </c>
      <c r="AG494" s="738">
        <f ca="1">+IFERROR(IF('Transaction Structure'!$K$36&lt;='Transaction Structure'!$X$1,($D$491-AG$464-AG$465-AG$466-AG$467-AG$468)/AG$457,($D$491-AG$464-AG$465-AG$466-AG$467-AG$468)/'Operating Model'!AG$461),0)</f>
        <v>6.4055807234444471</v>
      </c>
      <c r="AH494" s="738">
        <f ca="1">+IFERROR(IF('Transaction Structure'!$K$36&lt;='Transaction Structure'!$X$1,($D$491-AH$464-AH$465-AH$466-AH$467-AH$468)/AH$457,($D$491-AH$464-AH$465-AH$466-AH$467-AH$468)/'Operating Model'!AH$461),0)</f>
        <v>6.2318232101415267</v>
      </c>
      <c r="AI494" s="738">
        <f ca="1">+IFERROR(IF('Transaction Structure'!$K$36&lt;='Transaction Structure'!$X$1,($D$491-AI$464-AI$465-AI$466-AI$467-AI$468)/AI$457,($D$491-AI$464-AI$465-AI$466-AI$467-AI$468)/'Operating Model'!AI$461),0)</f>
        <v>6.1954298923282147</v>
      </c>
      <c r="AJ494" s="738">
        <f ca="1">+IFERROR(IF('Transaction Structure'!$K$36&lt;='Transaction Structure'!$X$1,($D$491-AJ$464-AJ$465-AJ$466-AJ$467-AJ$468)/AJ$457,($D$491-AJ$464-AJ$465-AJ$466-AJ$467-AJ$468)/'Operating Model'!AJ$461),0)</f>
        <v>6.1053809089865663</v>
      </c>
      <c r="AK494" s="738">
        <f ca="1">+IFERROR(IF('Transaction Structure'!$K$36&lt;='Transaction Structure'!$X$1,($D$491-AK$464-AK$465-AK$466-AK$467-AK$468)/AK$457,($D$491-AK$464-AK$465-AK$466-AK$467-AK$468)/'Operating Model'!AK$461),0)</f>
        <v>5.9917809119530014</v>
      </c>
      <c r="AL494" s="738">
        <f ca="1">+IFERROR(IF('Transaction Structure'!$K$36&lt;='Transaction Structure'!$X$1,($D$491-AL$464-AL$465-AL$466-AL$467-AL$468)/AL$457,($D$491-AL$464-AL$465-AL$466-AL$467-AL$468)/'Operating Model'!AL$461),0)</f>
        <v>5.8959472539652831</v>
      </c>
      <c r="AM494" s="570"/>
      <c r="AN494" s="116"/>
      <c r="AO494" s="116"/>
      <c r="AP494" s="738">
        <f ca="1">+IFERROR(IF('Transaction Structure'!$K$36='Transaction Structure'!$X$1,($D$491-AP$464-AP$465-AP$466-AP$467-AP$468)/AP$457,($D$491-AP$464-AP$465-AP$466-AP$467-AP$468)/'Operating Model'!AP$461),0)</f>
        <v>9.9796920411106065</v>
      </c>
      <c r="AQ494" s="738">
        <f ca="1">+IFERROR(IF('Transaction Structure'!$K$36='Transaction Structure'!$X$1,($D$491-AQ$464-AQ$465-AQ$466-AQ$467-AQ$468)/AQ$457,($D$491-AQ$464-AQ$465-AQ$466-AQ$467-AQ$468)/'Operating Model'!AQ$461),0)</f>
        <v>8.1694630680215496</v>
      </c>
      <c r="AR494" s="738">
        <f ca="1">+IFERROR(IF('Transaction Structure'!$K$36='Transaction Structure'!$X$1,($D$491-AR$464-AR$465-AR$466-AR$467-AR$468)/AR$457,($D$491-AR$464-AR$465-AR$466-AR$467-AR$468)/'Operating Model'!AR$461),0)</f>
        <v>7.0019794105443207</v>
      </c>
      <c r="AS494" s="738">
        <f ca="1">+IFERROR(IF('Transaction Structure'!$K$36='Transaction Structure'!$X$1,($D$491-AS$464-AS$465-AS$466-AS$467-AS$468)/AS$457,($D$491-AS$464-AS$465-AS$466-AS$467-AS$468)/'Operating Model'!AS$461),0)</f>
        <v>6.3637894026123956</v>
      </c>
      <c r="AT494" s="738">
        <f ca="1">+IFERROR(IF('Transaction Structure'!$K$36='Transaction Structure'!$X$1,($D$491-AT$464-AT$465-AT$466-AT$467-AT$468)/AT$457,($D$491-AT$464-AT$465-AT$466-AT$467-AT$468)/'Operating Model'!AT$461),0)</f>
        <v>5.8959472539652831</v>
      </c>
    </row>
    <row r="495" spans="1:46" x14ac:dyDescent="0.25">
      <c r="J495" s="116"/>
      <c r="K495" s="116"/>
      <c r="L495" s="116"/>
      <c r="M495" s="116"/>
      <c r="N495" s="116"/>
      <c r="O495" s="116"/>
      <c r="P495" s="116"/>
      <c r="Q495" s="116"/>
      <c r="R495" s="116"/>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116"/>
      <c r="AO495" s="116"/>
      <c r="AP495" s="570"/>
      <c r="AQ495" s="570"/>
      <c r="AR495" s="570"/>
      <c r="AS495" s="570"/>
      <c r="AT495" s="570"/>
    </row>
    <row r="496" spans="1:46" x14ac:dyDescent="0.25">
      <c r="B496" s="551" t="s">
        <v>538</v>
      </c>
      <c r="H496" s="73" t="s">
        <v>539</v>
      </c>
      <c r="J496" s="116"/>
      <c r="K496" s="116"/>
      <c r="L496" s="116"/>
      <c r="M496" s="116"/>
      <c r="N496" s="116"/>
      <c r="O496" s="116"/>
      <c r="P496" s="116"/>
      <c r="Q496" s="116"/>
      <c r="R496" s="116"/>
      <c r="S496" s="570">
        <f ca="1">-SUM(S474,S483,S486)</f>
        <v>0</v>
      </c>
      <c r="T496" s="570">
        <f ca="1">-SUM(T474,T483,T486)</f>
        <v>0</v>
      </c>
      <c r="U496" s="570">
        <f t="shared" ref="U496:AL496" ca="1" si="882">-SUM(U474,U483,U486)</f>
        <v>0</v>
      </c>
      <c r="V496" s="570">
        <f t="shared" ca="1" si="882"/>
        <v>818627.74982158025</v>
      </c>
      <c r="W496" s="570">
        <f t="shared" ca="1" si="882"/>
        <v>924070.93751915055</v>
      </c>
      <c r="X496" s="570">
        <f t="shared" ca="1" si="882"/>
        <v>1045027.5286540409</v>
      </c>
      <c r="Y496" s="570">
        <f t="shared" ca="1" si="882"/>
        <v>1191104.5697640881</v>
      </c>
      <c r="Z496" s="570">
        <f t="shared" ca="1" si="882"/>
        <v>1327775.1545174215</v>
      </c>
      <c r="AA496" s="570">
        <f t="shared" ca="1" si="882"/>
        <v>1419937.4369408924</v>
      </c>
      <c r="AB496" s="570">
        <f t="shared" ca="1" si="882"/>
        <v>1527614.1185780736</v>
      </c>
      <c r="AC496" s="570">
        <f t="shared" ca="1" si="882"/>
        <v>1666100.8544126288</v>
      </c>
      <c r="AD496" s="570">
        <f t="shared" ca="1" si="882"/>
        <v>1787943.0828614263</v>
      </c>
      <c r="AE496" s="570">
        <f t="shared" ca="1" si="882"/>
        <v>1843672.6966946428</v>
      </c>
      <c r="AF496" s="570">
        <f t="shared" ca="1" si="882"/>
        <v>1915440.4255923629</v>
      </c>
      <c r="AG496" s="570">
        <f t="shared" ca="1" si="882"/>
        <v>2012541.9453678962</v>
      </c>
      <c r="AH496" s="570">
        <f t="shared" ca="1" si="882"/>
        <v>2093609.4538420115</v>
      </c>
      <c r="AI496" s="570">
        <f t="shared" ca="1" si="882"/>
        <v>2112207.9978296966</v>
      </c>
      <c r="AJ496" s="570">
        <f t="shared" ca="1" si="882"/>
        <v>2146797.4381419965</v>
      </c>
      <c r="AK496" s="570">
        <f t="shared" ca="1" si="882"/>
        <v>2196933.9478638452</v>
      </c>
      <c r="AL496" s="570">
        <f t="shared" ca="1" si="882"/>
        <v>2236337.7008940205</v>
      </c>
      <c r="AM496" s="570"/>
      <c r="AN496" s="116"/>
      <c r="AO496" s="116"/>
      <c r="AP496" s="570">
        <f t="shared" ref="AP496:AT496" ca="1" si="883">-SUM(AP474,AP483,AP486)</f>
        <v>817747.03408947773</v>
      </c>
      <c r="AQ496" s="570">
        <f t="shared" ca="1" si="883"/>
        <v>1316298.1468529133</v>
      </c>
      <c r="AR496" s="570">
        <f t="shared" ca="1" si="883"/>
        <v>1765128.2010117627</v>
      </c>
      <c r="AS496" s="570">
        <f t="shared" ca="1" si="883"/>
        <v>2059603.8452226846</v>
      </c>
      <c r="AT496" s="570">
        <f t="shared" ca="1" si="883"/>
        <v>2236337.7008940205</v>
      </c>
    </row>
    <row r="497" spans="2:46" x14ac:dyDescent="0.25">
      <c r="B497" s="551" t="s">
        <v>540</v>
      </c>
      <c r="D497" s="735">
        <f>+'Transaction Structure'!$J$116</f>
        <v>1075000</v>
      </c>
      <c r="E497" s="1220"/>
      <c r="F497" s="1220"/>
      <c r="G497" s="1220"/>
      <c r="H497" s="73" t="s">
        <v>288</v>
      </c>
      <c r="J497" s="116"/>
      <c r="K497" s="116"/>
      <c r="L497" s="116"/>
      <c r="M497" s="116"/>
      <c r="N497" s="116"/>
      <c r="O497" s="116"/>
      <c r="P497" s="116"/>
      <c r="Q497" s="116"/>
      <c r="R497" s="116"/>
      <c r="S497" s="570">
        <f t="shared" ref="S497:AL497" si="884">+IF(S$5&lt;=Closing_Date,0,$D$497)</f>
        <v>0</v>
      </c>
      <c r="T497" s="570">
        <f t="shared" si="884"/>
        <v>0</v>
      </c>
      <c r="U497" s="570">
        <f t="shared" si="884"/>
        <v>0</v>
      </c>
      <c r="V497" s="570">
        <f t="shared" si="884"/>
        <v>1075000</v>
      </c>
      <c r="W497" s="570">
        <f t="shared" si="884"/>
        <v>1075000</v>
      </c>
      <c r="X497" s="570">
        <f t="shared" si="884"/>
        <v>1075000</v>
      </c>
      <c r="Y497" s="570">
        <f t="shared" si="884"/>
        <v>1075000</v>
      </c>
      <c r="Z497" s="570">
        <f t="shared" si="884"/>
        <v>1075000</v>
      </c>
      <c r="AA497" s="570">
        <f t="shared" si="884"/>
        <v>1075000</v>
      </c>
      <c r="AB497" s="570">
        <f t="shared" si="884"/>
        <v>1075000</v>
      </c>
      <c r="AC497" s="570">
        <f t="shared" si="884"/>
        <v>1075000</v>
      </c>
      <c r="AD497" s="570">
        <f t="shared" si="884"/>
        <v>1075000</v>
      </c>
      <c r="AE497" s="570">
        <f t="shared" si="884"/>
        <v>1075000</v>
      </c>
      <c r="AF497" s="570">
        <f t="shared" si="884"/>
        <v>1075000</v>
      </c>
      <c r="AG497" s="570">
        <f t="shared" si="884"/>
        <v>1075000</v>
      </c>
      <c r="AH497" s="570">
        <f t="shared" si="884"/>
        <v>1075000</v>
      </c>
      <c r="AI497" s="570">
        <f t="shared" si="884"/>
        <v>1075000</v>
      </c>
      <c r="AJ497" s="570">
        <f t="shared" si="884"/>
        <v>1075000</v>
      </c>
      <c r="AK497" s="570">
        <f t="shared" si="884"/>
        <v>1075000</v>
      </c>
      <c r="AL497" s="570">
        <f t="shared" si="884"/>
        <v>1075000</v>
      </c>
      <c r="AM497" s="570"/>
      <c r="AN497" s="116"/>
      <c r="AO497" s="116"/>
      <c r="AP497" s="570">
        <f>+IF(AP$5=Closing_Date,0,$D$497)</f>
        <v>1075000</v>
      </c>
      <c r="AQ497" s="570">
        <f>+IF(AQ$5=Closing_Date,0,$D$497)</f>
        <v>1075000</v>
      </c>
      <c r="AR497" s="570">
        <f>+IF(AR$5=Closing_Date,0,$D$497)</f>
        <v>1075000</v>
      </c>
      <c r="AS497" s="570">
        <f>+IF(AS$5=Closing_Date,0,$D$497)</f>
        <v>1075000</v>
      </c>
      <c r="AT497" s="570">
        <f>+IF(AT$5=Closing_Date,0,$D$497)</f>
        <v>1075000</v>
      </c>
    </row>
    <row r="498" spans="2:46" x14ac:dyDescent="0.25">
      <c r="B498" s="758" t="s">
        <v>40</v>
      </c>
      <c r="C498" s="719"/>
      <c r="D498" s="719"/>
      <c r="E498" s="719"/>
      <c r="F498" s="719"/>
      <c r="G498" s="719"/>
      <c r="H498" s="719"/>
      <c r="I498" s="719"/>
      <c r="J498" s="736"/>
      <c r="K498" s="736"/>
      <c r="L498" s="736"/>
      <c r="M498" s="736"/>
      <c r="N498" s="736"/>
      <c r="O498" s="736"/>
      <c r="P498" s="736"/>
      <c r="Q498" s="736"/>
      <c r="R498" s="736"/>
      <c r="S498" s="737" t="str">
        <f ca="1">+IFERROR(S496/S497,"NA")</f>
        <v>NA</v>
      </c>
      <c r="T498" s="737" t="str">
        <f ca="1">+IFERROR(T496/T497,"NA")</f>
        <v>NA</v>
      </c>
      <c r="U498" s="737" t="str">
        <f t="shared" ref="U498:AL498" ca="1" si="885">+IFERROR(U496/U497,"NA")</f>
        <v>NA</v>
      </c>
      <c r="V498" s="737">
        <f t="shared" ca="1" si="885"/>
        <v>0.76151418588053976</v>
      </c>
      <c r="W498" s="737">
        <f t="shared" ca="1" si="885"/>
        <v>0.85960087211083769</v>
      </c>
      <c r="X498" s="737">
        <f t="shared" ca="1" si="885"/>
        <v>0.97211863130608456</v>
      </c>
      <c r="Y498" s="737">
        <f t="shared" ca="1" si="885"/>
        <v>1.1080042509433379</v>
      </c>
      <c r="Z498" s="737">
        <f t="shared" ca="1" si="885"/>
        <v>1.2351396786208573</v>
      </c>
      <c r="AA498" s="737">
        <f t="shared" ca="1" si="885"/>
        <v>1.3208720343636209</v>
      </c>
      <c r="AB498" s="737">
        <f t="shared" ca="1" si="885"/>
        <v>1.4210363893749522</v>
      </c>
      <c r="AC498" s="737">
        <f t="shared" ca="1" si="885"/>
        <v>1.5498612599187245</v>
      </c>
      <c r="AD498" s="737">
        <f t="shared" ca="1" si="885"/>
        <v>1.663202867778071</v>
      </c>
      <c r="AE498" s="737">
        <f t="shared" ca="1" si="885"/>
        <v>1.7150443690182724</v>
      </c>
      <c r="AF498" s="737">
        <f t="shared" ca="1" si="885"/>
        <v>1.7818050470626632</v>
      </c>
      <c r="AG498" s="737">
        <f t="shared" ca="1" si="885"/>
        <v>1.8721320422026941</v>
      </c>
      <c r="AH498" s="737">
        <f t="shared" ca="1" si="885"/>
        <v>1.9475436779925688</v>
      </c>
      <c r="AI498" s="737">
        <f t="shared" ca="1" si="885"/>
        <v>1.9648446491439038</v>
      </c>
      <c r="AJ498" s="737">
        <f t="shared" ca="1" si="885"/>
        <v>1.9970208726902292</v>
      </c>
      <c r="AK498" s="737">
        <f t="shared" ca="1" si="885"/>
        <v>2.0436594863849722</v>
      </c>
      <c r="AL498" s="737">
        <f t="shared" ca="1" si="885"/>
        <v>2.0803141403665308</v>
      </c>
      <c r="AM498" s="570"/>
      <c r="AN498" s="736"/>
      <c r="AO498" s="736"/>
      <c r="AP498" s="737">
        <f t="shared" ref="AP498" ca="1" si="886">+IFERROR(AP496/AP497,"NA")</f>
        <v>0.76069491543207235</v>
      </c>
      <c r="AQ498" s="737">
        <f t="shared" ref="AQ498" ca="1" si="887">+IFERROR(AQ496/AQ497,"NA")</f>
        <v>1.2244633924213146</v>
      </c>
      <c r="AR498" s="737">
        <f t="shared" ref="AR498" ca="1" si="888">+IFERROR(AR496/AR497,"NA")</f>
        <v>1.6419797218714072</v>
      </c>
      <c r="AS498" s="737">
        <f t="shared" ref="AS498" ca="1" si="889">+IFERROR(AS496/AS497,"NA")</f>
        <v>1.9159105536955205</v>
      </c>
      <c r="AT498" s="737">
        <f t="shared" ref="AT498" ca="1" si="890">+IFERROR(AT496/AT497,"NA")</f>
        <v>2.0803141403665308</v>
      </c>
    </row>
    <row r="499" spans="2:46" x14ac:dyDescent="0.25">
      <c r="B499" s="759" t="s">
        <v>41</v>
      </c>
      <c r="C499" s="724"/>
      <c r="D499" s="724"/>
      <c r="E499" s="724"/>
      <c r="F499" s="724"/>
      <c r="G499" s="724"/>
      <c r="H499" s="724"/>
      <c r="I499" s="724"/>
      <c r="J499" s="739"/>
      <c r="K499" s="739"/>
      <c r="L499" s="739"/>
      <c r="M499" s="739"/>
      <c r="N499" s="739"/>
      <c r="O499" s="739"/>
      <c r="P499" s="739"/>
      <c r="Q499" s="739"/>
      <c r="R499" s="739"/>
      <c r="S499" s="740">
        <f t="shared" ref="S499:AL499" ca="1" si="891">+IFERROR((S496/$D$497)^(1/YEARFRAC(Closing_Date,S$5))-1,0)</f>
        <v>-1</v>
      </c>
      <c r="T499" s="740">
        <f t="shared" ca="1" si="891"/>
        <v>-1</v>
      </c>
      <c r="U499" s="740">
        <f t="shared" ca="1" si="891"/>
        <v>0</v>
      </c>
      <c r="V499" s="740">
        <f t="shared" ca="1" si="891"/>
        <v>-0.66371151861132671</v>
      </c>
      <c r="W499" s="740">
        <f t="shared" ca="1" si="891"/>
        <v>-0.26108634066628722</v>
      </c>
      <c r="X499" s="740">
        <f t="shared" ca="1" si="891"/>
        <v>-3.7001326258365497E-2</v>
      </c>
      <c r="Y499" s="740">
        <f t="shared" ca="1" si="891"/>
        <v>0.10800425094333788</v>
      </c>
      <c r="Z499" s="740">
        <f t="shared" ca="1" si="891"/>
        <v>0.18405767944886797</v>
      </c>
      <c r="AA499" s="740">
        <f t="shared" ca="1" si="891"/>
        <v>0.20385402805598085</v>
      </c>
      <c r="AB499" s="740">
        <f t="shared" ca="1" si="891"/>
        <v>0.22237081158145044</v>
      </c>
      <c r="AC499" s="740">
        <f t="shared" ca="1" si="891"/>
        <v>0.24493423919447421</v>
      </c>
      <c r="AD499" s="740">
        <f t="shared" ca="1" si="891"/>
        <v>0.25371227447893152</v>
      </c>
      <c r="AE499" s="740">
        <f t="shared" ca="1" si="891"/>
        <v>0.24082388276630096</v>
      </c>
      <c r="AF499" s="740">
        <f t="shared" ca="1" si="891"/>
        <v>0.23373499971417733</v>
      </c>
      <c r="AG499" s="740">
        <f t="shared" ca="1" si="891"/>
        <v>0.23247700592560605</v>
      </c>
      <c r="AH499" s="740">
        <f t="shared" ca="1" si="891"/>
        <v>0.22764552931918502</v>
      </c>
      <c r="AI499" s="740">
        <f t="shared" ca="1" si="891"/>
        <v>0.21285270858962391</v>
      </c>
      <c r="AJ499" s="740">
        <f t="shared" ca="1" si="891"/>
        <v>0.2025469128965558</v>
      </c>
      <c r="AK499" s="740">
        <f t="shared" ca="1" si="891"/>
        <v>0.19564467471699865</v>
      </c>
      <c r="AL499" s="740">
        <f t="shared" ca="1" si="891"/>
        <v>0.18810237432459243</v>
      </c>
      <c r="AM499" s="570"/>
      <c r="AN499" s="739"/>
      <c r="AO499" s="739"/>
      <c r="AP499" s="740">
        <f ca="1">IFERROR(AP498^(1/YEARFRAC(Closing_Date,AP$5,1))-1,"NA")</f>
        <v>-0.66215645633441333</v>
      </c>
      <c r="AQ499" s="740">
        <f ca="1">IFERROR(AQ498^(1/YEARFRAC(Closing_Date,AQ$5,1))-1,"NA")</f>
        <v>0.17539496289305156</v>
      </c>
      <c r="AR499" s="740">
        <f ca="1">IFERROR(AR498^(1/YEARFRAC(Closing_Date,AR$5,1))-1,"NA")</f>
        <v>0.24624294417712589</v>
      </c>
      <c r="AS499" s="740">
        <f ca="1">IFERROR(AS498^(1/YEARFRAC(Closing_Date,AS$5,1))-1,"NA")</f>
        <v>0.22128246544501717</v>
      </c>
      <c r="AT499" s="740">
        <f ca="1">IFERROR(AT498^(1/YEARFRAC(Closing_Date,AT$5,1))-1,"NA")</f>
        <v>0.18798370645679108</v>
      </c>
    </row>
    <row r="500" spans="2:46" x14ac:dyDescent="0.25">
      <c r="B500" s="98" t="s">
        <v>541</v>
      </c>
      <c r="J500" s="116"/>
      <c r="K500" s="116"/>
      <c r="L500" s="116"/>
      <c r="M500" s="116"/>
      <c r="N500" s="116"/>
      <c r="O500" s="116"/>
      <c r="P500" s="116"/>
      <c r="Q500" s="116"/>
      <c r="R500" s="116"/>
      <c r="S500" s="125">
        <f ca="1">+IFERROR(S480+S481,"NA")</f>
        <v>0</v>
      </c>
      <c r="T500" s="125">
        <f ca="1">+IFERROR(T480+T481,"NA")</f>
        <v>0</v>
      </c>
      <c r="U500" s="125">
        <f t="shared" ref="U500:AL500" ca="1" si="892">+IFERROR(U480+U481,"NA")</f>
        <v>0</v>
      </c>
      <c r="V500" s="125">
        <f t="shared" ca="1" si="892"/>
        <v>1931950.0664587952</v>
      </c>
      <c r="W500" s="125">
        <f t="shared" ca="1" si="892"/>
        <v>2223137.8172758054</v>
      </c>
      <c r="X500" s="125">
        <f t="shared" ca="1" si="892"/>
        <v>2551093.7176219421</v>
      </c>
      <c r="Y500" s="125">
        <f t="shared" ca="1" si="892"/>
        <v>2938367.868243631</v>
      </c>
      <c r="Z500" s="125">
        <f t="shared" ca="1" si="892"/>
        <v>3305358.1507566031</v>
      </c>
      <c r="AA500" s="125">
        <f t="shared" ca="1" si="892"/>
        <v>3569661.3482469991</v>
      </c>
      <c r="AB500" s="125">
        <f t="shared" ca="1" si="892"/>
        <v>3871134.2569176313</v>
      </c>
      <c r="AC500" s="125">
        <f t="shared" ca="1" si="892"/>
        <v>4245142.7338948138</v>
      </c>
      <c r="AD500" s="125">
        <f t="shared" ca="1" si="892"/>
        <v>4581939.1783416588</v>
      </c>
      <c r="AE500" s="125">
        <f t="shared" ca="1" si="892"/>
        <v>4766596.5727697555</v>
      </c>
      <c r="AF500" s="125">
        <f t="shared" ca="1" si="892"/>
        <v>4989760.2351583987</v>
      </c>
      <c r="AG500" s="125">
        <f t="shared" ca="1" si="892"/>
        <v>5272992.0936783776</v>
      </c>
      <c r="AH500" s="125">
        <f t="shared" ca="1" si="892"/>
        <v>5520503.7633016054</v>
      </c>
      <c r="AI500" s="125">
        <f t="shared" ca="1" si="892"/>
        <v>5624235.0813981052</v>
      </c>
      <c r="AJ500" s="125">
        <f t="shared" ca="1" si="892"/>
        <v>5766509.6579885017</v>
      </c>
      <c r="AK500" s="125">
        <f t="shared" ca="1" si="892"/>
        <v>5946477.9121856708</v>
      </c>
      <c r="AL500" s="125">
        <f t="shared" ca="1" si="892"/>
        <v>6103017.1354829669</v>
      </c>
      <c r="AM500" s="570"/>
      <c r="AN500" s="116"/>
      <c r="AO500" s="116"/>
      <c r="AP500" s="125">
        <f t="shared" ref="AP500:AT500" ca="1" si="893">+IFERROR(AP480+AP481,"NA")</f>
        <v>1929923.7117893854</v>
      </c>
      <c r="AQ500" s="125">
        <f t="shared" ca="1" si="893"/>
        <v>3278951.8005301636</v>
      </c>
      <c r="AR500" s="125">
        <f t="shared" ca="1" si="893"/>
        <v>4529446.5968162399</v>
      </c>
      <c r="AS500" s="125">
        <f t="shared" ca="1" si="893"/>
        <v>5442263.5079045426</v>
      </c>
      <c r="AT500" s="125">
        <f t="shared" ca="1" si="893"/>
        <v>6103017.1354829669</v>
      </c>
    </row>
    <row r="501" spans="2:46" x14ac:dyDescent="0.25">
      <c r="B501" s="98" t="s">
        <v>542</v>
      </c>
      <c r="J501" s="116"/>
      <c r="K501" s="116"/>
      <c r="L501" s="116"/>
      <c r="M501" s="116"/>
      <c r="N501" s="116"/>
      <c r="O501" s="116"/>
      <c r="P501" s="116"/>
      <c r="Q501" s="116"/>
      <c r="R501" s="116"/>
      <c r="S501" s="570">
        <f ca="1">IFERROR(-SUM(S483,S486),"NA")</f>
        <v>0</v>
      </c>
      <c r="T501" s="570">
        <f ca="1">IFERROR(-SUM(T483,T486),"NA")</f>
        <v>0</v>
      </c>
      <c r="U501" s="570">
        <f t="shared" ref="U501:AL501" ca="1" si="894">IFERROR(-SUM(U483,U486),"NA")</f>
        <v>0</v>
      </c>
      <c r="V501" s="570">
        <f t="shared" ca="1" si="894"/>
        <v>386390.01329175907</v>
      </c>
      <c r="W501" s="570">
        <f t="shared" ca="1" si="894"/>
        <v>444627.56345516111</v>
      </c>
      <c r="X501" s="570">
        <f t="shared" ca="1" si="894"/>
        <v>510218.74352438841</v>
      </c>
      <c r="Y501" s="570">
        <f t="shared" ca="1" si="894"/>
        <v>587673.5736487261</v>
      </c>
      <c r="Z501" s="570">
        <f t="shared" ca="1" si="894"/>
        <v>661071.6301513206</v>
      </c>
      <c r="AA501" s="570">
        <f t="shared" ca="1" si="894"/>
        <v>713932.26964939991</v>
      </c>
      <c r="AB501" s="570">
        <f t="shared" ca="1" si="894"/>
        <v>774226.85138352634</v>
      </c>
      <c r="AC501" s="570">
        <f t="shared" ca="1" si="894"/>
        <v>849028.54677896283</v>
      </c>
      <c r="AD501" s="570">
        <f t="shared" ca="1" si="894"/>
        <v>916387.83566833183</v>
      </c>
      <c r="AE501" s="570">
        <f t="shared" ca="1" si="894"/>
        <v>953319.31455395115</v>
      </c>
      <c r="AF501" s="570">
        <f t="shared" ca="1" si="894"/>
        <v>997952.04703167977</v>
      </c>
      <c r="AG501" s="570">
        <f t="shared" ca="1" si="894"/>
        <v>1054598.4187356755</v>
      </c>
      <c r="AH501" s="570">
        <f t="shared" ca="1" si="894"/>
        <v>1104100.7526603211</v>
      </c>
      <c r="AI501" s="570">
        <f t="shared" ca="1" si="894"/>
        <v>1124847.016279621</v>
      </c>
      <c r="AJ501" s="570">
        <f t="shared" ca="1" si="894"/>
        <v>1153301.9315977003</v>
      </c>
      <c r="AK501" s="570">
        <f t="shared" ca="1" si="894"/>
        <v>1189295.5824371341</v>
      </c>
      <c r="AL501" s="570">
        <f t="shared" ca="1" si="894"/>
        <v>1220603.4270965932</v>
      </c>
      <c r="AM501" s="570"/>
      <c r="AN501" s="116"/>
      <c r="AO501" s="116"/>
      <c r="AP501" s="570">
        <f t="shared" ref="AP501:AT501" ca="1" si="895">IFERROR(-SUM(AP483,AP486),"NA")</f>
        <v>385984.74235787708</v>
      </c>
      <c r="AQ501" s="570">
        <f t="shared" ca="1" si="895"/>
        <v>655790.36010603269</v>
      </c>
      <c r="AR501" s="570">
        <f t="shared" ca="1" si="895"/>
        <v>905889.31936324807</v>
      </c>
      <c r="AS501" s="570">
        <f t="shared" ca="1" si="895"/>
        <v>1088452.7015809086</v>
      </c>
      <c r="AT501" s="570">
        <f t="shared" ca="1" si="895"/>
        <v>1220603.4270965932</v>
      </c>
    </row>
    <row r="502" spans="2:46" x14ac:dyDescent="0.25">
      <c r="B502" s="98" t="s">
        <v>543</v>
      </c>
      <c r="J502" s="116"/>
      <c r="K502" s="116"/>
      <c r="L502" s="116"/>
      <c r="M502" s="116"/>
      <c r="N502" s="116"/>
      <c r="O502" s="116"/>
      <c r="P502" s="116"/>
      <c r="Q502" s="116"/>
      <c r="R502" s="116"/>
      <c r="S502" s="741" t="str">
        <f ca="1">IFERROR(S501/S500,"NA")</f>
        <v>NA</v>
      </c>
      <c r="T502" s="740" t="str">
        <f ca="1">IFERROR(T501/T500,"NA")</f>
        <v>NA</v>
      </c>
      <c r="U502" s="740" t="str">
        <f t="shared" ref="U502:AL502" ca="1" si="896">IFERROR(U501/U500,"NA")</f>
        <v>NA</v>
      </c>
      <c r="V502" s="740">
        <f t="shared" ca="1" si="896"/>
        <v>0.2</v>
      </c>
      <c r="W502" s="740">
        <f t="shared" ca="1" si="896"/>
        <v>0.2</v>
      </c>
      <c r="X502" s="740">
        <f t="shared" ca="1" si="896"/>
        <v>0.2</v>
      </c>
      <c r="Y502" s="740">
        <f t="shared" ca="1" si="896"/>
        <v>0.19999999999999996</v>
      </c>
      <c r="Z502" s="740">
        <f t="shared" ca="1" si="896"/>
        <v>0.19999999999999998</v>
      </c>
      <c r="AA502" s="740">
        <f t="shared" ca="1" si="896"/>
        <v>0.20000000000000004</v>
      </c>
      <c r="AB502" s="740">
        <f t="shared" ca="1" si="896"/>
        <v>0.2</v>
      </c>
      <c r="AC502" s="740">
        <f t="shared" ca="1" si="896"/>
        <v>0.2</v>
      </c>
      <c r="AD502" s="740">
        <f t="shared" ca="1" si="896"/>
        <v>0.2</v>
      </c>
      <c r="AE502" s="740">
        <f t="shared" ca="1" si="896"/>
        <v>0.2</v>
      </c>
      <c r="AF502" s="740">
        <f t="shared" ca="1" si="896"/>
        <v>0.2</v>
      </c>
      <c r="AG502" s="740">
        <f t="shared" ca="1" si="896"/>
        <v>0.2</v>
      </c>
      <c r="AH502" s="740">
        <f t="shared" ca="1" si="896"/>
        <v>0.2</v>
      </c>
      <c r="AI502" s="740">
        <f t="shared" ca="1" si="896"/>
        <v>0.2</v>
      </c>
      <c r="AJ502" s="740">
        <f t="shared" ca="1" si="896"/>
        <v>0.2</v>
      </c>
      <c r="AK502" s="740">
        <f t="shared" ca="1" si="896"/>
        <v>0.19999999999999998</v>
      </c>
      <c r="AL502" s="740">
        <f t="shared" ca="1" si="896"/>
        <v>0.19999999999999998</v>
      </c>
      <c r="AM502" s="570"/>
      <c r="AN502" s="116"/>
      <c r="AO502" s="116"/>
      <c r="AP502" s="740">
        <f t="shared" ref="AP502" ca="1" si="897">IFERROR(AP501/AP500,"NA")</f>
        <v>0.2</v>
      </c>
      <c r="AQ502" s="740">
        <f t="shared" ref="AQ502" ca="1" si="898">IFERROR(AQ501/AQ500,"NA")</f>
        <v>0.19999999999999998</v>
      </c>
      <c r="AR502" s="740">
        <f t="shared" ref="AR502" ca="1" si="899">IFERROR(AR501/AR500,"NA")</f>
        <v>0.2</v>
      </c>
      <c r="AS502" s="740">
        <f t="shared" ref="AS502" ca="1" si="900">IFERROR(AS501/AS500,"NA")</f>
        <v>0.2</v>
      </c>
      <c r="AT502" s="740">
        <f t="shared" ref="AT502" ca="1" si="901">IFERROR(AT501/AT500,"NA")</f>
        <v>0.19999999999999998</v>
      </c>
    </row>
    <row r="508" spans="2:46" x14ac:dyDescent="0.25">
      <c r="AR508" s="69" t="s">
        <v>544</v>
      </c>
      <c r="AT508" s="1407">
        <f ca="1">+AT457</f>
        <v>826049.25436661509</v>
      </c>
    </row>
    <row r="509" spans="2:46" x14ac:dyDescent="0.25">
      <c r="AR509" s="69" t="s">
        <v>545</v>
      </c>
      <c r="AT509" s="1406">
        <f>+AT458</f>
        <v>15.000790712965987</v>
      </c>
    </row>
    <row r="510" spans="2:46" x14ac:dyDescent="0.25">
      <c r="AR510" s="69" t="s">
        <v>546</v>
      </c>
      <c r="AT510" s="705">
        <f ca="1">+AT508*AT509</f>
        <v>12391391.983355198</v>
      </c>
    </row>
    <row r="511" spans="2:46" x14ac:dyDescent="0.25">
      <c r="E511" s="122"/>
      <c r="AM511" s="122"/>
      <c r="AN511" s="122"/>
      <c r="AR511" s="69" t="s">
        <v>547</v>
      </c>
      <c r="AT511" s="705">
        <f ca="1">+SUM(AT464:AT468)</f>
        <v>-288672.62058834638</v>
      </c>
    </row>
    <row r="512" spans="2:46" x14ac:dyDescent="0.25">
      <c r="AR512" s="122" t="s">
        <v>548</v>
      </c>
      <c r="AS512" s="122"/>
      <c r="AT512" s="1408">
        <f ca="1">+AT510+AT511</f>
        <v>12102719.362766851</v>
      </c>
    </row>
    <row r="514" spans="44:46" x14ac:dyDescent="0.25">
      <c r="AR514" s="69" t="s">
        <v>549</v>
      </c>
      <c r="AT514" s="117">
        <f ca="1">+D491</f>
        <v>4581670.2123345677</v>
      </c>
    </row>
    <row r="515" spans="44:46" x14ac:dyDescent="0.25">
      <c r="AR515" s="69" t="s">
        <v>550</v>
      </c>
      <c r="AT515" s="570">
        <f ca="1">+AT490</f>
        <v>9464083.9207209423</v>
      </c>
    </row>
    <row r="516" spans="44:46" x14ac:dyDescent="0.25">
      <c r="AR516" s="69" t="s">
        <v>551</v>
      </c>
      <c r="AT516" s="1409">
        <f ca="1">+AT492</f>
        <v>2.0656405812976586</v>
      </c>
    </row>
    <row r="517" spans="44:46" x14ac:dyDescent="0.25">
      <c r="AR517" s="69" t="s">
        <v>41</v>
      </c>
      <c r="AT517" s="1410">
        <f ca="1">+AT493</f>
        <v>0.1860078694761953</v>
      </c>
    </row>
  </sheetData>
  <conditionalFormatting sqref="K3:AL3">
    <cfRule type="cellIs" dxfId="61" priority="35" operator="equal">
      <formula>"Forecast"</formula>
    </cfRule>
    <cfRule type="cellIs" dxfId="60" priority="36" operator="equal">
      <formula>"Closing"</formula>
    </cfRule>
    <cfRule type="cellIs" dxfId="59" priority="37" operator="equal">
      <formula>"Actual"</formula>
    </cfRule>
    <cfRule type="cellIs" dxfId="58" priority="38" operator="equal">
      <formula>"""Actual"""</formula>
    </cfRule>
    <cfRule type="cellIs" dxfId="57" priority="39" operator="equal">
      <formula>"""Forecast"""</formula>
    </cfRule>
  </conditionalFormatting>
  <conditionalFormatting sqref="AN3:AT3">
    <cfRule type="cellIs" dxfId="56" priority="30" operator="equal">
      <formula>"Forecast"</formula>
    </cfRule>
    <cfRule type="cellIs" dxfId="55" priority="31" operator="equal">
      <formula>"Closing"</formula>
    </cfRule>
    <cfRule type="cellIs" dxfId="54" priority="32" operator="equal">
      <formula>"Actual"</formula>
    </cfRule>
    <cfRule type="cellIs" dxfId="53" priority="33" operator="equal">
      <formula>"""Actual"""</formula>
    </cfRule>
    <cfRule type="cellIs" dxfId="52" priority="34" operator="equal">
      <formula>"""Forecast"""</formula>
    </cfRule>
  </conditionalFormatting>
  <conditionalFormatting sqref="S415:AL415">
    <cfRule type="cellIs" dxfId="51" priority="28" operator="equal">
      <formula>"fail"</formula>
    </cfRule>
    <cfRule type="cellIs" dxfId="50" priority="29" operator="equal">
      <formula>"PASS"</formula>
    </cfRule>
  </conditionalFormatting>
  <conditionalFormatting sqref="S435:AL435">
    <cfRule type="cellIs" dxfId="49" priority="26" operator="equal">
      <formula>"fail"</formula>
    </cfRule>
    <cfRule type="cellIs" dxfId="48" priority="27" operator="equal">
      <formula>"PASS"</formula>
    </cfRule>
  </conditionalFormatting>
  <conditionalFormatting sqref="AP435:AT435">
    <cfRule type="cellIs" dxfId="47" priority="12" operator="equal">
      <formula>"fail"</formula>
    </cfRule>
    <cfRule type="cellIs" dxfId="46" priority="13" operator="equal">
      <formula>"PASS"</formula>
    </cfRule>
  </conditionalFormatting>
  <conditionalFormatting sqref="T453:AL453">
    <cfRule type="cellIs" dxfId="45" priority="22" operator="equal">
      <formula>"fail"</formula>
    </cfRule>
    <cfRule type="cellIs" dxfId="44" priority="23" operator="equal">
      <formula>"PASS"</formula>
    </cfRule>
  </conditionalFormatting>
  <conditionalFormatting sqref="S449:AL449">
    <cfRule type="cellIs" dxfId="43" priority="20" operator="equal">
      <formula>"fail"</formula>
    </cfRule>
    <cfRule type="cellIs" dxfId="42" priority="21" operator="equal">
      <formula>"PASS"</formula>
    </cfRule>
  </conditionalFormatting>
  <conditionalFormatting sqref="S453:AL453">
    <cfRule type="cellIs" dxfId="41" priority="18" operator="equal">
      <formula>"fail"</formula>
    </cfRule>
    <cfRule type="cellIs" dxfId="40" priority="19" operator="equal">
      <formula>"PASS"</formula>
    </cfRule>
  </conditionalFormatting>
  <conditionalFormatting sqref="AP453:AT453">
    <cfRule type="cellIs" dxfId="39" priority="6" operator="equal">
      <formula>"fail"</formula>
    </cfRule>
    <cfRule type="cellIs" dxfId="38" priority="7" operator="equal">
      <formula>"PASS"</formula>
    </cfRule>
  </conditionalFormatting>
  <conditionalFormatting sqref="AP415:AT415">
    <cfRule type="cellIs" dxfId="37" priority="14" operator="equal">
      <formula>"fail"</formula>
    </cfRule>
    <cfRule type="cellIs" dxfId="36" priority="15" operator="equal">
      <formula>"PASS"</formula>
    </cfRule>
  </conditionalFormatting>
  <conditionalFormatting sqref="AP453:AT453">
    <cfRule type="cellIs" dxfId="35" priority="10" operator="equal">
      <formula>"fail"</formula>
    </cfRule>
    <cfRule type="cellIs" dxfId="34" priority="11" operator="equal">
      <formula>"PASS"</formula>
    </cfRule>
  </conditionalFormatting>
  <conditionalFormatting sqref="AP449:AT449">
    <cfRule type="cellIs" dxfId="33" priority="8" operator="equal">
      <formula>"fail"</formula>
    </cfRule>
    <cfRule type="cellIs" dxfId="32" priority="9" operator="equal">
      <formula>"PASS"</formula>
    </cfRule>
  </conditionalFormatting>
  <conditionalFormatting sqref="AU3">
    <cfRule type="cellIs" dxfId="31" priority="1" operator="equal">
      <formula>"Forecast"</formula>
    </cfRule>
    <cfRule type="cellIs" dxfId="30" priority="2" operator="equal">
      <formula>"Closing"</formula>
    </cfRule>
    <cfRule type="cellIs" dxfId="29" priority="3" operator="equal">
      <formula>"Actual"</formula>
    </cfRule>
    <cfRule type="cellIs" dxfId="28" priority="4" operator="equal">
      <formula>"""Actual"""</formula>
    </cfRule>
    <cfRule type="cellIs" dxfId="27" priority="5" operator="equal">
      <formula>"""Forecast"""</formula>
    </cfRule>
  </conditionalFormatting>
  <pageMargins left="0.7" right="0.7" top="0.75" bottom="0.75" header="0.3" footer="0.3"/>
  <pageSetup orientation="portrait" r:id="rId1"/>
  <ignoredErrors>
    <ignoredError sqref="N22 B202 AN41:AT41 H253:H271" formula="1"/>
    <ignoredError sqref="K24:R24"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5"/>
  <sheetViews>
    <sheetView topLeftCell="A218" zoomScaleNormal="100" workbookViewId="0">
      <selection activeCell="K74" sqref="K74"/>
    </sheetView>
  </sheetViews>
  <sheetFormatPr defaultRowHeight="15" x14ac:dyDescent="0.25"/>
  <cols>
    <col min="1" max="1" width="26.42578125" customWidth="1"/>
    <col min="2" max="2" width="36" customWidth="1"/>
    <col min="3" max="4" width="23" bestFit="1" customWidth="1"/>
  </cols>
  <sheetData>
    <row r="1" spans="1:5" s="189" customFormat="1" x14ac:dyDescent="0.25">
      <c r="A1" s="190" t="s">
        <v>552</v>
      </c>
    </row>
    <row r="2" spans="1:5" x14ac:dyDescent="0.25">
      <c r="A2" t="s">
        <v>553</v>
      </c>
    </row>
    <row r="4" spans="1:5" x14ac:dyDescent="0.25">
      <c r="A4" s="1" t="s">
        <v>554</v>
      </c>
      <c r="B4" s="1" t="s">
        <v>555</v>
      </c>
    </row>
    <row r="5" spans="1:5" x14ac:dyDescent="0.25">
      <c r="A5" t="s">
        <v>556</v>
      </c>
      <c r="B5">
        <v>37.9</v>
      </c>
      <c r="C5" t="s">
        <v>557</v>
      </c>
    </row>
    <row r="6" spans="1:5" x14ac:dyDescent="0.25">
      <c r="A6" t="s">
        <v>558</v>
      </c>
      <c r="B6">
        <v>9.1</v>
      </c>
      <c r="C6" t="s">
        <v>559</v>
      </c>
    </row>
    <row r="7" spans="1:5" x14ac:dyDescent="0.25">
      <c r="A7" t="s">
        <v>560</v>
      </c>
      <c r="B7">
        <v>1.9</v>
      </c>
      <c r="C7" t="s">
        <v>561</v>
      </c>
    </row>
    <row r="10" spans="1:5" x14ac:dyDescent="0.25">
      <c r="A10" s="1"/>
    </row>
    <row r="11" spans="1:5" x14ac:dyDescent="0.25">
      <c r="A11" s="1"/>
    </row>
    <row r="12" spans="1:5" x14ac:dyDescent="0.25">
      <c r="A12" s="1"/>
    </row>
    <row r="13" spans="1:5" ht="60" x14ac:dyDescent="0.25">
      <c r="A13" s="5" t="s">
        <v>562</v>
      </c>
    </row>
    <row r="15" spans="1:5" x14ac:dyDescent="0.25">
      <c r="B15" s="1449" t="s">
        <v>563</v>
      </c>
      <c r="C15" s="1450"/>
      <c r="D15" s="1449" t="s">
        <v>564</v>
      </c>
      <c r="E15" s="1450"/>
    </row>
    <row r="16" spans="1:5" x14ac:dyDescent="0.25">
      <c r="A16" s="196" t="s">
        <v>565</v>
      </c>
      <c r="B16" s="197" t="s">
        <v>566</v>
      </c>
      <c r="C16" s="197" t="s">
        <v>567</v>
      </c>
      <c r="D16" s="197" t="s">
        <v>566</v>
      </c>
      <c r="E16" s="197" t="s">
        <v>568</v>
      </c>
    </row>
    <row r="17" spans="1:5" x14ac:dyDescent="0.25">
      <c r="A17" s="196" t="s">
        <v>569</v>
      </c>
      <c r="B17" s="195">
        <v>63</v>
      </c>
      <c r="C17" s="195">
        <v>66</v>
      </c>
      <c r="D17" s="194">
        <v>267</v>
      </c>
      <c r="E17" s="194">
        <v>273</v>
      </c>
    </row>
    <row r="18" spans="1:5" x14ac:dyDescent="0.25">
      <c r="A18" s="196" t="s">
        <v>570</v>
      </c>
      <c r="B18" s="195">
        <v>58.5</v>
      </c>
      <c r="C18" s="195">
        <v>61.5</v>
      </c>
      <c r="D18" s="194">
        <v>236</v>
      </c>
      <c r="E18" s="194">
        <v>242</v>
      </c>
    </row>
    <row r="19" spans="1:5" x14ac:dyDescent="0.25">
      <c r="A19" s="196" t="s">
        <v>571</v>
      </c>
      <c r="B19" s="195">
        <v>-12</v>
      </c>
      <c r="C19" s="195">
        <v>-8</v>
      </c>
      <c r="D19" s="194">
        <v>-14</v>
      </c>
      <c r="E19" s="194">
        <v>-8</v>
      </c>
    </row>
    <row r="23" spans="1:5" s="189" customFormat="1" x14ac:dyDescent="0.25">
      <c r="A23" s="190" t="s">
        <v>572</v>
      </c>
    </row>
    <row r="24" spans="1:5" x14ac:dyDescent="0.25">
      <c r="A24" t="s">
        <v>553</v>
      </c>
    </row>
    <row r="26" spans="1:5" x14ac:dyDescent="0.25">
      <c r="B26" s="1447" t="s">
        <v>573</v>
      </c>
      <c r="C26" s="1447"/>
    </row>
    <row r="27" spans="1:5" x14ac:dyDescent="0.25">
      <c r="B27" s="1447" t="s">
        <v>574</v>
      </c>
      <c r="C27" s="1447"/>
    </row>
    <row r="28" spans="1:5" s="1" customFormat="1" x14ac:dyDescent="0.25">
      <c r="A28" s="1" t="s">
        <v>575</v>
      </c>
      <c r="B28" s="1">
        <v>2021</v>
      </c>
      <c r="C28" s="1">
        <v>2020</v>
      </c>
      <c r="D28" s="1" t="s">
        <v>576</v>
      </c>
    </row>
    <row r="29" spans="1:5" x14ac:dyDescent="0.25">
      <c r="A29" s="1" t="s">
        <v>577</v>
      </c>
    </row>
    <row r="30" spans="1:5" x14ac:dyDescent="0.25">
      <c r="A30" t="s">
        <v>578</v>
      </c>
      <c r="B30">
        <v>41.7</v>
      </c>
      <c r="C30">
        <v>37</v>
      </c>
      <c r="D30" s="6">
        <v>0.13</v>
      </c>
    </row>
    <row r="31" spans="1:5" x14ac:dyDescent="0.25">
      <c r="A31" t="s">
        <v>579</v>
      </c>
      <c r="B31">
        <v>9.8000000000000007</v>
      </c>
      <c r="C31">
        <v>8.4</v>
      </c>
      <c r="D31" s="6">
        <v>0.16</v>
      </c>
    </row>
    <row r="32" spans="1:5" x14ac:dyDescent="0.25">
      <c r="A32" t="s">
        <v>580</v>
      </c>
      <c r="B32">
        <v>2.2000000000000002</v>
      </c>
      <c r="C32">
        <v>1.5</v>
      </c>
      <c r="D32" s="6">
        <v>0.49</v>
      </c>
    </row>
    <row r="33" spans="1:5" x14ac:dyDescent="0.25">
      <c r="A33" t="s">
        <v>581</v>
      </c>
      <c r="B33" s="188">
        <v>55362</v>
      </c>
      <c r="C33" s="188">
        <v>33778</v>
      </c>
      <c r="D33" s="6">
        <v>0.64</v>
      </c>
    </row>
    <row r="34" spans="1:5" x14ac:dyDescent="0.25">
      <c r="A34" t="s">
        <v>582</v>
      </c>
      <c r="B34" s="188">
        <v>73058</v>
      </c>
      <c r="C34" s="188">
        <v>46667</v>
      </c>
      <c r="D34" s="6">
        <v>0.56999999999999995</v>
      </c>
    </row>
    <row r="35" spans="1:5" x14ac:dyDescent="0.25">
      <c r="B35" s="188"/>
      <c r="C35" s="188"/>
      <c r="D35" s="6"/>
    </row>
    <row r="36" spans="1:5" x14ac:dyDescent="0.25">
      <c r="A36" s="1" t="s">
        <v>583</v>
      </c>
    </row>
    <row r="37" spans="1:5" x14ac:dyDescent="0.25">
      <c r="A37" t="s">
        <v>584</v>
      </c>
      <c r="B37" s="188">
        <v>-28970</v>
      </c>
      <c r="C37" s="188">
        <v>-3176</v>
      </c>
      <c r="D37" s="6">
        <v>8.1199999999999992</v>
      </c>
    </row>
    <row r="38" spans="1:5" x14ac:dyDescent="0.25">
      <c r="A38" t="s">
        <v>585</v>
      </c>
      <c r="B38" s="188">
        <v>-5968</v>
      </c>
      <c r="C38" s="188">
        <v>-724</v>
      </c>
      <c r="D38" s="6">
        <v>7.24</v>
      </c>
    </row>
    <row r="42" spans="1:5" x14ac:dyDescent="0.25">
      <c r="B42" s="1447" t="s">
        <v>573</v>
      </c>
      <c r="C42" s="1447"/>
    </row>
    <row r="43" spans="1:5" x14ac:dyDescent="0.25">
      <c r="B43" s="1447" t="s">
        <v>574</v>
      </c>
      <c r="C43" s="1447"/>
    </row>
    <row r="44" spans="1:5" x14ac:dyDescent="0.25">
      <c r="A44" s="1" t="s">
        <v>586</v>
      </c>
      <c r="B44" s="1">
        <v>2021</v>
      </c>
      <c r="C44" s="1">
        <v>2020</v>
      </c>
      <c r="D44" s="1" t="s">
        <v>587</v>
      </c>
      <c r="E44" s="1" t="s">
        <v>576</v>
      </c>
    </row>
    <row r="45" spans="1:5" x14ac:dyDescent="0.25">
      <c r="A45" t="s">
        <v>588</v>
      </c>
      <c r="B45" s="188">
        <v>46030</v>
      </c>
      <c r="C45" s="188">
        <v>32317</v>
      </c>
      <c r="D45" s="188">
        <v>13713</v>
      </c>
      <c r="E45" s="6">
        <v>0.42</v>
      </c>
    </row>
    <row r="46" spans="1:5" x14ac:dyDescent="0.25">
      <c r="A46" t="s">
        <v>589</v>
      </c>
      <c r="B46" s="7">
        <v>9029</v>
      </c>
      <c r="C46" s="7">
        <v>6720</v>
      </c>
      <c r="D46" s="7">
        <v>2309</v>
      </c>
      <c r="E46" s="6">
        <v>0.34</v>
      </c>
    </row>
    <row r="47" spans="1:5" x14ac:dyDescent="0.25">
      <c r="A47" t="s">
        <v>590</v>
      </c>
      <c r="B47" s="7">
        <v>6695</v>
      </c>
      <c r="C47" s="7">
        <v>5607</v>
      </c>
      <c r="D47" s="7">
        <v>1088</v>
      </c>
      <c r="E47" s="6">
        <v>0.19</v>
      </c>
    </row>
    <row r="48" spans="1:5" x14ac:dyDescent="0.25">
      <c r="A48" t="s">
        <v>591</v>
      </c>
      <c r="B48" s="7">
        <v>1841</v>
      </c>
      <c r="C48">
        <v>661</v>
      </c>
      <c r="D48" s="7">
        <v>1180</v>
      </c>
      <c r="E48" s="6">
        <v>1.79</v>
      </c>
    </row>
    <row r="49" spans="1:7" s="1" customFormat="1" x14ac:dyDescent="0.25">
      <c r="A49" s="1" t="s">
        <v>592</v>
      </c>
      <c r="B49" s="193">
        <v>63595</v>
      </c>
      <c r="C49" s="193">
        <v>45305</v>
      </c>
      <c r="D49" s="193">
        <v>18290</v>
      </c>
      <c r="E49" s="192">
        <v>0.4</v>
      </c>
    </row>
    <row r="51" spans="1:7" x14ac:dyDescent="0.25">
      <c r="A51" s="1" t="s">
        <v>593</v>
      </c>
    </row>
    <row r="52" spans="1:7" x14ac:dyDescent="0.25">
      <c r="A52" t="s">
        <v>594</v>
      </c>
    </row>
    <row r="54" spans="1:7" x14ac:dyDescent="0.25">
      <c r="B54" s="1447" t="s">
        <v>595</v>
      </c>
      <c r="C54" s="1447"/>
      <c r="D54" s="1447" t="s">
        <v>564</v>
      </c>
      <c r="E54" s="1447"/>
    </row>
    <row r="55" spans="1:7" s="1" customFormat="1" x14ac:dyDescent="0.25">
      <c r="A55" s="1" t="s">
        <v>565</v>
      </c>
      <c r="B55" s="1" t="s">
        <v>566</v>
      </c>
      <c r="C55" s="1" t="s">
        <v>567</v>
      </c>
      <c r="D55" s="1" t="s">
        <v>566</v>
      </c>
      <c r="E55" s="1" t="s">
        <v>568</v>
      </c>
    </row>
    <row r="56" spans="1:7" x14ac:dyDescent="0.25">
      <c r="A56" t="s">
        <v>596</v>
      </c>
      <c r="B56" s="29">
        <v>79</v>
      </c>
      <c r="C56" s="29">
        <v>82</v>
      </c>
      <c r="D56" s="29">
        <v>282.5</v>
      </c>
      <c r="E56" s="29">
        <v>285.5</v>
      </c>
    </row>
    <row r="57" spans="1:7" x14ac:dyDescent="0.25">
      <c r="A57" t="s">
        <v>570</v>
      </c>
      <c r="B57" s="29">
        <v>66.5</v>
      </c>
      <c r="C57" s="29">
        <v>69.5</v>
      </c>
      <c r="D57" s="29">
        <v>244</v>
      </c>
      <c r="E57" s="29">
        <v>247</v>
      </c>
    </row>
    <row r="58" spans="1:7" x14ac:dyDescent="0.25">
      <c r="A58" t="s">
        <v>571</v>
      </c>
      <c r="B58" s="29">
        <v>-6.5</v>
      </c>
      <c r="C58" s="29">
        <v>-3.5</v>
      </c>
      <c r="D58" s="29">
        <v>-8</v>
      </c>
      <c r="E58" s="29">
        <v>-5</v>
      </c>
    </row>
    <row r="61" spans="1:7" s="189" customFormat="1" x14ac:dyDescent="0.25">
      <c r="B61" s="190" t="s">
        <v>597</v>
      </c>
    </row>
    <row r="62" spans="1:7" x14ac:dyDescent="0.25">
      <c r="A62" t="s">
        <v>553</v>
      </c>
    </row>
    <row r="63" spans="1:7" s="1" customFormat="1" ht="28.9" customHeight="1" x14ac:dyDescent="0.25">
      <c r="A63" s="1" t="s">
        <v>598</v>
      </c>
      <c r="B63" s="1451" t="s">
        <v>599</v>
      </c>
      <c r="C63" s="1451"/>
      <c r="E63" s="1447" t="s">
        <v>600</v>
      </c>
      <c r="F63" s="1447"/>
    </row>
    <row r="64" spans="1:7" s="1" customFormat="1" ht="30" x14ac:dyDescent="0.25">
      <c r="A64" s="1" t="s">
        <v>601</v>
      </c>
      <c r="B64" s="191">
        <v>2021</v>
      </c>
      <c r="C64" s="1">
        <v>2020</v>
      </c>
      <c r="D64" s="191" t="s">
        <v>602</v>
      </c>
      <c r="E64" s="1">
        <v>2021</v>
      </c>
      <c r="F64" s="1">
        <v>2020</v>
      </c>
      <c r="G64" s="191" t="s">
        <v>602</v>
      </c>
    </row>
    <row r="65" spans="1:7" x14ac:dyDescent="0.25">
      <c r="A65" s="1" t="s">
        <v>577</v>
      </c>
    </row>
    <row r="66" spans="1:7" ht="30" x14ac:dyDescent="0.25">
      <c r="A66" s="5" t="s">
        <v>603</v>
      </c>
      <c r="B66">
        <v>42.4</v>
      </c>
      <c r="C66">
        <v>37</v>
      </c>
      <c r="D66" s="6">
        <v>0.15</v>
      </c>
      <c r="E66">
        <v>40.5</v>
      </c>
      <c r="F66">
        <v>36.700000000000003</v>
      </c>
      <c r="G66" s="6">
        <v>0.1</v>
      </c>
    </row>
    <row r="67" spans="1:7" x14ac:dyDescent="0.25">
      <c r="A67" t="s">
        <v>579</v>
      </c>
      <c r="B67">
        <v>10.1</v>
      </c>
      <c r="C67">
        <v>8.4</v>
      </c>
      <c r="D67" s="6">
        <v>0.2</v>
      </c>
      <c r="E67">
        <v>9.6</v>
      </c>
      <c r="F67">
        <v>8.1999999999999993</v>
      </c>
      <c r="G67" s="6">
        <v>0.18</v>
      </c>
    </row>
    <row r="68" spans="1:7" x14ac:dyDescent="0.25">
      <c r="A68" t="s">
        <v>580</v>
      </c>
      <c r="B68">
        <v>2.5</v>
      </c>
      <c r="C68">
        <v>1.6</v>
      </c>
      <c r="D68" s="6">
        <v>0.56000000000000005</v>
      </c>
      <c r="E68">
        <v>2.5</v>
      </c>
      <c r="F68">
        <v>1.6</v>
      </c>
      <c r="G68" s="6">
        <v>0.56000000000000005</v>
      </c>
    </row>
    <row r="69" spans="1:7" x14ac:dyDescent="0.25">
      <c r="A69" t="s">
        <v>604</v>
      </c>
      <c r="B69" s="7">
        <v>69752</v>
      </c>
      <c r="C69" s="7">
        <v>43284</v>
      </c>
      <c r="D69" s="6">
        <v>0.61</v>
      </c>
      <c r="E69" s="7">
        <v>224520</v>
      </c>
      <c r="F69" s="7">
        <v>144379</v>
      </c>
      <c r="G69" s="6">
        <v>0.56000000000000005</v>
      </c>
    </row>
    <row r="70" spans="1:7" x14ac:dyDescent="0.25">
      <c r="A70" t="s">
        <v>582</v>
      </c>
      <c r="B70" s="7">
        <v>90821</v>
      </c>
      <c r="C70" s="7">
        <v>57064</v>
      </c>
      <c r="D70" s="6">
        <v>0.59</v>
      </c>
      <c r="E70" s="7">
        <v>294247</v>
      </c>
      <c r="F70" s="7">
        <v>190181</v>
      </c>
      <c r="G70" s="6">
        <v>0.55000000000000004</v>
      </c>
    </row>
    <row r="71" spans="1:7" x14ac:dyDescent="0.25">
      <c r="A71" s="1" t="s">
        <v>583</v>
      </c>
    </row>
    <row r="72" spans="1:7" x14ac:dyDescent="0.25">
      <c r="A72" t="s">
        <v>605</v>
      </c>
      <c r="B72" s="7">
        <v>73014</v>
      </c>
      <c r="C72" s="7">
        <v>48268</v>
      </c>
      <c r="D72" s="6">
        <v>0.51</v>
      </c>
      <c r="E72" s="7">
        <v>250772</v>
      </c>
      <c r="F72" s="7">
        <v>161696</v>
      </c>
      <c r="G72" s="6">
        <v>0.55000000000000004</v>
      </c>
    </row>
    <row r="73" spans="1:7" x14ac:dyDescent="0.25">
      <c r="A73" t="s">
        <v>584</v>
      </c>
      <c r="B73" s="7">
        <v>-17517</v>
      </c>
      <c r="C73" s="7">
        <v>-10407</v>
      </c>
      <c r="D73" s="6">
        <v>0.68</v>
      </c>
      <c r="E73" s="7">
        <v>-60135</v>
      </c>
      <c r="F73" s="7">
        <v>-15776</v>
      </c>
      <c r="G73" s="6">
        <v>2.81</v>
      </c>
    </row>
    <row r="74" spans="1:7" x14ac:dyDescent="0.25">
      <c r="A74" t="s">
        <v>585</v>
      </c>
      <c r="B74">
        <v>329</v>
      </c>
      <c r="C74" s="7">
        <v>2891</v>
      </c>
      <c r="D74" s="6">
        <v>-0.89</v>
      </c>
      <c r="E74" s="7">
        <v>-1066</v>
      </c>
      <c r="F74" s="7">
        <v>3630</v>
      </c>
      <c r="G74" s="6">
        <v>-1.29</v>
      </c>
    </row>
    <row r="78" spans="1:7" x14ac:dyDescent="0.25">
      <c r="A78" s="1" t="s">
        <v>593</v>
      </c>
    </row>
    <row r="79" spans="1:7" x14ac:dyDescent="0.25">
      <c r="A79" t="s">
        <v>606</v>
      </c>
    </row>
    <row r="81" spans="1:5" s="1" customFormat="1" x14ac:dyDescent="0.25">
      <c r="B81" s="1447" t="s">
        <v>607</v>
      </c>
      <c r="C81" s="1447"/>
      <c r="D81" s="1447" t="s">
        <v>608</v>
      </c>
      <c r="E81" s="1447"/>
    </row>
    <row r="82" spans="1:5" s="1" customFormat="1" x14ac:dyDescent="0.25">
      <c r="A82" s="1" t="s">
        <v>609</v>
      </c>
      <c r="B82" s="1" t="s">
        <v>610</v>
      </c>
      <c r="C82" s="1" t="s">
        <v>568</v>
      </c>
      <c r="D82" s="1" t="s">
        <v>610</v>
      </c>
      <c r="E82" s="1" t="s">
        <v>568</v>
      </c>
    </row>
    <row r="83" spans="1:5" x14ac:dyDescent="0.25">
      <c r="A83" t="s">
        <v>569</v>
      </c>
      <c r="B83" s="29">
        <v>92</v>
      </c>
      <c r="C83" s="29">
        <v>95</v>
      </c>
      <c r="D83" s="29">
        <v>372</v>
      </c>
      <c r="E83" s="29">
        <v>382</v>
      </c>
    </row>
    <row r="84" spans="1:5" x14ac:dyDescent="0.25">
      <c r="A84" t="s">
        <v>570</v>
      </c>
      <c r="B84" s="29">
        <v>75.5</v>
      </c>
      <c r="C84" s="29">
        <v>78.5</v>
      </c>
      <c r="D84" s="29">
        <v>332</v>
      </c>
      <c r="E84" s="29">
        <v>342</v>
      </c>
    </row>
    <row r="85" spans="1:5" x14ac:dyDescent="0.25">
      <c r="A85" t="s">
        <v>571</v>
      </c>
      <c r="B85" s="29">
        <v>-5.5</v>
      </c>
      <c r="C85" s="29">
        <v>-2.5</v>
      </c>
      <c r="D85" s="29">
        <v>-5</v>
      </c>
      <c r="E85" s="29">
        <v>-1</v>
      </c>
    </row>
    <row r="89" spans="1:5" s="189" customFormat="1" x14ac:dyDescent="0.25">
      <c r="A89" s="190" t="s">
        <v>611</v>
      </c>
    </row>
    <row r="90" spans="1:5" x14ac:dyDescent="0.25">
      <c r="A90" t="s">
        <v>612</v>
      </c>
    </row>
    <row r="92" spans="1:5" x14ac:dyDescent="0.25">
      <c r="A92" t="s">
        <v>613</v>
      </c>
    </row>
    <row r="93" spans="1:5" x14ac:dyDescent="0.25">
      <c r="A93" t="s">
        <v>614</v>
      </c>
    </row>
    <row r="96" spans="1:5" x14ac:dyDescent="0.25">
      <c r="A96" s="1"/>
      <c r="B96" s="1447" t="s">
        <v>615</v>
      </c>
      <c r="C96" s="1447"/>
      <c r="D96" s="1"/>
    </row>
    <row r="97" spans="1:4" x14ac:dyDescent="0.25">
      <c r="A97" s="1" t="s">
        <v>616</v>
      </c>
      <c r="B97" s="1">
        <v>2022</v>
      </c>
      <c r="C97" s="1">
        <v>2021</v>
      </c>
      <c r="D97" s="191" t="s">
        <v>576</v>
      </c>
    </row>
    <row r="98" spans="1:4" x14ac:dyDescent="0.25">
      <c r="A98" s="1" t="s">
        <v>577</v>
      </c>
    </row>
    <row r="99" spans="1:4" x14ac:dyDescent="0.25">
      <c r="A99" t="s">
        <v>578</v>
      </c>
      <c r="B99">
        <v>49.2</v>
      </c>
      <c r="C99">
        <v>39.9</v>
      </c>
      <c r="D99" s="6">
        <v>0.23</v>
      </c>
    </row>
    <row r="100" spans="1:4" x14ac:dyDescent="0.25">
      <c r="A100" t="s">
        <v>579</v>
      </c>
      <c r="B100">
        <v>12.5</v>
      </c>
      <c r="C100">
        <v>9.5</v>
      </c>
      <c r="D100" s="6">
        <v>0.31</v>
      </c>
    </row>
    <row r="101" spans="1:4" x14ac:dyDescent="0.25">
      <c r="A101" t="s">
        <v>580</v>
      </c>
      <c r="B101">
        <v>2.9</v>
      </c>
      <c r="C101">
        <v>1.8</v>
      </c>
      <c r="D101" s="6">
        <v>0.6</v>
      </c>
    </row>
    <row r="103" spans="1:4" x14ac:dyDescent="0.25">
      <c r="B103" s="1447" t="s">
        <v>615</v>
      </c>
      <c r="C103" s="1447"/>
    </row>
    <row r="104" spans="1:4" s="1" customFormat="1" x14ac:dyDescent="0.25">
      <c r="A104" s="1" t="s">
        <v>255</v>
      </c>
      <c r="B104" s="1">
        <v>2022</v>
      </c>
      <c r="C104" s="1">
        <v>2021</v>
      </c>
      <c r="D104" s="1" t="s">
        <v>576</v>
      </c>
    </row>
    <row r="105" spans="1:4" x14ac:dyDescent="0.25">
      <c r="A105" s="1" t="s">
        <v>577</v>
      </c>
    </row>
    <row r="106" spans="1:4" x14ac:dyDescent="0.25">
      <c r="A106" t="s">
        <v>581</v>
      </c>
      <c r="B106" s="7">
        <v>78539</v>
      </c>
      <c r="C106" s="7">
        <v>50466</v>
      </c>
      <c r="D106" s="6">
        <v>0.56000000000000005</v>
      </c>
    </row>
    <row r="107" spans="1:4" x14ac:dyDescent="0.25">
      <c r="A107" t="s">
        <v>617</v>
      </c>
      <c r="B107" s="7">
        <v>102054</v>
      </c>
      <c r="C107" s="7">
        <v>65830</v>
      </c>
      <c r="D107" s="6">
        <v>0.55000000000000004</v>
      </c>
    </row>
    <row r="109" spans="1:4" x14ac:dyDescent="0.25">
      <c r="A109" s="1" t="s">
        <v>583</v>
      </c>
    </row>
    <row r="110" spans="1:4" x14ac:dyDescent="0.25">
      <c r="A110" t="s">
        <v>618</v>
      </c>
      <c r="B110" s="7">
        <v>81220</v>
      </c>
      <c r="C110" s="7">
        <v>55360</v>
      </c>
      <c r="D110" s="6">
        <v>0.47</v>
      </c>
    </row>
    <row r="111" spans="1:4" x14ac:dyDescent="0.25">
      <c r="A111" t="s">
        <v>619</v>
      </c>
      <c r="B111" s="7">
        <v>-12154</v>
      </c>
      <c r="C111" s="7">
        <v>-13472</v>
      </c>
      <c r="D111" s="6">
        <v>-0.1</v>
      </c>
    </row>
    <row r="112" spans="1:4" x14ac:dyDescent="0.25">
      <c r="A112" t="s">
        <v>620</v>
      </c>
      <c r="B112" s="7">
        <v>3946</v>
      </c>
      <c r="C112">
        <v>871</v>
      </c>
      <c r="D112" s="6">
        <v>3.53</v>
      </c>
    </row>
    <row r="115" spans="1:5" x14ac:dyDescent="0.25">
      <c r="A115" t="s">
        <v>621</v>
      </c>
    </row>
    <row r="116" spans="1:5" x14ac:dyDescent="0.25">
      <c r="B116" s="1447" t="s">
        <v>615</v>
      </c>
      <c r="C116" s="1447"/>
    </row>
    <row r="117" spans="1:5" x14ac:dyDescent="0.25">
      <c r="B117" s="1">
        <v>2022</v>
      </c>
      <c r="C117" s="1">
        <v>2021</v>
      </c>
      <c r="D117" s="1" t="s">
        <v>622</v>
      </c>
      <c r="E117" s="1" t="s">
        <v>576</v>
      </c>
    </row>
    <row r="118" spans="1:5" x14ac:dyDescent="0.25">
      <c r="A118" s="1" t="s">
        <v>623</v>
      </c>
    </row>
    <row r="119" spans="1:5" x14ac:dyDescent="0.25">
      <c r="A119" t="s">
        <v>588</v>
      </c>
      <c r="B119" s="7">
        <v>58010</v>
      </c>
      <c r="C119" s="7">
        <v>40055</v>
      </c>
      <c r="D119" s="7">
        <v>17955</v>
      </c>
      <c r="E119" s="6">
        <v>0.45</v>
      </c>
    </row>
    <row r="120" spans="1:5" x14ac:dyDescent="0.25">
      <c r="A120" t="s">
        <v>589</v>
      </c>
      <c r="B120" s="7">
        <v>11748</v>
      </c>
      <c r="C120" s="7">
        <v>9275</v>
      </c>
      <c r="D120" s="7">
        <v>2473</v>
      </c>
      <c r="E120" s="6">
        <v>0.27</v>
      </c>
    </row>
    <row r="121" spans="1:5" x14ac:dyDescent="0.25">
      <c r="A121" t="s">
        <v>624</v>
      </c>
      <c r="B121" s="7">
        <v>8080</v>
      </c>
      <c r="C121" s="7">
        <v>5035</v>
      </c>
      <c r="D121" s="7">
        <v>3045</v>
      </c>
      <c r="E121" s="6">
        <v>0.6</v>
      </c>
    </row>
    <row r="122" spans="1:5" x14ac:dyDescent="0.25">
      <c r="A122" t="s">
        <v>625</v>
      </c>
      <c r="B122" s="7">
        <v>3382</v>
      </c>
      <c r="C122">
        <v>995</v>
      </c>
      <c r="D122" s="7">
        <v>2387</v>
      </c>
      <c r="E122" s="6">
        <v>2.4</v>
      </c>
    </row>
    <row r="123" spans="1:5" x14ac:dyDescent="0.25">
      <c r="A123" t="s">
        <v>626</v>
      </c>
      <c r="B123" s="7">
        <v>81220</v>
      </c>
      <c r="C123" s="7">
        <v>55360</v>
      </c>
      <c r="D123" s="7">
        <v>25860</v>
      </c>
      <c r="E123" s="6">
        <v>0.47</v>
      </c>
    </row>
    <row r="124" spans="1:5" x14ac:dyDescent="0.25">
      <c r="B124" s="7"/>
      <c r="C124" s="7"/>
      <c r="D124" s="7"/>
      <c r="E124" s="6"/>
    </row>
    <row r="126" spans="1:5" x14ac:dyDescent="0.25">
      <c r="A126" s="1" t="s">
        <v>593</v>
      </c>
    </row>
    <row r="127" spans="1:5" x14ac:dyDescent="0.25">
      <c r="A127" t="s">
        <v>627</v>
      </c>
    </row>
    <row r="130" spans="1:5" x14ac:dyDescent="0.25">
      <c r="B130" s="1447" t="s">
        <v>628</v>
      </c>
      <c r="C130" s="1447"/>
      <c r="D130" s="1447" t="s">
        <v>608</v>
      </c>
      <c r="E130" s="1447"/>
    </row>
    <row r="131" spans="1:5" x14ac:dyDescent="0.25">
      <c r="A131" s="1" t="s">
        <v>609</v>
      </c>
      <c r="B131" s="1" t="s">
        <v>610</v>
      </c>
      <c r="C131" s="1" t="s">
        <v>568</v>
      </c>
      <c r="D131" s="1" t="s">
        <v>610</v>
      </c>
      <c r="E131" s="1" t="s">
        <v>568</v>
      </c>
    </row>
    <row r="132" spans="1:5" x14ac:dyDescent="0.25">
      <c r="A132" t="s">
        <v>596</v>
      </c>
      <c r="B132" s="29">
        <v>86</v>
      </c>
      <c r="C132" s="29">
        <v>89</v>
      </c>
      <c r="D132" s="29">
        <v>388</v>
      </c>
      <c r="E132" s="29">
        <v>397</v>
      </c>
    </row>
    <row r="133" spans="1:5" x14ac:dyDescent="0.25">
      <c r="A133" t="s">
        <v>212</v>
      </c>
      <c r="B133" s="29">
        <v>84</v>
      </c>
      <c r="C133" s="29">
        <v>87</v>
      </c>
      <c r="D133" s="29">
        <v>349</v>
      </c>
      <c r="E133" s="29">
        <v>358</v>
      </c>
    </row>
    <row r="134" spans="1:5" x14ac:dyDescent="0.25">
      <c r="A134" t="s">
        <v>12</v>
      </c>
      <c r="B134" s="29">
        <v>-4</v>
      </c>
      <c r="C134" s="29">
        <v>-1</v>
      </c>
      <c r="D134" s="29">
        <v>0</v>
      </c>
      <c r="E134" s="29">
        <v>3</v>
      </c>
    </row>
    <row r="138" spans="1:5" s="189" customFormat="1" x14ac:dyDescent="0.25">
      <c r="A138" s="190" t="s">
        <v>629</v>
      </c>
    </row>
    <row r="140" spans="1:5" x14ac:dyDescent="0.25">
      <c r="A140" t="s">
        <v>613</v>
      </c>
    </row>
    <row r="141" spans="1:5" x14ac:dyDescent="0.25">
      <c r="A141" t="s">
        <v>630</v>
      </c>
    </row>
    <row r="143" spans="1:5" x14ac:dyDescent="0.25">
      <c r="B143" s="1448" t="s">
        <v>631</v>
      </c>
      <c r="C143" s="1448"/>
    </row>
    <row r="144" spans="1:5" x14ac:dyDescent="0.25">
      <c r="A144" s="1" t="s">
        <v>616</v>
      </c>
      <c r="B144" s="1">
        <v>2022</v>
      </c>
      <c r="C144" s="1">
        <v>2021</v>
      </c>
      <c r="D144" s="1" t="s">
        <v>576</v>
      </c>
    </row>
    <row r="145" spans="1:4" x14ac:dyDescent="0.25">
      <c r="A145" s="1" t="s">
        <v>577</v>
      </c>
    </row>
    <row r="146" spans="1:4" x14ac:dyDescent="0.25">
      <c r="A146" t="s">
        <v>578</v>
      </c>
      <c r="B146">
        <v>49.5</v>
      </c>
      <c r="C146">
        <v>37.9</v>
      </c>
      <c r="D146" s="6">
        <v>0.31</v>
      </c>
    </row>
    <row r="147" spans="1:4" x14ac:dyDescent="0.25">
      <c r="A147" t="s">
        <v>579</v>
      </c>
      <c r="B147">
        <v>13.2</v>
      </c>
      <c r="C147">
        <v>9.1</v>
      </c>
      <c r="D147" s="6">
        <v>0.44</v>
      </c>
    </row>
    <row r="148" spans="1:4" x14ac:dyDescent="0.25">
      <c r="A148" t="s">
        <v>580</v>
      </c>
      <c r="B148">
        <v>3.3</v>
      </c>
      <c r="C148">
        <v>1.9</v>
      </c>
      <c r="D148" s="6">
        <v>0.71</v>
      </c>
    </row>
    <row r="150" spans="1:4" x14ac:dyDescent="0.25">
      <c r="B150" s="1448" t="s">
        <v>631</v>
      </c>
      <c r="C150" s="1448"/>
    </row>
    <row r="151" spans="1:4" s="1" customFormat="1" x14ac:dyDescent="0.25">
      <c r="A151" s="1" t="s">
        <v>255</v>
      </c>
      <c r="B151" s="1">
        <v>2022</v>
      </c>
      <c r="C151" s="1">
        <v>2021</v>
      </c>
      <c r="D151" s="1" t="s">
        <v>576</v>
      </c>
    </row>
    <row r="152" spans="1:4" x14ac:dyDescent="0.25">
      <c r="A152" t="s">
        <v>577</v>
      </c>
    </row>
    <row r="153" spans="1:4" x14ac:dyDescent="0.25">
      <c r="A153" t="s">
        <v>604</v>
      </c>
      <c r="B153" s="188">
        <v>74123</v>
      </c>
      <c r="C153" s="7">
        <v>48941</v>
      </c>
      <c r="D153" s="6">
        <v>0.51</v>
      </c>
    </row>
    <row r="154" spans="1:4" x14ac:dyDescent="0.25">
      <c r="A154" t="s">
        <v>617</v>
      </c>
      <c r="B154" s="188">
        <v>97467</v>
      </c>
      <c r="C154" s="7">
        <v>64538</v>
      </c>
      <c r="D154" s="6">
        <v>0.51</v>
      </c>
    </row>
    <row r="156" spans="1:4" x14ac:dyDescent="0.25">
      <c r="A156" s="1" t="s">
        <v>583</v>
      </c>
    </row>
    <row r="157" spans="1:4" x14ac:dyDescent="0.25">
      <c r="A157" t="s">
        <v>618</v>
      </c>
      <c r="B157" s="188">
        <v>88386</v>
      </c>
      <c r="C157" s="7">
        <v>58803</v>
      </c>
      <c r="D157" s="6">
        <v>0.5</v>
      </c>
    </row>
    <row r="158" spans="1:4" x14ac:dyDescent="0.25">
      <c r="A158" t="s">
        <v>584</v>
      </c>
      <c r="B158" s="188">
        <v>-15045</v>
      </c>
      <c r="C158">
        <v>-176</v>
      </c>
      <c r="D158" s="6">
        <v>84.48</v>
      </c>
    </row>
    <row r="159" spans="1:4" x14ac:dyDescent="0.25">
      <c r="A159" t="s">
        <v>585</v>
      </c>
      <c r="B159" s="188">
        <v>4198</v>
      </c>
      <c r="C159" s="7">
        <v>3702</v>
      </c>
      <c r="D159" s="6">
        <v>0.13</v>
      </c>
    </row>
    <row r="162" spans="1:5" x14ac:dyDescent="0.25">
      <c r="A162" t="s">
        <v>632</v>
      </c>
    </row>
    <row r="164" spans="1:5" x14ac:dyDescent="0.25">
      <c r="A164" s="1"/>
      <c r="B164" s="1447" t="s">
        <v>631</v>
      </c>
      <c r="C164" s="1447"/>
      <c r="D164" s="1"/>
      <c r="E164" s="1"/>
    </row>
    <row r="165" spans="1:5" x14ac:dyDescent="0.25">
      <c r="A165" s="1" t="s">
        <v>623</v>
      </c>
      <c r="B165" s="1">
        <v>2022</v>
      </c>
      <c r="C165" s="1">
        <v>2021</v>
      </c>
      <c r="D165" s="1" t="s">
        <v>622</v>
      </c>
      <c r="E165" s="1" t="s">
        <v>576</v>
      </c>
    </row>
    <row r="166" spans="1:5" x14ac:dyDescent="0.25">
      <c r="A166" t="s">
        <v>588</v>
      </c>
      <c r="B166" s="188">
        <v>65194</v>
      </c>
      <c r="C166" s="7">
        <v>43502</v>
      </c>
      <c r="D166" s="188">
        <v>21692</v>
      </c>
      <c r="E166" s="6">
        <v>0.5</v>
      </c>
    </row>
    <row r="167" spans="1:5" x14ac:dyDescent="0.25">
      <c r="A167" t="s">
        <v>589</v>
      </c>
      <c r="B167" s="188">
        <v>11218</v>
      </c>
      <c r="C167" s="7">
        <v>9056</v>
      </c>
      <c r="D167" s="7">
        <v>2162</v>
      </c>
      <c r="E167" s="6">
        <v>0.24</v>
      </c>
    </row>
    <row r="168" spans="1:5" x14ac:dyDescent="0.25">
      <c r="A168" t="s">
        <v>624</v>
      </c>
      <c r="B168" s="188">
        <v>8036</v>
      </c>
      <c r="C168" s="7">
        <v>4833</v>
      </c>
      <c r="D168" s="7">
        <v>3203</v>
      </c>
      <c r="E168" s="6">
        <v>0.66</v>
      </c>
    </row>
    <row r="169" spans="1:5" x14ac:dyDescent="0.25">
      <c r="A169" t="s">
        <v>591</v>
      </c>
      <c r="B169" s="188">
        <v>3938</v>
      </c>
      <c r="C169" s="7">
        <v>1412</v>
      </c>
      <c r="D169" s="7">
        <v>2526</v>
      </c>
      <c r="E169" s="6">
        <v>1.79</v>
      </c>
    </row>
    <row r="170" spans="1:5" x14ac:dyDescent="0.25">
      <c r="A170" t="s">
        <v>592</v>
      </c>
      <c r="B170" s="188">
        <v>88386</v>
      </c>
      <c r="C170" s="7">
        <v>58803</v>
      </c>
      <c r="D170" s="188">
        <v>29583</v>
      </c>
      <c r="E170" s="6">
        <v>0.5</v>
      </c>
    </row>
    <row r="172" spans="1:5" x14ac:dyDescent="0.25">
      <c r="A172" t="s">
        <v>593</v>
      </c>
    </row>
    <row r="173" spans="1:5" x14ac:dyDescent="0.25">
      <c r="A173" t="s">
        <v>633</v>
      </c>
    </row>
    <row r="175" spans="1:5" x14ac:dyDescent="0.25">
      <c r="A175" s="1"/>
      <c r="B175" s="1447" t="s">
        <v>634</v>
      </c>
      <c r="C175" s="1447"/>
      <c r="D175" s="1447" t="s">
        <v>608</v>
      </c>
      <c r="E175" s="1447"/>
    </row>
    <row r="176" spans="1:5" x14ac:dyDescent="0.25">
      <c r="A176" s="1" t="s">
        <v>609</v>
      </c>
      <c r="B176" s="1" t="s">
        <v>610</v>
      </c>
      <c r="C176" s="1" t="s">
        <v>568</v>
      </c>
      <c r="D176" s="1" t="s">
        <v>610</v>
      </c>
      <c r="E176" s="1" t="s">
        <v>568</v>
      </c>
    </row>
    <row r="177" spans="1:5" x14ac:dyDescent="0.25">
      <c r="A177" t="s">
        <v>569</v>
      </c>
      <c r="B177" s="29">
        <v>94</v>
      </c>
      <c r="C177" s="29">
        <v>97</v>
      </c>
      <c r="D177" s="29">
        <v>404</v>
      </c>
      <c r="E177" s="29">
        <v>410</v>
      </c>
    </row>
    <row r="178" spans="1:5" x14ac:dyDescent="0.25">
      <c r="A178" t="s">
        <v>570</v>
      </c>
      <c r="B178" s="29">
        <v>93</v>
      </c>
      <c r="C178" s="29">
        <v>96</v>
      </c>
      <c r="D178" s="29">
        <v>361</v>
      </c>
      <c r="E178" s="29">
        <v>367</v>
      </c>
    </row>
    <row r="179" spans="1:5" x14ac:dyDescent="0.25">
      <c r="A179" t="s">
        <v>571</v>
      </c>
      <c r="B179" s="29">
        <v>-4.5</v>
      </c>
      <c r="C179" s="29">
        <v>-1.5</v>
      </c>
      <c r="D179" s="29">
        <v>4</v>
      </c>
      <c r="E179" s="29">
        <v>7</v>
      </c>
    </row>
    <row r="184" spans="1:5" s="189" customFormat="1" x14ac:dyDescent="0.25">
      <c r="A184" s="190" t="s">
        <v>635</v>
      </c>
    </row>
    <row r="186" spans="1:5" s="1" customFormat="1" x14ac:dyDescent="0.25">
      <c r="B186" s="1447" t="s">
        <v>636</v>
      </c>
      <c r="C186" s="1447"/>
    </row>
    <row r="187" spans="1:5" s="1" customFormat="1" x14ac:dyDescent="0.25">
      <c r="A187" s="1" t="s">
        <v>616</v>
      </c>
      <c r="B187" s="1">
        <v>2022</v>
      </c>
      <c r="C187" s="1">
        <v>2021</v>
      </c>
      <c r="D187" s="1" t="s">
        <v>576</v>
      </c>
    </row>
    <row r="188" spans="1:5" x14ac:dyDescent="0.25">
      <c r="A188" s="1" t="s">
        <v>577</v>
      </c>
    </row>
    <row r="189" spans="1:5" x14ac:dyDescent="0.25">
      <c r="A189" t="s">
        <v>578</v>
      </c>
      <c r="B189">
        <v>56.5</v>
      </c>
      <c r="C189">
        <v>41.7</v>
      </c>
      <c r="D189" s="6">
        <v>0.35</v>
      </c>
    </row>
    <row r="190" spans="1:5" x14ac:dyDescent="0.25">
      <c r="A190" t="s">
        <v>579</v>
      </c>
      <c r="B190">
        <v>14.9</v>
      </c>
      <c r="C190">
        <v>9.8000000000000007</v>
      </c>
      <c r="D190" s="6">
        <v>0.51</v>
      </c>
    </row>
    <row r="191" spans="1:5" x14ac:dyDescent="0.25">
      <c r="A191" t="s">
        <v>580</v>
      </c>
      <c r="B191">
        <v>3.7</v>
      </c>
      <c r="C191">
        <v>2.2000000000000002</v>
      </c>
      <c r="D191" s="6">
        <v>0.68</v>
      </c>
    </row>
    <row r="193" spans="1:5" x14ac:dyDescent="0.25">
      <c r="B193" s="1447" t="s">
        <v>636</v>
      </c>
      <c r="C193" s="1447"/>
      <c r="D193" s="1"/>
    </row>
    <row r="194" spans="1:5" x14ac:dyDescent="0.25">
      <c r="A194" s="1" t="s">
        <v>255</v>
      </c>
      <c r="B194" s="1">
        <v>2022</v>
      </c>
      <c r="C194" s="1">
        <v>2021</v>
      </c>
      <c r="D194" s="1" t="s">
        <v>576</v>
      </c>
    </row>
    <row r="195" spans="1:5" x14ac:dyDescent="0.25">
      <c r="A195" s="1" t="s">
        <v>577</v>
      </c>
    </row>
    <row r="196" spans="1:5" x14ac:dyDescent="0.25">
      <c r="A196" t="s">
        <v>581</v>
      </c>
      <c r="B196" s="7">
        <v>78858</v>
      </c>
      <c r="C196" s="7">
        <v>55362</v>
      </c>
      <c r="D196" s="6">
        <v>0.42</v>
      </c>
    </row>
    <row r="197" spans="1:5" x14ac:dyDescent="0.25">
      <c r="A197" s="1" t="s">
        <v>582</v>
      </c>
      <c r="B197" s="7">
        <v>102738</v>
      </c>
      <c r="C197" s="7">
        <v>73058</v>
      </c>
      <c r="D197" s="6">
        <v>0.41</v>
      </c>
    </row>
    <row r="199" spans="1:5" x14ac:dyDescent="0.25">
      <c r="A199" s="1" t="s">
        <v>583</v>
      </c>
    </row>
    <row r="200" spans="1:5" x14ac:dyDescent="0.25">
      <c r="A200" t="s">
        <v>618</v>
      </c>
      <c r="B200" s="7">
        <v>96065</v>
      </c>
      <c r="C200" s="7">
        <v>63595</v>
      </c>
      <c r="D200" s="6">
        <v>0.51</v>
      </c>
    </row>
    <row r="201" spans="1:5" x14ac:dyDescent="0.25">
      <c r="A201" t="s">
        <v>584</v>
      </c>
      <c r="B201" s="7">
        <v>-18445</v>
      </c>
      <c r="C201" s="7">
        <v>-28970</v>
      </c>
      <c r="D201" t="s">
        <v>637</v>
      </c>
    </row>
    <row r="202" spans="1:5" x14ac:dyDescent="0.25">
      <c r="A202" t="s">
        <v>585</v>
      </c>
      <c r="B202" s="7">
        <v>2130</v>
      </c>
      <c r="C202" s="7">
        <v>-5968</v>
      </c>
      <c r="D202" t="s">
        <v>637</v>
      </c>
    </row>
    <row r="205" spans="1:5" x14ac:dyDescent="0.25">
      <c r="A205" t="s">
        <v>632</v>
      </c>
    </row>
    <row r="207" spans="1:5" s="1" customFormat="1" x14ac:dyDescent="0.25">
      <c r="B207" s="1" t="s">
        <v>636</v>
      </c>
    </row>
    <row r="208" spans="1:5" s="1" customFormat="1" x14ac:dyDescent="0.25">
      <c r="A208" s="1" t="s">
        <v>623</v>
      </c>
      <c r="B208" s="1">
        <v>2022</v>
      </c>
      <c r="C208" s="1">
        <v>2021</v>
      </c>
      <c r="D208" s="1" t="s">
        <v>622</v>
      </c>
      <c r="E208" s="1" t="s">
        <v>576</v>
      </c>
    </row>
    <row r="209" spans="1:5" x14ac:dyDescent="0.25">
      <c r="A209" t="s">
        <v>588</v>
      </c>
      <c r="B209" s="7">
        <v>72172</v>
      </c>
      <c r="C209" s="7">
        <v>46030</v>
      </c>
      <c r="D209" s="7">
        <v>26142</v>
      </c>
      <c r="E209" s="6">
        <v>0.56999999999999995</v>
      </c>
    </row>
    <row r="210" spans="1:5" x14ac:dyDescent="0.25">
      <c r="A210" t="s">
        <v>589</v>
      </c>
      <c r="B210" s="7">
        <v>10619</v>
      </c>
      <c r="C210" s="7">
        <v>9029</v>
      </c>
      <c r="D210" s="7">
        <v>1590</v>
      </c>
      <c r="E210" s="6">
        <v>0.18</v>
      </c>
    </row>
    <row r="211" spans="1:5" x14ac:dyDescent="0.25">
      <c r="A211" t="s">
        <v>590</v>
      </c>
      <c r="B211" s="7">
        <v>8192</v>
      </c>
      <c r="C211" s="7">
        <v>6695</v>
      </c>
      <c r="D211" s="7">
        <v>1497</v>
      </c>
      <c r="E211" s="6">
        <v>0.22</v>
      </c>
    </row>
    <row r="212" spans="1:5" x14ac:dyDescent="0.25">
      <c r="A212" t="s">
        <v>591</v>
      </c>
      <c r="B212" s="7">
        <v>5082</v>
      </c>
      <c r="C212" s="7">
        <v>1841</v>
      </c>
      <c r="D212" s="7">
        <v>3241</v>
      </c>
      <c r="E212" s="6">
        <v>1.76</v>
      </c>
    </row>
    <row r="213" spans="1:5" x14ac:dyDescent="0.25">
      <c r="A213" t="s">
        <v>592</v>
      </c>
      <c r="B213" s="7">
        <v>96065</v>
      </c>
      <c r="C213" s="7">
        <v>63595</v>
      </c>
      <c r="D213" s="7">
        <v>32470</v>
      </c>
      <c r="E213" s="6">
        <v>0.51</v>
      </c>
    </row>
    <row r="216" spans="1:5" x14ac:dyDescent="0.25">
      <c r="A216" s="1" t="s">
        <v>593</v>
      </c>
    </row>
    <row r="217" spans="1:5" x14ac:dyDescent="0.25">
      <c r="A217" t="s">
        <v>638</v>
      </c>
    </row>
    <row r="218" spans="1:5" x14ac:dyDescent="0.25">
      <c r="A218" s="187"/>
    </row>
    <row r="219" spans="1:5" s="1" customFormat="1" x14ac:dyDescent="0.25">
      <c r="A219" s="185"/>
      <c r="B219" s="1447" t="s">
        <v>639</v>
      </c>
      <c r="C219" s="1447"/>
      <c r="D219" s="1447" t="s">
        <v>608</v>
      </c>
      <c r="E219" s="1447"/>
    </row>
    <row r="220" spans="1:5" s="1" customFormat="1" x14ac:dyDescent="0.25">
      <c r="A220" s="1" t="s">
        <v>609</v>
      </c>
      <c r="B220" s="1" t="s">
        <v>610</v>
      </c>
      <c r="C220" s="1" t="s">
        <v>568</v>
      </c>
      <c r="D220" s="1" t="s">
        <v>610</v>
      </c>
      <c r="E220" s="1" t="s">
        <v>568</v>
      </c>
    </row>
    <row r="221" spans="1:5" x14ac:dyDescent="0.25">
      <c r="A221" t="s">
        <v>569</v>
      </c>
      <c r="B221" s="29">
        <v>112</v>
      </c>
      <c r="C221" s="29">
        <v>115</v>
      </c>
      <c r="D221" s="29">
        <v>414</v>
      </c>
      <c r="E221" s="29">
        <v>417</v>
      </c>
    </row>
    <row r="222" spans="1:5" x14ac:dyDescent="0.25">
      <c r="A222" t="s">
        <v>570</v>
      </c>
      <c r="B222" s="29">
        <v>98</v>
      </c>
      <c r="C222" s="29">
        <v>101</v>
      </c>
      <c r="D222" s="29">
        <v>364</v>
      </c>
      <c r="E222" s="29">
        <v>367</v>
      </c>
    </row>
    <row r="223" spans="1:5" x14ac:dyDescent="0.25">
      <c r="A223" t="s">
        <v>571</v>
      </c>
      <c r="B223" s="29">
        <v>-3</v>
      </c>
      <c r="C223" s="29">
        <v>0</v>
      </c>
      <c r="D223" s="29">
        <v>7</v>
      </c>
      <c r="E223" s="29">
        <v>10</v>
      </c>
    </row>
    <row r="226" spans="1:7" s="189" customFormat="1" x14ac:dyDescent="0.25">
      <c r="A226" s="190" t="s">
        <v>640</v>
      </c>
    </row>
    <row r="228" spans="1:7" x14ac:dyDescent="0.25">
      <c r="A228" t="s">
        <v>641</v>
      </c>
    </row>
    <row r="229" spans="1:7" x14ac:dyDescent="0.25">
      <c r="A229" t="s">
        <v>642</v>
      </c>
    </row>
    <row r="232" spans="1:7" s="1" customFormat="1" x14ac:dyDescent="0.25">
      <c r="B232" s="1447" t="s">
        <v>599</v>
      </c>
      <c r="C232" s="1447"/>
    </row>
    <row r="233" spans="1:7" s="1" customFormat="1" x14ac:dyDescent="0.25">
      <c r="A233" s="1" t="s">
        <v>616</v>
      </c>
      <c r="B233" s="1">
        <v>2022</v>
      </c>
      <c r="C233" s="1">
        <v>2021</v>
      </c>
      <c r="D233" s="1" t="s">
        <v>576</v>
      </c>
    </row>
    <row r="234" spans="1:7" x14ac:dyDescent="0.25">
      <c r="A234" s="1" t="s">
        <v>577</v>
      </c>
    </row>
    <row r="235" spans="1:7" x14ac:dyDescent="0.25">
      <c r="A235" t="s">
        <v>643</v>
      </c>
      <c r="B235">
        <v>60.7</v>
      </c>
      <c r="C235">
        <v>42.4</v>
      </c>
      <c r="D235" s="6">
        <v>0.43</v>
      </c>
    </row>
    <row r="236" spans="1:7" x14ac:dyDescent="0.25">
      <c r="A236" t="s">
        <v>644</v>
      </c>
      <c r="B236">
        <v>16.3</v>
      </c>
      <c r="C236">
        <v>10.1</v>
      </c>
      <c r="D236" s="6">
        <v>0.62</v>
      </c>
    </row>
    <row r="237" spans="1:7" x14ac:dyDescent="0.25">
      <c r="A237" t="s">
        <v>580</v>
      </c>
      <c r="B237">
        <v>4.2</v>
      </c>
      <c r="C237">
        <v>2.5</v>
      </c>
      <c r="D237" s="6">
        <v>0.67</v>
      </c>
    </row>
    <row r="240" spans="1:7" s="1" customFormat="1" x14ac:dyDescent="0.25">
      <c r="B240" s="1447" t="s">
        <v>599</v>
      </c>
      <c r="C240" s="1447"/>
      <c r="D240" s="1447"/>
      <c r="E240" s="1447" t="s">
        <v>645</v>
      </c>
      <c r="F240" s="1447"/>
      <c r="G240" s="1447"/>
    </row>
    <row r="241" spans="1:9" s="1" customFormat="1" x14ac:dyDescent="0.25">
      <c r="A241" s="1" t="s">
        <v>255</v>
      </c>
      <c r="B241" s="1">
        <v>2022</v>
      </c>
      <c r="C241" s="1">
        <v>2021</v>
      </c>
      <c r="D241" s="1" t="s">
        <v>576</v>
      </c>
      <c r="E241" s="1">
        <v>2022</v>
      </c>
      <c r="F241" s="1">
        <v>2021</v>
      </c>
      <c r="G241" s="1" t="s">
        <v>576</v>
      </c>
    </row>
    <row r="242" spans="1:9" x14ac:dyDescent="0.25">
      <c r="A242" s="1" t="s">
        <v>577</v>
      </c>
    </row>
    <row r="243" spans="1:9" x14ac:dyDescent="0.25">
      <c r="A243" t="s">
        <v>646</v>
      </c>
      <c r="B243" s="7">
        <v>100283</v>
      </c>
      <c r="C243" s="7">
        <v>69752</v>
      </c>
      <c r="D243" s="6">
        <v>0.44</v>
      </c>
      <c r="E243" s="7">
        <v>331803</v>
      </c>
      <c r="F243" s="7">
        <v>224520</v>
      </c>
      <c r="G243" s="6">
        <v>0.48</v>
      </c>
    </row>
    <row r="244" spans="1:9" x14ac:dyDescent="0.25">
      <c r="A244" t="s">
        <v>582</v>
      </c>
      <c r="B244" s="7">
        <v>126388</v>
      </c>
      <c r="C244" s="7">
        <v>90821</v>
      </c>
      <c r="D244" s="6">
        <v>0.39</v>
      </c>
      <c r="E244" s="7">
        <v>428647</v>
      </c>
      <c r="F244" s="7">
        <v>294247</v>
      </c>
      <c r="G244" s="6">
        <v>0.46</v>
      </c>
    </row>
    <row r="247" spans="1:9" x14ac:dyDescent="0.25">
      <c r="A247" s="1" t="s">
        <v>583</v>
      </c>
    </row>
    <row r="248" spans="1:9" x14ac:dyDescent="0.25">
      <c r="A248" t="s">
        <v>618</v>
      </c>
      <c r="B248" s="7">
        <v>103824</v>
      </c>
      <c r="C248" s="7">
        <v>73014</v>
      </c>
      <c r="D248" s="6">
        <v>0.42</v>
      </c>
      <c r="E248" s="7">
        <v>369495</v>
      </c>
      <c r="F248" s="7">
        <v>250772</v>
      </c>
      <c r="G248" s="6">
        <v>0.47</v>
      </c>
    </row>
    <row r="249" spans="1:9" x14ac:dyDescent="0.25">
      <c r="A249" t="s">
        <v>619</v>
      </c>
      <c r="B249" s="7">
        <v>-13930</v>
      </c>
      <c r="C249" s="7">
        <v>-17517</v>
      </c>
      <c r="D249" t="s">
        <v>637</v>
      </c>
      <c r="E249" s="7">
        <v>-59574</v>
      </c>
      <c r="F249" s="7">
        <v>-60135</v>
      </c>
      <c r="G249" t="s">
        <v>637</v>
      </c>
    </row>
    <row r="250" spans="1:9" x14ac:dyDescent="0.25">
      <c r="A250" t="s">
        <v>585</v>
      </c>
      <c r="B250" s="7">
        <v>5183</v>
      </c>
      <c r="C250">
        <v>329</v>
      </c>
      <c r="D250" t="s">
        <v>637</v>
      </c>
      <c r="E250" s="7">
        <v>15457</v>
      </c>
      <c r="F250" s="7">
        <v>-1066</v>
      </c>
      <c r="G250" t="s">
        <v>637</v>
      </c>
    </row>
    <row r="253" spans="1:9" x14ac:dyDescent="0.25">
      <c r="A253" t="s">
        <v>632</v>
      </c>
    </row>
    <row r="254" spans="1:9" x14ac:dyDescent="0.25">
      <c r="B254" s="1447" t="s">
        <v>599</v>
      </c>
      <c r="C254" s="1447"/>
      <c r="D254" s="1447"/>
      <c r="F254" s="186" t="s">
        <v>645</v>
      </c>
      <c r="G254" s="186"/>
      <c r="H254" s="186"/>
    </row>
    <row r="255" spans="1:9" x14ac:dyDescent="0.25">
      <c r="A255" s="1" t="s">
        <v>623</v>
      </c>
      <c r="B255" s="1">
        <v>2022</v>
      </c>
      <c r="C255" s="1">
        <v>2021</v>
      </c>
      <c r="D255" s="1" t="s">
        <v>622</v>
      </c>
      <c r="E255" s="1" t="s">
        <v>576</v>
      </c>
      <c r="F255" s="1">
        <v>2022</v>
      </c>
      <c r="G255" s="1">
        <v>2021</v>
      </c>
      <c r="H255" s="1" t="s">
        <v>622</v>
      </c>
      <c r="I255" s="1" t="s">
        <v>576</v>
      </c>
    </row>
    <row r="256" spans="1:9" x14ac:dyDescent="0.25">
      <c r="A256" t="s">
        <v>646</v>
      </c>
      <c r="B256" s="188">
        <v>78131</v>
      </c>
      <c r="C256" s="188">
        <v>51111</v>
      </c>
      <c r="D256" s="188">
        <v>27020</v>
      </c>
      <c r="E256" s="6">
        <v>0.53</v>
      </c>
      <c r="F256" s="188">
        <v>273507</v>
      </c>
      <c r="G256" s="7">
        <v>180698</v>
      </c>
      <c r="H256" s="7">
        <v>92809</v>
      </c>
      <c r="I256" s="6">
        <v>0.51</v>
      </c>
    </row>
    <row r="257" spans="1:9" x14ac:dyDescent="0.25">
      <c r="A257" t="s">
        <v>589</v>
      </c>
      <c r="B257" s="7">
        <v>11146</v>
      </c>
      <c r="C257" s="7">
        <v>11141</v>
      </c>
      <c r="D257">
        <v>5</v>
      </c>
      <c r="E257" t="s">
        <v>647</v>
      </c>
      <c r="F257" s="7">
        <v>44731</v>
      </c>
      <c r="G257" s="7">
        <v>38501</v>
      </c>
      <c r="H257" s="7">
        <v>6230</v>
      </c>
      <c r="I257" s="6">
        <v>0.16</v>
      </c>
    </row>
    <row r="258" spans="1:9" x14ac:dyDescent="0.25">
      <c r="A258" t="s">
        <v>590</v>
      </c>
      <c r="B258" s="7">
        <v>8410</v>
      </c>
      <c r="C258" s="7">
        <v>8095</v>
      </c>
      <c r="D258">
        <v>315</v>
      </c>
      <c r="E258" s="6">
        <v>0.04</v>
      </c>
      <c r="F258" s="7">
        <v>32718</v>
      </c>
      <c r="G258" s="7">
        <v>24658</v>
      </c>
      <c r="H258" s="7">
        <v>8060</v>
      </c>
      <c r="I258" s="6">
        <v>0.33</v>
      </c>
    </row>
    <row r="259" spans="1:9" x14ac:dyDescent="0.25">
      <c r="A259" t="s">
        <v>648</v>
      </c>
      <c r="B259" s="7">
        <v>6137</v>
      </c>
      <c r="C259" s="7">
        <v>2667</v>
      </c>
      <c r="D259" s="7">
        <v>3470</v>
      </c>
      <c r="E259" s="6">
        <v>1.3</v>
      </c>
      <c r="F259" s="7">
        <v>18539</v>
      </c>
      <c r="G259" s="7">
        <v>6915</v>
      </c>
      <c r="H259" s="7">
        <v>11624</v>
      </c>
      <c r="I259" s="6">
        <v>1.68</v>
      </c>
    </row>
    <row r="260" spans="1:9" x14ac:dyDescent="0.25">
      <c r="A260" t="s">
        <v>592</v>
      </c>
      <c r="B260" s="188">
        <v>103824</v>
      </c>
      <c r="C260" s="188">
        <v>73014</v>
      </c>
      <c r="D260" s="188">
        <v>30810</v>
      </c>
      <c r="E260" s="6">
        <v>0.42</v>
      </c>
      <c r="F260" s="188">
        <v>369495</v>
      </c>
      <c r="G260" s="7">
        <v>250772</v>
      </c>
      <c r="H260" s="7">
        <v>118723</v>
      </c>
      <c r="I260" s="6">
        <v>0.47</v>
      </c>
    </row>
    <row r="262" spans="1:9" x14ac:dyDescent="0.25">
      <c r="A262" t="s">
        <v>649</v>
      </c>
    </row>
    <row r="266" spans="1:9" x14ac:dyDescent="0.25">
      <c r="A266" s="1" t="s">
        <v>593</v>
      </c>
    </row>
    <row r="267" spans="1:9" x14ac:dyDescent="0.25">
      <c r="A267" t="s">
        <v>650</v>
      </c>
    </row>
    <row r="268" spans="1:9" x14ac:dyDescent="0.25">
      <c r="A268" s="187"/>
    </row>
    <row r="269" spans="1:9" x14ac:dyDescent="0.25">
      <c r="A269" s="185"/>
      <c r="B269" s="1447" t="s">
        <v>651</v>
      </c>
      <c r="C269" s="1447"/>
      <c r="D269" s="1447" t="s">
        <v>652</v>
      </c>
      <c r="E269" s="1447"/>
    </row>
    <row r="270" spans="1:9" x14ac:dyDescent="0.25">
      <c r="A270" s="185"/>
      <c r="B270" s="1" t="s">
        <v>610</v>
      </c>
      <c r="C270" s="1" t="s">
        <v>568</v>
      </c>
      <c r="D270" s="1" t="s">
        <v>610</v>
      </c>
      <c r="E270" s="1" t="s">
        <v>568</v>
      </c>
    </row>
    <row r="271" spans="1:9" x14ac:dyDescent="0.25">
      <c r="A271" t="s">
        <v>609</v>
      </c>
      <c r="B271" s="29">
        <v>127.5</v>
      </c>
      <c r="C271" s="29">
        <v>130.5</v>
      </c>
      <c r="D271" s="29">
        <v>530</v>
      </c>
      <c r="E271" s="29">
        <v>542</v>
      </c>
    </row>
    <row r="272" spans="1:9" x14ac:dyDescent="0.25">
      <c r="A272" t="s">
        <v>569</v>
      </c>
      <c r="B272" s="29">
        <v>111</v>
      </c>
      <c r="C272" s="29">
        <v>114</v>
      </c>
      <c r="D272" s="29">
        <v>486</v>
      </c>
      <c r="E272" s="29">
        <v>498</v>
      </c>
    </row>
    <row r="273" spans="1:5" x14ac:dyDescent="0.25">
      <c r="A273" t="s">
        <v>570</v>
      </c>
      <c r="B273" s="29">
        <v>10</v>
      </c>
      <c r="C273" s="29">
        <v>11.4</v>
      </c>
      <c r="D273" s="29">
        <v>48.6</v>
      </c>
      <c r="E273" s="29">
        <v>59.8</v>
      </c>
    </row>
    <row r="274" spans="1:5" x14ac:dyDescent="0.25">
      <c r="A274" t="s">
        <v>571</v>
      </c>
      <c r="B274" s="8">
        <v>0.09</v>
      </c>
      <c r="C274" s="8">
        <v>0.1</v>
      </c>
      <c r="D274" s="8">
        <v>0.1</v>
      </c>
      <c r="E274" s="8">
        <v>0.12</v>
      </c>
    </row>
    <row r="275" spans="1:5" x14ac:dyDescent="0.25">
      <c r="A275" t="s">
        <v>653</v>
      </c>
    </row>
  </sheetData>
  <mergeCells count="32">
    <mergeCell ref="B15:C15"/>
    <mergeCell ref="D15:E15"/>
    <mergeCell ref="B63:C63"/>
    <mergeCell ref="E63:F63"/>
    <mergeCell ref="B81:C81"/>
    <mergeCell ref="D81:E81"/>
    <mergeCell ref="B42:C42"/>
    <mergeCell ref="B43:C43"/>
    <mergeCell ref="B186:C186"/>
    <mergeCell ref="D54:E54"/>
    <mergeCell ref="B54:C54"/>
    <mergeCell ref="B26:C26"/>
    <mergeCell ref="B27:C27"/>
    <mergeCell ref="B116:C116"/>
    <mergeCell ref="B130:C130"/>
    <mergeCell ref="D130:E130"/>
    <mergeCell ref="B96:C96"/>
    <mergeCell ref="B103:C103"/>
    <mergeCell ref="B143:C143"/>
    <mergeCell ref="B150:C150"/>
    <mergeCell ref="B164:C164"/>
    <mergeCell ref="D175:E175"/>
    <mergeCell ref="B175:C175"/>
    <mergeCell ref="B193:C193"/>
    <mergeCell ref="B254:D254"/>
    <mergeCell ref="B269:C269"/>
    <mergeCell ref="D269:E269"/>
    <mergeCell ref="B219:C219"/>
    <mergeCell ref="D219:E219"/>
    <mergeCell ref="B232:C232"/>
    <mergeCell ref="B240:D240"/>
    <mergeCell ref="E240:G2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5"/>
  <sheetViews>
    <sheetView topLeftCell="AR16" zoomScale="70" zoomScaleNormal="70" workbookViewId="0">
      <selection activeCell="K74" sqref="K74"/>
    </sheetView>
  </sheetViews>
  <sheetFormatPr defaultRowHeight="15" x14ac:dyDescent="0.25"/>
  <cols>
    <col min="1" max="1" width="16" bestFit="1" customWidth="1"/>
    <col min="7" max="7" width="38" customWidth="1"/>
    <col min="8" max="8" width="35.7109375" customWidth="1"/>
    <col min="9" max="9" width="23.85546875" customWidth="1"/>
    <col min="10" max="11" width="23" bestFit="1" customWidth="1"/>
    <col min="12" max="12" width="17.140625" customWidth="1"/>
    <col min="15" max="15" width="32.42578125" customWidth="1"/>
    <col min="16" max="16" width="42" customWidth="1"/>
    <col min="25" max="25" width="33.85546875" bestFit="1" customWidth="1"/>
    <col min="26" max="30" width="19.140625" customWidth="1"/>
    <col min="31" max="31" width="32" bestFit="1" customWidth="1"/>
    <col min="32" max="32" width="25.28515625" customWidth="1"/>
    <col min="38" max="38" width="32" bestFit="1" customWidth="1"/>
    <col min="39" max="39" width="43.140625" bestFit="1" customWidth="1"/>
    <col min="40" max="40" width="9.140625" bestFit="1" customWidth="1"/>
    <col min="41" max="41" width="13.140625" bestFit="1" customWidth="1"/>
    <col min="42" max="42" width="13.85546875" customWidth="1"/>
    <col min="45" max="45" width="32" bestFit="1" customWidth="1"/>
    <col min="46" max="47" width="11.5703125" customWidth="1"/>
    <col min="48" max="49" width="13.140625" bestFit="1" customWidth="1"/>
    <col min="50" max="50" width="31.42578125" bestFit="1" customWidth="1"/>
    <col min="51" max="51" width="9.28515625" bestFit="1" customWidth="1"/>
  </cols>
  <sheetData>
    <row r="1" spans="8:8" s="189" customFormat="1" x14ac:dyDescent="0.25"/>
    <row r="2" spans="8:8" x14ac:dyDescent="0.25">
      <c r="H2" t="s">
        <v>553</v>
      </c>
    </row>
    <row r="10" spans="8:8" x14ac:dyDescent="0.25">
      <c r="H10" s="1"/>
    </row>
    <row r="11" spans="8:8" x14ac:dyDescent="0.25">
      <c r="H11" s="1"/>
    </row>
    <row r="12" spans="8:8" x14ac:dyDescent="0.25">
      <c r="H12" s="1"/>
    </row>
    <row r="23" spans="1:52" s="189" customFormat="1" x14ac:dyDescent="0.25">
      <c r="A23" s="190" t="s">
        <v>552</v>
      </c>
      <c r="H23" s="190" t="s">
        <v>654</v>
      </c>
      <c r="O23" s="190" t="s">
        <v>597</v>
      </c>
      <c r="Y23" s="190" t="s">
        <v>611</v>
      </c>
      <c r="AE23" s="190" t="s">
        <v>629</v>
      </c>
      <c r="AL23" s="190" t="s">
        <v>635</v>
      </c>
      <c r="AS23" s="190" t="s">
        <v>640</v>
      </c>
    </row>
    <row r="24" spans="1:52" s="201" customFormat="1" x14ac:dyDescent="0.25">
      <c r="I24" s="1452" t="s">
        <v>636</v>
      </c>
      <c r="J24" s="1452"/>
      <c r="K24" s="1452"/>
      <c r="P24" s="1453" t="s">
        <v>599</v>
      </c>
      <c r="Q24" s="1453"/>
      <c r="R24" s="1453"/>
      <c r="S24" s="200" t="s">
        <v>600</v>
      </c>
      <c r="T24" s="200"/>
      <c r="U24" s="200"/>
      <c r="Z24" s="1452" t="s">
        <v>615</v>
      </c>
      <c r="AA24" s="1452"/>
      <c r="AB24" s="200"/>
      <c r="AF24" s="217" t="s">
        <v>631</v>
      </c>
      <c r="AG24" s="217"/>
      <c r="AI24" s="200"/>
      <c r="AM24" s="202" t="s">
        <v>636</v>
      </c>
      <c r="AS24" s="200"/>
      <c r="AT24" s="1452" t="s">
        <v>599</v>
      </c>
      <c r="AU24" s="1452"/>
      <c r="AV24" s="200"/>
    </row>
    <row r="25" spans="1:52" s="200" customFormat="1" ht="30" x14ac:dyDescent="0.25">
      <c r="A25" s="200" t="s">
        <v>554</v>
      </c>
      <c r="B25" s="200" t="s">
        <v>555</v>
      </c>
      <c r="C25" s="200" t="s">
        <v>655</v>
      </c>
      <c r="D25" s="200" t="s">
        <v>576</v>
      </c>
      <c r="E25" s="201"/>
      <c r="F25" s="201"/>
      <c r="H25" s="200" t="s">
        <v>575</v>
      </c>
      <c r="I25" s="200">
        <v>2021</v>
      </c>
      <c r="J25" s="200">
        <v>2020</v>
      </c>
      <c r="L25" s="200" t="s">
        <v>576</v>
      </c>
      <c r="O25" s="200" t="s">
        <v>656</v>
      </c>
      <c r="P25" s="208">
        <v>2021</v>
      </c>
      <c r="Q25" s="200">
        <v>2020</v>
      </c>
      <c r="R25" s="208" t="s">
        <v>602</v>
      </c>
      <c r="S25" s="200">
        <v>2021</v>
      </c>
      <c r="T25" s="200">
        <v>2020</v>
      </c>
      <c r="U25" s="208" t="s">
        <v>602</v>
      </c>
      <c r="Y25" s="200" t="s">
        <v>616</v>
      </c>
      <c r="Z25" s="200">
        <v>2022</v>
      </c>
      <c r="AA25" s="200">
        <v>2021</v>
      </c>
      <c r="AB25" s="208" t="s">
        <v>576</v>
      </c>
      <c r="AE25" s="200" t="s">
        <v>616</v>
      </c>
      <c r="AF25" s="200">
        <v>2022</v>
      </c>
      <c r="AG25" s="200">
        <v>2021</v>
      </c>
      <c r="AH25" s="200" t="s">
        <v>576</v>
      </c>
      <c r="AI25" s="201"/>
      <c r="AL25" s="200" t="s">
        <v>616</v>
      </c>
      <c r="AM25" s="200">
        <v>2022</v>
      </c>
      <c r="AN25" s="200">
        <v>2021</v>
      </c>
      <c r="AO25" s="200" t="s">
        <v>576</v>
      </c>
      <c r="AP25" s="201"/>
      <c r="AQ25" s="201"/>
      <c r="AS25" s="200" t="s">
        <v>616</v>
      </c>
      <c r="AT25" s="200">
        <v>2022</v>
      </c>
      <c r="AU25" s="200">
        <v>2021</v>
      </c>
      <c r="AV25" s="200" t="s">
        <v>576</v>
      </c>
      <c r="AW25" s="201"/>
      <c r="AX25" s="201"/>
      <c r="AY25" s="201"/>
    </row>
    <row r="26" spans="1:52" s="201" customFormat="1" x14ac:dyDescent="0.25">
      <c r="A26" s="200" t="s">
        <v>577</v>
      </c>
      <c r="H26" s="200" t="s">
        <v>577</v>
      </c>
      <c r="O26" s="200" t="s">
        <v>577</v>
      </c>
      <c r="Y26" s="200" t="s">
        <v>577</v>
      </c>
      <c r="AE26" s="200" t="s">
        <v>577</v>
      </c>
      <c r="AL26" s="200" t="s">
        <v>577</v>
      </c>
      <c r="AP26" s="200"/>
      <c r="AQ26" s="200"/>
      <c r="AS26" s="200" t="s">
        <v>577</v>
      </c>
      <c r="AW26" s="200"/>
      <c r="AX26" s="200"/>
      <c r="AY26" s="200"/>
    </row>
    <row r="27" spans="1:52" x14ac:dyDescent="0.25">
      <c r="A27" t="s">
        <v>556</v>
      </c>
      <c r="B27">
        <v>37.9</v>
      </c>
      <c r="D27" s="6">
        <v>-0.03</v>
      </c>
      <c r="H27" t="s">
        <v>578</v>
      </c>
      <c r="I27">
        <v>41.7</v>
      </c>
      <c r="J27">
        <v>37</v>
      </c>
      <c r="K27" s="216"/>
      <c r="L27" s="6">
        <v>0.13</v>
      </c>
      <c r="O27" s="5" t="s">
        <v>578</v>
      </c>
      <c r="P27">
        <v>42.4</v>
      </c>
      <c r="Q27">
        <v>37</v>
      </c>
      <c r="R27" s="6">
        <v>0.15</v>
      </c>
      <c r="S27">
        <v>40.5</v>
      </c>
      <c r="T27">
        <v>36.700000000000003</v>
      </c>
      <c r="U27" s="6">
        <v>0.1</v>
      </c>
      <c r="Y27" t="s">
        <v>578</v>
      </c>
      <c r="Z27">
        <v>49.2</v>
      </c>
      <c r="AA27">
        <v>39.9</v>
      </c>
      <c r="AB27" s="6">
        <v>0.23</v>
      </c>
      <c r="AE27" t="s">
        <v>578</v>
      </c>
      <c r="AF27" s="215">
        <v>49.5</v>
      </c>
      <c r="AG27" s="215">
        <v>37.9</v>
      </c>
      <c r="AH27" s="6">
        <v>0.31</v>
      </c>
      <c r="AL27" t="s">
        <v>578</v>
      </c>
      <c r="AM27" s="215">
        <v>56.5</v>
      </c>
      <c r="AN27" s="215">
        <v>41.7</v>
      </c>
      <c r="AO27" s="6">
        <v>0.35</v>
      </c>
      <c r="AS27" t="s">
        <v>643</v>
      </c>
      <c r="AT27" s="215">
        <v>60.7</v>
      </c>
      <c r="AU27" s="215">
        <v>42.4</v>
      </c>
      <c r="AV27" s="6">
        <v>0.43</v>
      </c>
    </row>
    <row r="28" spans="1:52" x14ac:dyDescent="0.25">
      <c r="A28" t="s">
        <v>558</v>
      </c>
      <c r="B28">
        <v>9.1</v>
      </c>
      <c r="D28" s="6">
        <v>0.02</v>
      </c>
      <c r="H28" t="s">
        <v>579</v>
      </c>
      <c r="I28">
        <v>9.8000000000000007</v>
      </c>
      <c r="J28">
        <v>8.4</v>
      </c>
      <c r="L28" s="6">
        <v>0.16</v>
      </c>
      <c r="O28" t="s">
        <v>579</v>
      </c>
      <c r="P28">
        <v>10.1</v>
      </c>
      <c r="Q28">
        <v>8.4</v>
      </c>
      <c r="R28" s="6">
        <v>0.2</v>
      </c>
      <c r="S28">
        <v>9.6</v>
      </c>
      <c r="T28">
        <v>8.1999999999999993</v>
      </c>
      <c r="U28" s="6">
        <v>0.18</v>
      </c>
      <c r="Y28" t="s">
        <v>579</v>
      </c>
      <c r="Z28">
        <v>12.5</v>
      </c>
      <c r="AA28">
        <v>9.5</v>
      </c>
      <c r="AB28" s="6">
        <v>0.31</v>
      </c>
      <c r="AE28" t="s">
        <v>579</v>
      </c>
      <c r="AF28" s="215">
        <v>13.2</v>
      </c>
      <c r="AG28" s="215">
        <v>9.1</v>
      </c>
      <c r="AH28" s="6">
        <v>0.44</v>
      </c>
      <c r="AL28" t="s">
        <v>579</v>
      </c>
      <c r="AM28" s="215">
        <v>14.9</v>
      </c>
      <c r="AN28" s="215">
        <v>9.8000000000000007</v>
      </c>
      <c r="AO28" s="6">
        <v>0.51</v>
      </c>
      <c r="AS28" t="s">
        <v>644</v>
      </c>
      <c r="AT28" s="215">
        <v>16.3</v>
      </c>
      <c r="AU28" s="215">
        <v>10.1</v>
      </c>
      <c r="AV28" s="6">
        <v>0.62</v>
      </c>
    </row>
    <row r="29" spans="1:52" x14ac:dyDescent="0.25">
      <c r="A29" t="s">
        <v>560</v>
      </c>
      <c r="B29">
        <v>1.9</v>
      </c>
      <c r="D29" s="6">
        <v>0.46</v>
      </c>
      <c r="H29" t="s">
        <v>580</v>
      </c>
      <c r="I29">
        <v>2.2000000000000002</v>
      </c>
      <c r="J29">
        <v>1.5</v>
      </c>
      <c r="L29" s="6">
        <v>0.49</v>
      </c>
      <c r="O29" t="s">
        <v>580</v>
      </c>
      <c r="P29">
        <v>2.5</v>
      </c>
      <c r="Q29">
        <v>1.6</v>
      </c>
      <c r="R29" s="6">
        <v>0.56000000000000005</v>
      </c>
      <c r="S29">
        <v>2.5</v>
      </c>
      <c r="T29">
        <v>1.6</v>
      </c>
      <c r="U29" s="6">
        <v>0.56000000000000005</v>
      </c>
      <c r="Y29" t="s">
        <v>580</v>
      </c>
      <c r="Z29">
        <v>2.9</v>
      </c>
      <c r="AA29">
        <v>1.8</v>
      </c>
      <c r="AB29" s="6">
        <v>0.6</v>
      </c>
      <c r="AE29" t="s">
        <v>580</v>
      </c>
      <c r="AF29" s="215">
        <v>3.3</v>
      </c>
      <c r="AG29" s="215">
        <v>1.9</v>
      </c>
      <c r="AH29" s="6">
        <v>0.71</v>
      </c>
      <c r="AL29" t="s">
        <v>580</v>
      </c>
      <c r="AM29" s="215">
        <v>3.7</v>
      </c>
      <c r="AN29" s="215">
        <v>2.2000000000000002</v>
      </c>
      <c r="AO29" s="6">
        <v>0.68</v>
      </c>
      <c r="AS29" t="s">
        <v>580</v>
      </c>
      <c r="AT29" s="215">
        <v>4.2</v>
      </c>
      <c r="AU29" s="215">
        <v>2.5</v>
      </c>
      <c r="AV29" s="6">
        <v>0.67</v>
      </c>
    </row>
    <row r="30" spans="1:52" x14ac:dyDescent="0.25">
      <c r="H30" t="s">
        <v>582</v>
      </c>
      <c r="I30" s="188">
        <v>73058</v>
      </c>
      <c r="J30" s="188">
        <v>46667</v>
      </c>
      <c r="L30" s="6">
        <v>0.56999999999999995</v>
      </c>
      <c r="O30" t="s">
        <v>582</v>
      </c>
      <c r="P30" s="7">
        <v>90821</v>
      </c>
      <c r="Q30" s="7">
        <v>57064</v>
      </c>
      <c r="R30" s="6">
        <v>0.59</v>
      </c>
      <c r="S30" s="7">
        <v>294247</v>
      </c>
      <c r="T30" s="7">
        <v>190181</v>
      </c>
      <c r="U30" s="6">
        <v>0.55000000000000004</v>
      </c>
      <c r="AS30" t="s">
        <v>596</v>
      </c>
      <c r="AT30" s="214">
        <v>126388</v>
      </c>
      <c r="AU30" s="213">
        <v>428647</v>
      </c>
      <c r="AW30" s="201"/>
      <c r="AX30" s="202" t="s">
        <v>645</v>
      </c>
      <c r="AY30" s="202"/>
    </row>
    <row r="31" spans="1:52" s="200" customFormat="1" x14ac:dyDescent="0.25">
      <c r="H31" s="200" t="s">
        <v>583</v>
      </c>
      <c r="O31" s="200" t="s">
        <v>583</v>
      </c>
      <c r="Y31" s="200" t="s">
        <v>583</v>
      </c>
      <c r="AE31" s="200" t="s">
        <v>583</v>
      </c>
      <c r="AL31" s="200" t="s">
        <v>583</v>
      </c>
      <c r="AS31" s="200" t="s">
        <v>583</v>
      </c>
      <c r="AX31" s="200">
        <v>2022</v>
      </c>
      <c r="AY31" s="200">
        <v>2021</v>
      </c>
      <c r="AZ31" s="200" t="s">
        <v>622</v>
      </c>
    </row>
    <row r="32" spans="1:52" x14ac:dyDescent="0.25">
      <c r="H32" s="1"/>
      <c r="O32" t="s">
        <v>605</v>
      </c>
      <c r="P32" s="7">
        <v>73014</v>
      </c>
      <c r="Q32" s="7">
        <v>48268</v>
      </c>
      <c r="R32" s="6">
        <v>0.51</v>
      </c>
      <c r="S32" s="7">
        <v>250772</v>
      </c>
      <c r="T32" s="7">
        <v>161696</v>
      </c>
      <c r="U32" s="6">
        <v>0.55000000000000004</v>
      </c>
      <c r="Y32" t="s">
        <v>618</v>
      </c>
      <c r="Z32" s="7">
        <v>81220</v>
      </c>
      <c r="AA32" s="7">
        <v>55360</v>
      </c>
      <c r="AB32" s="6">
        <v>0.47</v>
      </c>
      <c r="AE32" t="s">
        <v>618</v>
      </c>
      <c r="AF32" s="7">
        <v>88386</v>
      </c>
      <c r="AG32" s="7">
        <v>58803</v>
      </c>
      <c r="AH32" s="6">
        <v>0.5</v>
      </c>
      <c r="AL32" t="s">
        <v>618</v>
      </c>
      <c r="AM32" s="7">
        <v>96065</v>
      </c>
      <c r="AN32" s="7">
        <v>63595</v>
      </c>
      <c r="AO32" s="6">
        <v>0.51</v>
      </c>
      <c r="AS32" t="s">
        <v>618</v>
      </c>
      <c r="AT32" s="7">
        <v>103824</v>
      </c>
      <c r="AU32" s="7">
        <v>73014</v>
      </c>
      <c r="AV32" s="6">
        <v>0.42</v>
      </c>
      <c r="AX32" s="7">
        <v>369495</v>
      </c>
      <c r="AY32" s="7">
        <v>250772</v>
      </c>
      <c r="AZ32" s="6">
        <v>0.47</v>
      </c>
    </row>
    <row r="33" spans="1:55" x14ac:dyDescent="0.25">
      <c r="H33" t="s">
        <v>584</v>
      </c>
      <c r="I33" s="188">
        <v>-28970</v>
      </c>
      <c r="J33" s="188">
        <v>-3176</v>
      </c>
      <c r="L33" s="6">
        <v>8.1199999999999992</v>
      </c>
      <c r="O33" t="s">
        <v>584</v>
      </c>
      <c r="P33" s="7">
        <v>-17517</v>
      </c>
      <c r="Q33" s="7">
        <v>-10407</v>
      </c>
      <c r="R33" s="6">
        <v>0.68</v>
      </c>
      <c r="S33" s="7">
        <v>-60135</v>
      </c>
      <c r="T33" s="7">
        <v>-15776</v>
      </c>
      <c r="U33" s="6">
        <v>2.81</v>
      </c>
      <c r="Y33" t="s">
        <v>584</v>
      </c>
      <c r="Z33" s="7">
        <v>-12154</v>
      </c>
      <c r="AA33" s="7">
        <v>-13472</v>
      </c>
      <c r="AB33" s="6">
        <v>-0.1</v>
      </c>
      <c r="AE33" t="s">
        <v>584</v>
      </c>
      <c r="AF33" s="7">
        <v>-15045</v>
      </c>
      <c r="AG33">
        <v>-176</v>
      </c>
      <c r="AH33" s="6">
        <v>84.48</v>
      </c>
      <c r="AL33" t="s">
        <v>584</v>
      </c>
      <c r="AM33" s="7">
        <v>-18445</v>
      </c>
      <c r="AN33" s="7">
        <v>-28970</v>
      </c>
      <c r="AO33" t="s">
        <v>637</v>
      </c>
      <c r="AS33" t="s">
        <v>584</v>
      </c>
      <c r="AT33" s="7">
        <v>-13930</v>
      </c>
      <c r="AU33" s="7">
        <v>-17517</v>
      </c>
      <c r="AV33" t="s">
        <v>637</v>
      </c>
      <c r="AX33" s="7">
        <v>-59574</v>
      </c>
      <c r="AY33" s="7">
        <v>-60135</v>
      </c>
      <c r="AZ33" t="s">
        <v>637</v>
      </c>
    </row>
    <row r="34" spans="1:55" x14ac:dyDescent="0.25">
      <c r="H34" t="s">
        <v>585</v>
      </c>
      <c r="I34" s="188">
        <v>-5968</v>
      </c>
      <c r="J34" s="188">
        <v>-724</v>
      </c>
      <c r="L34" s="6">
        <v>7.24</v>
      </c>
      <c r="O34" t="s">
        <v>585</v>
      </c>
      <c r="P34">
        <v>329</v>
      </c>
      <c r="Q34" s="7">
        <v>2891</v>
      </c>
      <c r="R34" s="6">
        <v>-0.89</v>
      </c>
      <c r="S34" s="7">
        <v>-1066</v>
      </c>
      <c r="T34" s="7">
        <v>3630</v>
      </c>
      <c r="U34" s="6">
        <v>-1.29</v>
      </c>
      <c r="Y34" t="s">
        <v>585</v>
      </c>
      <c r="Z34" s="7">
        <v>3946</v>
      </c>
      <c r="AA34">
        <v>871</v>
      </c>
      <c r="AB34" s="6">
        <v>3.53</v>
      </c>
      <c r="AE34" t="s">
        <v>585</v>
      </c>
      <c r="AF34" s="7">
        <v>4198</v>
      </c>
      <c r="AG34" s="7">
        <v>3702</v>
      </c>
      <c r="AH34" s="6">
        <v>0.13</v>
      </c>
      <c r="AL34" t="s">
        <v>585</v>
      </c>
      <c r="AM34" s="7">
        <v>2130</v>
      </c>
      <c r="AN34" s="7">
        <v>-5968</v>
      </c>
      <c r="AO34" t="s">
        <v>637</v>
      </c>
      <c r="AS34" t="s">
        <v>585</v>
      </c>
      <c r="AT34" s="7">
        <v>5183</v>
      </c>
      <c r="AU34">
        <v>329</v>
      </c>
      <c r="AV34" t="s">
        <v>637</v>
      </c>
      <c r="AX34" s="7">
        <v>15457</v>
      </c>
      <c r="AY34" s="7">
        <v>-1066</v>
      </c>
      <c r="AZ34" t="s">
        <v>637</v>
      </c>
    </row>
    <row r="35" spans="1:55" s="201" customFormat="1" x14ac:dyDescent="0.25">
      <c r="H35" s="200" t="s">
        <v>657</v>
      </c>
      <c r="I35" s="1452" t="s">
        <v>658</v>
      </c>
      <c r="J35" s="1452"/>
      <c r="Z35" s="1452" t="s">
        <v>615</v>
      </c>
      <c r="AA35" s="1452"/>
      <c r="AE35" s="200"/>
      <c r="AF35" s="1452" t="s">
        <v>631</v>
      </c>
      <c r="AG35" s="1452"/>
      <c r="AH35" s="200"/>
      <c r="AI35" s="200"/>
      <c r="AL35" s="200"/>
      <c r="AM35" s="200" t="s">
        <v>636</v>
      </c>
      <c r="AN35" s="200"/>
      <c r="AO35" s="200"/>
      <c r="AP35" s="200"/>
      <c r="AT35" s="202" t="s">
        <v>599</v>
      </c>
      <c r="AU35" s="202"/>
      <c r="AV35" s="202"/>
      <c r="AX35" s="202" t="s">
        <v>645</v>
      </c>
      <c r="AY35" s="202"/>
      <c r="AZ35" s="202"/>
      <c r="BB35" s="200"/>
      <c r="BC35" s="200"/>
    </row>
    <row r="36" spans="1:55" s="201" customFormat="1" x14ac:dyDescent="0.25">
      <c r="H36" s="200" t="s">
        <v>586</v>
      </c>
      <c r="I36" s="200">
        <v>2021</v>
      </c>
      <c r="J36" s="200">
        <v>2020</v>
      </c>
      <c r="K36" s="200" t="s">
        <v>587</v>
      </c>
      <c r="L36" s="200" t="s">
        <v>576</v>
      </c>
      <c r="Y36" s="200" t="s">
        <v>623</v>
      </c>
      <c r="Z36" s="200">
        <v>2022</v>
      </c>
      <c r="AA36" s="200">
        <v>2021</v>
      </c>
      <c r="AB36" s="200" t="s">
        <v>622</v>
      </c>
      <c r="AC36" s="200" t="s">
        <v>576</v>
      </c>
      <c r="AE36" s="200" t="s">
        <v>623</v>
      </c>
      <c r="AF36" s="200">
        <v>2022</v>
      </c>
      <c r="AG36" s="200">
        <v>2021</v>
      </c>
      <c r="AH36" s="200" t="s">
        <v>622</v>
      </c>
      <c r="AI36" s="200" t="s">
        <v>576</v>
      </c>
      <c r="AL36" s="200" t="s">
        <v>623</v>
      </c>
      <c r="AM36" s="200">
        <v>2022</v>
      </c>
      <c r="AN36" s="200">
        <v>2021</v>
      </c>
      <c r="AO36" s="200" t="s">
        <v>622</v>
      </c>
      <c r="AP36" s="200" t="s">
        <v>576</v>
      </c>
      <c r="AS36" s="200" t="s">
        <v>623</v>
      </c>
      <c r="AT36" s="200">
        <v>2022</v>
      </c>
      <c r="AU36" s="200">
        <v>2021</v>
      </c>
      <c r="AV36" s="200" t="s">
        <v>622</v>
      </c>
      <c r="AW36" s="200" t="s">
        <v>576</v>
      </c>
      <c r="AX36" s="200">
        <v>2022</v>
      </c>
      <c r="AY36" s="200">
        <v>2021</v>
      </c>
      <c r="AZ36" s="200" t="s">
        <v>622</v>
      </c>
      <c r="BA36" s="200" t="s">
        <v>576</v>
      </c>
      <c r="BB36" s="200"/>
      <c r="BC36" s="200"/>
    </row>
    <row r="37" spans="1:55" ht="15.75" customHeight="1" x14ac:dyDescent="0.25">
      <c r="H37" t="s">
        <v>588</v>
      </c>
      <c r="I37" s="188">
        <v>46030</v>
      </c>
      <c r="J37" s="188">
        <v>32317</v>
      </c>
      <c r="K37" s="188">
        <v>13713</v>
      </c>
      <c r="L37" s="6">
        <v>0.42</v>
      </c>
      <c r="O37" s="212" t="s">
        <v>659</v>
      </c>
      <c r="P37" s="212" t="s">
        <v>659</v>
      </c>
      <c r="Q37" s="212" t="s">
        <v>659</v>
      </c>
      <c r="R37" s="212" t="s">
        <v>659</v>
      </c>
      <c r="S37" s="212" t="s">
        <v>659</v>
      </c>
      <c r="Y37" t="s">
        <v>588</v>
      </c>
      <c r="Z37" s="7">
        <v>58010</v>
      </c>
      <c r="AA37" s="7">
        <v>40055</v>
      </c>
      <c r="AB37" s="7">
        <v>17955</v>
      </c>
      <c r="AC37" s="6">
        <v>0.45</v>
      </c>
      <c r="AE37" t="s">
        <v>588</v>
      </c>
      <c r="AF37" s="188">
        <v>65194</v>
      </c>
      <c r="AG37" s="7">
        <v>43502</v>
      </c>
      <c r="AH37" s="188">
        <v>21692</v>
      </c>
      <c r="AI37" s="6">
        <v>0.5</v>
      </c>
      <c r="AL37" t="s">
        <v>588</v>
      </c>
      <c r="AM37" s="7">
        <v>72172</v>
      </c>
      <c r="AN37" s="7">
        <v>46030</v>
      </c>
      <c r="AO37" s="7">
        <v>26142</v>
      </c>
      <c r="AP37" s="6">
        <v>0.56999999999999995</v>
      </c>
      <c r="AS37" t="s">
        <v>646</v>
      </c>
      <c r="AT37" s="188">
        <v>78131</v>
      </c>
      <c r="AU37" s="188">
        <v>51111</v>
      </c>
      <c r="AV37" s="188">
        <v>27020</v>
      </c>
      <c r="AW37" s="6">
        <v>0.53</v>
      </c>
      <c r="AX37" s="188">
        <v>273507</v>
      </c>
      <c r="AY37" s="7">
        <v>180698</v>
      </c>
      <c r="AZ37" s="7">
        <v>92809</v>
      </c>
      <c r="BA37" s="6">
        <v>0.51</v>
      </c>
      <c r="BB37" s="1"/>
      <c r="BC37" s="1"/>
    </row>
    <row r="38" spans="1:55" ht="15.75" customHeight="1" x14ac:dyDescent="0.25">
      <c r="H38" t="s">
        <v>589</v>
      </c>
      <c r="I38" s="7">
        <v>9029</v>
      </c>
      <c r="J38" s="7">
        <v>6720</v>
      </c>
      <c r="K38" s="7">
        <v>2309</v>
      </c>
      <c r="L38" s="6">
        <v>0.34</v>
      </c>
      <c r="O38" s="212" t="s">
        <v>659</v>
      </c>
      <c r="P38" s="212" t="s">
        <v>659</v>
      </c>
      <c r="Q38" s="212" t="s">
        <v>659</v>
      </c>
      <c r="R38" s="212" t="s">
        <v>659</v>
      </c>
      <c r="S38" s="212" t="s">
        <v>659</v>
      </c>
      <c r="Y38" t="s">
        <v>589</v>
      </c>
      <c r="Z38" s="7">
        <v>11748</v>
      </c>
      <c r="AA38" s="7">
        <v>9275</v>
      </c>
      <c r="AB38" s="7">
        <v>2473</v>
      </c>
      <c r="AC38" s="6">
        <v>0.27</v>
      </c>
      <c r="AE38" t="s">
        <v>589</v>
      </c>
      <c r="AF38" s="188">
        <v>11218</v>
      </c>
      <c r="AG38" s="7">
        <v>9056</v>
      </c>
      <c r="AH38" s="7">
        <v>2162</v>
      </c>
      <c r="AI38" s="6">
        <v>0.24</v>
      </c>
      <c r="AL38" t="s">
        <v>589</v>
      </c>
      <c r="AM38" s="7">
        <v>10619</v>
      </c>
      <c r="AN38" s="7">
        <v>9029</v>
      </c>
      <c r="AO38" s="7">
        <v>1590</v>
      </c>
      <c r="AP38" s="6">
        <v>0.18</v>
      </c>
      <c r="AS38" t="s">
        <v>589</v>
      </c>
      <c r="AT38" s="7">
        <v>11146</v>
      </c>
      <c r="AU38" s="7">
        <v>11141</v>
      </c>
      <c r="AV38">
        <v>5</v>
      </c>
      <c r="AW38" t="s">
        <v>647</v>
      </c>
      <c r="AX38" s="7">
        <v>44731</v>
      </c>
      <c r="AY38" s="7">
        <v>38501</v>
      </c>
      <c r="AZ38" s="7">
        <v>6230</v>
      </c>
      <c r="BA38" s="6">
        <v>0.16</v>
      </c>
      <c r="BB38" s="1"/>
      <c r="BC38" s="1"/>
    </row>
    <row r="39" spans="1:55" ht="15.75" customHeight="1" x14ac:dyDescent="0.25">
      <c r="H39" t="s">
        <v>590</v>
      </c>
      <c r="I39" s="7">
        <v>6695</v>
      </c>
      <c r="J39" s="7">
        <v>5607</v>
      </c>
      <c r="K39" s="7">
        <v>1088</v>
      </c>
      <c r="L39" s="6">
        <v>0.19</v>
      </c>
      <c r="O39" s="212" t="s">
        <v>659</v>
      </c>
      <c r="P39" s="212" t="s">
        <v>659</v>
      </c>
      <c r="Q39" s="212" t="s">
        <v>659</v>
      </c>
      <c r="R39" s="212" t="s">
        <v>659</v>
      </c>
      <c r="S39" s="212" t="s">
        <v>659</v>
      </c>
      <c r="Y39" t="s">
        <v>624</v>
      </c>
      <c r="Z39" s="7">
        <v>8080</v>
      </c>
      <c r="AA39" s="7">
        <v>5035</v>
      </c>
      <c r="AB39" s="7">
        <v>3045</v>
      </c>
      <c r="AC39" s="6">
        <v>0.6</v>
      </c>
      <c r="AE39" t="s">
        <v>624</v>
      </c>
      <c r="AF39" s="188">
        <v>8036</v>
      </c>
      <c r="AG39" s="7">
        <v>4833</v>
      </c>
      <c r="AH39" s="7">
        <v>3203</v>
      </c>
      <c r="AI39" s="6">
        <v>0.66</v>
      </c>
      <c r="AL39" t="s">
        <v>590</v>
      </c>
      <c r="AM39" s="7">
        <v>8192</v>
      </c>
      <c r="AN39" s="7">
        <v>6695</v>
      </c>
      <c r="AO39" s="7">
        <v>1497</v>
      </c>
      <c r="AP39" s="6">
        <v>0.22</v>
      </c>
      <c r="AS39" t="s">
        <v>590</v>
      </c>
      <c r="AT39" s="7">
        <v>8410</v>
      </c>
      <c r="AU39" s="7">
        <v>8095</v>
      </c>
      <c r="AV39">
        <v>315</v>
      </c>
      <c r="AW39" s="6">
        <v>0.04</v>
      </c>
      <c r="AX39" s="7">
        <v>32718</v>
      </c>
      <c r="AY39" s="7">
        <v>24658</v>
      </c>
      <c r="AZ39" s="7">
        <v>8060</v>
      </c>
      <c r="BA39" s="6">
        <v>0.33</v>
      </c>
      <c r="BB39" s="1"/>
      <c r="BC39" s="1"/>
    </row>
    <row r="40" spans="1:55" ht="15.75" customHeight="1" x14ac:dyDescent="0.25">
      <c r="H40" t="s">
        <v>591</v>
      </c>
      <c r="I40" s="7">
        <v>1841</v>
      </c>
      <c r="J40">
        <v>661</v>
      </c>
      <c r="K40" s="7">
        <v>1180</v>
      </c>
      <c r="L40" s="6">
        <v>1.79</v>
      </c>
      <c r="O40" s="212" t="s">
        <v>659</v>
      </c>
      <c r="P40" s="212" t="s">
        <v>659</v>
      </c>
      <c r="Q40" s="212" t="s">
        <v>659</v>
      </c>
      <c r="R40" s="212" t="s">
        <v>659</v>
      </c>
      <c r="S40" s="212" t="s">
        <v>659</v>
      </c>
      <c r="Y40" t="s">
        <v>625</v>
      </c>
      <c r="Z40" s="7">
        <v>3382</v>
      </c>
      <c r="AA40">
        <v>995</v>
      </c>
      <c r="AB40" s="7">
        <v>2387</v>
      </c>
      <c r="AC40" s="6">
        <v>2.4</v>
      </c>
      <c r="AE40" t="s">
        <v>591</v>
      </c>
      <c r="AF40" s="188">
        <v>3938</v>
      </c>
      <c r="AG40" s="7">
        <v>1412</v>
      </c>
      <c r="AH40" s="7">
        <v>2526</v>
      </c>
      <c r="AI40" s="6">
        <v>1.79</v>
      </c>
      <c r="AL40" t="s">
        <v>591</v>
      </c>
      <c r="AM40" s="7">
        <v>5082</v>
      </c>
      <c r="AN40" s="7">
        <v>1841</v>
      </c>
      <c r="AO40" s="7">
        <v>3241</v>
      </c>
      <c r="AP40" s="6">
        <v>1.76</v>
      </c>
      <c r="AS40" t="s">
        <v>660</v>
      </c>
      <c r="AT40" s="7">
        <v>6137</v>
      </c>
      <c r="AU40" s="7">
        <v>2667</v>
      </c>
      <c r="AV40" s="7">
        <v>3470</v>
      </c>
      <c r="AW40" s="6">
        <v>1.3</v>
      </c>
      <c r="AX40" s="7">
        <v>18539</v>
      </c>
      <c r="AY40" s="7">
        <v>6915</v>
      </c>
      <c r="AZ40" s="7">
        <v>11624</v>
      </c>
      <c r="BA40" s="6">
        <v>1.68</v>
      </c>
      <c r="BB40" s="1"/>
      <c r="BC40" s="1"/>
    </row>
    <row r="41" spans="1:55" s="200" customFormat="1" ht="15.75" customHeight="1" x14ac:dyDescent="0.25">
      <c r="H41" s="200" t="s">
        <v>592</v>
      </c>
      <c r="I41" s="206">
        <v>63595</v>
      </c>
      <c r="J41" s="206">
        <v>45305</v>
      </c>
      <c r="K41" s="206">
        <v>18290</v>
      </c>
      <c r="L41" s="204">
        <v>0.4</v>
      </c>
      <c r="Y41" s="200" t="s">
        <v>626</v>
      </c>
      <c r="Z41" s="205">
        <v>81220</v>
      </c>
      <c r="AA41" s="205">
        <v>55360</v>
      </c>
      <c r="AB41" s="205">
        <v>25860</v>
      </c>
      <c r="AC41" s="204">
        <v>0.47</v>
      </c>
      <c r="AE41" s="200" t="s">
        <v>592</v>
      </c>
      <c r="AF41" s="206">
        <v>88386</v>
      </c>
      <c r="AG41" s="205">
        <v>58803</v>
      </c>
      <c r="AH41" s="206">
        <v>29583</v>
      </c>
      <c r="AI41" s="204">
        <v>0.5</v>
      </c>
      <c r="AL41" s="200" t="s">
        <v>592</v>
      </c>
      <c r="AM41" s="205">
        <v>96065</v>
      </c>
      <c r="AN41" s="205">
        <v>63595</v>
      </c>
      <c r="AO41" s="205">
        <v>32470</v>
      </c>
      <c r="AP41" s="204">
        <v>0.51</v>
      </c>
      <c r="AS41" s="201" t="s">
        <v>592</v>
      </c>
      <c r="AT41" s="211">
        <v>103824</v>
      </c>
      <c r="AU41" s="211">
        <v>73014</v>
      </c>
      <c r="AV41" s="211">
        <v>30810</v>
      </c>
      <c r="AW41" s="209">
        <v>0.42</v>
      </c>
      <c r="AX41" s="211">
        <v>369495</v>
      </c>
      <c r="AY41" s="210">
        <v>250772</v>
      </c>
      <c r="AZ41" s="210">
        <v>118723</v>
      </c>
      <c r="BA41" s="209">
        <v>0.47</v>
      </c>
    </row>
    <row r="42" spans="1:55" s="200" customFormat="1" ht="15.75" customHeight="1" x14ac:dyDescent="0.25">
      <c r="I42" s="206"/>
      <c r="J42" s="206"/>
      <c r="K42" s="206"/>
      <c r="L42" s="204"/>
      <c r="Z42" s="1452" t="s">
        <v>615</v>
      </c>
      <c r="AA42" s="1452"/>
      <c r="AC42" s="204"/>
      <c r="AF42" s="1452" t="s">
        <v>631</v>
      </c>
      <c r="AG42" s="1452"/>
      <c r="AL42" s="201"/>
      <c r="AM42" s="1452" t="s">
        <v>636</v>
      </c>
      <c r="AN42" s="1452"/>
      <c r="AT42" s="201"/>
      <c r="AU42" s="201"/>
      <c r="AV42" s="201"/>
      <c r="AW42" s="201"/>
      <c r="AX42" s="201"/>
      <c r="AY42" s="201"/>
      <c r="AZ42" s="201"/>
      <c r="BA42" s="201"/>
    </row>
    <row r="43" spans="1:55" s="200" customFormat="1" ht="15.75" customHeight="1" x14ac:dyDescent="0.25">
      <c r="H43" s="200" t="s">
        <v>661</v>
      </c>
      <c r="I43" s="206"/>
      <c r="J43" s="206"/>
      <c r="K43" s="206"/>
      <c r="L43" s="204"/>
      <c r="O43" s="201"/>
      <c r="P43" s="1453" t="s">
        <v>599</v>
      </c>
      <c r="Q43" s="1453"/>
      <c r="R43" s="1453"/>
      <c r="S43" s="200" t="s">
        <v>600</v>
      </c>
      <c r="Y43" s="200" t="s">
        <v>255</v>
      </c>
      <c r="Z43" s="200">
        <v>2022</v>
      </c>
      <c r="AA43" s="200">
        <v>2021</v>
      </c>
      <c r="AB43" s="200" t="s">
        <v>576</v>
      </c>
      <c r="AC43" s="204"/>
      <c r="AE43" s="200" t="s">
        <v>255</v>
      </c>
      <c r="AF43" s="200">
        <v>2022</v>
      </c>
      <c r="AG43" s="200">
        <v>2021</v>
      </c>
      <c r="AH43" s="200" t="s">
        <v>576</v>
      </c>
      <c r="AL43" s="200" t="s">
        <v>255</v>
      </c>
      <c r="AM43" s="200">
        <v>2022</v>
      </c>
      <c r="AN43" s="200">
        <v>2021</v>
      </c>
      <c r="AO43" s="200" t="s">
        <v>576</v>
      </c>
      <c r="AS43" s="201"/>
      <c r="AT43" s="202" t="s">
        <v>599</v>
      </c>
      <c r="AU43" s="202"/>
      <c r="AV43" s="202"/>
      <c r="AW43" s="201"/>
      <c r="AX43" s="202" t="s">
        <v>645</v>
      </c>
      <c r="AY43" s="202"/>
      <c r="AZ43" s="202"/>
      <c r="BA43" s="201"/>
    </row>
    <row r="44" spans="1:55" s="200" customFormat="1" ht="30" x14ac:dyDescent="0.25">
      <c r="H44" s="208" t="s">
        <v>575</v>
      </c>
      <c r="I44" s="200">
        <v>2021</v>
      </c>
      <c r="J44" s="200">
        <v>2020</v>
      </c>
      <c r="L44" s="200" t="s">
        <v>576</v>
      </c>
      <c r="O44" s="200" t="s">
        <v>656</v>
      </c>
      <c r="P44" s="208">
        <v>2021</v>
      </c>
      <c r="Q44" s="200">
        <v>2020</v>
      </c>
      <c r="R44" s="208" t="s">
        <v>602</v>
      </c>
      <c r="S44" s="200">
        <v>2021</v>
      </c>
      <c r="T44" s="200">
        <v>2020</v>
      </c>
      <c r="U44" s="208" t="s">
        <v>602</v>
      </c>
      <c r="Y44" s="200" t="s">
        <v>577</v>
      </c>
      <c r="AC44" s="204"/>
      <c r="AE44" s="200" t="s">
        <v>577</v>
      </c>
      <c r="AL44" s="200" t="s">
        <v>577</v>
      </c>
      <c r="AM44" s="201"/>
      <c r="AN44" s="201"/>
      <c r="AO44" s="201"/>
      <c r="AS44" s="200" t="s">
        <v>623</v>
      </c>
      <c r="AT44" s="200">
        <v>2022</v>
      </c>
      <c r="AU44" s="200">
        <v>2021</v>
      </c>
      <c r="AV44" s="200" t="s">
        <v>622</v>
      </c>
      <c r="AW44" s="200" t="s">
        <v>576</v>
      </c>
      <c r="AX44" s="200">
        <v>2022</v>
      </c>
      <c r="AY44" s="200">
        <v>2021</v>
      </c>
      <c r="AZ44" s="200" t="s">
        <v>622</v>
      </c>
      <c r="BA44" s="200" t="s">
        <v>576</v>
      </c>
    </row>
    <row r="45" spans="1:55" s="1" customFormat="1" ht="15.75" customHeight="1" x14ac:dyDescent="0.25">
      <c r="H45" t="s">
        <v>581</v>
      </c>
      <c r="I45" s="188">
        <v>55362</v>
      </c>
      <c r="J45" s="188">
        <v>33778</v>
      </c>
      <c r="L45" s="6">
        <v>0.64</v>
      </c>
      <c r="O45" t="s">
        <v>604</v>
      </c>
      <c r="P45" s="7">
        <v>69752</v>
      </c>
      <c r="Q45" s="7">
        <v>43284</v>
      </c>
      <c r="R45" s="6">
        <v>0.61</v>
      </c>
      <c r="S45" s="7">
        <v>224520</v>
      </c>
      <c r="T45" s="7">
        <v>144379</v>
      </c>
      <c r="U45" s="6">
        <v>0.56000000000000005</v>
      </c>
      <c r="Y45" t="s">
        <v>581</v>
      </c>
      <c r="Z45" s="7">
        <v>78539</v>
      </c>
      <c r="AA45" s="7">
        <v>50466</v>
      </c>
      <c r="AB45" s="6">
        <v>0.56000000000000005</v>
      </c>
      <c r="AC45" s="192"/>
      <c r="AE45" t="s">
        <v>604</v>
      </c>
      <c r="AF45" s="188">
        <v>74123</v>
      </c>
      <c r="AG45" s="7">
        <v>48941</v>
      </c>
      <c r="AH45" s="6">
        <v>0.51</v>
      </c>
      <c r="AL45" t="s">
        <v>581</v>
      </c>
      <c r="AM45" s="7">
        <v>78858</v>
      </c>
      <c r="AN45" s="7">
        <v>55362</v>
      </c>
      <c r="AO45" s="6">
        <v>0.42</v>
      </c>
      <c r="AS45" t="s">
        <v>604</v>
      </c>
      <c r="AT45" s="207">
        <v>100283</v>
      </c>
      <c r="AU45" s="207">
        <v>69752</v>
      </c>
      <c r="AW45" s="192">
        <v>0.44</v>
      </c>
      <c r="AX45" s="207">
        <v>331803</v>
      </c>
      <c r="AY45" s="207">
        <v>224520</v>
      </c>
      <c r="BA45" s="192">
        <v>0.48</v>
      </c>
    </row>
    <row r="46" spans="1:55" s="200" customFormat="1" ht="15.75" customHeight="1" x14ac:dyDescent="0.25">
      <c r="I46" s="206"/>
      <c r="J46" s="206"/>
      <c r="K46" s="206"/>
      <c r="L46" s="204"/>
      <c r="Y46" s="200" t="s">
        <v>617</v>
      </c>
      <c r="Z46" s="205">
        <v>102054</v>
      </c>
      <c r="AA46" s="205">
        <v>65830</v>
      </c>
      <c r="AB46" s="204">
        <v>0.55000000000000004</v>
      </c>
      <c r="AC46" s="204"/>
      <c r="AE46" s="200" t="s">
        <v>617</v>
      </c>
      <c r="AF46" s="206">
        <v>97467</v>
      </c>
      <c r="AG46" s="205">
        <v>64538</v>
      </c>
      <c r="AH46" s="204">
        <v>0.51</v>
      </c>
      <c r="AL46" s="200" t="s">
        <v>582</v>
      </c>
      <c r="AM46" s="205">
        <v>102738</v>
      </c>
      <c r="AN46" s="205">
        <v>73058</v>
      </c>
      <c r="AO46" s="204">
        <v>0.41</v>
      </c>
    </row>
    <row r="47" spans="1:55" s="201" customFormat="1" x14ac:dyDescent="0.25">
      <c r="H47" s="200" t="s">
        <v>593</v>
      </c>
    </row>
    <row r="48" spans="1:55" s="201" customFormat="1" x14ac:dyDescent="0.25">
      <c r="A48" t="s">
        <v>562</v>
      </c>
      <c r="H48" s="201" t="s">
        <v>594</v>
      </c>
      <c r="O48" s="201" t="s">
        <v>606</v>
      </c>
    </row>
    <row r="49" spans="1:49" s="201" customFormat="1" x14ac:dyDescent="0.25">
      <c r="A49"/>
      <c r="B49" s="199" t="s">
        <v>563</v>
      </c>
      <c r="C49" s="198"/>
      <c r="D49" s="199" t="s">
        <v>564</v>
      </c>
      <c r="E49" s="198"/>
      <c r="I49" s="1452" t="s">
        <v>595</v>
      </c>
      <c r="J49" s="1452"/>
      <c r="K49" s="1452" t="s">
        <v>564</v>
      </c>
      <c r="L49" s="1452"/>
      <c r="O49" s="200"/>
      <c r="P49" s="1452" t="s">
        <v>607</v>
      </c>
      <c r="Q49" s="1452"/>
      <c r="R49" s="1452" t="s">
        <v>608</v>
      </c>
      <c r="S49" s="1452"/>
      <c r="Z49" s="1452" t="s">
        <v>628</v>
      </c>
      <c r="AA49" s="1452"/>
      <c r="AB49" s="1452" t="s">
        <v>608</v>
      </c>
      <c r="AC49" s="1452"/>
      <c r="AE49" s="200"/>
      <c r="AF49" s="1452" t="s">
        <v>634</v>
      </c>
      <c r="AG49" s="1452"/>
      <c r="AH49" s="1452" t="s">
        <v>608</v>
      </c>
      <c r="AI49" s="1452"/>
      <c r="AL49" s="203"/>
      <c r="AM49" s="1452" t="s">
        <v>639</v>
      </c>
      <c r="AN49" s="1452"/>
      <c r="AO49" s="1452" t="s">
        <v>608</v>
      </c>
      <c r="AP49" s="1452"/>
      <c r="AS49" s="203"/>
      <c r="AT49" s="1452" t="s">
        <v>651</v>
      </c>
      <c r="AU49" s="1452"/>
      <c r="AV49" s="1452" t="s">
        <v>652</v>
      </c>
      <c r="AW49" s="1452"/>
    </row>
    <row r="50" spans="1:49" s="200" customFormat="1" x14ac:dyDescent="0.25">
      <c r="A50" s="196" t="s">
        <v>565</v>
      </c>
      <c r="B50" s="197" t="s">
        <v>566</v>
      </c>
      <c r="C50" s="197" t="s">
        <v>567</v>
      </c>
      <c r="D50" s="197" t="s">
        <v>566</v>
      </c>
      <c r="E50" s="197" t="s">
        <v>568</v>
      </c>
      <c r="H50" s="200" t="s">
        <v>565</v>
      </c>
      <c r="I50" s="200" t="s">
        <v>566</v>
      </c>
      <c r="J50" s="200" t="s">
        <v>567</v>
      </c>
      <c r="K50" s="200" t="s">
        <v>566</v>
      </c>
      <c r="L50" s="200" t="s">
        <v>568</v>
      </c>
      <c r="O50" s="200" t="s">
        <v>609</v>
      </c>
      <c r="P50" s="200" t="s">
        <v>610</v>
      </c>
      <c r="Q50" s="200" t="s">
        <v>568</v>
      </c>
      <c r="R50" s="200" t="s">
        <v>610</v>
      </c>
      <c r="S50" s="200" t="s">
        <v>568</v>
      </c>
      <c r="Y50" s="200" t="s">
        <v>609</v>
      </c>
      <c r="Z50" s="200" t="s">
        <v>610</v>
      </c>
      <c r="AA50" s="200" t="s">
        <v>568</v>
      </c>
      <c r="AB50" s="200" t="s">
        <v>610</v>
      </c>
      <c r="AC50" s="200" t="s">
        <v>568</v>
      </c>
      <c r="AE50" s="200" t="s">
        <v>609</v>
      </c>
      <c r="AF50" s="200" t="s">
        <v>610</v>
      </c>
      <c r="AG50" s="200" t="s">
        <v>568</v>
      </c>
      <c r="AH50" s="200" t="s">
        <v>610</v>
      </c>
      <c r="AI50" s="200" t="s">
        <v>568</v>
      </c>
      <c r="AL50" s="200" t="s">
        <v>609</v>
      </c>
      <c r="AM50" s="200" t="s">
        <v>610</v>
      </c>
      <c r="AN50" s="200" t="s">
        <v>568</v>
      </c>
      <c r="AO50" s="200" t="s">
        <v>610</v>
      </c>
      <c r="AP50" s="200" t="s">
        <v>568</v>
      </c>
      <c r="AS50" s="200" t="s">
        <v>609</v>
      </c>
      <c r="AT50" s="200" t="s">
        <v>610</v>
      </c>
      <c r="AU50" s="200" t="s">
        <v>568</v>
      </c>
      <c r="AV50" s="200" t="s">
        <v>610</v>
      </c>
      <c r="AW50" s="200" t="s">
        <v>568</v>
      </c>
    </row>
    <row r="51" spans="1:49" x14ac:dyDescent="0.25">
      <c r="A51" s="196" t="s">
        <v>569</v>
      </c>
      <c r="B51" s="195">
        <v>63</v>
      </c>
      <c r="C51" s="195">
        <v>66</v>
      </c>
      <c r="D51" s="194">
        <v>267</v>
      </c>
      <c r="E51" s="194">
        <v>273</v>
      </c>
      <c r="H51" t="s">
        <v>596</v>
      </c>
      <c r="I51" s="29">
        <v>79</v>
      </c>
      <c r="J51" s="29">
        <v>82</v>
      </c>
      <c r="K51" s="29">
        <v>282.5</v>
      </c>
      <c r="L51" s="29">
        <v>285.5</v>
      </c>
      <c r="O51" t="s">
        <v>569</v>
      </c>
      <c r="P51" s="29">
        <v>92</v>
      </c>
      <c r="Q51" s="29">
        <v>95</v>
      </c>
      <c r="R51" s="29">
        <v>372</v>
      </c>
      <c r="S51" s="29">
        <v>382</v>
      </c>
      <c r="Y51" t="s">
        <v>596</v>
      </c>
      <c r="Z51" s="29">
        <v>86</v>
      </c>
      <c r="AA51" s="29">
        <v>89</v>
      </c>
      <c r="AB51" s="29">
        <v>388</v>
      </c>
      <c r="AC51" s="29">
        <v>397</v>
      </c>
      <c r="AE51" t="s">
        <v>569</v>
      </c>
      <c r="AF51" s="29">
        <v>94</v>
      </c>
      <c r="AG51" s="29">
        <v>97</v>
      </c>
      <c r="AH51" s="29">
        <v>404</v>
      </c>
      <c r="AI51" s="29">
        <v>410</v>
      </c>
      <c r="AL51" t="s">
        <v>569</v>
      </c>
      <c r="AM51" s="29">
        <v>112</v>
      </c>
      <c r="AN51" s="29">
        <v>115</v>
      </c>
      <c r="AO51" s="29">
        <v>414</v>
      </c>
      <c r="AP51" s="29">
        <v>417</v>
      </c>
      <c r="AS51" t="s">
        <v>569</v>
      </c>
      <c r="AT51" s="29">
        <v>127.5</v>
      </c>
      <c r="AU51" s="29">
        <v>130.5</v>
      </c>
      <c r="AV51" s="29">
        <v>530</v>
      </c>
      <c r="AW51" s="29">
        <v>542</v>
      </c>
    </row>
    <row r="52" spans="1:49" x14ac:dyDescent="0.25">
      <c r="A52" s="196" t="s">
        <v>570</v>
      </c>
      <c r="B52" s="195">
        <v>58.5</v>
      </c>
      <c r="C52" s="195">
        <v>61.5</v>
      </c>
      <c r="D52" s="194">
        <v>236</v>
      </c>
      <c r="E52" s="194">
        <v>242</v>
      </c>
      <c r="H52" t="s">
        <v>570</v>
      </c>
      <c r="I52" s="29">
        <v>66.5</v>
      </c>
      <c r="J52" s="29">
        <v>69.5</v>
      </c>
      <c r="K52" s="29">
        <v>244</v>
      </c>
      <c r="L52" s="29">
        <v>247</v>
      </c>
      <c r="O52" t="s">
        <v>570</v>
      </c>
      <c r="P52" s="29">
        <v>75.5</v>
      </c>
      <c r="Q52" s="29">
        <v>78.5</v>
      </c>
      <c r="R52" s="29">
        <v>332</v>
      </c>
      <c r="S52" s="29">
        <v>342</v>
      </c>
      <c r="Y52" t="s">
        <v>212</v>
      </c>
      <c r="Z52" s="29">
        <v>84</v>
      </c>
      <c r="AA52" s="29">
        <v>87</v>
      </c>
      <c r="AB52" s="29">
        <v>349</v>
      </c>
      <c r="AC52" s="29">
        <v>358</v>
      </c>
      <c r="AE52" t="s">
        <v>570</v>
      </c>
      <c r="AF52" s="29">
        <v>93</v>
      </c>
      <c r="AG52" s="29">
        <v>96</v>
      </c>
      <c r="AH52" s="29">
        <v>361</v>
      </c>
      <c r="AI52" s="29">
        <v>367</v>
      </c>
      <c r="AL52" t="s">
        <v>570</v>
      </c>
      <c r="AM52" s="29">
        <v>98</v>
      </c>
      <c r="AN52" s="29">
        <v>101</v>
      </c>
      <c r="AO52" s="29">
        <v>364</v>
      </c>
      <c r="AP52" s="29">
        <v>367</v>
      </c>
      <c r="AS52" t="s">
        <v>570</v>
      </c>
      <c r="AT52" s="29">
        <v>111</v>
      </c>
      <c r="AU52" s="29">
        <v>114</v>
      </c>
      <c r="AV52" s="29">
        <v>486</v>
      </c>
      <c r="AW52" s="29">
        <v>498</v>
      </c>
    </row>
    <row r="53" spans="1:49" x14ac:dyDescent="0.25">
      <c r="A53" s="196" t="s">
        <v>571</v>
      </c>
      <c r="B53" s="195">
        <v>-12</v>
      </c>
      <c r="C53" s="195">
        <v>-8</v>
      </c>
      <c r="D53" s="194">
        <v>-14</v>
      </c>
      <c r="E53" s="194">
        <v>-8</v>
      </c>
      <c r="H53" t="s">
        <v>571</v>
      </c>
      <c r="I53" s="29">
        <v>-6.5</v>
      </c>
      <c r="J53" s="29">
        <v>-3.5</v>
      </c>
      <c r="K53" s="29">
        <v>-8</v>
      </c>
      <c r="L53" s="29">
        <v>-5</v>
      </c>
      <c r="O53" t="s">
        <v>571</v>
      </c>
      <c r="P53" s="29">
        <v>-5.5</v>
      </c>
      <c r="Q53" s="29">
        <v>-2.5</v>
      </c>
      <c r="R53" s="29">
        <v>-5</v>
      </c>
      <c r="S53" s="29">
        <v>-1</v>
      </c>
      <c r="Y53" t="s">
        <v>12</v>
      </c>
      <c r="Z53" s="29">
        <v>-4</v>
      </c>
      <c r="AA53" s="29">
        <v>-1</v>
      </c>
      <c r="AB53" s="29">
        <v>0</v>
      </c>
      <c r="AC53" s="29">
        <v>3</v>
      </c>
      <c r="AE53" t="s">
        <v>571</v>
      </c>
      <c r="AF53" s="29">
        <v>-4.5</v>
      </c>
      <c r="AG53" s="29">
        <v>-1.5</v>
      </c>
      <c r="AH53" s="29">
        <v>4</v>
      </c>
      <c r="AI53" s="29">
        <v>7</v>
      </c>
      <c r="AL53" t="s">
        <v>571</v>
      </c>
      <c r="AM53" s="29">
        <v>-3</v>
      </c>
      <c r="AN53" s="29">
        <v>0</v>
      </c>
      <c r="AO53" s="29">
        <v>7</v>
      </c>
      <c r="AP53" s="29">
        <v>10</v>
      </c>
      <c r="AS53" t="s">
        <v>571</v>
      </c>
      <c r="AT53" s="29">
        <v>10</v>
      </c>
      <c r="AU53" s="29">
        <v>11.4</v>
      </c>
      <c r="AV53" s="29">
        <v>48.6</v>
      </c>
      <c r="AW53" s="29">
        <v>59.8</v>
      </c>
    </row>
    <row r="54" spans="1:49" x14ac:dyDescent="0.25">
      <c r="AS54" t="s">
        <v>653</v>
      </c>
      <c r="AT54" s="8">
        <v>0.09</v>
      </c>
      <c r="AU54" s="8">
        <v>0.1</v>
      </c>
      <c r="AV54" s="8">
        <v>0.1</v>
      </c>
      <c r="AW54" s="8">
        <v>0.12</v>
      </c>
    </row>
    <row r="55" spans="1:49" s="189" customFormat="1" x14ac:dyDescent="0.25"/>
  </sheetData>
  <mergeCells count="23">
    <mergeCell ref="I49:J49"/>
    <mergeCell ref="K49:L49"/>
    <mergeCell ref="P49:Q49"/>
    <mergeCell ref="R49:S49"/>
    <mergeCell ref="P24:R24"/>
    <mergeCell ref="I35:J35"/>
    <mergeCell ref="I24:K24"/>
    <mergeCell ref="P43:R43"/>
    <mergeCell ref="AT24:AU24"/>
    <mergeCell ref="AM42:AN42"/>
    <mergeCell ref="Z24:AA24"/>
    <mergeCell ref="Z42:AA42"/>
    <mergeCell ref="Z35:AA35"/>
    <mergeCell ref="AF42:AG42"/>
    <mergeCell ref="AF35:AG35"/>
    <mergeCell ref="AT49:AU49"/>
    <mergeCell ref="AV49:AW49"/>
    <mergeCell ref="AM49:AN49"/>
    <mergeCell ref="AO49:AP49"/>
    <mergeCell ref="Z49:AA49"/>
    <mergeCell ref="AF49:AG49"/>
    <mergeCell ref="AH49:AI49"/>
    <mergeCell ref="AB49:AC4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O251"/>
  <sheetViews>
    <sheetView showGridLines="0" topLeftCell="A143" zoomScaleNormal="100" workbookViewId="0">
      <selection activeCell="D243" sqref="D243"/>
    </sheetView>
  </sheetViews>
  <sheetFormatPr defaultColWidth="8.85546875" defaultRowHeight="15" outlineLevelRow="2" outlineLevelCol="1" x14ac:dyDescent="0.25"/>
  <cols>
    <col min="1" max="1" width="40.7109375" style="5" customWidth="1"/>
    <col min="2" max="2" width="13.5703125" style="782" bestFit="1" customWidth="1"/>
    <col min="3" max="3" width="14.5703125" style="782" bestFit="1" customWidth="1"/>
    <col min="4" max="4" width="13.42578125" style="782" bestFit="1" customWidth="1"/>
    <col min="5" max="5" width="11.85546875" style="782" bestFit="1" customWidth="1"/>
    <col min="6" max="6" width="12.5703125" style="782" bestFit="1" customWidth="1"/>
    <col min="7" max="7" width="40.7109375" style="782" bestFit="1" customWidth="1" outlineLevel="1"/>
    <col min="8" max="9" width="12.5703125" style="782" customWidth="1" outlineLevel="1"/>
    <col min="10" max="10" width="13.28515625" style="782" customWidth="1" outlineLevel="1"/>
    <col min="11" max="12" width="13" style="782" customWidth="1" outlineLevel="1"/>
    <col min="13" max="13" width="40.7109375" style="782" bestFit="1" customWidth="1" outlineLevel="1"/>
    <col min="14" max="16" width="12.5703125" style="782" customWidth="1" outlineLevel="1"/>
    <col min="17" max="17" width="15.5703125" style="782" bestFit="1" customWidth="1"/>
    <col min="18" max="18" width="13.5703125" style="782" bestFit="1" customWidth="1"/>
    <col min="19" max="20" width="13.5703125" bestFit="1" customWidth="1"/>
    <col min="21" max="21" width="13.42578125" bestFit="1" customWidth="1"/>
    <col min="22" max="35" width="13.5703125" bestFit="1" customWidth="1"/>
    <col min="36" max="38" width="9.42578125" bestFit="1" customWidth="1"/>
  </cols>
  <sheetData>
    <row r="1" spans="1:19" x14ac:dyDescent="0.25">
      <c r="A1" s="191" t="s">
        <v>662</v>
      </c>
    </row>
    <row r="2" spans="1:19" ht="10.5" hidden="1" customHeight="1" outlineLevel="1" x14ac:dyDescent="0.25">
      <c r="A2" s="783" t="s">
        <v>663</v>
      </c>
      <c r="B2"/>
      <c r="C2" s="784" t="s">
        <v>664</v>
      </c>
    </row>
    <row r="3" spans="1:19" ht="10.5" hidden="1" customHeight="1" outlineLevel="1" thickBot="1" x14ac:dyDescent="0.3">
      <c r="A3" s="783" t="s">
        <v>665</v>
      </c>
      <c r="B3"/>
      <c r="C3" s="785" t="s">
        <v>666</v>
      </c>
    </row>
    <row r="4" spans="1:19" s="789" customFormat="1" hidden="1" outlineLevel="1" x14ac:dyDescent="0.25">
      <c r="A4" s="786"/>
      <c r="B4" s="1456" t="s">
        <v>667</v>
      </c>
      <c r="C4" s="1457"/>
      <c r="D4" s="1457"/>
      <c r="E4" s="1457"/>
      <c r="F4" s="787"/>
      <c r="G4" s="788"/>
      <c r="H4" s="1457" t="s">
        <v>668</v>
      </c>
      <c r="I4" s="1457"/>
      <c r="J4" s="1457"/>
      <c r="K4" s="788"/>
      <c r="L4" s="1456" t="s">
        <v>669</v>
      </c>
      <c r="M4" s="1457"/>
      <c r="N4" s="1457"/>
      <c r="O4" s="1457"/>
      <c r="P4" s="787"/>
      <c r="Q4"/>
      <c r="R4" s="783"/>
      <c r="S4"/>
    </row>
    <row r="5" spans="1:19" hidden="1" outlineLevel="1" x14ac:dyDescent="0.25">
      <c r="A5" s="790" t="s">
        <v>255</v>
      </c>
      <c r="B5" s="791" t="s">
        <v>670</v>
      </c>
      <c r="C5" s="792" t="s">
        <v>671</v>
      </c>
      <c r="D5" s="792" t="s">
        <v>672</v>
      </c>
      <c r="E5" s="792" t="s">
        <v>673</v>
      </c>
      <c r="F5" s="793" t="s">
        <v>674</v>
      </c>
      <c r="G5" s="792" t="s">
        <v>670</v>
      </c>
      <c r="H5" s="792" t="s">
        <v>671</v>
      </c>
      <c r="I5" s="792" t="s">
        <v>672</v>
      </c>
      <c r="J5" s="792" t="s">
        <v>673</v>
      </c>
      <c r="K5" s="792" t="s">
        <v>674</v>
      </c>
      <c r="L5" s="791" t="s">
        <v>670</v>
      </c>
      <c r="M5" s="792" t="s">
        <v>671</v>
      </c>
      <c r="N5" s="792" t="s">
        <v>672</v>
      </c>
      <c r="O5" s="792" t="s">
        <v>673</v>
      </c>
      <c r="P5" s="793" t="s">
        <v>674</v>
      </c>
      <c r="Q5"/>
      <c r="R5"/>
    </row>
    <row r="6" spans="1:19" hidden="1" outlineLevel="1" x14ac:dyDescent="0.25">
      <c r="A6" s="790" t="s">
        <v>578</v>
      </c>
      <c r="B6" s="794" t="s">
        <v>659</v>
      </c>
      <c r="C6" s="795">
        <f>((H6/(1-0.03)))</f>
        <v>39072.16494845361</v>
      </c>
      <c r="D6" s="796">
        <v>37000</v>
      </c>
      <c r="E6" s="796">
        <v>37000</v>
      </c>
      <c r="F6" s="797">
        <v>36700</v>
      </c>
      <c r="G6" s="796">
        <v>39900</v>
      </c>
      <c r="H6" s="796">
        <v>37900</v>
      </c>
      <c r="I6" s="796">
        <v>41700</v>
      </c>
      <c r="J6" s="796">
        <v>42400</v>
      </c>
      <c r="K6" s="798">
        <v>40500</v>
      </c>
      <c r="L6" s="794">
        <v>49200</v>
      </c>
      <c r="M6" s="796">
        <v>49500</v>
      </c>
      <c r="N6" s="796">
        <v>56500</v>
      </c>
      <c r="O6" s="796">
        <v>60700</v>
      </c>
      <c r="P6" s="797" t="s">
        <v>659</v>
      </c>
      <c r="Q6"/>
      <c r="R6"/>
    </row>
    <row r="7" spans="1:19" hidden="1" outlineLevel="1" x14ac:dyDescent="0.25">
      <c r="A7" s="790" t="s">
        <v>579</v>
      </c>
      <c r="B7" s="794" t="s">
        <v>659</v>
      </c>
      <c r="C7" s="795">
        <f>(H7/(1+0.02))</f>
        <v>8921.5686274509808</v>
      </c>
      <c r="D7" s="796">
        <v>8400</v>
      </c>
      <c r="E7" s="796">
        <v>8400</v>
      </c>
      <c r="F7" s="797">
        <v>8200</v>
      </c>
      <c r="G7" s="796">
        <v>9500</v>
      </c>
      <c r="H7" s="796">
        <v>9100</v>
      </c>
      <c r="I7" s="796">
        <v>9800</v>
      </c>
      <c r="J7" s="796">
        <v>10100</v>
      </c>
      <c r="K7" s="798">
        <v>9600</v>
      </c>
      <c r="L7" s="794">
        <v>12500</v>
      </c>
      <c r="M7" s="796">
        <v>13200</v>
      </c>
      <c r="N7" s="796">
        <v>14900</v>
      </c>
      <c r="O7" s="796">
        <v>16300</v>
      </c>
      <c r="P7" s="797" t="s">
        <v>659</v>
      </c>
      <c r="Q7"/>
      <c r="R7"/>
    </row>
    <row r="8" spans="1:19" hidden="1" outlineLevel="1" x14ac:dyDescent="0.25">
      <c r="A8" s="790" t="s">
        <v>580</v>
      </c>
      <c r="B8" s="794" t="s">
        <v>659</v>
      </c>
      <c r="C8" s="795">
        <f>(H8/(1+0.46))</f>
        <v>1301.3698630136987</v>
      </c>
      <c r="D8" s="796">
        <v>1500</v>
      </c>
      <c r="E8" s="796">
        <v>1600</v>
      </c>
      <c r="F8" s="797">
        <v>1600</v>
      </c>
      <c r="G8" s="796">
        <v>1800</v>
      </c>
      <c r="H8" s="796">
        <v>1900</v>
      </c>
      <c r="I8" s="796">
        <v>2200</v>
      </c>
      <c r="J8" s="796">
        <v>2500</v>
      </c>
      <c r="K8" s="798">
        <v>2500</v>
      </c>
      <c r="L8" s="794">
        <v>2900</v>
      </c>
      <c r="M8" s="796">
        <v>3300</v>
      </c>
      <c r="N8" s="796">
        <v>3700</v>
      </c>
      <c r="O8" s="796">
        <v>4200</v>
      </c>
      <c r="P8" s="797" t="s">
        <v>659</v>
      </c>
      <c r="Q8"/>
      <c r="R8" t="s">
        <v>675</v>
      </c>
    </row>
    <row r="9" spans="1:19" hidden="1" outlineLevel="1" x14ac:dyDescent="0.25">
      <c r="A9" s="790" t="s">
        <v>582</v>
      </c>
      <c r="B9" s="794" t="s">
        <v>659</v>
      </c>
      <c r="C9" s="795">
        <f>(H9/(1+0.3))</f>
        <v>49615.384615384617</v>
      </c>
      <c r="D9" s="796">
        <v>46667</v>
      </c>
      <c r="E9" s="796">
        <v>57064</v>
      </c>
      <c r="F9" s="797">
        <v>190181</v>
      </c>
      <c r="G9" s="799">
        <f>(L9/(1+0.55))</f>
        <v>65841.290322580637</v>
      </c>
      <c r="H9" s="796">
        <v>64500</v>
      </c>
      <c r="I9" s="796">
        <v>73058</v>
      </c>
      <c r="J9" s="796">
        <v>90821</v>
      </c>
      <c r="K9" s="798">
        <v>294247</v>
      </c>
      <c r="L9" s="800">
        <v>102054</v>
      </c>
      <c r="M9" s="801">
        <v>97467</v>
      </c>
      <c r="N9" s="801">
        <v>102738</v>
      </c>
      <c r="O9" s="796">
        <v>126388</v>
      </c>
      <c r="P9" s="797">
        <v>428647</v>
      </c>
      <c r="Q9"/>
      <c r="R9" s="783"/>
    </row>
    <row r="10" spans="1:19" hidden="1" outlineLevel="1" x14ac:dyDescent="0.25">
      <c r="A10" s="802" t="s">
        <v>676</v>
      </c>
      <c r="B10" s="803"/>
      <c r="C10" s="804"/>
      <c r="D10" s="804"/>
      <c r="E10" s="804"/>
      <c r="F10" s="805"/>
      <c r="G10" s="804"/>
      <c r="H10" s="804"/>
      <c r="I10" s="804"/>
      <c r="J10" s="804"/>
      <c r="K10" s="804"/>
      <c r="L10" s="803"/>
      <c r="M10" s="804"/>
      <c r="N10" s="804"/>
      <c r="O10" s="804"/>
      <c r="P10" s="805"/>
      <c r="Q10"/>
      <c r="R10" s="783"/>
    </row>
    <row r="11" spans="1:19" hidden="1" outlineLevel="1" x14ac:dyDescent="0.25">
      <c r="A11" s="790" t="s">
        <v>588</v>
      </c>
      <c r="B11" s="794" t="s">
        <v>659</v>
      </c>
      <c r="C11" s="796">
        <v>28274</v>
      </c>
      <c r="D11" s="796">
        <v>32317</v>
      </c>
      <c r="E11" s="796" t="s">
        <v>659</v>
      </c>
      <c r="F11" s="797">
        <v>117501</v>
      </c>
      <c r="G11" s="796">
        <v>40055</v>
      </c>
      <c r="H11" s="796">
        <v>43502</v>
      </c>
      <c r="I11" s="796">
        <v>46030</v>
      </c>
      <c r="J11" s="796">
        <f>K11-SUM(G11:I11)</f>
        <v>51111</v>
      </c>
      <c r="K11" s="798">
        <v>180698</v>
      </c>
      <c r="L11" s="794">
        <v>58010</v>
      </c>
      <c r="M11" s="796">
        <v>65194</v>
      </c>
      <c r="N11" s="796">
        <v>72172</v>
      </c>
      <c r="O11" s="796">
        <v>78131</v>
      </c>
      <c r="P11" s="797">
        <f>SUM(L11:O11)</f>
        <v>273507</v>
      </c>
      <c r="Q11"/>
      <c r="R11"/>
    </row>
    <row r="12" spans="1:19" hidden="1" outlineLevel="1" x14ac:dyDescent="0.25">
      <c r="A12" s="790" t="s">
        <v>589</v>
      </c>
      <c r="B12" s="794" t="s">
        <v>659</v>
      </c>
      <c r="C12" s="796">
        <v>6808</v>
      </c>
      <c r="D12" s="796">
        <v>6720</v>
      </c>
      <c r="E12" s="796" t="s">
        <v>659</v>
      </c>
      <c r="F12" s="797">
        <v>27043</v>
      </c>
      <c r="G12" s="796">
        <v>9275</v>
      </c>
      <c r="H12" s="796">
        <v>9056</v>
      </c>
      <c r="I12" s="796">
        <v>9029</v>
      </c>
      <c r="J12" s="796">
        <f>K12-SUM(G12:I12)</f>
        <v>11141</v>
      </c>
      <c r="K12" s="798">
        <v>38501</v>
      </c>
      <c r="L12" s="794">
        <v>11748</v>
      </c>
      <c r="M12" s="796">
        <v>11218</v>
      </c>
      <c r="N12" s="796">
        <v>10619</v>
      </c>
      <c r="O12" s="796">
        <v>11146</v>
      </c>
      <c r="P12" s="797">
        <f>SUM(L12:O12)</f>
        <v>44731</v>
      </c>
      <c r="Q12"/>
      <c r="R12"/>
    </row>
    <row r="13" spans="1:19" hidden="1" outlineLevel="1" x14ac:dyDescent="0.25">
      <c r="A13" s="790" t="s">
        <v>590</v>
      </c>
      <c r="B13" s="794" t="s">
        <v>659</v>
      </c>
      <c r="C13" s="796">
        <v>4598</v>
      </c>
      <c r="D13" s="796">
        <v>5607</v>
      </c>
      <c r="E13" s="796" t="s">
        <v>659</v>
      </c>
      <c r="F13" s="797">
        <v>15155</v>
      </c>
      <c r="G13" s="796">
        <v>5035</v>
      </c>
      <c r="H13" s="796">
        <v>4833</v>
      </c>
      <c r="I13" s="796">
        <v>6695</v>
      </c>
      <c r="J13" s="796">
        <f>K13-SUM(G13:I13)</f>
        <v>8095</v>
      </c>
      <c r="K13" s="798">
        <v>24658</v>
      </c>
      <c r="L13" s="794">
        <v>8080</v>
      </c>
      <c r="M13" s="796">
        <v>8036</v>
      </c>
      <c r="N13" s="796">
        <v>8192</v>
      </c>
      <c r="O13" s="796">
        <v>8410</v>
      </c>
      <c r="P13" s="797">
        <f>SUM(L13:O13)</f>
        <v>32718</v>
      </c>
      <c r="Q13"/>
      <c r="R13"/>
    </row>
    <row r="14" spans="1:19" hidden="1" outlineLevel="1" x14ac:dyDescent="0.25">
      <c r="A14" s="790" t="s">
        <v>591</v>
      </c>
      <c r="B14" s="794" t="s">
        <v>659</v>
      </c>
      <c r="C14" s="796">
        <v>331</v>
      </c>
      <c r="D14" s="796">
        <v>661</v>
      </c>
      <c r="E14" s="796" t="s">
        <v>659</v>
      </c>
      <c r="F14" s="797">
        <v>1997</v>
      </c>
      <c r="G14" s="796">
        <v>995</v>
      </c>
      <c r="H14" s="796">
        <v>1412</v>
      </c>
      <c r="I14" s="796">
        <v>1841</v>
      </c>
      <c r="J14" s="796">
        <f>K14-SUM(G14:I14)</f>
        <v>2667</v>
      </c>
      <c r="K14" s="798">
        <v>6915</v>
      </c>
      <c r="L14" s="794">
        <v>3382</v>
      </c>
      <c r="M14" s="796">
        <v>3938</v>
      </c>
      <c r="N14" s="796">
        <v>5082</v>
      </c>
      <c r="O14" s="796">
        <v>6137</v>
      </c>
      <c r="P14" s="797">
        <f>SUM(L14:O14)</f>
        <v>18539</v>
      </c>
      <c r="Q14"/>
      <c r="R14"/>
    </row>
    <row r="15" spans="1:19" hidden="1" outlineLevel="1" x14ac:dyDescent="0.25">
      <c r="A15" s="790" t="s">
        <v>592</v>
      </c>
      <c r="B15" s="794" t="s">
        <v>659</v>
      </c>
      <c r="C15" s="796">
        <v>40011</v>
      </c>
      <c r="D15" s="796">
        <v>45305</v>
      </c>
      <c r="E15" s="796">
        <v>0</v>
      </c>
      <c r="F15" s="797">
        <v>161696</v>
      </c>
      <c r="G15" s="796">
        <v>55360</v>
      </c>
      <c r="H15" s="796">
        <v>58803</v>
      </c>
      <c r="I15" s="796">
        <v>63595</v>
      </c>
      <c r="J15" s="796">
        <f>K15-SUM(G15:I15)</f>
        <v>73014</v>
      </c>
      <c r="K15" s="798">
        <v>250772</v>
      </c>
      <c r="L15" s="794">
        <v>81220</v>
      </c>
      <c r="M15" s="796">
        <v>88386</v>
      </c>
      <c r="N15" s="796">
        <v>96065</v>
      </c>
      <c r="O15" s="796">
        <v>103824</v>
      </c>
      <c r="P15" s="797">
        <f>SUM(L15:O15)</f>
        <v>369495</v>
      </c>
      <c r="Q15"/>
      <c r="R15"/>
    </row>
    <row r="16" spans="1:19" hidden="1" outlineLevel="1" x14ac:dyDescent="0.25">
      <c r="A16" s="802" t="s">
        <v>677</v>
      </c>
      <c r="B16" s="803"/>
      <c r="C16" s="804"/>
      <c r="D16" s="804">
        <v>0</v>
      </c>
      <c r="E16" s="804">
        <v>0</v>
      </c>
      <c r="F16" s="805">
        <v>0</v>
      </c>
      <c r="G16" s="804"/>
      <c r="H16" s="804">
        <v>0</v>
      </c>
      <c r="I16" s="804">
        <v>0</v>
      </c>
      <c r="J16" s="804"/>
      <c r="K16" s="804"/>
      <c r="L16" s="803"/>
      <c r="M16" s="804"/>
      <c r="N16" s="804"/>
      <c r="O16" s="804"/>
      <c r="P16" s="805"/>
      <c r="Q16"/>
      <c r="R16"/>
    </row>
    <row r="17" spans="1:25" hidden="1" outlineLevel="1" x14ac:dyDescent="0.25">
      <c r="A17" s="790" t="s">
        <v>581</v>
      </c>
      <c r="B17" s="794" t="s">
        <v>659</v>
      </c>
      <c r="C17" s="796" t="s">
        <v>659</v>
      </c>
      <c r="D17" s="796">
        <v>33778</v>
      </c>
      <c r="E17" s="796">
        <v>43284</v>
      </c>
      <c r="F17" s="797">
        <v>144379</v>
      </c>
      <c r="G17" s="796">
        <v>50466</v>
      </c>
      <c r="H17" s="796">
        <v>0</v>
      </c>
      <c r="I17" s="796">
        <v>55362</v>
      </c>
      <c r="J17" s="796">
        <v>69752</v>
      </c>
      <c r="K17" s="798">
        <v>224520</v>
      </c>
      <c r="L17" s="794">
        <v>78539</v>
      </c>
      <c r="M17" s="796">
        <v>74123</v>
      </c>
      <c r="N17" s="796">
        <v>78858</v>
      </c>
      <c r="O17" s="796">
        <v>100283</v>
      </c>
      <c r="P17" s="797">
        <v>331803</v>
      </c>
      <c r="Q17"/>
      <c r="R17"/>
    </row>
    <row r="18" spans="1:25" ht="15.75" hidden="1" outlineLevel="1" thickBot="1" x14ac:dyDescent="0.3">
      <c r="A18" s="806" t="s">
        <v>617</v>
      </c>
      <c r="B18" s="800" t="s">
        <v>659</v>
      </c>
      <c r="C18" s="801" t="s">
        <v>659</v>
      </c>
      <c r="D18" s="801">
        <v>0</v>
      </c>
      <c r="E18" s="801">
        <v>0</v>
      </c>
      <c r="F18" s="807">
        <v>0</v>
      </c>
      <c r="G18" s="801">
        <v>65830</v>
      </c>
      <c r="H18" s="801">
        <v>0</v>
      </c>
      <c r="I18" s="801">
        <v>0</v>
      </c>
      <c r="J18" s="801">
        <v>0</v>
      </c>
      <c r="K18" s="808">
        <v>0</v>
      </c>
      <c r="O18" s="801">
        <v>0</v>
      </c>
      <c r="P18" s="807"/>
      <c r="Q18"/>
      <c r="R18"/>
    </row>
    <row r="19" spans="1:25" hidden="1" outlineLevel="1" x14ac:dyDescent="0.25">
      <c r="A19" s="802" t="s">
        <v>678</v>
      </c>
      <c r="B19" s="803"/>
      <c r="C19" s="804"/>
      <c r="D19" s="804">
        <v>0</v>
      </c>
      <c r="E19" s="804">
        <v>0</v>
      </c>
      <c r="F19" s="805">
        <v>0</v>
      </c>
      <c r="G19" s="804">
        <v>0</v>
      </c>
      <c r="H19" s="804">
        <v>0</v>
      </c>
      <c r="I19" s="804">
        <v>0</v>
      </c>
      <c r="J19" s="804">
        <v>0</v>
      </c>
      <c r="K19" s="804">
        <v>0</v>
      </c>
      <c r="L19" s="803">
        <v>0</v>
      </c>
      <c r="M19" s="804">
        <v>0</v>
      </c>
      <c r="N19" s="804">
        <v>0</v>
      </c>
      <c r="O19" s="804">
        <v>0</v>
      </c>
      <c r="P19" s="805"/>
      <c r="Q19"/>
      <c r="R19"/>
    </row>
    <row r="20" spans="1:25" hidden="1" outlineLevel="1" x14ac:dyDescent="0.25">
      <c r="A20" s="790" t="s">
        <v>605</v>
      </c>
      <c r="B20" s="794" t="s">
        <v>659</v>
      </c>
      <c r="C20" s="796" t="s">
        <v>659</v>
      </c>
      <c r="D20" s="796">
        <v>0</v>
      </c>
      <c r="E20" s="796">
        <v>48268</v>
      </c>
      <c r="F20" s="797">
        <v>161696</v>
      </c>
      <c r="G20" s="796">
        <v>55360</v>
      </c>
      <c r="H20" s="796">
        <v>0</v>
      </c>
      <c r="I20" s="796">
        <v>0</v>
      </c>
      <c r="J20" s="796">
        <v>73014</v>
      </c>
      <c r="K20" s="798">
        <v>250772</v>
      </c>
      <c r="L20" s="794">
        <v>81220</v>
      </c>
      <c r="M20" s="796">
        <v>88386</v>
      </c>
      <c r="N20" s="796">
        <v>96065</v>
      </c>
      <c r="O20" s="796">
        <v>103824</v>
      </c>
      <c r="P20" s="797"/>
      <c r="Q20"/>
      <c r="R20"/>
      <c r="X20" s="809"/>
      <c r="Y20" s="809"/>
    </row>
    <row r="21" spans="1:25" hidden="1" outlineLevel="1" x14ac:dyDescent="0.25">
      <c r="A21" s="790" t="s">
        <v>584</v>
      </c>
      <c r="B21" s="794" t="s">
        <v>659</v>
      </c>
      <c r="C21" s="796" t="s">
        <v>659</v>
      </c>
      <c r="D21" s="796">
        <v>-3176</v>
      </c>
      <c r="E21" s="796">
        <v>-10407</v>
      </c>
      <c r="F21" s="797">
        <v>-15776</v>
      </c>
      <c r="G21" s="796">
        <v>-13472</v>
      </c>
      <c r="H21" s="796">
        <v>0</v>
      </c>
      <c r="I21" s="796">
        <v>-28970</v>
      </c>
      <c r="J21" s="796">
        <v>-17517</v>
      </c>
      <c r="K21" s="798">
        <v>-60135</v>
      </c>
      <c r="L21" s="794">
        <v>-12154</v>
      </c>
      <c r="M21" s="796">
        <v>-15045</v>
      </c>
      <c r="N21" s="796">
        <v>-18445</v>
      </c>
      <c r="O21" s="796">
        <v>-13930</v>
      </c>
      <c r="P21" s="797"/>
      <c r="Q21"/>
      <c r="R21"/>
      <c r="X21" s="810"/>
      <c r="Y21" s="810"/>
    </row>
    <row r="22" spans="1:25" hidden="1" outlineLevel="1" x14ac:dyDescent="0.25">
      <c r="A22" s="806" t="s">
        <v>585</v>
      </c>
      <c r="B22" s="800" t="s">
        <v>659</v>
      </c>
      <c r="C22" s="801" t="s">
        <v>659</v>
      </c>
      <c r="D22" s="801">
        <v>-724</v>
      </c>
      <c r="E22" s="801">
        <v>2891</v>
      </c>
      <c r="F22" s="807">
        <v>3630</v>
      </c>
      <c r="G22" s="801">
        <v>871</v>
      </c>
      <c r="H22" s="801">
        <v>0</v>
      </c>
      <c r="I22" s="801">
        <v>-5968</v>
      </c>
      <c r="J22" s="801">
        <v>329</v>
      </c>
      <c r="K22" s="808">
        <v>-1066</v>
      </c>
      <c r="L22" s="800">
        <v>3946</v>
      </c>
      <c r="M22" s="801">
        <v>4198</v>
      </c>
      <c r="N22" s="801">
        <v>2130</v>
      </c>
      <c r="O22" s="801">
        <v>5183</v>
      </c>
      <c r="P22" s="807"/>
      <c r="Q22"/>
      <c r="R22"/>
      <c r="X22" s="809"/>
      <c r="Y22" s="809"/>
    </row>
    <row r="23" spans="1:25" hidden="1" outlineLevel="1" x14ac:dyDescent="0.25">
      <c r="A23"/>
      <c r="B23"/>
      <c r="C23"/>
      <c r="D23"/>
      <c r="E23"/>
      <c r="F23"/>
      <c r="G23"/>
      <c r="H23"/>
      <c r="I23"/>
      <c r="J23"/>
      <c r="K23"/>
      <c r="L23"/>
      <c r="M23"/>
      <c r="N23"/>
      <c r="O23"/>
      <c r="P23"/>
      <c r="Q23"/>
      <c r="R23"/>
      <c r="X23" s="810"/>
      <c r="Y23" s="810"/>
    </row>
    <row r="24" spans="1:25" hidden="1" outlineLevel="1" x14ac:dyDescent="0.25">
      <c r="A24"/>
      <c r="B24"/>
      <c r="C24"/>
      <c r="D24"/>
      <c r="E24"/>
      <c r="F24"/>
      <c r="G24"/>
      <c r="H24"/>
      <c r="I24"/>
      <c r="J24"/>
      <c r="K24"/>
      <c r="L24"/>
      <c r="M24"/>
      <c r="N24"/>
      <c r="O24"/>
      <c r="P24"/>
      <c r="Q24"/>
      <c r="R24"/>
      <c r="X24" s="809"/>
      <c r="Y24" s="809"/>
    </row>
    <row r="25" spans="1:25" ht="15.75" hidden="1" outlineLevel="1" thickBot="1" x14ac:dyDescent="0.3">
      <c r="A25" s="811"/>
      <c r="B25" s="1456" t="s">
        <v>667</v>
      </c>
      <c r="C25" s="1457"/>
      <c r="D25" s="1457"/>
      <c r="E25" s="1457"/>
      <c r="F25" s="787"/>
      <c r="G25" s="1458" t="s">
        <v>668</v>
      </c>
      <c r="H25" s="1459"/>
      <c r="I25" s="1459"/>
      <c r="J25" s="1459"/>
      <c r="K25" s="788"/>
      <c r="L25" s="1456" t="s">
        <v>669</v>
      </c>
      <c r="M25" s="1457"/>
      <c r="N25" s="1457"/>
      <c r="O25" s="1457"/>
      <c r="P25" s="787"/>
      <c r="Q25"/>
      <c r="R25"/>
      <c r="X25" s="810"/>
      <c r="Y25" s="810"/>
    </row>
    <row r="26" spans="1:25" hidden="1" outlineLevel="1" x14ac:dyDescent="0.25">
      <c r="A26" s="812" t="s">
        <v>679</v>
      </c>
      <c r="B26" s="791" t="s">
        <v>670</v>
      </c>
      <c r="C26" s="792" t="s">
        <v>671</v>
      </c>
      <c r="D26" s="792" t="s">
        <v>672</v>
      </c>
      <c r="E26" s="792" t="s">
        <v>673</v>
      </c>
      <c r="F26" s="793"/>
      <c r="G26" s="792" t="s">
        <v>670</v>
      </c>
      <c r="H26" s="792" t="s">
        <v>671</v>
      </c>
      <c r="I26" s="792" t="s">
        <v>672</v>
      </c>
      <c r="J26" s="792" t="s">
        <v>673</v>
      </c>
      <c r="K26" s="792"/>
      <c r="L26" s="791" t="s">
        <v>670</v>
      </c>
      <c r="M26" s="792" t="s">
        <v>671</v>
      </c>
      <c r="N26" s="792" t="s">
        <v>672</v>
      </c>
      <c r="O26" s="792" t="s">
        <v>673</v>
      </c>
      <c r="P26" s="793"/>
      <c r="Q26"/>
      <c r="R26"/>
      <c r="X26" s="809"/>
      <c r="Y26" s="809"/>
    </row>
    <row r="27" spans="1:25" hidden="1" outlineLevel="1" x14ac:dyDescent="0.25">
      <c r="A27" s="790" t="s">
        <v>556</v>
      </c>
      <c r="B27" s="813"/>
      <c r="C27" s="814"/>
      <c r="D27" s="815">
        <f t="shared" ref="D27:E30" si="0">D6/C6-1</f>
        <v>-5.3034300791556799E-2</v>
      </c>
      <c r="E27" s="815">
        <f t="shared" si="0"/>
        <v>0</v>
      </c>
      <c r="F27" s="815"/>
      <c r="G27" s="815">
        <f>G6/E6-1</f>
        <v>7.8378378378378466E-2</v>
      </c>
      <c r="H27" s="815">
        <f t="shared" ref="H27:J30" si="1">H6/G6-1</f>
        <v>-5.0125313283208017E-2</v>
      </c>
      <c r="I27" s="815">
        <f t="shared" si="1"/>
        <v>0.10026385224274414</v>
      </c>
      <c r="J27" s="815">
        <f t="shared" si="1"/>
        <v>1.6786570743405171E-2</v>
      </c>
      <c r="K27" s="815"/>
      <c r="L27" s="815">
        <f>L6/J6-1</f>
        <v>0.16037735849056611</v>
      </c>
      <c r="M27" s="815">
        <f t="shared" ref="M27:O30" si="2">M6/L6-1</f>
        <v>6.0975609756097615E-3</v>
      </c>
      <c r="N27" s="815">
        <f t="shared" si="2"/>
        <v>0.14141414141414144</v>
      </c>
      <c r="O27" s="815">
        <f t="shared" si="2"/>
        <v>7.4336283185840735E-2</v>
      </c>
      <c r="P27" s="816"/>
      <c r="Q27"/>
      <c r="R27"/>
      <c r="T27" s="817"/>
      <c r="U27" s="810"/>
      <c r="V27" s="810"/>
      <c r="W27" s="810"/>
      <c r="X27" s="810"/>
      <c r="Y27" s="810"/>
    </row>
    <row r="28" spans="1:25" hidden="1" outlineLevel="1" x14ac:dyDescent="0.25">
      <c r="A28" s="790" t="s">
        <v>558</v>
      </c>
      <c r="D28" s="815">
        <f t="shared" si="0"/>
        <v>-5.8461538461538454E-2</v>
      </c>
      <c r="E28" s="815">
        <f t="shared" si="0"/>
        <v>0</v>
      </c>
      <c r="F28" s="815"/>
      <c r="G28" s="815">
        <f>G7/E7-1</f>
        <v>0.13095238095238093</v>
      </c>
      <c r="H28" s="815">
        <f t="shared" si="1"/>
        <v>-4.2105263157894757E-2</v>
      </c>
      <c r="I28" s="815">
        <f t="shared" si="1"/>
        <v>7.6923076923076872E-2</v>
      </c>
      <c r="J28" s="815">
        <f t="shared" si="1"/>
        <v>3.0612244897959107E-2</v>
      </c>
      <c r="K28" s="815"/>
      <c r="L28" s="815">
        <f>L7/J7-1</f>
        <v>0.23762376237623761</v>
      </c>
      <c r="M28" s="815">
        <f t="shared" si="2"/>
        <v>5.600000000000005E-2</v>
      </c>
      <c r="N28" s="815">
        <f t="shared" si="2"/>
        <v>0.1287878787878789</v>
      </c>
      <c r="O28" s="815">
        <f t="shared" si="2"/>
        <v>9.3959731543624248E-2</v>
      </c>
      <c r="P28" s="816"/>
      <c r="Q28"/>
      <c r="R28"/>
      <c r="X28" s="809"/>
      <c r="Y28" s="809"/>
    </row>
    <row r="29" spans="1:25" hidden="1" outlineLevel="1" x14ac:dyDescent="0.25">
      <c r="A29" s="790" t="s">
        <v>680</v>
      </c>
      <c r="D29" s="815">
        <f t="shared" si="0"/>
        <v>0.15263157894736845</v>
      </c>
      <c r="E29" s="815">
        <f t="shared" si="0"/>
        <v>6.6666666666666652E-2</v>
      </c>
      <c r="F29" s="815"/>
      <c r="G29" s="815">
        <f>G8/E8-1</f>
        <v>0.125</v>
      </c>
      <c r="H29" s="815">
        <f t="shared" si="1"/>
        <v>5.555555555555558E-2</v>
      </c>
      <c r="I29" s="815">
        <f t="shared" si="1"/>
        <v>0.15789473684210531</v>
      </c>
      <c r="J29" s="815">
        <f t="shared" si="1"/>
        <v>0.13636363636363646</v>
      </c>
      <c r="K29" s="815"/>
      <c r="L29" s="815">
        <f>L8/J8-1</f>
        <v>0.15999999999999992</v>
      </c>
      <c r="M29" s="815">
        <f t="shared" si="2"/>
        <v>0.13793103448275867</v>
      </c>
      <c r="N29" s="815">
        <f t="shared" si="2"/>
        <v>0.1212121212121211</v>
      </c>
      <c r="O29" s="815">
        <f t="shared" si="2"/>
        <v>0.13513513513513509</v>
      </c>
      <c r="P29" s="816"/>
      <c r="Q29"/>
      <c r="R29"/>
      <c r="X29" s="809"/>
      <c r="Y29" s="809"/>
    </row>
    <row r="30" spans="1:25" ht="15.75" hidden="1" outlineLevel="1" thickBot="1" x14ac:dyDescent="0.3">
      <c r="A30" s="806" t="s">
        <v>582</v>
      </c>
      <c r="B30" s="818"/>
      <c r="C30" s="818"/>
      <c r="D30" s="819">
        <f t="shared" si="0"/>
        <v>-5.942480620155044E-2</v>
      </c>
      <c r="E30" s="819">
        <f t="shared" si="0"/>
        <v>0.22279126577667308</v>
      </c>
      <c r="F30" s="819"/>
      <c r="G30" s="819">
        <f>G9/E9-1</f>
        <v>0.1538148451314425</v>
      </c>
      <c r="H30" s="819">
        <f t="shared" si="1"/>
        <v>-2.0371567993415107E-2</v>
      </c>
      <c r="I30" s="819">
        <f t="shared" si="1"/>
        <v>0.13268217054263576</v>
      </c>
      <c r="J30" s="819">
        <f t="shared" si="1"/>
        <v>0.2431355909003805</v>
      </c>
      <c r="K30" s="819"/>
      <c r="L30" s="819">
        <f>L9/J9-1</f>
        <v>0.12368284868037138</v>
      </c>
      <c r="M30" s="819">
        <f t="shared" si="2"/>
        <v>-4.4946792874360653E-2</v>
      </c>
      <c r="N30" s="819">
        <f t="shared" si="2"/>
        <v>5.407984240819963E-2</v>
      </c>
      <c r="O30" s="819">
        <f t="shared" si="2"/>
        <v>0.23019720064630422</v>
      </c>
      <c r="P30" s="820"/>
      <c r="Q30"/>
      <c r="R30"/>
      <c r="X30" s="809"/>
      <c r="Y30" s="809"/>
    </row>
    <row r="31" spans="1:25" hidden="1" outlineLevel="1" x14ac:dyDescent="0.25">
      <c r="D31" s="814"/>
      <c r="E31" s="814"/>
      <c r="F31" s="814"/>
      <c r="G31" s="814"/>
      <c r="H31" s="814"/>
      <c r="I31" s="814"/>
      <c r="J31" s="814"/>
      <c r="K31" s="814"/>
      <c r="L31" s="814"/>
      <c r="M31" s="814"/>
      <c r="N31" s="814"/>
      <c r="O31" s="814"/>
      <c r="P31" s="814"/>
      <c r="Q31"/>
      <c r="R31"/>
      <c r="X31" s="809"/>
      <c r="Y31" s="809"/>
    </row>
    <row r="32" spans="1:25" hidden="1" outlineLevel="1" x14ac:dyDescent="0.25">
      <c r="D32" s="814"/>
      <c r="E32" s="814"/>
      <c r="F32" s="814"/>
      <c r="G32" s="814"/>
      <c r="H32" s="814"/>
      <c r="I32" s="814"/>
      <c r="J32" s="814"/>
      <c r="K32" s="814"/>
      <c r="L32" s="814"/>
      <c r="M32" s="814"/>
      <c r="N32" s="814"/>
      <c r="O32" s="814"/>
      <c r="P32" s="814"/>
      <c r="Q32"/>
      <c r="R32"/>
      <c r="X32" s="809"/>
      <c r="Y32" s="809"/>
    </row>
    <row r="33" spans="1:93" hidden="1" outlineLevel="1" x14ac:dyDescent="0.25">
      <c r="D33" s="814"/>
      <c r="E33" s="814"/>
      <c r="F33" s="814"/>
      <c r="G33" s="814"/>
      <c r="H33" s="814"/>
      <c r="I33" s="814"/>
      <c r="J33" s="814"/>
      <c r="K33" s="814"/>
      <c r="L33" s="814"/>
      <c r="M33" s="814"/>
      <c r="N33" s="814"/>
      <c r="O33" s="814"/>
      <c r="P33" s="814"/>
      <c r="Q33"/>
      <c r="R33"/>
      <c r="X33" s="809"/>
      <c r="Y33" s="809"/>
    </row>
    <row r="34" spans="1:93" hidden="1" outlineLevel="1" x14ac:dyDescent="0.25">
      <c r="D34" s="814"/>
      <c r="E34" s="814"/>
      <c r="F34" s="814"/>
      <c r="G34" s="814"/>
      <c r="H34" s="814"/>
      <c r="I34" s="814"/>
      <c r="J34" s="814"/>
      <c r="K34" s="814"/>
      <c r="L34" s="814"/>
      <c r="M34" s="814"/>
      <c r="N34" s="814"/>
      <c r="O34" s="814"/>
      <c r="P34" s="814"/>
      <c r="Q34"/>
      <c r="R34"/>
      <c r="X34" s="809"/>
      <c r="Y34" s="809"/>
    </row>
    <row r="35" spans="1:93" ht="15.75" hidden="1" outlineLevel="1" thickBot="1" x14ac:dyDescent="0.3">
      <c r="A35" s="782"/>
      <c r="B35" s="821"/>
      <c r="C35" s="822"/>
      <c r="D35" s="823"/>
      <c r="E35" s="1460" t="s">
        <v>681</v>
      </c>
      <c r="F35" s="1461"/>
      <c r="G35" s="814"/>
      <c r="H35" s="814"/>
      <c r="I35" s="814"/>
      <c r="J35" s="814"/>
      <c r="K35" s="814"/>
      <c r="L35" s="814"/>
      <c r="M35" s="814"/>
      <c r="N35" s="814"/>
      <c r="O35" s="814"/>
      <c r="P35" s="814"/>
      <c r="Q35"/>
      <c r="R35"/>
      <c r="X35" s="809"/>
      <c r="Y35" s="809"/>
    </row>
    <row r="36" spans="1:93" ht="15.75" hidden="1" outlineLevel="1" thickBot="1" x14ac:dyDescent="0.3">
      <c r="A36" s="824" t="s">
        <v>676</v>
      </c>
      <c r="B36" s="825">
        <v>2020</v>
      </c>
      <c r="C36" s="826">
        <v>2021</v>
      </c>
      <c r="D36" s="827">
        <v>2022</v>
      </c>
      <c r="E36" s="818">
        <v>2021</v>
      </c>
      <c r="F36" s="828">
        <v>2022</v>
      </c>
      <c r="H36" s="814"/>
      <c r="I36" s="814"/>
      <c r="J36" s="814"/>
      <c r="K36" s="814"/>
      <c r="L36" s="814"/>
      <c r="M36" s="814"/>
      <c r="N36" s="814"/>
      <c r="O36" s="814"/>
      <c r="P36" s="814"/>
      <c r="Q36"/>
      <c r="R36"/>
      <c r="X36" s="809"/>
      <c r="Y36" s="809"/>
    </row>
    <row r="37" spans="1:93" hidden="1" outlineLevel="1" x14ac:dyDescent="0.25">
      <c r="A37" s="790" t="s">
        <v>588</v>
      </c>
      <c r="B37" s="829">
        <f>F11</f>
        <v>117501</v>
      </c>
      <c r="C37" s="830">
        <f>K11</f>
        <v>180698</v>
      </c>
      <c r="D37" s="831">
        <f>P11</f>
        <v>273507</v>
      </c>
      <c r="E37" s="815">
        <f t="shared" ref="E37:F41" si="3">C37/B37-1</f>
        <v>0.53784223112994778</v>
      </c>
      <c r="F37" s="832">
        <f t="shared" si="3"/>
        <v>0.51361387508439504</v>
      </c>
      <c r="G37" s="814"/>
      <c r="H37" s="814"/>
      <c r="I37" s="814"/>
      <c r="J37" s="814"/>
      <c r="K37" s="814"/>
      <c r="L37" s="814"/>
      <c r="M37" s="814"/>
      <c r="N37" s="814"/>
      <c r="O37" s="814"/>
      <c r="P37" s="814"/>
      <c r="Q37"/>
      <c r="R37"/>
      <c r="X37" s="809"/>
      <c r="Y37" s="809"/>
    </row>
    <row r="38" spans="1:93" hidden="1" outlineLevel="1" x14ac:dyDescent="0.25">
      <c r="A38" s="790" t="s">
        <v>589</v>
      </c>
      <c r="B38" s="829">
        <f>F12</f>
        <v>27043</v>
      </c>
      <c r="C38" s="830">
        <f>K12</f>
        <v>38501</v>
      </c>
      <c r="D38" s="831">
        <f>P12</f>
        <v>44731</v>
      </c>
      <c r="E38" s="815">
        <f t="shared" si="3"/>
        <v>0.42369559590282146</v>
      </c>
      <c r="F38" s="832">
        <f t="shared" si="3"/>
        <v>0.161813978857692</v>
      </c>
      <c r="G38" s="814"/>
      <c r="H38" s="814"/>
      <c r="I38" s="814"/>
      <c r="J38" s="814"/>
      <c r="K38" s="814"/>
      <c r="L38" s="814"/>
      <c r="M38" s="814"/>
      <c r="N38" s="814"/>
      <c r="O38" s="814"/>
      <c r="P38" s="814"/>
      <c r="Q38"/>
      <c r="R38"/>
      <c r="X38" s="809"/>
      <c r="Y38" s="809"/>
    </row>
    <row r="39" spans="1:93" hidden="1" outlineLevel="1" x14ac:dyDescent="0.25">
      <c r="A39" s="790" t="s">
        <v>590</v>
      </c>
      <c r="B39" s="829">
        <f>F13</f>
        <v>15155</v>
      </c>
      <c r="C39" s="830">
        <f>K13</f>
        <v>24658</v>
      </c>
      <c r="D39" s="831">
        <f>P13</f>
        <v>32718</v>
      </c>
      <c r="E39" s="815">
        <f t="shared" si="3"/>
        <v>0.62705377763114489</v>
      </c>
      <c r="F39" s="832">
        <f t="shared" si="3"/>
        <v>0.32687160353637768</v>
      </c>
      <c r="K39" s="814"/>
      <c r="Q39"/>
      <c r="R39"/>
      <c r="X39" s="809"/>
      <c r="Y39" s="809"/>
    </row>
    <row r="40" spans="1:93" hidden="1" outlineLevel="1" x14ac:dyDescent="0.25">
      <c r="A40" s="790" t="s">
        <v>591</v>
      </c>
      <c r="B40" s="829">
        <f>F14</f>
        <v>1997</v>
      </c>
      <c r="C40" s="830">
        <f>K14</f>
        <v>6915</v>
      </c>
      <c r="D40" s="831">
        <f>P14</f>
        <v>18539</v>
      </c>
      <c r="E40" s="815">
        <f t="shared" si="3"/>
        <v>2.4626940410615923</v>
      </c>
      <c r="F40" s="832">
        <f t="shared" si="3"/>
        <v>1.6809833694866234</v>
      </c>
      <c r="K40" s="814"/>
      <c r="Q40"/>
      <c r="R40"/>
    </row>
    <row r="41" spans="1:93" ht="15.75" hidden="1" outlineLevel="1" thickBot="1" x14ac:dyDescent="0.3">
      <c r="A41" s="790" t="s">
        <v>592</v>
      </c>
      <c r="B41" s="833">
        <f>F15</f>
        <v>161696</v>
      </c>
      <c r="C41" s="834">
        <f>K15</f>
        <v>250772</v>
      </c>
      <c r="D41" s="835">
        <f>P15</f>
        <v>369495</v>
      </c>
      <c r="E41" s="819">
        <f t="shared" si="3"/>
        <v>0.5508856125074213</v>
      </c>
      <c r="F41" s="836">
        <f t="shared" si="3"/>
        <v>0.47343004801173971</v>
      </c>
      <c r="K41" s="814"/>
      <c r="Q41"/>
      <c r="R41"/>
    </row>
    <row r="42" spans="1:93" hidden="1" outlineLevel="1" x14ac:dyDescent="0.25">
      <c r="K42" s="814"/>
      <c r="Q42"/>
      <c r="R42"/>
    </row>
    <row r="43" spans="1:93" hidden="1" outlineLevel="1" x14ac:dyDescent="0.25">
      <c r="K43" s="814"/>
      <c r="Q43"/>
      <c r="R43"/>
    </row>
    <row r="44" spans="1:93" hidden="1" outlineLevel="1" x14ac:dyDescent="0.25"/>
    <row r="45" spans="1:93" hidden="1" outlineLevel="1" x14ac:dyDescent="0.25"/>
    <row r="46" spans="1:93" hidden="1" outlineLevel="1" x14ac:dyDescent="0.25">
      <c r="Q46" s="837"/>
      <c r="R46" s="838" t="s">
        <v>682</v>
      </c>
      <c r="AH46" s="839"/>
    </row>
    <row r="47" spans="1:93" s="215" customFormat="1" hidden="1" outlineLevel="1" x14ac:dyDescent="0.25">
      <c r="A47" s="840" t="s">
        <v>0</v>
      </c>
      <c r="B47" s="841"/>
      <c r="C47" s="841"/>
      <c r="D47" s="841"/>
      <c r="E47" s="841"/>
      <c r="F47" s="841"/>
      <c r="G47" s="841" t="s">
        <v>683</v>
      </c>
      <c r="H47" s="841" t="s">
        <v>683</v>
      </c>
      <c r="I47" s="841" t="s">
        <v>683</v>
      </c>
      <c r="J47" s="842" t="s">
        <v>683</v>
      </c>
      <c r="K47" s="840" t="s">
        <v>683</v>
      </c>
      <c r="L47" s="841" t="s">
        <v>683</v>
      </c>
      <c r="M47" s="841" t="s">
        <v>683</v>
      </c>
      <c r="N47" s="842" t="s">
        <v>683</v>
      </c>
      <c r="O47" s="840" t="s">
        <v>684</v>
      </c>
      <c r="P47" s="841" t="s">
        <v>684</v>
      </c>
      <c r="Q47" s="841" t="s">
        <v>685</v>
      </c>
      <c r="R47" s="841" t="s">
        <v>684</v>
      </c>
      <c r="S47" s="841" t="s">
        <v>684</v>
      </c>
      <c r="T47" s="841" t="s">
        <v>684</v>
      </c>
      <c r="U47" s="841" t="s">
        <v>684</v>
      </c>
      <c r="V47" s="841" t="s">
        <v>684</v>
      </c>
      <c r="W47" s="841" t="s">
        <v>684</v>
      </c>
      <c r="X47" s="841" t="s">
        <v>684</v>
      </c>
      <c r="Y47" s="841" t="s">
        <v>684</v>
      </c>
      <c r="Z47" s="841" t="s">
        <v>684</v>
      </c>
      <c r="AA47" s="841" t="s">
        <v>684</v>
      </c>
      <c r="AB47" s="841" t="s">
        <v>684</v>
      </c>
      <c r="AC47" s="841" t="s">
        <v>684</v>
      </c>
      <c r="AD47" s="841" t="s">
        <v>684</v>
      </c>
      <c r="AE47" s="841" t="s">
        <v>684</v>
      </c>
      <c r="AF47" s="841" t="s">
        <v>684</v>
      </c>
      <c r="AG47" s="841" t="s">
        <v>684</v>
      </c>
      <c r="AH47" s="841" t="s">
        <v>684</v>
      </c>
      <c r="AI47" s="839"/>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row>
    <row r="48" spans="1:93" s="215" customFormat="1" hidden="1" outlineLevel="1" x14ac:dyDescent="0.25">
      <c r="A48" s="843" t="s">
        <v>44</v>
      </c>
      <c r="B48" s="844"/>
      <c r="C48" s="844"/>
      <c r="D48" s="844"/>
      <c r="E48" s="844"/>
      <c r="F48" s="844"/>
      <c r="G48" s="844">
        <v>2021</v>
      </c>
      <c r="H48" s="844">
        <v>2021</v>
      </c>
      <c r="I48" s="844">
        <v>2021</v>
      </c>
      <c r="J48" s="845">
        <v>2021</v>
      </c>
      <c r="K48" s="843">
        <v>2022</v>
      </c>
      <c r="L48" s="844">
        <v>2022</v>
      </c>
      <c r="M48" s="844">
        <v>2022</v>
      </c>
      <c r="N48" s="845">
        <v>2022</v>
      </c>
      <c r="O48" s="843">
        <v>2023</v>
      </c>
      <c r="P48" s="844">
        <v>2023</v>
      </c>
      <c r="Q48" s="844">
        <v>2023</v>
      </c>
      <c r="R48" s="844">
        <v>2023</v>
      </c>
      <c r="S48" s="844">
        <v>2024</v>
      </c>
      <c r="T48" s="844">
        <v>2024</v>
      </c>
      <c r="U48" s="844">
        <v>2024</v>
      </c>
      <c r="V48" s="844">
        <v>2024</v>
      </c>
      <c r="W48" s="844">
        <v>2025</v>
      </c>
      <c r="X48" s="844">
        <v>2025</v>
      </c>
      <c r="Y48" s="844">
        <v>2025</v>
      </c>
      <c r="Z48" s="844">
        <v>2025</v>
      </c>
      <c r="AA48" s="844">
        <v>2026</v>
      </c>
      <c r="AB48" s="844">
        <v>2026</v>
      </c>
      <c r="AC48" s="844">
        <v>2026</v>
      </c>
      <c r="AD48" s="844">
        <v>2026</v>
      </c>
      <c r="AE48" s="844">
        <v>2027</v>
      </c>
      <c r="AF48" s="844">
        <v>2027</v>
      </c>
      <c r="AG48" s="844">
        <v>2027</v>
      </c>
      <c r="AH48" s="844">
        <v>2027</v>
      </c>
      <c r="AI48" s="839"/>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row>
    <row r="49" spans="1:93" s="215" customFormat="1" hidden="1" outlineLevel="1" x14ac:dyDescent="0.25">
      <c r="A49" s="843" t="s">
        <v>3</v>
      </c>
      <c r="B49" s="844"/>
      <c r="C49" s="844"/>
      <c r="D49" s="844"/>
      <c r="E49" s="844"/>
      <c r="F49" s="844"/>
      <c r="G49" s="846">
        <v>44286</v>
      </c>
      <c r="H49" s="846">
        <v>44377</v>
      </c>
      <c r="I49" s="846">
        <v>44469</v>
      </c>
      <c r="J49" s="847">
        <v>44561</v>
      </c>
      <c r="K49" s="848">
        <v>44651</v>
      </c>
      <c r="L49" s="846">
        <v>44742</v>
      </c>
      <c r="M49" s="846">
        <v>44834</v>
      </c>
      <c r="N49" s="847">
        <v>44926</v>
      </c>
      <c r="O49" s="848">
        <v>45016</v>
      </c>
      <c r="P49" s="846">
        <v>45107</v>
      </c>
      <c r="Q49" s="846">
        <v>45199</v>
      </c>
      <c r="R49" s="846">
        <v>45291</v>
      </c>
      <c r="S49" s="846">
        <v>45382</v>
      </c>
      <c r="T49" s="846">
        <v>45473</v>
      </c>
      <c r="U49" s="846">
        <v>45565</v>
      </c>
      <c r="V49" s="846">
        <v>45657</v>
      </c>
      <c r="W49" s="846">
        <v>45747</v>
      </c>
      <c r="X49" s="846">
        <v>45838</v>
      </c>
      <c r="Y49" s="846">
        <v>45930</v>
      </c>
      <c r="Z49" s="846">
        <v>46022</v>
      </c>
      <c r="AA49" s="846">
        <v>46112</v>
      </c>
      <c r="AB49" s="846">
        <v>46203</v>
      </c>
      <c r="AC49" s="846">
        <v>46295</v>
      </c>
      <c r="AD49" s="846">
        <v>46387</v>
      </c>
      <c r="AE49" s="846">
        <v>46477</v>
      </c>
      <c r="AF49" s="846">
        <v>46568</v>
      </c>
      <c r="AG49" s="846">
        <v>46660</v>
      </c>
      <c r="AH49" s="846">
        <v>46752</v>
      </c>
      <c r="AI49" s="83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row>
    <row r="50" spans="1:93" s="855" customFormat="1" hidden="1" outlineLevel="1" x14ac:dyDescent="0.25">
      <c r="A50" s="849"/>
      <c r="B50" s="850"/>
      <c r="C50" s="850"/>
      <c r="D50" s="850"/>
      <c r="E50" s="850"/>
      <c r="F50" s="850"/>
      <c r="G50" s="851" t="s">
        <v>670</v>
      </c>
      <c r="H50" s="851" t="s">
        <v>671</v>
      </c>
      <c r="I50" s="851" t="s">
        <v>672</v>
      </c>
      <c r="J50" s="852" t="s">
        <v>673</v>
      </c>
      <c r="K50" s="853" t="s">
        <v>670</v>
      </c>
      <c r="L50" s="851" t="s">
        <v>671</v>
      </c>
      <c r="M50" s="851" t="s">
        <v>672</v>
      </c>
      <c r="N50" s="852" t="s">
        <v>673</v>
      </c>
      <c r="O50" s="853" t="s">
        <v>670</v>
      </c>
      <c r="P50" s="851" t="s">
        <v>671</v>
      </c>
      <c r="Q50" s="851" t="s">
        <v>672</v>
      </c>
      <c r="R50" s="851" t="s">
        <v>673</v>
      </c>
      <c r="S50" s="851" t="s">
        <v>670</v>
      </c>
      <c r="T50" s="851" t="s">
        <v>671</v>
      </c>
      <c r="U50" s="851" t="s">
        <v>672</v>
      </c>
      <c r="V50" s="851" t="s">
        <v>673</v>
      </c>
      <c r="W50" s="851" t="s">
        <v>670</v>
      </c>
      <c r="X50" s="851" t="s">
        <v>671</v>
      </c>
      <c r="Y50" s="851" t="s">
        <v>672</v>
      </c>
      <c r="Z50" s="851" t="s">
        <v>673</v>
      </c>
      <c r="AA50" s="851" t="s">
        <v>670</v>
      </c>
      <c r="AB50" s="851" t="s">
        <v>671</v>
      </c>
      <c r="AC50" s="851" t="s">
        <v>672</v>
      </c>
      <c r="AD50" s="851" t="s">
        <v>673</v>
      </c>
      <c r="AE50" s="851" t="s">
        <v>670</v>
      </c>
      <c r="AF50" s="851" t="s">
        <v>671</v>
      </c>
      <c r="AG50" s="851" t="s">
        <v>672</v>
      </c>
      <c r="AH50" s="851" t="s">
        <v>673</v>
      </c>
      <c r="AI50" s="854"/>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row>
    <row r="51" spans="1:93" s="855" customFormat="1" hidden="1" outlineLevel="1" x14ac:dyDescent="0.25">
      <c r="A51" s="856" t="s">
        <v>686</v>
      </c>
      <c r="B51" s="857"/>
      <c r="C51" s="857"/>
      <c r="D51" s="857"/>
      <c r="F51" s="857"/>
      <c r="G51" s="858">
        <v>55360</v>
      </c>
      <c r="H51" s="858">
        <v>58803</v>
      </c>
      <c r="I51" s="858">
        <v>63595</v>
      </c>
      <c r="J51" s="858">
        <v>73014</v>
      </c>
      <c r="K51" s="858">
        <v>81220</v>
      </c>
      <c r="L51" s="858">
        <v>88386</v>
      </c>
      <c r="M51" s="858">
        <v>96065</v>
      </c>
      <c r="N51" s="858">
        <v>103824</v>
      </c>
      <c r="O51" s="858">
        <v>113382.74889125761</v>
      </c>
      <c r="P51" s="858">
        <v>123821.54170652236</v>
      </c>
      <c r="Q51" s="858">
        <v>135221.40131991645</v>
      </c>
      <c r="R51" s="858">
        <v>147670.81012656089</v>
      </c>
      <c r="S51" s="858">
        <v>161266.39681719482</v>
      </c>
      <c r="T51" s="858">
        <v>176113.68638197242</v>
      </c>
      <c r="U51" s="858">
        <v>192327.91916474875</v>
      </c>
      <c r="V51" s="858">
        <v>210034.94532511555</v>
      </c>
      <c r="W51" s="858">
        <v>229372.2016507416</v>
      </c>
      <c r="X51" s="858">
        <v>250489.77830175046</v>
      </c>
      <c r="Y51" s="858">
        <v>273551.58376689552</v>
      </c>
      <c r="Z51" s="858">
        <v>298736.61707358353</v>
      </c>
      <c r="AA51" s="858">
        <v>326240.35712627042</v>
      </c>
      <c r="AB51" s="858">
        <v>356276.27995687048</v>
      </c>
      <c r="AC51" s="858">
        <v>389077.51566363499</v>
      </c>
      <c r="AD51" s="858">
        <v>424898.65789917816</v>
      </c>
      <c r="AE51" s="858">
        <v>464017.73995237023</v>
      </c>
      <c r="AF51" s="858">
        <v>506738.39276187075</v>
      </c>
      <c r="AG51" s="858">
        <v>553392.20161117532</v>
      </c>
      <c r="AH51" s="858">
        <v>604341.27979715762</v>
      </c>
      <c r="AI51" s="854"/>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row>
    <row r="52" spans="1:93" s="855" customFormat="1" hidden="1" outlineLevel="1" x14ac:dyDescent="0.25">
      <c r="A52" s="859" t="s">
        <v>687</v>
      </c>
      <c r="B52" s="857"/>
      <c r="C52" s="857"/>
      <c r="D52" s="857"/>
      <c r="F52" s="857"/>
      <c r="G52" s="860">
        <f>G51</f>
        <v>55360</v>
      </c>
      <c r="H52" s="860">
        <f t="shared" ref="H52:N52" si="4">H51</f>
        <v>58803</v>
      </c>
      <c r="I52" s="860">
        <f t="shared" si="4"/>
        <v>63595</v>
      </c>
      <c r="J52" s="860">
        <f t="shared" si="4"/>
        <v>73014</v>
      </c>
      <c r="K52" s="860">
        <f t="shared" si="4"/>
        <v>81220</v>
      </c>
      <c r="L52" s="860">
        <f t="shared" si="4"/>
        <v>88386</v>
      </c>
      <c r="M52" s="860">
        <f t="shared" si="4"/>
        <v>96065</v>
      </c>
      <c r="N52" s="860">
        <f t="shared" si="4"/>
        <v>103824</v>
      </c>
      <c r="O52" s="860">
        <f>Q98</f>
        <v>113000</v>
      </c>
      <c r="P52" s="860">
        <f>R98</f>
        <v>119000</v>
      </c>
      <c r="Q52" s="860">
        <f>S98</f>
        <v>125938</v>
      </c>
      <c r="R52" s="860">
        <f>T98</f>
        <v>134386</v>
      </c>
      <c r="S52" s="860">
        <f>V98</f>
        <v>138017</v>
      </c>
      <c r="T52" s="860">
        <f>W98</f>
        <v>146314.5</v>
      </c>
      <c r="U52" s="860">
        <f>X98</f>
        <v>154003</v>
      </c>
      <c r="V52" s="860">
        <f>Y98</f>
        <v>160887.5</v>
      </c>
      <c r="W52" s="861"/>
      <c r="X52" s="861">
        <f>AA98</f>
        <v>0</v>
      </c>
      <c r="Y52" s="861">
        <f>AB98</f>
        <v>0</v>
      </c>
      <c r="Z52" s="861">
        <f>AC98</f>
        <v>0</v>
      </c>
      <c r="AA52" s="861" t="e">
        <f>#REF!</f>
        <v>#REF!</v>
      </c>
      <c r="AB52" s="861">
        <f>AD98</f>
        <v>0</v>
      </c>
      <c r="AC52" s="861">
        <f>AE98</f>
        <v>0</v>
      </c>
      <c r="AD52" s="861">
        <f>AF98</f>
        <v>0</v>
      </c>
      <c r="AE52" s="861">
        <f>AG98</f>
        <v>0</v>
      </c>
      <c r="AF52" s="861" t="e">
        <f>#REF!</f>
        <v>#REF!</v>
      </c>
      <c r="AG52" s="861">
        <f>AH98</f>
        <v>0</v>
      </c>
      <c r="AH52" s="861">
        <f>AI98</f>
        <v>0</v>
      </c>
      <c r="AI52" s="86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row>
    <row r="53" spans="1:93" s="855" customFormat="1" hidden="1" outlineLevel="1" x14ac:dyDescent="0.25">
      <c r="A53" s="859" t="s">
        <v>688</v>
      </c>
      <c r="B53" s="857"/>
      <c r="C53" s="857"/>
      <c r="D53" s="857"/>
      <c r="F53" s="857"/>
      <c r="G53" s="860"/>
      <c r="H53" s="860"/>
      <c r="I53" s="860"/>
      <c r="J53" s="860"/>
      <c r="K53" s="860">
        <f t="shared" ref="K53:N53" si="5">L100</f>
        <v>77000</v>
      </c>
      <c r="L53" s="860">
        <f t="shared" si="5"/>
        <v>85000</v>
      </c>
      <c r="M53" s="860">
        <f t="shared" si="5"/>
        <v>93200</v>
      </c>
      <c r="N53" s="860">
        <f t="shared" si="5"/>
        <v>98349.9</v>
      </c>
      <c r="O53" s="860">
        <f>Q100</f>
        <v>111352.6</v>
      </c>
      <c r="P53" s="860">
        <f>R100</f>
        <v>117700</v>
      </c>
      <c r="Q53" s="860">
        <f>S100</f>
        <v>121800</v>
      </c>
      <c r="R53" s="860">
        <f>T100</f>
        <v>131692</v>
      </c>
      <c r="S53" s="860">
        <f t="shared" ref="S53:AH53" si="6">V100</f>
        <v>134100</v>
      </c>
      <c r="T53" s="860">
        <f t="shared" si="6"/>
        <v>142500</v>
      </c>
      <c r="U53" s="860">
        <f t="shared" si="6"/>
        <v>152900</v>
      </c>
      <c r="V53" s="860">
        <f t="shared" si="6"/>
        <v>158900</v>
      </c>
      <c r="W53" s="860">
        <f t="shared" si="6"/>
        <v>0</v>
      </c>
      <c r="X53" s="860">
        <f t="shared" si="6"/>
        <v>0</v>
      </c>
      <c r="Y53" s="860">
        <f t="shared" si="6"/>
        <v>0</v>
      </c>
      <c r="Z53" s="860">
        <f t="shared" si="6"/>
        <v>0</v>
      </c>
      <c r="AA53" s="860">
        <f t="shared" si="6"/>
        <v>0</v>
      </c>
      <c r="AB53" s="860">
        <f t="shared" si="6"/>
        <v>0</v>
      </c>
      <c r="AC53" s="860">
        <f t="shared" si="6"/>
        <v>0</v>
      </c>
      <c r="AD53" s="860">
        <f t="shared" si="6"/>
        <v>0</v>
      </c>
      <c r="AE53" s="860">
        <f t="shared" si="6"/>
        <v>0</v>
      </c>
      <c r="AF53" s="860">
        <f t="shared" si="6"/>
        <v>0</v>
      </c>
      <c r="AG53" s="860">
        <f t="shared" si="6"/>
        <v>0</v>
      </c>
      <c r="AH53" s="860">
        <f t="shared" si="6"/>
        <v>0</v>
      </c>
      <c r="AI53" s="86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row>
    <row r="54" spans="1:93" s="855" customFormat="1" hidden="1" outlineLevel="1" x14ac:dyDescent="0.25">
      <c r="A54" s="783" t="s">
        <v>689</v>
      </c>
      <c r="B54" s="864"/>
      <c r="C54" s="864"/>
      <c r="D54" s="864"/>
      <c r="E54" s="789"/>
      <c r="F54" s="864"/>
      <c r="G54" s="865"/>
      <c r="H54" s="865"/>
      <c r="I54" s="865"/>
      <c r="J54" s="865"/>
      <c r="K54" s="865"/>
      <c r="L54" s="865"/>
      <c r="M54" s="865"/>
      <c r="N54" s="865"/>
      <c r="O54" s="866"/>
      <c r="P54" s="867"/>
      <c r="Q54" s="867"/>
      <c r="R54" s="867"/>
      <c r="S54" s="866">
        <f>O53*(1+N123)</f>
        <v>134100</v>
      </c>
      <c r="T54" s="866">
        <f>P53*(1+O123)</f>
        <v>142500</v>
      </c>
      <c r="U54" s="866">
        <f>Q53*(1+P123)</f>
        <v>152900</v>
      </c>
      <c r="V54" s="866">
        <f>R53*(1+Q123)</f>
        <v>158900</v>
      </c>
      <c r="W54" s="868">
        <f>S53*(1+N123)</f>
        <v>161494.29829209196</v>
      </c>
      <c r="X54" s="868">
        <f>T53*(1+O123)</f>
        <v>172525.48853016141</v>
      </c>
      <c r="Y54" s="868">
        <f>U53*(1+P123)</f>
        <v>191940.96880131363</v>
      </c>
      <c r="Z54" s="868">
        <f>V53*(1+Q123)</f>
        <v>191729.26221790237</v>
      </c>
      <c r="AA54" s="868">
        <f>W54*(1+N123)</f>
        <v>194484.77539787604</v>
      </c>
      <c r="AB54" s="868">
        <f>X54*(1+O123)</f>
        <v>208877.50310576041</v>
      </c>
      <c r="AC54" s="868">
        <f>Y54*(1+P123)</f>
        <v>240950.52651659158</v>
      </c>
      <c r="AD54" s="868">
        <f>Z54*(1+Q123)</f>
        <v>231341.15790195827</v>
      </c>
      <c r="AE54" s="868">
        <f>AA54*(1+N123)</f>
        <v>234214.63334358766</v>
      </c>
      <c r="AF54" s="868">
        <f>AB54*(1+O123)</f>
        <v>252889.07555285349</v>
      </c>
      <c r="AG54" s="868">
        <f>AC54*(1+P123)</f>
        <v>302474.0189194323</v>
      </c>
      <c r="AH54" s="868">
        <f>AD54*(1+Q123)</f>
        <v>279137.00141710334</v>
      </c>
      <c r="AI54" s="863"/>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row>
    <row r="55" spans="1:93" s="855" customFormat="1" hidden="1" outlineLevel="1" x14ac:dyDescent="0.25">
      <c r="A55" s="856" t="s">
        <v>214</v>
      </c>
      <c r="B55" s="857"/>
      <c r="C55" s="857"/>
      <c r="D55" s="857"/>
      <c r="E55" s="857"/>
      <c r="F55" s="857"/>
      <c r="G55" s="869">
        <v>0</v>
      </c>
      <c r="H55" s="869">
        <v>6.2192919075144459E-2</v>
      </c>
      <c r="I55" s="869">
        <v>8.1492440861860693E-2</v>
      </c>
      <c r="J55" s="869">
        <v>0.14810912807610666</v>
      </c>
      <c r="K55" s="869">
        <v>0.11238940477168757</v>
      </c>
      <c r="L55" s="869">
        <v>8.8229500123122362E-2</v>
      </c>
      <c r="M55" s="869">
        <v>8.6880275156699049E-2</v>
      </c>
      <c r="N55" s="869">
        <v>8.0768229844376149E-2</v>
      </c>
      <c r="O55" s="870">
        <v>9.2066852473971394E-2</v>
      </c>
      <c r="P55" s="870">
        <f>P51/O51-1</f>
        <v>9.2066852473971394E-2</v>
      </c>
      <c r="Q55" s="870">
        <f t="shared" ref="Q55:R55" si="7">Q51/P51-1</f>
        <v>9.2066852473971394E-2</v>
      </c>
      <c r="R55" s="869">
        <f t="shared" si="7"/>
        <v>9.2066852473971394E-2</v>
      </c>
      <c r="S55" s="869">
        <v>9.2066852473971394E-2</v>
      </c>
      <c r="T55" s="869">
        <v>9.2066852473971394E-2</v>
      </c>
      <c r="U55" s="869">
        <v>9.2066852473971394E-2</v>
      </c>
      <c r="V55" s="869">
        <v>9.2066852473971394E-2</v>
      </c>
      <c r="W55" s="869">
        <v>9.2066852473971394E-2</v>
      </c>
      <c r="X55" s="869">
        <v>9.2066852473971394E-2</v>
      </c>
      <c r="Y55" s="869">
        <v>9.2066852473971394E-2</v>
      </c>
      <c r="Z55" s="869">
        <v>9.2066852473971394E-2</v>
      </c>
      <c r="AA55" s="869">
        <v>9.2066852473971394E-2</v>
      </c>
      <c r="AB55" s="869">
        <v>9.2066852473971394E-2</v>
      </c>
      <c r="AC55" s="869">
        <v>9.2066852473971394E-2</v>
      </c>
      <c r="AD55" s="869">
        <v>9.2066852473971394E-2</v>
      </c>
      <c r="AE55" s="869">
        <v>9.2066852473971394E-2</v>
      </c>
      <c r="AF55" s="869">
        <v>9.2066852473971394E-2</v>
      </c>
      <c r="AG55" s="869">
        <v>9.2066852473971394E-2</v>
      </c>
      <c r="AH55" s="869">
        <v>9.2066852473971394E-2</v>
      </c>
      <c r="AI55" s="854"/>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row>
    <row r="56" spans="1:93" s="789" customFormat="1" hidden="1" outlineLevel="2" x14ac:dyDescent="0.25">
      <c r="A56" s="871" t="s">
        <v>223</v>
      </c>
      <c r="G56" s="854">
        <v>0</v>
      </c>
      <c r="H56" s="854">
        <v>0</v>
      </c>
      <c r="I56" s="854">
        <v>0</v>
      </c>
      <c r="J56" s="872">
        <v>0</v>
      </c>
      <c r="K56" s="873">
        <v>0</v>
      </c>
      <c r="L56" s="854">
        <v>0</v>
      </c>
      <c r="M56" s="854">
        <v>0</v>
      </c>
      <c r="N56" s="872">
        <v>0</v>
      </c>
      <c r="O56" s="873">
        <v>0</v>
      </c>
      <c r="P56" s="854">
        <v>0</v>
      </c>
      <c r="Q56" s="854">
        <v>0</v>
      </c>
      <c r="R56" s="854">
        <v>0</v>
      </c>
      <c r="S56" s="854">
        <v>0</v>
      </c>
      <c r="T56" s="854">
        <v>0</v>
      </c>
      <c r="U56" s="854">
        <v>0</v>
      </c>
      <c r="V56" s="854">
        <v>0</v>
      </c>
      <c r="W56" s="854">
        <v>0</v>
      </c>
      <c r="X56" s="854">
        <v>0</v>
      </c>
      <c r="Y56" s="854">
        <v>0</v>
      </c>
      <c r="Z56" s="854">
        <v>0</v>
      </c>
      <c r="AA56" s="854">
        <v>0</v>
      </c>
      <c r="AB56" s="854">
        <v>0</v>
      </c>
      <c r="AC56" s="854">
        <v>0</v>
      </c>
      <c r="AD56" s="854">
        <v>0</v>
      </c>
      <c r="AE56" s="854">
        <v>0</v>
      </c>
      <c r="AF56" s="854">
        <v>0</v>
      </c>
      <c r="AG56" s="854">
        <v>0</v>
      </c>
      <c r="AH56" s="854">
        <v>0</v>
      </c>
      <c r="AI56" s="854"/>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row>
    <row r="57" spans="1:93" s="789" customFormat="1" hidden="1" outlineLevel="2" x14ac:dyDescent="0.25">
      <c r="A57" s="871" t="s">
        <v>224</v>
      </c>
      <c r="G57" s="854">
        <v>21418</v>
      </c>
      <c r="H57" s="854">
        <v>20801</v>
      </c>
      <c r="I57" s="854">
        <v>25713</v>
      </c>
      <c r="J57" s="872">
        <v>26343</v>
      </c>
      <c r="K57" s="873">
        <v>26015</v>
      </c>
      <c r="L57" s="854">
        <v>27981</v>
      </c>
      <c r="M57" s="854">
        <v>33319</v>
      </c>
      <c r="N57" s="872">
        <v>35256</v>
      </c>
      <c r="O57" s="873">
        <v>37509.646938429163</v>
      </c>
      <c r="P57" s="854">
        <v>40963.042069460265</v>
      </c>
      <c r="Q57" s="854">
        <v>44734.380420554349</v>
      </c>
      <c r="R57" s="854">
        <v>48852.934023248046</v>
      </c>
      <c r="S57" s="854">
        <v>53350.669892887083</v>
      </c>
      <c r="T57" s="854">
        <v>58262.498147303064</v>
      </c>
      <c r="U57" s="854">
        <v>63626.542968995847</v>
      </c>
      <c r="V57" s="854">
        <v>69484.438513951187</v>
      </c>
      <c r="W57" s="854">
        <v>75881.65206385187</v>
      </c>
      <c r="X57" s="854">
        <v>82867.83692989574</v>
      </c>
      <c r="Y57" s="854">
        <v>90497.217847357577</v>
      </c>
      <c r="Z57" s="854">
        <v>98829.011852215102</v>
      </c>
      <c r="AA57" s="854">
        <v>107927.88790656136</v>
      </c>
      <c r="AB57" s="854">
        <v>117864.46884028206</v>
      </c>
      <c r="AC57" s="854">
        <v>128715.8795049233</v>
      </c>
      <c r="AD57" s="854">
        <v>140566.34539436054</v>
      </c>
      <c r="AE57" s="854">
        <v>153507.84637858844</v>
      </c>
      <c r="AF57" s="854">
        <v>167640.83062472302</v>
      </c>
      <c r="AG57" s="854">
        <v>183074.99424646344</v>
      </c>
      <c r="AH57" s="854">
        <v>199930.13273342574</v>
      </c>
      <c r="AI57" s="854"/>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row>
    <row r="58" spans="1:93" s="789" customFormat="1" hidden="1" outlineLevel="2" x14ac:dyDescent="0.25">
      <c r="A58" s="871" t="s">
        <v>226</v>
      </c>
      <c r="G58" s="854">
        <v>19557</v>
      </c>
      <c r="H58" s="854">
        <v>9395</v>
      </c>
      <c r="I58" s="854">
        <v>14658</v>
      </c>
      <c r="J58" s="872">
        <v>13954</v>
      </c>
      <c r="K58" s="873">
        <v>14364</v>
      </c>
      <c r="L58" s="854">
        <v>14414</v>
      </c>
      <c r="M58" s="854">
        <v>16649</v>
      </c>
      <c r="N58" s="872">
        <v>17928</v>
      </c>
      <c r="O58" s="873">
        <v>19442.865095014484</v>
      </c>
      <c r="P58" s="854">
        <v>21232.908487388508</v>
      </c>
      <c r="Q58" s="854">
        <v>23187.755540690239</v>
      </c>
      <c r="R58" s="854">
        <v>25322.579209257481</v>
      </c>
      <c r="S58" s="854">
        <v>27653.949373576648</v>
      </c>
      <c r="T58" s="854">
        <v>30199.961450876403</v>
      </c>
      <c r="U58" s="854">
        <v>32980.376846493862</v>
      </c>
      <c r="V58" s="854">
        <v>36016.776336155992</v>
      </c>
      <c r="W58" s="854">
        <v>39332.727569684888</v>
      </c>
      <c r="X58" s="854">
        <v>42953.967996241976</v>
      </c>
      <c r="Y58" s="854">
        <v>46908.604630923677</v>
      </c>
      <c r="Z58" s="854">
        <v>51227.332213238784</v>
      </c>
      <c r="AA58" s="854">
        <v>55943.67145075016</v>
      </c>
      <c r="AB58" s="854">
        <v>61094.229197058696</v>
      </c>
      <c r="AC58" s="854">
        <v>66718.982583555291</v>
      </c>
      <c r="AD58" s="854">
        <v>72861.589310288939</v>
      </c>
      <c r="AE58" s="854">
        <v>79569.726504338396</v>
      </c>
      <c r="AF58" s="854">
        <v>86895.460775807587</v>
      </c>
      <c r="AG58" s="854">
        <v>94895.652343711627</v>
      </c>
      <c r="AH58" s="854">
        <v>103632.39636846141</v>
      </c>
      <c r="AI58" s="854"/>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row>
    <row r="59" spans="1:93" s="789" customFormat="1" hidden="1" outlineLevel="2" x14ac:dyDescent="0.25">
      <c r="A59" s="871" t="s">
        <v>227</v>
      </c>
      <c r="G59" s="854">
        <v>9151</v>
      </c>
      <c r="H59" s="854">
        <v>9070</v>
      </c>
      <c r="I59" s="854">
        <v>10897</v>
      </c>
      <c r="J59" s="872">
        <v>14083</v>
      </c>
      <c r="K59" s="873">
        <v>15613</v>
      </c>
      <c r="L59" s="854">
        <v>18048</v>
      </c>
      <c r="M59" s="854">
        <v>18095</v>
      </c>
      <c r="N59" s="872">
        <v>19159</v>
      </c>
      <c r="O59" s="873">
        <v>21806.952278248154</v>
      </c>
      <c r="P59" s="854">
        <v>23814.649736556559</v>
      </c>
      <c r="Q59" s="854">
        <v>26007.189580571416</v>
      </c>
      <c r="R59" s="854">
        <v>28401.58966694849</v>
      </c>
      <c r="S59" s="854">
        <v>31016.434632841712</v>
      </c>
      <c r="T59" s="854">
        <v>33872.020144452123</v>
      </c>
      <c r="U59" s="854">
        <v>36990.510426086788</v>
      </c>
      <c r="V59" s="854">
        <v>40396.110292422214</v>
      </c>
      <c r="W59" s="854">
        <v>44115.25301923693</v>
      </c>
      <c r="X59" s="854">
        <v>48176.80551081094</v>
      </c>
      <c r="Y59" s="854">
        <v>52612.292356441983</v>
      </c>
      <c r="Z59" s="854">
        <v>57456.140515139981</v>
      </c>
      <c r="AA59" s="854">
        <v>62745.946527671142</v>
      </c>
      <c r="AB59" s="854">
        <v>68522.768329973929</v>
      </c>
      <c r="AC59" s="854">
        <v>74831.443932917755</v>
      </c>
      <c r="AD59" s="854">
        <v>81720.93944190396</v>
      </c>
      <c r="AE59" s="854">
        <v>89244.729117536088</v>
      </c>
      <c r="AF59" s="854">
        <v>97461.210427279817</v>
      </c>
      <c r="AG59" s="854">
        <v>106434.15730962288</v>
      </c>
      <c r="AH59" s="854">
        <v>116233.21516883939</v>
      </c>
      <c r="AI59" s="83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row>
    <row r="60" spans="1:93" s="789" customFormat="1" ht="15.75" hidden="1" outlineLevel="2" thickBot="1" x14ac:dyDescent="0.3">
      <c r="A60" s="874" t="s">
        <v>8</v>
      </c>
      <c r="B60" s="875"/>
      <c r="C60" s="875"/>
      <c r="D60" s="875"/>
      <c r="E60" s="875"/>
      <c r="F60" s="875"/>
      <c r="G60" s="876">
        <v>40341</v>
      </c>
      <c r="H60" s="876">
        <v>42666</v>
      </c>
      <c r="I60" s="876">
        <v>45517</v>
      </c>
      <c r="J60" s="876">
        <v>53062</v>
      </c>
      <c r="K60" s="876">
        <v>59730</v>
      </c>
      <c r="L60" s="876">
        <v>64517</v>
      </c>
      <c r="M60" s="876">
        <v>69763</v>
      </c>
      <c r="N60" s="876">
        <v>76054</v>
      </c>
      <c r="O60" s="876">
        <v>83153.482743948363</v>
      </c>
      <c r="P60" s="876">
        <v>90809.162172432378</v>
      </c>
      <c r="Q60" s="876">
        <v>99169.675909446654</v>
      </c>
      <c r="R60" s="876">
        <v>108299.91583129324</v>
      </c>
      <c r="S60" s="876">
        <v>118270.74820507644</v>
      </c>
      <c r="T60" s="876">
        <v>129159.56373205944</v>
      </c>
      <c r="U60" s="876">
        <v>141050.87823178145</v>
      </c>
      <c r="V60" s="876">
        <v>154036.98862927099</v>
      </c>
      <c r="W60" s="876">
        <v>168218.68933693686</v>
      </c>
      <c r="X60" s="876">
        <v>183706.05459148547</v>
      </c>
      <c r="Y60" s="876">
        <v>200619.29281813509</v>
      </c>
      <c r="Z60" s="876">
        <v>219089.6796534548</v>
      </c>
      <c r="AA60" s="876">
        <v>239260.57686867908</v>
      </c>
      <c r="AB60" s="876">
        <v>261288.54510208505</v>
      </c>
      <c r="AC60" s="876">
        <v>285344.55903713731</v>
      </c>
      <c r="AD60" s="876">
        <v>311615.33445825987</v>
      </c>
      <c r="AE60" s="876">
        <v>340304.77748445573</v>
      </c>
      <c r="AF60" s="876">
        <v>371635.56722930481</v>
      </c>
      <c r="AG60" s="876">
        <v>405850.8841714859</v>
      </c>
      <c r="AH60" s="876">
        <v>443216.29765093292</v>
      </c>
      <c r="AI60" s="839"/>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row>
    <row r="61" spans="1:93" hidden="1" outlineLevel="2" x14ac:dyDescent="0.25">
      <c r="A61" s="877" t="s">
        <v>264</v>
      </c>
      <c r="B61" s="878"/>
      <c r="C61" s="878"/>
      <c r="D61" s="878"/>
      <c r="E61" s="878"/>
      <c r="F61" s="878"/>
      <c r="G61" s="878"/>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79"/>
      <c r="AG61" s="879"/>
      <c r="AH61" s="879"/>
      <c r="AI61" s="839"/>
    </row>
    <row r="62" spans="1:93" hidden="1" outlineLevel="1" x14ac:dyDescent="0.25">
      <c r="A62"/>
      <c r="B62"/>
      <c r="C62"/>
      <c r="D62"/>
      <c r="E62"/>
      <c r="F62"/>
      <c r="G62"/>
      <c r="H62" s="880"/>
      <c r="I62" s="880"/>
      <c r="J62" s="880"/>
      <c r="K62" s="880"/>
      <c r="L62" s="880"/>
      <c r="M62" s="880"/>
      <c r="N62" s="880"/>
      <c r="O62" s="880"/>
      <c r="P62" s="880"/>
      <c r="Q62" s="880"/>
      <c r="R62" s="880"/>
      <c r="W62" s="880"/>
      <c r="X62" s="880"/>
      <c r="Y62" s="880"/>
      <c r="Z62" s="880"/>
      <c r="AA62" s="880"/>
      <c r="AB62" s="880"/>
      <c r="AC62" s="880"/>
      <c r="AD62" s="880"/>
      <c r="AE62" s="880"/>
      <c r="AF62" s="880"/>
      <c r="AG62" s="880"/>
      <c r="AH62" s="880"/>
      <c r="AI62" s="880"/>
    </row>
    <row r="63" spans="1:93" hidden="1" outlineLevel="1" x14ac:dyDescent="0.25">
      <c r="A63"/>
      <c r="B63"/>
      <c r="C63"/>
      <c r="D63"/>
      <c r="E63"/>
      <c r="F63"/>
      <c r="G63"/>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row>
    <row r="64" spans="1:93" s="201" customFormat="1" hidden="1" outlineLevel="1" x14ac:dyDescent="0.25">
      <c r="A64" s="881"/>
      <c r="B64" s="882"/>
      <c r="C64" s="882"/>
      <c r="D64" s="882"/>
      <c r="E64" s="882"/>
      <c r="F64" s="882"/>
      <c r="G64" s="883">
        <f t="shared" ref="G64:J64" si="8">G49</f>
        <v>44286</v>
      </c>
      <c r="H64" s="883">
        <f t="shared" si="8"/>
        <v>44377</v>
      </c>
      <c r="I64" s="883">
        <f t="shared" si="8"/>
        <v>44469</v>
      </c>
      <c r="J64" s="884">
        <f t="shared" si="8"/>
        <v>44561</v>
      </c>
      <c r="K64" s="885">
        <f>K49</f>
        <v>44651</v>
      </c>
      <c r="L64" s="883">
        <f>L49</f>
        <v>44742</v>
      </c>
      <c r="M64" s="883">
        <f>M49</f>
        <v>44834</v>
      </c>
      <c r="N64" s="884">
        <f>N49</f>
        <v>44926</v>
      </c>
      <c r="O64" s="885">
        <f t="shared" ref="O64:R64" si="9">O49</f>
        <v>45016</v>
      </c>
      <c r="P64" s="883">
        <f t="shared" si="9"/>
        <v>45107</v>
      </c>
      <c r="Q64" s="883">
        <f t="shared" si="9"/>
        <v>45199</v>
      </c>
      <c r="R64" s="883">
        <f t="shared" si="9"/>
        <v>45291</v>
      </c>
      <c r="S64" s="883">
        <f>S49</f>
        <v>45382</v>
      </c>
      <c r="T64" s="883">
        <f>T49</f>
        <v>45473</v>
      </c>
      <c r="U64" s="883">
        <f>U49</f>
        <v>45565</v>
      </c>
      <c r="V64" s="883">
        <f>V49</f>
        <v>45657</v>
      </c>
      <c r="W64" s="883">
        <f t="shared" ref="W64:AH64" si="10">W49</f>
        <v>45747</v>
      </c>
      <c r="X64" s="883">
        <f t="shared" si="10"/>
        <v>45838</v>
      </c>
      <c r="Y64" s="883">
        <f t="shared" si="10"/>
        <v>45930</v>
      </c>
      <c r="Z64" s="883">
        <f t="shared" si="10"/>
        <v>46022</v>
      </c>
      <c r="AA64" s="883">
        <f t="shared" si="10"/>
        <v>46112</v>
      </c>
      <c r="AB64" s="883">
        <f t="shared" si="10"/>
        <v>46203</v>
      </c>
      <c r="AC64" s="883">
        <f t="shared" si="10"/>
        <v>46295</v>
      </c>
      <c r="AD64" s="883">
        <f t="shared" si="10"/>
        <v>46387</v>
      </c>
      <c r="AE64" s="883">
        <f t="shared" si="10"/>
        <v>46477</v>
      </c>
      <c r="AF64" s="883">
        <f t="shared" si="10"/>
        <v>46568</v>
      </c>
      <c r="AG64" s="883">
        <f t="shared" si="10"/>
        <v>46660</v>
      </c>
      <c r="AH64" s="883">
        <f t="shared" si="10"/>
        <v>46752</v>
      </c>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row>
    <row r="65" spans="1:36" hidden="1" outlineLevel="1" x14ac:dyDescent="0.25">
      <c r="A65" s="886" t="s">
        <v>690</v>
      </c>
      <c r="B65" s="887"/>
      <c r="C65" s="888"/>
      <c r="D65" s="888"/>
      <c r="E65"/>
      <c r="F65" s="888"/>
      <c r="G65" s="889">
        <f>G6/G57</f>
        <v>1.8629190400597628</v>
      </c>
      <c r="H65" s="889">
        <f>H6/H57</f>
        <v>1.822027787125619</v>
      </c>
      <c r="I65" s="889">
        <f>I6/I57</f>
        <v>1.6217477540543694</v>
      </c>
      <c r="J65" s="890">
        <f>J6/J57</f>
        <v>1.6095357400447936</v>
      </c>
      <c r="K65" s="891">
        <f>L6/K57</f>
        <v>1.8912166058043436</v>
      </c>
      <c r="L65" s="889">
        <f>M6/L57</f>
        <v>1.7690575747828885</v>
      </c>
      <c r="M65" s="889">
        <f>N6/M57</f>
        <v>1.6957291635403224</v>
      </c>
      <c r="N65" s="890">
        <f>O6/N57</f>
        <v>1.7216927615157704</v>
      </c>
      <c r="O65" s="892">
        <f>Q6/O57</f>
        <v>0</v>
      </c>
      <c r="P65" s="893" t="e">
        <f>C2/P57</f>
        <v>#VALUE!</v>
      </c>
      <c r="Q65" s="893">
        <f>B3/Q57</f>
        <v>0</v>
      </c>
      <c r="R65" s="893" t="e">
        <f>#REF!/R57</f>
        <v>#REF!</v>
      </c>
      <c r="S65" s="893" t="e">
        <f>#REF!/S57</f>
        <v>#REF!</v>
      </c>
      <c r="T65" s="893" t="e">
        <f>#REF!/T57</f>
        <v>#REF!</v>
      </c>
      <c r="U65" s="893" t="e">
        <f>#REF!/U57</f>
        <v>#REF!</v>
      </c>
      <c r="V65" s="893" t="e">
        <f>#REF!/V57</f>
        <v>#REF!</v>
      </c>
      <c r="W65" s="893" t="e">
        <f>#REF!/W57</f>
        <v>#REF!</v>
      </c>
      <c r="X65" s="893" t="e">
        <f>#REF!/X57</f>
        <v>#REF!</v>
      </c>
      <c r="Y65" s="893" t="e">
        <f>#REF!/Y57</f>
        <v>#REF!</v>
      </c>
      <c r="Z65" s="893">
        <f>AA6/Z57</f>
        <v>0</v>
      </c>
      <c r="AA65" s="893">
        <f>AB6/AA57</f>
        <v>0</v>
      </c>
      <c r="AB65" s="893">
        <f>AC6/AB57</f>
        <v>0</v>
      </c>
      <c r="AC65" s="893" t="e">
        <f>#REF!/AC57</f>
        <v>#REF!</v>
      </c>
      <c r="AD65" s="893">
        <f>AD6/AD57</f>
        <v>0</v>
      </c>
      <c r="AE65" s="893">
        <f>AE6/AE57</f>
        <v>0</v>
      </c>
      <c r="AF65" s="893">
        <f>AF6/AF57</f>
        <v>0</v>
      </c>
      <c r="AG65" s="893">
        <f>AG6/AG57</f>
        <v>0</v>
      </c>
      <c r="AH65" s="893" t="e">
        <f>#REF!/AH57</f>
        <v>#REF!</v>
      </c>
    </row>
    <row r="66" spans="1:36" hidden="1" outlineLevel="1" x14ac:dyDescent="0.25">
      <c r="A66" s="886" t="s">
        <v>691</v>
      </c>
      <c r="B66" s="887"/>
      <c r="C66" s="888"/>
      <c r="D66" s="888"/>
      <c r="E66"/>
      <c r="F66" s="888"/>
      <c r="G66" s="889">
        <f>G7/G57</f>
        <v>0.44355215239518164</v>
      </c>
      <c r="H66" s="889">
        <f>H7/H57</f>
        <v>0.4374789673573386</v>
      </c>
      <c r="I66" s="889">
        <f>I7/I57</f>
        <v>0.38113016761949209</v>
      </c>
      <c r="J66" s="890">
        <f>J7/J57</f>
        <v>0.38340356071821735</v>
      </c>
      <c r="K66" s="891">
        <f>L7/K57</f>
        <v>0.48049202383240436</v>
      </c>
      <c r="L66" s="889">
        <f>M7/L57</f>
        <v>0.47174868660877023</v>
      </c>
      <c r="M66" s="889">
        <f>N7/M57</f>
        <v>0.44719229268585492</v>
      </c>
      <c r="N66" s="890">
        <f>O7/N57</f>
        <v>0.46233265259813933</v>
      </c>
      <c r="O66" s="892">
        <f>Q7/O57</f>
        <v>0</v>
      </c>
      <c r="P66" s="893" t="e">
        <f>#REF!/P57</f>
        <v>#REF!</v>
      </c>
      <c r="Q66" s="893">
        <f>S7/Q57</f>
        <v>0</v>
      </c>
      <c r="R66" s="893" t="e">
        <f>#REF!/R57</f>
        <v>#REF!</v>
      </c>
      <c r="S66" s="893" t="e">
        <f>#REF!/S57</f>
        <v>#REF!</v>
      </c>
      <c r="T66" s="893" t="e">
        <f>#REF!/T57</f>
        <v>#REF!</v>
      </c>
      <c r="U66" s="893" t="e">
        <f>#REF!/U57</f>
        <v>#REF!</v>
      </c>
      <c r="V66" s="893" t="e">
        <f>#REF!/V57</f>
        <v>#REF!</v>
      </c>
      <c r="W66" s="893" t="e">
        <f>#REF!/W57</f>
        <v>#REF!</v>
      </c>
      <c r="X66" s="893" t="e">
        <f>#REF!/X57</f>
        <v>#REF!</v>
      </c>
      <c r="Y66" s="893" t="e">
        <f>#REF!/Y57</f>
        <v>#REF!</v>
      </c>
      <c r="Z66" s="893">
        <f>AA7/Z57</f>
        <v>0</v>
      </c>
      <c r="AA66" s="893">
        <f>AB7/AA57</f>
        <v>0</v>
      </c>
      <c r="AB66" s="893">
        <f>AC7/AB57</f>
        <v>0</v>
      </c>
      <c r="AC66" s="893" t="e">
        <f>#REF!/AC57</f>
        <v>#REF!</v>
      </c>
      <c r="AD66" s="893">
        <f>AD7/AD57</f>
        <v>0</v>
      </c>
      <c r="AE66" s="893">
        <f>AE7/AE57</f>
        <v>0</v>
      </c>
      <c r="AF66" s="893">
        <f>AF7/AF57</f>
        <v>0</v>
      </c>
      <c r="AG66" s="893">
        <f>AG7/AG57</f>
        <v>0</v>
      </c>
      <c r="AH66" s="893" t="e">
        <f>#REF!/AH57</f>
        <v>#REF!</v>
      </c>
    </row>
    <row r="67" spans="1:36" ht="15.75" hidden="1" outlineLevel="1" thickBot="1" x14ac:dyDescent="0.3">
      <c r="A67" s="894" t="s">
        <v>692</v>
      </c>
      <c r="B67" s="895"/>
      <c r="C67" s="896"/>
      <c r="D67" s="896"/>
      <c r="E67" s="897"/>
      <c r="F67" s="896"/>
      <c r="G67" s="898">
        <f>G8/G57</f>
        <v>8.404146045382388E-2</v>
      </c>
      <c r="H67" s="898">
        <f>H8/H57</f>
        <v>9.1341762415268493E-2</v>
      </c>
      <c r="I67" s="898">
        <f>I8/I57</f>
        <v>8.5559833547232914E-2</v>
      </c>
      <c r="J67" s="899">
        <f>J8/J57</f>
        <v>9.4901871464905294E-2</v>
      </c>
      <c r="K67" s="900">
        <f>L8/K57</f>
        <v>0.11147414952911781</v>
      </c>
      <c r="L67" s="898">
        <f>M8/L57</f>
        <v>0.11793717165219256</v>
      </c>
      <c r="M67" s="898">
        <f>N8/M57</f>
        <v>0.11104775053272907</v>
      </c>
      <c r="N67" s="899">
        <f>O8/N57</f>
        <v>0.1191286589516678</v>
      </c>
      <c r="O67" s="901">
        <f>Q8/O57</f>
        <v>0</v>
      </c>
      <c r="P67" s="902" t="e">
        <f>C3/P57</f>
        <v>#VALUE!</v>
      </c>
      <c r="Q67" s="902">
        <f>S8/Q57</f>
        <v>0</v>
      </c>
      <c r="R67" s="902" t="e">
        <f>#REF!/R57</f>
        <v>#REF!</v>
      </c>
      <c r="S67" s="902" t="e">
        <f>#REF!/S57</f>
        <v>#REF!</v>
      </c>
      <c r="T67" s="902" t="e">
        <f>#REF!/T57</f>
        <v>#REF!</v>
      </c>
      <c r="U67" s="902" t="e">
        <f>#REF!/U57</f>
        <v>#REF!</v>
      </c>
      <c r="V67" s="902" t="e">
        <f>#REF!/V57</f>
        <v>#REF!</v>
      </c>
      <c r="W67" s="902" t="e">
        <f>#REF!/W57</f>
        <v>#REF!</v>
      </c>
      <c r="X67" s="902" t="e">
        <f>#REF!/X57</f>
        <v>#REF!</v>
      </c>
      <c r="Y67" s="902" t="e">
        <f>#REF!/Y57</f>
        <v>#REF!</v>
      </c>
      <c r="Z67" s="902">
        <f>AA8/Z57</f>
        <v>0</v>
      </c>
      <c r="AA67" s="902">
        <f>AB8/AA57</f>
        <v>0</v>
      </c>
      <c r="AB67" s="902">
        <f>AC8/AB57</f>
        <v>0</v>
      </c>
      <c r="AC67" s="902" t="e">
        <f>#REF!/AC57</f>
        <v>#REF!</v>
      </c>
      <c r="AD67" s="902">
        <f>AD8/AD57</f>
        <v>0</v>
      </c>
      <c r="AE67" s="902">
        <f>AE8/AE57</f>
        <v>0</v>
      </c>
      <c r="AF67" s="902">
        <f>AF8/AF57</f>
        <v>0</v>
      </c>
      <c r="AG67" s="902">
        <f>AG8/AG57</f>
        <v>0</v>
      </c>
      <c r="AH67" s="902" t="e">
        <f>#REF!/AH57</f>
        <v>#REF!</v>
      </c>
    </row>
    <row r="68" spans="1:36" hidden="1" outlineLevel="1" x14ac:dyDescent="0.25">
      <c r="A68" s="881" t="s">
        <v>693</v>
      </c>
      <c r="B68" s="903"/>
      <c r="C68" s="904"/>
      <c r="D68" s="904"/>
      <c r="E68" s="878"/>
      <c r="F68" s="904"/>
      <c r="G68" s="905">
        <f t="shared" ref="G68:J70" si="11">G6/G$59</f>
        <v>4.3601792153862968</v>
      </c>
      <c r="H68" s="905">
        <f t="shared" si="11"/>
        <v>4.1786108048511581</v>
      </c>
      <c r="I68" s="905">
        <f t="shared" si="11"/>
        <v>3.8267413049463155</v>
      </c>
      <c r="J68" s="906">
        <f t="shared" si="11"/>
        <v>3.0107221472697581</v>
      </c>
      <c r="K68" s="907">
        <f t="shared" ref="K68:N70" si="12">L6/K$59</f>
        <v>3.1512201370652662</v>
      </c>
      <c r="L68" s="905">
        <f t="shared" si="12"/>
        <v>2.7426861702127661</v>
      </c>
      <c r="M68" s="905">
        <f t="shared" si="12"/>
        <v>3.1224095053882288</v>
      </c>
      <c r="N68" s="906">
        <f t="shared" si="12"/>
        <v>3.1682238112636361</v>
      </c>
      <c r="O68" s="908">
        <f>Q6/O$59</f>
        <v>0</v>
      </c>
      <c r="P68" s="909" t="e">
        <f>C2/P$59</f>
        <v>#VALUE!</v>
      </c>
      <c r="Q68" s="909">
        <f>B3/Q$59</f>
        <v>0</v>
      </c>
      <c r="R68" s="909" t="e">
        <f>#REF!/R$59</f>
        <v>#REF!</v>
      </c>
      <c r="S68" s="909" t="e">
        <f>#REF!/S$59</f>
        <v>#REF!</v>
      </c>
      <c r="T68" s="909" t="e">
        <f>#REF!/T$59</f>
        <v>#REF!</v>
      </c>
      <c r="U68" s="909" t="e">
        <f>#REF!/U$59</f>
        <v>#REF!</v>
      </c>
      <c r="V68" s="909" t="e">
        <f>#REF!/V$59</f>
        <v>#REF!</v>
      </c>
      <c r="W68" s="909" t="e">
        <f>#REF!/W$59</f>
        <v>#REF!</v>
      </c>
      <c r="X68" s="909" t="e">
        <f>#REF!/X$59</f>
        <v>#REF!</v>
      </c>
      <c r="Y68" s="909" t="e">
        <f>#REF!/Y$59</f>
        <v>#REF!</v>
      </c>
      <c r="Z68" s="909">
        <f t="shared" ref="Z68:AB70" si="13">AA6/Z$59</f>
        <v>0</v>
      </c>
      <c r="AA68" s="909">
        <f t="shared" si="13"/>
        <v>0</v>
      </c>
      <c r="AB68" s="909">
        <f t="shared" si="13"/>
        <v>0</v>
      </c>
      <c r="AC68" s="909" t="e">
        <f>#REF!/AC$59</f>
        <v>#REF!</v>
      </c>
      <c r="AD68" s="909">
        <f t="shared" ref="AD68:AG70" si="14">AD6/AD$59</f>
        <v>0</v>
      </c>
      <c r="AE68" s="909">
        <f t="shared" si="14"/>
        <v>0</v>
      </c>
      <c r="AF68" s="909">
        <f t="shared" si="14"/>
        <v>0</v>
      </c>
      <c r="AG68" s="909">
        <f t="shared" si="14"/>
        <v>0</v>
      </c>
      <c r="AH68" s="909" t="e">
        <f>#REF!/AH$59</f>
        <v>#REF!</v>
      </c>
    </row>
    <row r="69" spans="1:36" hidden="1" outlineLevel="1" x14ac:dyDescent="0.25">
      <c r="A69" s="886" t="s">
        <v>694</v>
      </c>
      <c r="B69" s="887"/>
      <c r="C69" s="888"/>
      <c r="D69" s="888"/>
      <c r="E69"/>
      <c r="F69" s="888"/>
      <c r="G69" s="889">
        <f t="shared" si="11"/>
        <v>1.0381379084253086</v>
      </c>
      <c r="H69" s="889">
        <f t="shared" si="11"/>
        <v>1.0033076074972436</v>
      </c>
      <c r="I69" s="889">
        <f t="shared" si="11"/>
        <v>0.89933009085069282</v>
      </c>
      <c r="J69" s="890">
        <f t="shared" si="11"/>
        <v>0.71717673791095649</v>
      </c>
      <c r="K69" s="891">
        <f t="shared" si="12"/>
        <v>0.80061487222186645</v>
      </c>
      <c r="L69" s="889">
        <f t="shared" si="12"/>
        <v>0.7313829787234043</v>
      </c>
      <c r="M69" s="889">
        <f t="shared" si="12"/>
        <v>0.82343188726167449</v>
      </c>
      <c r="N69" s="890">
        <f t="shared" si="12"/>
        <v>0.85077509264575391</v>
      </c>
      <c r="O69" s="892">
        <f>Q7/O$59</f>
        <v>0</v>
      </c>
      <c r="P69" s="893" t="e">
        <f>#REF!/P$59</f>
        <v>#REF!</v>
      </c>
      <c r="Q69" s="893">
        <f>S7/Q$59</f>
        <v>0</v>
      </c>
      <c r="R69" s="893" t="e">
        <f>#REF!/R$59</f>
        <v>#REF!</v>
      </c>
      <c r="S69" s="893" t="e">
        <f>#REF!/S$59</f>
        <v>#REF!</v>
      </c>
      <c r="T69" s="893" t="e">
        <f>#REF!/T$59</f>
        <v>#REF!</v>
      </c>
      <c r="U69" s="893" t="e">
        <f>#REF!/U$59</f>
        <v>#REF!</v>
      </c>
      <c r="V69" s="893" t="e">
        <f>#REF!/V$59</f>
        <v>#REF!</v>
      </c>
      <c r="W69" s="893" t="e">
        <f>#REF!/W$59</f>
        <v>#REF!</v>
      </c>
      <c r="X69" s="893" t="e">
        <f>#REF!/X$59</f>
        <v>#REF!</v>
      </c>
      <c r="Y69" s="893" t="e">
        <f>#REF!/Y$59</f>
        <v>#REF!</v>
      </c>
      <c r="Z69" s="893">
        <f t="shared" si="13"/>
        <v>0</v>
      </c>
      <c r="AA69" s="893">
        <f t="shared" si="13"/>
        <v>0</v>
      </c>
      <c r="AB69" s="893">
        <f t="shared" si="13"/>
        <v>0</v>
      </c>
      <c r="AC69" s="893" t="e">
        <f>#REF!/AC$59</f>
        <v>#REF!</v>
      </c>
      <c r="AD69" s="893">
        <f t="shared" si="14"/>
        <v>0</v>
      </c>
      <c r="AE69" s="893">
        <f t="shared" si="14"/>
        <v>0</v>
      </c>
      <c r="AF69" s="893">
        <f t="shared" si="14"/>
        <v>0</v>
      </c>
      <c r="AG69" s="893">
        <f t="shared" si="14"/>
        <v>0</v>
      </c>
      <c r="AH69" s="893" t="e">
        <f>#REF!/AH$59</f>
        <v>#REF!</v>
      </c>
    </row>
    <row r="70" spans="1:36" hidden="1" outlineLevel="1" x14ac:dyDescent="0.25">
      <c r="A70" s="886" t="s">
        <v>695</v>
      </c>
      <c r="B70" s="887"/>
      <c r="C70" s="888"/>
      <c r="D70" s="888"/>
      <c r="E70"/>
      <c r="F70" s="888"/>
      <c r="G70" s="889">
        <f t="shared" si="11"/>
        <v>0.19669981422795324</v>
      </c>
      <c r="H70" s="889">
        <f t="shared" si="11"/>
        <v>0.20948180815876516</v>
      </c>
      <c r="I70" s="889">
        <f t="shared" si="11"/>
        <v>0.20189042855831879</v>
      </c>
      <c r="J70" s="890">
        <f t="shared" si="11"/>
        <v>0.17751899453241496</v>
      </c>
      <c r="K70" s="891">
        <f t="shared" si="12"/>
        <v>0.18574265035547299</v>
      </c>
      <c r="L70" s="889">
        <f t="shared" si="12"/>
        <v>0.18284574468085107</v>
      </c>
      <c r="M70" s="889">
        <f t="shared" si="12"/>
        <v>0.20447637468914065</v>
      </c>
      <c r="N70" s="890">
        <f t="shared" si="12"/>
        <v>0.21921812203142127</v>
      </c>
      <c r="O70" s="892">
        <f>Q8/O$59</f>
        <v>0</v>
      </c>
      <c r="P70" s="893" t="e">
        <f>C3/P$59</f>
        <v>#VALUE!</v>
      </c>
      <c r="Q70" s="893">
        <f>S8/Q$59</f>
        <v>0</v>
      </c>
      <c r="R70" s="893" t="e">
        <f>#REF!/R$59</f>
        <v>#REF!</v>
      </c>
      <c r="S70" s="893" t="e">
        <f>#REF!/S$59</f>
        <v>#REF!</v>
      </c>
      <c r="T70" s="893" t="e">
        <f>#REF!/T$59</f>
        <v>#REF!</v>
      </c>
      <c r="U70" s="893" t="e">
        <f>#REF!/U$59</f>
        <v>#REF!</v>
      </c>
      <c r="V70" s="893" t="e">
        <f>#REF!/V$59</f>
        <v>#REF!</v>
      </c>
      <c r="W70" s="893" t="e">
        <f>#REF!/W$59</f>
        <v>#REF!</v>
      </c>
      <c r="X70" s="893" t="e">
        <f>#REF!/X$59</f>
        <v>#REF!</v>
      </c>
      <c r="Y70" s="893" t="e">
        <f>#REF!/Y$59</f>
        <v>#REF!</v>
      </c>
      <c r="Z70" s="893">
        <f t="shared" si="13"/>
        <v>0</v>
      </c>
      <c r="AA70" s="893">
        <f t="shared" si="13"/>
        <v>0</v>
      </c>
      <c r="AB70" s="893">
        <f t="shared" si="13"/>
        <v>0</v>
      </c>
      <c r="AC70" s="893" t="e">
        <f>#REF!/AC$59</f>
        <v>#REF!</v>
      </c>
      <c r="AD70" s="893">
        <f t="shared" si="14"/>
        <v>0</v>
      </c>
      <c r="AE70" s="893">
        <f t="shared" si="14"/>
        <v>0</v>
      </c>
      <c r="AF70" s="893">
        <f t="shared" si="14"/>
        <v>0</v>
      </c>
      <c r="AG70" s="893">
        <f t="shared" si="14"/>
        <v>0</v>
      </c>
      <c r="AH70" s="893" t="e">
        <f>#REF!/AH$59</f>
        <v>#REF!</v>
      </c>
    </row>
    <row r="71" spans="1:36" hidden="1" outlineLevel="1" x14ac:dyDescent="0.25">
      <c r="A71" s="840" t="s">
        <v>696</v>
      </c>
      <c r="B71" s="904"/>
      <c r="C71" s="904"/>
      <c r="D71" s="904"/>
      <c r="E71" s="878"/>
      <c r="F71" s="904"/>
      <c r="G71" s="910">
        <f t="shared" ref="G71:J73" si="15">G6/G$51</f>
        <v>0.7207369942196532</v>
      </c>
      <c r="H71" s="910">
        <f t="shared" si="15"/>
        <v>0.64452493920378207</v>
      </c>
      <c r="I71" s="910">
        <f t="shared" si="15"/>
        <v>0.65571192703828918</v>
      </c>
      <c r="J71" s="911">
        <f t="shared" si="15"/>
        <v>0.58071054866190042</v>
      </c>
      <c r="K71" s="912">
        <f t="shared" ref="K71:N73" si="16">L6/K$51</f>
        <v>0.60576212755478942</v>
      </c>
      <c r="L71" s="910">
        <f t="shared" si="16"/>
        <v>0.56004344579458287</v>
      </c>
      <c r="M71" s="910">
        <f t="shared" si="16"/>
        <v>0.58814344454275747</v>
      </c>
      <c r="N71" s="910">
        <f t="shared" si="16"/>
        <v>0.58464324241023269</v>
      </c>
      <c r="O71" s="913">
        <f>Q6/O$51</f>
        <v>0</v>
      </c>
      <c r="P71" s="913" t="e">
        <f>C2/P$51</f>
        <v>#VALUE!</v>
      </c>
      <c r="Q71" s="913">
        <f>B3/Q$51</f>
        <v>0</v>
      </c>
      <c r="R71" s="913" t="e">
        <f>#REF!/R$51</f>
        <v>#REF!</v>
      </c>
      <c r="S71" s="913">
        <f t="shared" ref="S71:W73" si="17">U6/S$51</f>
        <v>0</v>
      </c>
      <c r="T71" s="913">
        <f t="shared" si="17"/>
        <v>0</v>
      </c>
      <c r="U71" s="913">
        <f t="shared" si="17"/>
        <v>0</v>
      </c>
      <c r="V71" s="913">
        <f t="shared" si="17"/>
        <v>0</v>
      </c>
      <c r="W71" s="913">
        <f t="shared" si="17"/>
        <v>0</v>
      </c>
      <c r="X71" s="913" t="e">
        <f>#REF!/X$51</f>
        <v>#REF!</v>
      </c>
      <c r="Y71" s="913">
        <f t="shared" ref="Y71:AB73" si="18">Z6/Y$51</f>
        <v>0</v>
      </c>
      <c r="Z71" s="913">
        <f t="shared" si="18"/>
        <v>0</v>
      </c>
      <c r="AA71" s="913">
        <f t="shared" si="18"/>
        <v>0</v>
      </c>
      <c r="AB71" s="913">
        <f t="shared" si="18"/>
        <v>0</v>
      </c>
      <c r="AC71" s="913" t="e">
        <f>#REF!/AC$51</f>
        <v>#REF!</v>
      </c>
      <c r="AD71" s="913">
        <f t="shared" ref="AD71:AG73" si="19">AD6/AD$51</f>
        <v>0</v>
      </c>
      <c r="AE71" s="913">
        <f t="shared" si="19"/>
        <v>0</v>
      </c>
      <c r="AF71" s="913">
        <f t="shared" si="19"/>
        <v>0</v>
      </c>
      <c r="AG71" s="913">
        <f t="shared" si="19"/>
        <v>0</v>
      </c>
      <c r="AH71" s="913" t="e">
        <f>#REF!/AH$51</f>
        <v>#REF!</v>
      </c>
    </row>
    <row r="72" spans="1:36" hidden="1" outlineLevel="1" x14ac:dyDescent="0.25">
      <c r="A72" s="843" t="s">
        <v>697</v>
      </c>
      <c r="B72" s="888"/>
      <c r="C72" s="888"/>
      <c r="D72" s="888"/>
      <c r="E72"/>
      <c r="F72" s="888"/>
      <c r="G72" s="914">
        <f t="shared" si="15"/>
        <v>0.17160404624277456</v>
      </c>
      <c r="H72" s="914">
        <f t="shared" si="15"/>
        <v>0.15475400914919307</v>
      </c>
      <c r="I72" s="914">
        <f t="shared" si="15"/>
        <v>0.15410016510731975</v>
      </c>
      <c r="J72" s="915">
        <f t="shared" si="15"/>
        <v>0.13832963541238666</v>
      </c>
      <c r="K72" s="916">
        <f t="shared" si="16"/>
        <v>0.15390297956168431</v>
      </c>
      <c r="L72" s="914">
        <f t="shared" si="16"/>
        <v>0.14934491887855542</v>
      </c>
      <c r="M72" s="914">
        <f t="shared" si="16"/>
        <v>0.15510331546348827</v>
      </c>
      <c r="N72" s="914">
        <f t="shared" si="16"/>
        <v>0.15699645554014485</v>
      </c>
      <c r="O72" s="917">
        <f>Q7/O$51</f>
        <v>0</v>
      </c>
      <c r="P72" s="917" t="e">
        <f>#REF!/P$51</f>
        <v>#REF!</v>
      </c>
      <c r="Q72" s="917">
        <f>S7/Q$51</f>
        <v>0</v>
      </c>
      <c r="R72" s="917">
        <f>T7/R$51</f>
        <v>0</v>
      </c>
      <c r="S72" s="917">
        <f t="shared" si="17"/>
        <v>0</v>
      </c>
      <c r="T72" s="917">
        <f t="shared" si="17"/>
        <v>0</v>
      </c>
      <c r="U72" s="917">
        <f t="shared" si="17"/>
        <v>0</v>
      </c>
      <c r="V72" s="917">
        <f t="shared" si="17"/>
        <v>0</v>
      </c>
      <c r="W72" s="917">
        <f t="shared" si="17"/>
        <v>0</v>
      </c>
      <c r="X72" s="917" t="e">
        <f>#REF!/X$51</f>
        <v>#REF!</v>
      </c>
      <c r="Y72" s="917">
        <f t="shared" si="18"/>
        <v>0</v>
      </c>
      <c r="Z72" s="917">
        <f t="shared" si="18"/>
        <v>0</v>
      </c>
      <c r="AA72" s="917">
        <f t="shared" si="18"/>
        <v>0</v>
      </c>
      <c r="AB72" s="917">
        <f t="shared" si="18"/>
        <v>0</v>
      </c>
      <c r="AC72" s="917" t="e">
        <f>#REF!/AC$51</f>
        <v>#REF!</v>
      </c>
      <c r="AD72" s="917">
        <f t="shared" si="19"/>
        <v>0</v>
      </c>
      <c r="AE72" s="917">
        <f t="shared" si="19"/>
        <v>0</v>
      </c>
      <c r="AF72" s="917">
        <f t="shared" si="19"/>
        <v>0</v>
      </c>
      <c r="AG72" s="917">
        <f t="shared" si="19"/>
        <v>0</v>
      </c>
      <c r="AH72" s="917" t="e">
        <f>#REF!/AH$51</f>
        <v>#REF!</v>
      </c>
    </row>
    <row r="73" spans="1:36" ht="15.75" hidden="1" outlineLevel="1" thickBot="1" x14ac:dyDescent="0.3">
      <c r="A73" s="918" t="s">
        <v>698</v>
      </c>
      <c r="B73" s="896"/>
      <c r="C73" s="896"/>
      <c r="D73" s="896"/>
      <c r="E73" s="897"/>
      <c r="F73" s="896"/>
      <c r="G73" s="919">
        <f>G8/G$51</f>
        <v>3.2514450867052021E-2</v>
      </c>
      <c r="H73" s="919">
        <f t="shared" si="15"/>
        <v>3.2311276635545803E-2</v>
      </c>
      <c r="I73" s="919">
        <f t="shared" si="15"/>
        <v>3.4593914615928922E-2</v>
      </c>
      <c r="J73" s="920">
        <f t="shared" si="15"/>
        <v>3.4240008765442247E-2</v>
      </c>
      <c r="K73" s="921">
        <f t="shared" si="16"/>
        <v>3.5705491258310761E-2</v>
      </c>
      <c r="L73" s="919">
        <f t="shared" si="16"/>
        <v>3.7336229719638854E-2</v>
      </c>
      <c r="M73" s="919">
        <f t="shared" si="16"/>
        <v>3.8515588403685005E-2</v>
      </c>
      <c r="N73" s="919">
        <f t="shared" si="16"/>
        <v>4.0453074433656956E-2</v>
      </c>
      <c r="O73" s="922">
        <f>Q8/O$51</f>
        <v>0</v>
      </c>
      <c r="P73" s="922" t="e">
        <f>C3/P$51</f>
        <v>#VALUE!</v>
      </c>
      <c r="Q73" s="922">
        <f>S8/Q$51</f>
        <v>0</v>
      </c>
      <c r="R73" s="922">
        <f>T8/R$51</f>
        <v>0</v>
      </c>
      <c r="S73" s="922">
        <f t="shared" si="17"/>
        <v>0</v>
      </c>
      <c r="T73" s="922">
        <f t="shared" si="17"/>
        <v>0</v>
      </c>
      <c r="U73" s="922">
        <f t="shared" si="17"/>
        <v>0</v>
      </c>
      <c r="V73" s="922">
        <f t="shared" si="17"/>
        <v>0</v>
      </c>
      <c r="W73" s="922">
        <f t="shared" si="17"/>
        <v>0</v>
      </c>
      <c r="X73" s="922" t="e">
        <f>#REF!/X$51</f>
        <v>#REF!</v>
      </c>
      <c r="Y73" s="922">
        <f t="shared" si="18"/>
        <v>0</v>
      </c>
      <c r="Z73" s="922">
        <f t="shared" si="18"/>
        <v>0</v>
      </c>
      <c r="AA73" s="922">
        <f t="shared" si="18"/>
        <v>0</v>
      </c>
      <c r="AB73" s="922">
        <f t="shared" si="18"/>
        <v>0</v>
      </c>
      <c r="AC73" s="922" t="e">
        <f>#REF!/AC$51</f>
        <v>#REF!</v>
      </c>
      <c r="AD73" s="922">
        <f t="shared" si="19"/>
        <v>0</v>
      </c>
      <c r="AE73" s="922">
        <f t="shared" si="19"/>
        <v>0</v>
      </c>
      <c r="AF73" s="922">
        <f t="shared" si="19"/>
        <v>0</v>
      </c>
      <c r="AG73" s="922">
        <f t="shared" si="19"/>
        <v>0</v>
      </c>
      <c r="AH73" s="922" t="e">
        <f>#REF!/AH$51</f>
        <v>#REF!</v>
      </c>
    </row>
    <row r="74" spans="1:36" hidden="1" outlineLevel="1" x14ac:dyDescent="0.25">
      <c r="B74" s="888"/>
      <c r="C74" s="888"/>
      <c r="D74" s="888"/>
      <c r="E74"/>
      <c r="F74"/>
      <c r="G74" s="923"/>
      <c r="H74" s="923"/>
      <c r="I74" s="923"/>
      <c r="J74" s="923"/>
      <c r="K74" s="923"/>
      <c r="L74" s="923"/>
      <c r="M74" s="923"/>
      <c r="N74" s="923"/>
      <c r="O74"/>
      <c r="P74" s="923"/>
      <c r="Q74" s="923"/>
      <c r="R74" s="923"/>
      <c r="S74" s="923"/>
      <c r="T74" s="923"/>
      <c r="U74" s="923"/>
      <c r="V74" s="923"/>
      <c r="W74" s="923"/>
      <c r="X74" s="923"/>
      <c r="Y74" s="923"/>
      <c r="Z74" s="923"/>
      <c r="AA74" s="923"/>
      <c r="AB74" s="923"/>
      <c r="AC74" s="923"/>
      <c r="AD74" s="923"/>
      <c r="AE74" s="923"/>
      <c r="AF74" s="923"/>
      <c r="AG74" s="923"/>
      <c r="AH74" s="923"/>
    </row>
    <row r="75" spans="1:36" hidden="1" outlineLevel="1" x14ac:dyDescent="0.25">
      <c r="A75" s="840" t="s">
        <v>699</v>
      </c>
      <c r="B75" s="904"/>
      <c r="C75" s="904"/>
      <c r="D75" s="924">
        <f t="shared" ref="D75:E76" si="20">D6/C6-1</f>
        <v>-5.3034300791556799E-2</v>
      </c>
      <c r="E75" s="924">
        <f t="shared" si="20"/>
        <v>0</v>
      </c>
      <c r="F75" s="925"/>
      <c r="G75" s="924">
        <f>G6/E6-1</f>
        <v>7.8378378378378466E-2</v>
      </c>
      <c r="H75" s="924">
        <f t="shared" ref="H75:J76" si="21">H6/G6-1</f>
        <v>-5.0125313283208017E-2</v>
      </c>
      <c r="I75" s="924">
        <f t="shared" si="21"/>
        <v>0.10026385224274414</v>
      </c>
      <c r="J75" s="926">
        <f t="shared" si="21"/>
        <v>1.6786570743405171E-2</v>
      </c>
      <c r="K75" s="927">
        <f>L6/J6-1</f>
        <v>0.16037735849056611</v>
      </c>
      <c r="L75" s="924">
        <f t="shared" ref="L75:N77" si="22">M6/L6-1</f>
        <v>6.0975609756097615E-3</v>
      </c>
      <c r="M75" s="924">
        <f t="shared" si="22"/>
        <v>0.14141414141414144</v>
      </c>
      <c r="N75" s="926">
        <f t="shared" si="22"/>
        <v>7.4336283185840735E-2</v>
      </c>
      <c r="O75"/>
      <c r="P75" s="923"/>
      <c r="Q75" s="923"/>
      <c r="R75" s="923"/>
      <c r="S75" s="923"/>
      <c r="T75" s="923"/>
      <c r="U75" s="923"/>
      <c r="V75" s="923"/>
      <c r="W75" s="923"/>
      <c r="X75" s="923"/>
      <c r="Y75" s="923"/>
      <c r="Z75" s="923"/>
      <c r="AA75" s="923"/>
      <c r="AB75" s="923"/>
      <c r="AC75" s="923"/>
      <c r="AD75" s="923"/>
      <c r="AE75" s="923"/>
      <c r="AF75" s="923"/>
      <c r="AG75" s="923"/>
      <c r="AH75" s="923"/>
      <c r="AI75" s="923"/>
    </row>
    <row r="76" spans="1:36" hidden="1" outlineLevel="1" x14ac:dyDescent="0.25">
      <c r="A76" s="843" t="s">
        <v>700</v>
      </c>
      <c r="B76" s="888"/>
      <c r="C76" s="888"/>
      <c r="D76" s="928">
        <f t="shared" si="20"/>
        <v>-5.8461538461538454E-2</v>
      </c>
      <c r="E76" s="928">
        <f t="shared" si="20"/>
        <v>0</v>
      </c>
      <c r="F76" s="929"/>
      <c r="G76" s="928">
        <f>G7/E7-1</f>
        <v>0.13095238095238093</v>
      </c>
      <c r="H76" s="928">
        <f t="shared" si="21"/>
        <v>-4.2105263157894757E-2</v>
      </c>
      <c r="I76" s="928">
        <f t="shared" si="21"/>
        <v>7.6923076923076872E-2</v>
      </c>
      <c r="J76" s="930">
        <f t="shared" si="21"/>
        <v>3.0612244897959107E-2</v>
      </c>
      <c r="K76" s="931">
        <f>L7/J7-1</f>
        <v>0.23762376237623761</v>
      </c>
      <c r="L76" s="928">
        <f t="shared" si="22"/>
        <v>5.600000000000005E-2</v>
      </c>
      <c r="M76" s="928">
        <f t="shared" si="22"/>
        <v>0.1287878787878789</v>
      </c>
      <c r="N76" s="930">
        <f t="shared" si="22"/>
        <v>9.3959731543624248E-2</v>
      </c>
      <c r="O76"/>
      <c r="P76" s="923"/>
      <c r="Q76" s="923"/>
      <c r="R76" s="923"/>
      <c r="S76" s="923"/>
      <c r="T76" s="923"/>
      <c r="U76" s="923"/>
      <c r="V76" s="923"/>
      <c r="W76" s="923"/>
      <c r="X76" s="923"/>
      <c r="Y76" s="923"/>
      <c r="Z76" s="923"/>
      <c r="AA76" s="923"/>
      <c r="AB76" s="923"/>
      <c r="AC76" s="923"/>
      <c r="AD76" s="923"/>
      <c r="AE76" s="923"/>
      <c r="AF76" s="923"/>
      <c r="AG76" s="923"/>
      <c r="AH76" s="923"/>
      <c r="AI76" s="923"/>
    </row>
    <row r="77" spans="1:36" ht="15.75" hidden="1" outlineLevel="1" thickBot="1" x14ac:dyDescent="0.3">
      <c r="A77" s="918" t="s">
        <v>701</v>
      </c>
      <c r="B77" s="896"/>
      <c r="C77" s="896"/>
      <c r="D77" s="932">
        <f>D8/C8-1</f>
        <v>0.15263157894736845</v>
      </c>
      <c r="E77" s="932">
        <f>E8/D8-1</f>
        <v>6.6666666666666652E-2</v>
      </c>
      <c r="F77" s="933"/>
      <c r="G77" s="932">
        <f>G8/E8-1</f>
        <v>0.125</v>
      </c>
      <c r="H77" s="932">
        <f>H8/G8-1</f>
        <v>5.555555555555558E-2</v>
      </c>
      <c r="I77" s="932">
        <f>I8/H8-1</f>
        <v>0.15789473684210531</v>
      </c>
      <c r="J77" s="934">
        <f>J8/I8-1</f>
        <v>0.13636363636363646</v>
      </c>
      <c r="K77" s="935">
        <f>L8/J8-1</f>
        <v>0.15999999999999992</v>
      </c>
      <c r="L77" s="932">
        <f t="shared" si="22"/>
        <v>0.13793103448275867</v>
      </c>
      <c r="M77" s="932">
        <f t="shared" si="22"/>
        <v>0.1212121212121211</v>
      </c>
      <c r="N77" s="934">
        <f t="shared" si="22"/>
        <v>0.13513513513513509</v>
      </c>
      <c r="O77"/>
      <c r="P77" s="936"/>
      <c r="Q77" s="937"/>
      <c r="R77" s="937"/>
      <c r="S77" s="937"/>
      <c r="T77" s="937"/>
      <c r="U77" s="937"/>
      <c r="V77" s="937"/>
      <c r="W77" s="937"/>
      <c r="X77" s="937"/>
      <c r="Y77" s="937"/>
      <c r="Z77" s="937"/>
      <c r="AA77" s="937"/>
      <c r="AB77" s="937"/>
      <c r="AC77" s="937"/>
      <c r="AD77" s="937"/>
      <c r="AE77" s="937"/>
      <c r="AF77" s="937"/>
      <c r="AG77" s="937"/>
      <c r="AH77" s="937"/>
    </row>
    <row r="78" spans="1:36" hidden="1" outlineLevel="1" x14ac:dyDescent="0.25">
      <c r="B78" s="888"/>
      <c r="C78" s="888"/>
      <c r="D78" s="888"/>
      <c r="E78"/>
      <c r="F78" s="888"/>
      <c r="G78" s="888"/>
      <c r="H78" s="888"/>
      <c r="I78" s="888"/>
      <c r="J78"/>
      <c r="K78" s="936"/>
      <c r="L78" s="936"/>
      <c r="M78" s="936"/>
      <c r="N78" s="936"/>
      <c r="O78" s="936"/>
      <c r="P78" s="936"/>
      <c r="Q78" s="936"/>
      <c r="R78" s="937"/>
      <c r="S78" s="937"/>
      <c r="T78" s="937"/>
      <c r="U78" s="937"/>
      <c r="V78" s="937"/>
      <c r="W78" s="937"/>
      <c r="X78" s="937"/>
      <c r="Y78" s="937"/>
      <c r="Z78" s="937"/>
      <c r="AA78" s="937"/>
      <c r="AB78" s="937"/>
      <c r="AC78" s="937"/>
      <c r="AD78" s="937"/>
      <c r="AE78" s="937"/>
      <c r="AF78" s="937"/>
      <c r="AG78" s="937"/>
      <c r="AH78" s="937"/>
      <c r="AI78" s="937"/>
    </row>
    <row r="79" spans="1:36" hidden="1" outlineLevel="1" x14ac:dyDescent="0.25">
      <c r="B79" s="888"/>
      <c r="C79" s="888"/>
      <c r="D79" s="888"/>
      <c r="E79"/>
      <c r="F79" s="888"/>
      <c r="G79" s="888"/>
      <c r="H79" s="888"/>
      <c r="I79" s="888"/>
      <c r="J79" s="938"/>
      <c r="K79" s="936"/>
      <c r="L79" s="936"/>
      <c r="M79" s="936"/>
      <c r="N79" s="936"/>
      <c r="O79" s="936"/>
      <c r="P79" s="936"/>
      <c r="Q79" s="936"/>
      <c r="R79" s="937"/>
      <c r="S79" s="937"/>
      <c r="T79" s="937"/>
      <c r="U79" s="937"/>
      <c r="V79" s="937"/>
      <c r="W79" s="937"/>
      <c r="X79" s="937"/>
      <c r="Y79" s="937"/>
      <c r="Z79" s="937"/>
      <c r="AA79" s="937"/>
      <c r="AB79" s="937"/>
      <c r="AC79" s="937"/>
      <c r="AD79" s="937"/>
      <c r="AE79" s="937"/>
      <c r="AF79" s="937"/>
      <c r="AG79" s="937"/>
      <c r="AH79" s="937"/>
      <c r="AI79" s="937"/>
    </row>
    <row r="80" spans="1:36" hidden="1" outlineLevel="1" x14ac:dyDescent="0.25">
      <c r="B80" s="789"/>
      <c r="C80" s="789"/>
      <c r="D80" s="939"/>
      <c r="E80" s="789"/>
      <c r="F80" s="789"/>
      <c r="G80" s="923"/>
      <c r="H80" s="923"/>
      <c r="I80" s="923"/>
      <c r="J80" s="923"/>
      <c r="K80" s="940"/>
      <c r="L80" s="923"/>
      <c r="M80" s="936"/>
      <c r="N80" s="936"/>
      <c r="O80" s="936"/>
      <c r="P80" s="936"/>
      <c r="Q80" s="923"/>
      <c r="R80" s="923"/>
      <c r="S80" s="923"/>
      <c r="T80" s="923"/>
      <c r="U80" s="923"/>
      <c r="V80" s="923"/>
      <c r="W80" s="923"/>
      <c r="X80" s="923"/>
      <c r="Y80" s="923"/>
      <c r="Z80" s="923"/>
      <c r="AA80" s="923"/>
      <c r="AB80" s="923"/>
      <c r="AC80" s="923"/>
      <c r="AD80" s="923"/>
      <c r="AE80" s="923"/>
      <c r="AF80" s="923"/>
      <c r="AG80" s="923"/>
      <c r="AH80" s="923"/>
      <c r="AI80" s="923"/>
      <c r="AJ80" s="923"/>
    </row>
    <row r="81" spans="1:35" hidden="1" outlineLevel="1" x14ac:dyDescent="0.25">
      <c r="A81" s="941" t="s">
        <v>702</v>
      </c>
      <c r="B81" s="942">
        <v>2020</v>
      </c>
      <c r="C81" s="942">
        <f>B81+1</f>
        <v>2021</v>
      </c>
      <c r="D81" s="942">
        <f t="shared" ref="D81:I81" si="23">C81+1</f>
        <v>2022</v>
      </c>
      <c r="E81" s="942">
        <f t="shared" si="23"/>
        <v>2023</v>
      </c>
      <c r="F81" s="942">
        <f t="shared" si="23"/>
        <v>2024</v>
      </c>
      <c r="G81" s="942">
        <f t="shared" si="23"/>
        <v>2025</v>
      </c>
      <c r="H81" s="942">
        <f t="shared" si="23"/>
        <v>2026</v>
      </c>
      <c r="I81" s="943">
        <f t="shared" si="23"/>
        <v>2027</v>
      </c>
      <c r="J81" s="944"/>
      <c r="K81" s="940"/>
      <c r="L81" s="936"/>
      <c r="M81" s="936"/>
      <c r="N81" s="936"/>
      <c r="O81" s="936"/>
      <c r="P81" s="936"/>
      <c r="Q81" s="936"/>
      <c r="R81" s="937"/>
      <c r="S81" s="937"/>
      <c r="T81" s="937"/>
      <c r="U81" s="937"/>
      <c r="V81" s="937"/>
      <c r="W81" s="937"/>
      <c r="X81" s="937"/>
      <c r="Y81" s="937"/>
      <c r="Z81" s="937"/>
      <c r="AA81" s="937"/>
      <c r="AB81" s="937"/>
      <c r="AC81" s="937"/>
      <c r="AD81" s="937"/>
      <c r="AE81" s="937"/>
      <c r="AF81" s="937"/>
      <c r="AG81" s="937"/>
      <c r="AH81" s="937"/>
      <c r="AI81" s="937"/>
    </row>
    <row r="82" spans="1:35" hidden="1" outlineLevel="1" x14ac:dyDescent="0.25">
      <c r="A82" s="945" t="s">
        <v>556</v>
      </c>
      <c r="B82" s="946">
        <f>AVERAGE(D75:E75)</f>
        <v>-2.6517150395778399E-2</v>
      </c>
      <c r="C82" s="946">
        <f>AVERAGE(G75:J75)</f>
        <v>3.6325872020329941E-2</v>
      </c>
      <c r="D82" s="946">
        <f>AVERAGE(K75:N75)</f>
        <v>9.5556336016539511E-2</v>
      </c>
      <c r="E82" s="946">
        <f>D82+D83</f>
        <v>0.15478680001274908</v>
      </c>
      <c r="F82" s="946">
        <f t="shared" ref="F82:I82" si="24">E82+E83</f>
        <v>0.21401726400895865</v>
      </c>
      <c r="G82" s="946">
        <f t="shared" si="24"/>
        <v>0.27324772800516822</v>
      </c>
      <c r="H82" s="946">
        <f t="shared" si="24"/>
        <v>0.33247819200137779</v>
      </c>
      <c r="I82" s="947">
        <f t="shared" si="24"/>
        <v>0.39170865599758736</v>
      </c>
    </row>
    <row r="83" spans="1:35" hidden="1" outlineLevel="1" x14ac:dyDescent="0.25">
      <c r="A83" s="948" t="s">
        <v>703</v>
      </c>
      <c r="B83" s="949"/>
      <c r="C83" s="949">
        <f>C82-B82</f>
        <v>6.2843022416108341E-2</v>
      </c>
      <c r="D83" s="949">
        <f t="shared" ref="D83:I83" si="25">D82-C82</f>
        <v>5.923046399620957E-2</v>
      </c>
      <c r="E83" s="949">
        <f t="shared" si="25"/>
        <v>5.923046399620957E-2</v>
      </c>
      <c r="F83" s="949">
        <f t="shared" si="25"/>
        <v>5.923046399620957E-2</v>
      </c>
      <c r="G83" s="949">
        <f t="shared" si="25"/>
        <v>5.923046399620957E-2</v>
      </c>
      <c r="H83" s="949">
        <f t="shared" si="25"/>
        <v>5.923046399620957E-2</v>
      </c>
      <c r="I83" s="950">
        <f t="shared" si="25"/>
        <v>5.923046399620957E-2</v>
      </c>
    </row>
    <row r="84" spans="1:35" hidden="1" outlineLevel="1" x14ac:dyDescent="0.25">
      <c r="A84" s="945" t="s">
        <v>558</v>
      </c>
      <c r="B84" s="946">
        <f>AVERAGE(D76:E76)</f>
        <v>-2.9230769230769227E-2</v>
      </c>
      <c r="C84" s="946">
        <f>AVERAGE(G76:J76)</f>
        <v>4.9095609903880538E-2</v>
      </c>
      <c r="D84" s="946">
        <f>AVERAGE(K76:N76)</f>
        <v>0.1290928431769352</v>
      </c>
      <c r="E84" s="946">
        <f>D84+D85</f>
        <v>0.20909007644998986</v>
      </c>
      <c r="F84" s="946">
        <f t="shared" ref="F84:I84" si="26">E84+E85</f>
        <v>0.28908730972304453</v>
      </c>
      <c r="G84" s="946">
        <f t="shared" si="26"/>
        <v>0.36908454299609916</v>
      </c>
      <c r="H84" s="946">
        <f t="shared" si="26"/>
        <v>0.4490817762691538</v>
      </c>
      <c r="I84" s="947">
        <f t="shared" si="26"/>
        <v>0.52907900954220843</v>
      </c>
    </row>
    <row r="85" spans="1:35" hidden="1" outlineLevel="1" x14ac:dyDescent="0.25">
      <c r="A85" s="948" t="s">
        <v>703</v>
      </c>
      <c r="B85" s="949"/>
      <c r="C85" s="949">
        <f>C84-B84</f>
        <v>7.8326379134649765E-2</v>
      </c>
      <c r="D85" s="949">
        <f t="shared" ref="D85:I85" si="27">D84-C84</f>
        <v>7.9997233273054663E-2</v>
      </c>
      <c r="E85" s="949">
        <f t="shared" si="27"/>
        <v>7.9997233273054663E-2</v>
      </c>
      <c r="F85" s="949">
        <f t="shared" si="27"/>
        <v>7.9997233273054663E-2</v>
      </c>
      <c r="G85" s="949">
        <f t="shared" si="27"/>
        <v>7.9997233273054635E-2</v>
      </c>
      <c r="H85" s="949">
        <f t="shared" si="27"/>
        <v>7.9997233273054635E-2</v>
      </c>
      <c r="I85" s="950">
        <f t="shared" si="27"/>
        <v>7.9997233273054635E-2</v>
      </c>
    </row>
    <row r="86" spans="1:35" hidden="1" outlineLevel="1" x14ac:dyDescent="0.25">
      <c r="A86" s="945" t="s">
        <v>560</v>
      </c>
      <c r="B86" s="946">
        <f>AVERAGE(D77:E77)</f>
        <v>0.10964912280701755</v>
      </c>
      <c r="C86" s="946">
        <f>AVERAGE(G77:J77)</f>
        <v>0.11870348219032434</v>
      </c>
      <c r="D86" s="946">
        <f>AVERAGE(K77:N77)</f>
        <v>0.1385695727075037</v>
      </c>
      <c r="E86" s="946">
        <f>D86+D87</f>
        <v>0.15843566322468305</v>
      </c>
      <c r="F86" s="946">
        <f t="shared" ref="F86:I86" si="28">E86+E87</f>
        <v>0.17830175374186241</v>
      </c>
      <c r="G86" s="946">
        <f t="shared" si="28"/>
        <v>0.19816784425904177</v>
      </c>
      <c r="H86" s="946">
        <f t="shared" si="28"/>
        <v>0.21803393477622113</v>
      </c>
      <c r="I86" s="947">
        <f t="shared" si="28"/>
        <v>0.23790002529340049</v>
      </c>
    </row>
    <row r="87" spans="1:35" ht="15.75" hidden="1" outlineLevel="1" thickBot="1" x14ac:dyDescent="0.3">
      <c r="A87" s="951" t="s">
        <v>703</v>
      </c>
      <c r="B87" s="952"/>
      <c r="C87" s="952">
        <f>C86-B86</f>
        <v>9.054359383306787E-3</v>
      </c>
      <c r="D87" s="952">
        <f t="shared" ref="D87:I87" si="29">D86-C86</f>
        <v>1.9866090517179358E-2</v>
      </c>
      <c r="E87" s="952">
        <f t="shared" si="29"/>
        <v>1.9866090517179358E-2</v>
      </c>
      <c r="F87" s="952">
        <f t="shared" si="29"/>
        <v>1.9866090517179358E-2</v>
      </c>
      <c r="G87" s="952">
        <f t="shared" si="29"/>
        <v>1.9866090517179358E-2</v>
      </c>
      <c r="H87" s="952">
        <f t="shared" si="29"/>
        <v>1.9866090517179358E-2</v>
      </c>
      <c r="I87" s="953">
        <f t="shared" si="29"/>
        <v>1.9866090517179358E-2</v>
      </c>
      <c r="J87" s="888"/>
      <c r="K87" s="936"/>
      <c r="L87" s="936"/>
      <c r="M87" s="936"/>
      <c r="N87" s="937"/>
      <c r="O87" s="936"/>
      <c r="P87" s="936"/>
      <c r="Q87" s="936"/>
      <c r="R87" s="937"/>
      <c r="S87" s="937"/>
      <c r="T87" s="937"/>
      <c r="U87" s="937"/>
      <c r="V87" s="937"/>
      <c r="W87" s="937"/>
      <c r="X87" s="937"/>
      <c r="Y87" s="937"/>
      <c r="Z87" s="937"/>
      <c r="AA87" s="937"/>
      <c r="AB87" s="937"/>
      <c r="AC87" s="937"/>
      <c r="AD87" s="937"/>
      <c r="AE87" s="937"/>
      <c r="AF87" s="937"/>
      <c r="AG87" s="937"/>
      <c r="AH87" s="937"/>
      <c r="AI87" s="937"/>
    </row>
    <row r="88" spans="1:35" hidden="1" outlineLevel="1" x14ac:dyDescent="0.25">
      <c r="B88" s="888"/>
      <c r="C88" s="888"/>
      <c r="D88" s="888"/>
      <c r="E88"/>
      <c r="F88" s="888"/>
      <c r="G88" s="888"/>
      <c r="H88" s="888"/>
      <c r="I88" s="888"/>
      <c r="J88" s="888"/>
      <c r="K88" s="936"/>
      <c r="L88" s="936"/>
      <c r="M88" s="936"/>
      <c r="N88" s="937"/>
      <c r="O88" s="936"/>
      <c r="P88" s="936"/>
      <c r="Q88" s="936"/>
      <c r="R88" s="937"/>
      <c r="S88" s="937"/>
      <c r="T88" s="937"/>
      <c r="U88" s="937"/>
      <c r="V88" s="937"/>
      <c r="W88" s="937"/>
      <c r="X88" s="937"/>
      <c r="Y88" s="937"/>
      <c r="Z88" s="937"/>
      <c r="AA88" s="937"/>
      <c r="AB88" s="937"/>
      <c r="AC88" s="937"/>
      <c r="AD88" s="937"/>
      <c r="AE88" s="937"/>
      <c r="AF88" s="937"/>
      <c r="AG88" s="937"/>
      <c r="AH88" s="937"/>
      <c r="AI88" s="937"/>
    </row>
    <row r="89" spans="1:35" hidden="1" outlineLevel="1" x14ac:dyDescent="0.25">
      <c r="B89" s="888"/>
      <c r="C89" s="888"/>
      <c r="D89" s="888"/>
      <c r="E89"/>
      <c r="F89" s="888"/>
      <c r="G89" s="888"/>
      <c r="H89" s="888"/>
      <c r="I89" s="888"/>
      <c r="J89" s="888"/>
      <c r="K89" s="936"/>
      <c r="L89" s="936"/>
      <c r="M89" s="936"/>
      <c r="N89" s="937"/>
      <c r="O89" s="936"/>
      <c r="P89" s="936"/>
      <c r="Q89" s="936"/>
      <c r="R89" s="937"/>
      <c r="S89" s="937"/>
      <c r="T89" s="937"/>
      <c r="U89" s="937"/>
      <c r="V89" s="937"/>
      <c r="W89" s="937"/>
      <c r="X89" s="937"/>
      <c r="Y89" s="937"/>
      <c r="Z89" s="937"/>
      <c r="AA89" s="937"/>
      <c r="AB89" s="937"/>
      <c r="AC89" s="937"/>
      <c r="AD89" s="937"/>
      <c r="AE89" s="937"/>
      <c r="AF89" s="937"/>
      <c r="AG89" s="937"/>
      <c r="AH89" s="937"/>
      <c r="AI89" s="937"/>
    </row>
    <row r="90" spans="1:35" hidden="1" outlineLevel="1" x14ac:dyDescent="0.25">
      <c r="B90" s="888"/>
      <c r="C90" s="888"/>
      <c r="D90" s="888"/>
      <c r="E90"/>
      <c r="F90" s="888"/>
      <c r="G90" s="888"/>
      <c r="H90" s="888"/>
      <c r="I90" s="888"/>
      <c r="J90" s="888"/>
      <c r="K90" s="936"/>
      <c r="L90" s="936"/>
      <c r="M90" s="936"/>
      <c r="N90" s="937"/>
      <c r="O90" s="936"/>
      <c r="P90" s="936"/>
      <c r="Q90" s="936"/>
      <c r="R90" s="937"/>
      <c r="S90" s="937"/>
      <c r="T90" s="937"/>
      <c r="U90" s="937"/>
      <c r="V90" s="937"/>
      <c r="W90" s="937"/>
      <c r="X90" s="937"/>
      <c r="Y90" s="937"/>
      <c r="Z90" s="937"/>
      <c r="AA90" s="937"/>
      <c r="AB90" s="937"/>
      <c r="AC90" s="937"/>
      <c r="AD90" s="937"/>
      <c r="AE90" s="937"/>
      <c r="AF90" s="937"/>
      <c r="AG90" s="937"/>
      <c r="AH90" s="937"/>
      <c r="AI90" s="937"/>
    </row>
    <row r="91" spans="1:35" hidden="1" outlineLevel="1" x14ac:dyDescent="0.25">
      <c r="D91" s="954"/>
    </row>
    <row r="92" spans="1:35" hidden="1" outlineLevel="1" x14ac:dyDescent="0.25"/>
    <row r="93" spans="1:35" hidden="1" outlineLevel="1" x14ac:dyDescent="0.25">
      <c r="A93" s="955"/>
      <c r="B93" s="955" t="s">
        <v>704</v>
      </c>
      <c r="C93" s="955" t="s">
        <v>704</v>
      </c>
      <c r="D93" s="955" t="s">
        <v>704</v>
      </c>
      <c r="E93" s="955" t="s">
        <v>704</v>
      </c>
      <c r="F93" s="955" t="s">
        <v>704</v>
      </c>
    </row>
    <row r="94" spans="1:35" hidden="1" outlineLevel="1" x14ac:dyDescent="0.25">
      <c r="A94" s="955"/>
      <c r="B94" s="956" t="s">
        <v>704</v>
      </c>
      <c r="C94" s="956" t="s">
        <v>704</v>
      </c>
      <c r="D94" s="956" t="s">
        <v>704</v>
      </c>
      <c r="E94" s="956" t="s">
        <v>704</v>
      </c>
      <c r="F94" s="956" t="s">
        <v>704</v>
      </c>
    </row>
    <row r="95" spans="1:35" hidden="1" outlineLevel="1" x14ac:dyDescent="0.25">
      <c r="A95" s="957"/>
      <c r="B95"/>
    </row>
    <row r="96" spans="1:35" s="1" customFormat="1" ht="15.75" hidden="1" outlineLevel="1" thickBot="1" x14ac:dyDescent="0.3">
      <c r="A96" s="958" t="s">
        <v>705</v>
      </c>
      <c r="B96" s="186" t="s">
        <v>706</v>
      </c>
      <c r="C96" s="186" t="s">
        <v>707</v>
      </c>
      <c r="D96" s="186" t="s">
        <v>708</v>
      </c>
      <c r="E96" s="186" t="s">
        <v>709</v>
      </c>
      <c r="F96" s="959"/>
      <c r="G96" s="186" t="s">
        <v>710</v>
      </c>
      <c r="H96" s="186" t="s">
        <v>711</v>
      </c>
      <c r="I96" s="186" t="s">
        <v>712</v>
      </c>
      <c r="J96" s="186" t="s">
        <v>713</v>
      </c>
      <c r="K96" s="960"/>
      <c r="L96" s="186" t="s">
        <v>714</v>
      </c>
      <c r="M96" s="186" t="s">
        <v>715</v>
      </c>
      <c r="N96" s="186" t="s">
        <v>716</v>
      </c>
      <c r="O96" s="186" t="s">
        <v>717</v>
      </c>
      <c r="P96" s="960"/>
      <c r="Q96" s="186" t="s">
        <v>718</v>
      </c>
      <c r="R96" s="186" t="s">
        <v>719</v>
      </c>
      <c r="S96" s="186" t="s">
        <v>720</v>
      </c>
      <c r="T96" s="186" t="s">
        <v>721</v>
      </c>
      <c r="U96" s="960"/>
      <c r="V96" s="186" t="s">
        <v>722</v>
      </c>
      <c r="W96" s="186" t="s">
        <v>723</v>
      </c>
      <c r="X96" s="186" t="s">
        <v>724</v>
      </c>
      <c r="Y96" s="186" t="s">
        <v>725</v>
      </c>
    </row>
    <row r="97" spans="1:25" hidden="1" outlineLevel="1" x14ac:dyDescent="0.25">
      <c r="A97" s="961" t="str">
        <f>"    Actual"</f>
        <v xml:space="preserve">    Actual</v>
      </c>
      <c r="B97" s="962"/>
      <c r="C97" s="963"/>
      <c r="D97" s="963"/>
      <c r="E97" s="963"/>
      <c r="F97" s="963"/>
      <c r="G97" s="963"/>
      <c r="H97" s="964">
        <v>58803</v>
      </c>
      <c r="I97" s="964">
        <v>63595</v>
      </c>
      <c r="J97" s="964">
        <v>73014</v>
      </c>
      <c r="K97" s="789"/>
      <c r="L97" s="964">
        <v>81220</v>
      </c>
      <c r="M97" s="964">
        <v>88386</v>
      </c>
      <c r="N97" s="964">
        <v>96065</v>
      </c>
      <c r="O97" s="964">
        <v>103824</v>
      </c>
      <c r="P97" s="789"/>
      <c r="Q97" s="965" t="s">
        <v>704</v>
      </c>
      <c r="R97" s="965" t="s">
        <v>704</v>
      </c>
      <c r="S97" s="965" t="s">
        <v>704</v>
      </c>
      <c r="T97" s="965" t="s">
        <v>704</v>
      </c>
      <c r="U97" s="789"/>
      <c r="V97" s="965" t="s">
        <v>704</v>
      </c>
      <c r="W97" s="965" t="s">
        <v>704</v>
      </c>
      <c r="X97" s="965" t="s">
        <v>704</v>
      </c>
      <c r="Y97" s="965" t="s">
        <v>704</v>
      </c>
    </row>
    <row r="98" spans="1:25" hidden="1" outlineLevel="1" x14ac:dyDescent="0.25">
      <c r="A98" s="961" t="str">
        <f>"    Median (Pitchbook)"</f>
        <v xml:space="preserve">    Median (Pitchbook)</v>
      </c>
      <c r="B98" s="962"/>
      <c r="C98" s="963"/>
      <c r="D98" s="963"/>
      <c r="E98" s="963"/>
      <c r="F98" s="963"/>
      <c r="G98" s="963"/>
      <c r="H98" s="964">
        <v>58800</v>
      </c>
      <c r="I98" s="964">
        <v>60600</v>
      </c>
      <c r="J98" s="964">
        <v>69000</v>
      </c>
      <c r="K98" s="789"/>
      <c r="L98" s="964">
        <v>77439.067999999999</v>
      </c>
      <c r="M98" s="964">
        <v>85800</v>
      </c>
      <c r="N98" s="964">
        <v>95200</v>
      </c>
      <c r="O98" s="964">
        <v>100000</v>
      </c>
      <c r="P98" s="789"/>
      <c r="Q98" s="964">
        <v>113000</v>
      </c>
      <c r="R98" s="964">
        <v>119000</v>
      </c>
      <c r="S98" s="964">
        <v>125938</v>
      </c>
      <c r="T98" s="964">
        <v>134386</v>
      </c>
      <c r="U98" s="789"/>
      <c r="V98" s="964">
        <v>138017</v>
      </c>
      <c r="W98" s="964">
        <v>146314.5</v>
      </c>
      <c r="X98" s="964">
        <v>154003</v>
      </c>
      <c r="Y98" s="964">
        <v>160887.5</v>
      </c>
    </row>
    <row r="99" spans="1:25" hidden="1" outlineLevel="1" x14ac:dyDescent="0.25">
      <c r="A99" s="961" t="str">
        <f>"    High"</f>
        <v xml:space="preserve">    High</v>
      </c>
      <c r="B99" s="962"/>
      <c r="C99" s="963"/>
      <c r="D99" s="963"/>
      <c r="E99" s="963"/>
      <c r="F99" s="963"/>
      <c r="G99" s="963"/>
      <c r="H99" s="964">
        <v>59000</v>
      </c>
      <c r="I99" s="964">
        <v>61679</v>
      </c>
      <c r="J99" s="964">
        <v>69734.194000000003</v>
      </c>
      <c r="K99" s="789"/>
      <c r="L99" s="964">
        <v>78500</v>
      </c>
      <c r="M99" s="964">
        <v>86600</v>
      </c>
      <c r="N99" s="964">
        <v>97225.266000000003</v>
      </c>
      <c r="O99" s="964">
        <v>101200</v>
      </c>
      <c r="P99" s="789"/>
      <c r="Q99" s="964">
        <v>113650.6</v>
      </c>
      <c r="R99" s="964">
        <v>121900</v>
      </c>
      <c r="S99" s="964">
        <v>128500</v>
      </c>
      <c r="T99" s="964">
        <v>138700</v>
      </c>
      <c r="U99" s="789"/>
      <c r="V99" s="964">
        <v>141934</v>
      </c>
      <c r="W99" s="964">
        <v>150129</v>
      </c>
      <c r="X99" s="964">
        <v>155106</v>
      </c>
      <c r="Y99" s="964">
        <v>162875</v>
      </c>
    </row>
    <row r="100" spans="1:25" hidden="1" outlineLevel="1" x14ac:dyDescent="0.25">
      <c r="A100" s="961" t="str">
        <f>"    Low"</f>
        <v xml:space="preserve">    Low</v>
      </c>
      <c r="B100" s="962"/>
      <c r="C100" s="963"/>
      <c r="D100" s="963"/>
      <c r="E100" s="963"/>
      <c r="F100" s="963"/>
      <c r="G100" s="963"/>
      <c r="H100" s="964">
        <v>58800</v>
      </c>
      <c r="I100" s="964">
        <v>58500</v>
      </c>
      <c r="J100" s="964">
        <v>68000</v>
      </c>
      <c r="K100" s="789"/>
      <c r="L100" s="964">
        <v>77000</v>
      </c>
      <c r="M100" s="964">
        <v>85000</v>
      </c>
      <c r="N100" s="964">
        <v>93200</v>
      </c>
      <c r="O100" s="964">
        <v>98349.9</v>
      </c>
      <c r="P100" s="789"/>
      <c r="Q100" s="964">
        <v>111352.6</v>
      </c>
      <c r="R100" s="964">
        <v>117700</v>
      </c>
      <c r="S100" s="964">
        <v>121800</v>
      </c>
      <c r="T100" s="964">
        <v>131692</v>
      </c>
      <c r="U100" s="789"/>
      <c r="V100" s="964">
        <v>134100</v>
      </c>
      <c r="W100" s="964">
        <v>142500</v>
      </c>
      <c r="X100" s="964">
        <v>152900</v>
      </c>
      <c r="Y100" s="964">
        <v>158900</v>
      </c>
    </row>
    <row r="101" spans="1:25" hidden="1" outlineLevel="1" x14ac:dyDescent="0.25">
      <c r="A101" s="961" t="str">
        <f>"    Mean"</f>
        <v xml:space="preserve">    Mean</v>
      </c>
      <c r="B101" s="962"/>
      <c r="C101" s="963"/>
      <c r="D101" s="963"/>
      <c r="E101" s="963"/>
      <c r="F101" s="963"/>
      <c r="G101" s="963"/>
      <c r="H101" s="964">
        <v>58829</v>
      </c>
      <c r="I101" s="964">
        <v>60464.046999999999</v>
      </c>
      <c r="J101" s="964">
        <v>68989.399000000005</v>
      </c>
      <c r="K101" s="789"/>
      <c r="L101" s="964">
        <v>77559.017000000007</v>
      </c>
      <c r="M101" s="964">
        <v>85703.255000000005</v>
      </c>
      <c r="N101" s="964">
        <v>95309.807000000001</v>
      </c>
      <c r="O101" s="964">
        <v>99892.987999999998</v>
      </c>
      <c r="P101" s="789"/>
      <c r="Q101" s="964">
        <v>112744.57799999999</v>
      </c>
      <c r="R101" s="964">
        <v>119464.482</v>
      </c>
      <c r="S101" s="964">
        <v>126021.228</v>
      </c>
      <c r="T101" s="964">
        <v>134852.353</v>
      </c>
      <c r="U101" s="789"/>
      <c r="V101" s="964">
        <v>138017</v>
      </c>
      <c r="W101" s="964">
        <v>146314.5</v>
      </c>
      <c r="X101" s="964">
        <v>154003</v>
      </c>
      <c r="Y101" s="964">
        <v>160887.5</v>
      </c>
    </row>
    <row r="102" spans="1:25" hidden="1" outlineLevel="1" x14ac:dyDescent="0.25">
      <c r="A102" s="961" t="str">
        <f>"    Standard Deviation"</f>
        <v xml:space="preserve">    Standard Deviation</v>
      </c>
      <c r="B102" s="962"/>
      <c r="C102" s="963"/>
      <c r="D102" s="963"/>
      <c r="E102" s="963"/>
      <c r="F102" s="963"/>
      <c r="G102" s="963"/>
      <c r="H102" s="964">
        <v>75.412000000000006</v>
      </c>
      <c r="I102" s="964">
        <v>954.99900000000002</v>
      </c>
      <c r="J102" s="964">
        <v>583.5</v>
      </c>
      <c r="K102" s="789"/>
      <c r="L102" s="964">
        <v>481.81900000000002</v>
      </c>
      <c r="M102" s="964">
        <v>503.99700000000001</v>
      </c>
      <c r="N102" s="964">
        <v>1277.5609999999999</v>
      </c>
      <c r="O102" s="964">
        <v>889.82500000000005</v>
      </c>
      <c r="P102" s="789"/>
      <c r="Q102" s="964">
        <v>738.23400000000004</v>
      </c>
      <c r="R102" s="964">
        <v>1712.684</v>
      </c>
      <c r="S102" s="964">
        <v>2024.3820000000003</v>
      </c>
      <c r="T102" s="964">
        <v>2042.6090000000002</v>
      </c>
      <c r="U102" s="789"/>
      <c r="V102" s="964">
        <v>5539.4750000000004</v>
      </c>
      <c r="W102" s="964">
        <v>5394.518</v>
      </c>
      <c r="X102" s="964">
        <v>1559.8779999999999</v>
      </c>
      <c r="Y102" s="964">
        <v>2810.7489999999998</v>
      </c>
    </row>
    <row r="103" spans="1:25" hidden="1" outlineLevel="1" x14ac:dyDescent="0.25">
      <c r="A103" s="961" t="str">
        <f>"    Number of Estimates"</f>
        <v xml:space="preserve">    Number of Estimates</v>
      </c>
      <c r="B103" s="962"/>
      <c r="C103" s="963"/>
      <c r="D103" s="963"/>
      <c r="E103" s="963"/>
      <c r="F103" s="963"/>
      <c r="G103" s="963"/>
      <c r="H103" s="964">
        <v>7</v>
      </c>
      <c r="I103" s="964">
        <v>8</v>
      </c>
      <c r="J103" s="964">
        <v>8</v>
      </c>
      <c r="K103" s="789"/>
      <c r="L103" s="964">
        <v>8</v>
      </c>
      <c r="M103" s="964">
        <v>9</v>
      </c>
      <c r="N103" s="964">
        <v>9</v>
      </c>
      <c r="O103" s="964">
        <v>9</v>
      </c>
      <c r="P103" s="789"/>
      <c r="Q103" s="964">
        <v>9</v>
      </c>
      <c r="R103" s="964">
        <v>9</v>
      </c>
      <c r="S103" s="964">
        <v>9</v>
      </c>
      <c r="T103" s="964">
        <v>9</v>
      </c>
      <c r="U103" s="789"/>
      <c r="V103" s="964">
        <v>2</v>
      </c>
      <c r="W103" s="964">
        <v>2</v>
      </c>
      <c r="X103" s="964">
        <v>2</v>
      </c>
      <c r="Y103" s="964">
        <v>2</v>
      </c>
    </row>
    <row r="104" spans="1:25" hidden="1" outlineLevel="1" x14ac:dyDescent="0.25">
      <c r="A104" s="790" t="str">
        <f>A6</f>
        <v xml:space="preserve">Monthly active users (MAUs) </v>
      </c>
      <c r="B104" s="966"/>
      <c r="C104" s="967">
        <f t="shared" ref="C104:J106" si="30">C6</f>
        <v>39072.16494845361</v>
      </c>
      <c r="D104" s="967">
        <f t="shared" si="30"/>
        <v>37000</v>
      </c>
      <c r="E104" s="967">
        <f t="shared" si="30"/>
        <v>37000</v>
      </c>
      <c r="F104" s="967">
        <f t="shared" si="30"/>
        <v>36700</v>
      </c>
      <c r="G104" s="967">
        <f t="shared" si="30"/>
        <v>39900</v>
      </c>
      <c r="H104" s="967">
        <f t="shared" si="30"/>
        <v>37900</v>
      </c>
      <c r="I104" s="967">
        <f t="shared" si="30"/>
        <v>41700</v>
      </c>
      <c r="J104" s="967">
        <f t="shared" si="30"/>
        <v>42400</v>
      </c>
      <c r="K104" s="967"/>
      <c r="L104" s="967">
        <f t="shared" ref="L104:O106" si="31">L6</f>
        <v>49200</v>
      </c>
      <c r="M104" s="967">
        <f t="shared" si="31"/>
        <v>49500</v>
      </c>
      <c r="N104" s="967">
        <f t="shared" si="31"/>
        <v>56500</v>
      </c>
      <c r="O104" s="967">
        <f t="shared" si="31"/>
        <v>60700</v>
      </c>
      <c r="P104" s="864"/>
      <c r="Q104" s="968">
        <f>Q$98*Q109</f>
        <v>69781.407955642077</v>
      </c>
      <c r="R104" s="968">
        <f t="shared" ref="R104:T104" si="32">R$98*R109</f>
        <v>73486.615457711567</v>
      </c>
      <c r="S104" s="968">
        <f t="shared" si="32"/>
        <v>77771.070399271252</v>
      </c>
      <c r="T104" s="968">
        <f t="shared" si="32"/>
        <v>82988.002562185095</v>
      </c>
      <c r="U104" s="969"/>
      <c r="V104" s="968">
        <f t="shared" ref="V104:Y106" si="33">V$98*V109</f>
        <v>85230.270635520807</v>
      </c>
      <c r="W104" s="968">
        <f t="shared" si="33"/>
        <v>90354.263843591078</v>
      </c>
      <c r="X104" s="968">
        <f t="shared" si="33"/>
        <v>95102.178490201288</v>
      </c>
      <c r="Y104" s="968">
        <f t="shared" si="33"/>
        <v>99353.59533153419</v>
      </c>
    </row>
    <row r="105" spans="1:25" hidden="1" outlineLevel="1" x14ac:dyDescent="0.25">
      <c r="A105" s="790" t="str">
        <f>A7</f>
        <v xml:space="preserve">Daily active users (DAUs) </v>
      </c>
      <c r="B105" s="966"/>
      <c r="C105" s="967">
        <f t="shared" si="30"/>
        <v>8921.5686274509808</v>
      </c>
      <c r="D105" s="967">
        <f t="shared" si="30"/>
        <v>8400</v>
      </c>
      <c r="E105" s="967">
        <f t="shared" si="30"/>
        <v>8400</v>
      </c>
      <c r="F105" s="967">
        <f t="shared" si="30"/>
        <v>8200</v>
      </c>
      <c r="G105" s="967">
        <f t="shared" si="30"/>
        <v>9500</v>
      </c>
      <c r="H105" s="967">
        <f t="shared" si="30"/>
        <v>9100</v>
      </c>
      <c r="I105" s="967">
        <f t="shared" si="30"/>
        <v>9800</v>
      </c>
      <c r="J105" s="967">
        <f t="shared" si="30"/>
        <v>10100</v>
      </c>
      <c r="K105" s="967"/>
      <c r="L105" s="967">
        <f t="shared" si="31"/>
        <v>12500</v>
      </c>
      <c r="M105" s="967">
        <f t="shared" si="31"/>
        <v>13200</v>
      </c>
      <c r="N105" s="967">
        <f t="shared" si="31"/>
        <v>14900</v>
      </c>
      <c r="O105" s="967">
        <f t="shared" si="31"/>
        <v>16300</v>
      </c>
      <c r="P105" s="864"/>
      <c r="Q105" s="968">
        <f t="shared" ref="Q105:T106" si="34">Q$98*Q110</f>
        <v>17432.164295647101</v>
      </c>
      <c r="R105" s="968">
        <f t="shared" si="34"/>
        <v>18357.765939663757</v>
      </c>
      <c r="S105" s="968">
        <f t="shared" si="34"/>
        <v>19428.069974028356</v>
      </c>
      <c r="T105" s="968">
        <f t="shared" si="34"/>
        <v>20731.317088803815</v>
      </c>
      <c r="U105" s="969"/>
      <c r="V105" s="968">
        <f t="shared" si="33"/>
        <v>21291.460350374564</v>
      </c>
      <c r="W105" s="968">
        <f t="shared" si="33"/>
        <v>22571.49029057927</v>
      </c>
      <c r="X105" s="968">
        <f t="shared" si="33"/>
        <v>23757.571663916286</v>
      </c>
      <c r="Y105" s="968">
        <f t="shared" si="33"/>
        <v>24819.622416955066</v>
      </c>
    </row>
    <row r="106" spans="1:25" hidden="1" outlineLevel="1" x14ac:dyDescent="0.25">
      <c r="A106" s="790" t="str">
        <f>A8</f>
        <v xml:space="preserve">Paid subscribers (at period end) </v>
      </c>
      <c r="B106" s="966"/>
      <c r="C106" s="967">
        <f t="shared" si="30"/>
        <v>1301.3698630136987</v>
      </c>
      <c r="D106" s="967">
        <f t="shared" si="30"/>
        <v>1500</v>
      </c>
      <c r="E106" s="967">
        <f t="shared" si="30"/>
        <v>1600</v>
      </c>
      <c r="F106" s="967">
        <f t="shared" si="30"/>
        <v>1600</v>
      </c>
      <c r="G106" s="967">
        <f t="shared" si="30"/>
        <v>1800</v>
      </c>
      <c r="H106" s="967">
        <f t="shared" si="30"/>
        <v>1900</v>
      </c>
      <c r="I106" s="967">
        <f t="shared" si="30"/>
        <v>2200</v>
      </c>
      <c r="J106" s="967">
        <f t="shared" si="30"/>
        <v>2500</v>
      </c>
      <c r="K106" s="967"/>
      <c r="L106" s="967">
        <f t="shared" si="31"/>
        <v>2900</v>
      </c>
      <c r="M106" s="967">
        <f t="shared" si="31"/>
        <v>3300</v>
      </c>
      <c r="N106" s="967">
        <f t="shared" si="31"/>
        <v>3700</v>
      </c>
      <c r="O106" s="967">
        <f t="shared" si="31"/>
        <v>4200</v>
      </c>
      <c r="P106" s="864"/>
      <c r="Q106" s="968">
        <f t="shared" si="34"/>
        <v>4035.0892401270553</v>
      </c>
      <c r="R106" s="968">
        <f t="shared" si="34"/>
        <v>4249.3417661515005</v>
      </c>
      <c r="S106" s="968">
        <f t="shared" si="34"/>
        <v>4497.0891037444344</v>
      </c>
      <c r="T106" s="968">
        <f t="shared" si="34"/>
        <v>4798.7566603868536</v>
      </c>
      <c r="U106" s="969"/>
      <c r="V106" s="968">
        <f t="shared" si="33"/>
        <v>4928.4151473859802</v>
      </c>
      <c r="W106" s="968">
        <f t="shared" si="33"/>
        <v>5224.7085365006196</v>
      </c>
      <c r="X106" s="968">
        <f t="shared" si="33"/>
        <v>5499.255294223778</v>
      </c>
      <c r="Y106" s="968">
        <f t="shared" si="33"/>
        <v>5745.0922134596603</v>
      </c>
    </row>
    <row r="107" spans="1:25" hidden="1" outlineLevel="1" x14ac:dyDescent="0.25">
      <c r="A107" s="970"/>
      <c r="B107" s="970"/>
      <c r="C107" s="970"/>
      <c r="D107" s="970"/>
      <c r="E107" s="970"/>
      <c r="F107" s="970"/>
    </row>
    <row r="108" spans="1:25" hidden="1" outlineLevel="1" x14ac:dyDescent="0.25">
      <c r="A108" s="955"/>
      <c r="B108" s="970"/>
      <c r="C108" s="970"/>
      <c r="D108" s="970"/>
      <c r="E108" s="970"/>
      <c r="F108" s="970"/>
      <c r="K108" s="782" t="s">
        <v>726</v>
      </c>
      <c r="P108" s="782" t="s">
        <v>727</v>
      </c>
      <c r="Q108" s="782" t="s">
        <v>728</v>
      </c>
    </row>
    <row r="109" spans="1:25" hidden="1" outlineLevel="1" x14ac:dyDescent="0.25">
      <c r="A109" s="840" t="s">
        <v>696</v>
      </c>
      <c r="B109" s="971"/>
      <c r="C109" s="972"/>
      <c r="D109" s="972"/>
      <c r="E109" s="973"/>
      <c r="F109" s="972"/>
      <c r="G109" s="974">
        <f t="shared" ref="G109:J111" si="35">G71</f>
        <v>0.7207369942196532</v>
      </c>
      <c r="H109" s="974">
        <f t="shared" si="35"/>
        <v>0.64452493920378207</v>
      </c>
      <c r="I109" s="974">
        <f t="shared" si="35"/>
        <v>0.65571192703828918</v>
      </c>
      <c r="J109" s="974">
        <f t="shared" si="35"/>
        <v>0.58071054866190042</v>
      </c>
      <c r="K109" s="975">
        <f>AVERAGE(G109:J109)</f>
        <v>0.65042110228090633</v>
      </c>
      <c r="L109" s="974">
        <f t="shared" ref="L109:O111" si="36">K71</f>
        <v>0.60576212755478942</v>
      </c>
      <c r="M109" s="974">
        <f t="shared" si="36"/>
        <v>0.56004344579458287</v>
      </c>
      <c r="N109" s="974">
        <f t="shared" si="36"/>
        <v>0.58814344454275747</v>
      </c>
      <c r="O109" s="974">
        <f t="shared" si="36"/>
        <v>0.58464324241023269</v>
      </c>
      <c r="P109" s="975">
        <f>AVERAGE(L109:O109)</f>
        <v>0.58464806507559053</v>
      </c>
      <c r="Q109" s="976">
        <f>AVERAGE($P$109,$K$109)</f>
        <v>0.61753458367824843</v>
      </c>
      <c r="R109" s="977">
        <f>Q109</f>
        <v>0.61753458367824843</v>
      </c>
      <c r="S109" s="977">
        <f t="shared" ref="S109:Y111" si="37">R109</f>
        <v>0.61753458367824843</v>
      </c>
      <c r="T109" s="977">
        <f t="shared" si="37"/>
        <v>0.61753458367824843</v>
      </c>
      <c r="U109" s="978"/>
      <c r="V109" s="977">
        <f>Q109</f>
        <v>0.61753458367824843</v>
      </c>
      <c r="W109" s="977">
        <f t="shared" si="37"/>
        <v>0.61753458367824843</v>
      </c>
      <c r="X109" s="977">
        <f t="shared" si="37"/>
        <v>0.61753458367824843</v>
      </c>
      <c r="Y109" s="977">
        <f t="shared" si="37"/>
        <v>0.61753458367824843</v>
      </c>
    </row>
    <row r="110" spans="1:25" hidden="1" outlineLevel="1" x14ac:dyDescent="0.25">
      <c r="A110" s="843" t="s">
        <v>697</v>
      </c>
      <c r="B110" s="972"/>
      <c r="C110" s="972"/>
      <c r="D110" s="972"/>
      <c r="E110" s="973"/>
      <c r="F110" s="972"/>
      <c r="G110" s="974">
        <f t="shared" si="35"/>
        <v>0.17160404624277456</v>
      </c>
      <c r="H110" s="974">
        <f t="shared" si="35"/>
        <v>0.15475400914919307</v>
      </c>
      <c r="I110" s="974">
        <f t="shared" si="35"/>
        <v>0.15410016510731975</v>
      </c>
      <c r="J110" s="974">
        <f t="shared" si="35"/>
        <v>0.13832963541238666</v>
      </c>
      <c r="K110" s="975">
        <f>AVERAGE(G110:J110)</f>
        <v>0.15469696397791849</v>
      </c>
      <c r="L110" s="974">
        <f t="shared" si="36"/>
        <v>0.15390297956168431</v>
      </c>
      <c r="M110" s="974">
        <f t="shared" si="36"/>
        <v>0.14934491887855542</v>
      </c>
      <c r="N110" s="974">
        <f t="shared" si="36"/>
        <v>0.15510331546348827</v>
      </c>
      <c r="O110" s="974">
        <f t="shared" si="36"/>
        <v>0.15699645554014485</v>
      </c>
      <c r="P110" s="975">
        <f>AVERAGE(L110:O110)</f>
        <v>0.15383691736096822</v>
      </c>
      <c r="Q110" s="976">
        <f>AVERAGE($P$110,$K$110)</f>
        <v>0.15426694066944335</v>
      </c>
      <c r="R110" s="977">
        <f>Q110</f>
        <v>0.15426694066944335</v>
      </c>
      <c r="S110" s="977">
        <f t="shared" si="37"/>
        <v>0.15426694066944335</v>
      </c>
      <c r="T110" s="977">
        <f t="shared" si="37"/>
        <v>0.15426694066944335</v>
      </c>
      <c r="U110" s="978"/>
      <c r="V110" s="977">
        <f t="shared" ref="V110:V111" si="38">Q110</f>
        <v>0.15426694066944335</v>
      </c>
      <c r="W110" s="977">
        <f t="shared" si="37"/>
        <v>0.15426694066944335</v>
      </c>
      <c r="X110" s="977">
        <f t="shared" si="37"/>
        <v>0.15426694066944335</v>
      </c>
      <c r="Y110" s="977">
        <f t="shared" si="37"/>
        <v>0.15426694066944335</v>
      </c>
    </row>
    <row r="111" spans="1:25" ht="15.75" hidden="1" outlineLevel="1" thickBot="1" x14ac:dyDescent="0.3">
      <c r="A111" s="918" t="s">
        <v>698</v>
      </c>
      <c r="B111" s="979"/>
      <c r="C111" s="972"/>
      <c r="D111" s="972"/>
      <c r="E111" s="973"/>
      <c r="F111" s="972"/>
      <c r="G111" s="974">
        <f t="shared" si="35"/>
        <v>3.2514450867052021E-2</v>
      </c>
      <c r="H111" s="974">
        <f t="shared" si="35"/>
        <v>3.2311276635545803E-2</v>
      </c>
      <c r="I111" s="974">
        <f t="shared" si="35"/>
        <v>3.4593914615928922E-2</v>
      </c>
      <c r="J111" s="974">
        <f t="shared" si="35"/>
        <v>3.4240008765442247E-2</v>
      </c>
      <c r="K111" s="975">
        <f>AVERAGE(G111:J111)</f>
        <v>3.341491272099225E-2</v>
      </c>
      <c r="L111" s="974">
        <f t="shared" si="36"/>
        <v>3.5705491258310761E-2</v>
      </c>
      <c r="M111" s="974">
        <f t="shared" si="36"/>
        <v>3.7336229719638854E-2</v>
      </c>
      <c r="N111" s="974">
        <f t="shared" si="36"/>
        <v>3.8515588403685005E-2</v>
      </c>
      <c r="O111" s="974">
        <f t="shared" si="36"/>
        <v>4.0453074433656956E-2</v>
      </c>
      <c r="P111" s="975">
        <f>AVERAGE(L111:O111)</f>
        <v>3.8002595953822896E-2</v>
      </c>
      <c r="Q111" s="976">
        <f>AVERAGE($P$111,$K$111)</f>
        <v>3.5708754337407569E-2</v>
      </c>
      <c r="R111" s="977">
        <f>Q111</f>
        <v>3.5708754337407569E-2</v>
      </c>
      <c r="S111" s="977">
        <f t="shared" si="37"/>
        <v>3.5708754337407569E-2</v>
      </c>
      <c r="T111" s="977">
        <f t="shared" si="37"/>
        <v>3.5708754337407569E-2</v>
      </c>
      <c r="U111" s="978"/>
      <c r="V111" s="977">
        <f t="shared" si="38"/>
        <v>3.5708754337407569E-2</v>
      </c>
      <c r="W111" s="977">
        <f t="shared" si="37"/>
        <v>3.5708754337407569E-2</v>
      </c>
      <c r="X111" s="977">
        <f t="shared" si="37"/>
        <v>3.5708754337407569E-2</v>
      </c>
      <c r="Y111" s="977">
        <f t="shared" si="37"/>
        <v>3.5708754337407569E-2</v>
      </c>
    </row>
    <row r="112" spans="1:25" hidden="1" outlineLevel="1" x14ac:dyDescent="0.25">
      <c r="B112" s="888"/>
      <c r="C112" s="888"/>
      <c r="D112" s="888"/>
      <c r="E112"/>
      <c r="F112" s="888"/>
      <c r="G112" s="980"/>
      <c r="H112" s="980"/>
      <c r="I112" s="980"/>
      <c r="J112" s="980"/>
      <c r="K112" s="981"/>
      <c r="L112" s="980"/>
      <c r="M112" s="980"/>
      <c r="N112" s="980"/>
      <c r="O112" s="980"/>
      <c r="P112" s="981"/>
      <c r="Q112" s="982"/>
      <c r="R112" s="983"/>
      <c r="S112" s="983"/>
      <c r="T112" s="983"/>
      <c r="U112" s="984"/>
      <c r="V112" s="983"/>
      <c r="W112" s="983"/>
      <c r="X112" s="983"/>
      <c r="Y112" s="983"/>
    </row>
    <row r="113" spans="1:25" hidden="1" outlineLevel="1" x14ac:dyDescent="0.25">
      <c r="A113" s="985" t="s">
        <v>729</v>
      </c>
      <c r="B113" s="904"/>
      <c r="C113" s="904"/>
      <c r="D113" s="904"/>
      <c r="E113" s="878"/>
      <c r="F113" s="888"/>
      <c r="G113" s="980"/>
      <c r="H113" s="980"/>
      <c r="I113" s="980"/>
      <c r="J113" s="980"/>
      <c r="K113" s="981"/>
      <c r="L113" s="980"/>
      <c r="M113" s="980"/>
      <c r="N113" s="980"/>
      <c r="O113" s="980"/>
      <c r="P113" s="981"/>
      <c r="Q113" s="982"/>
      <c r="R113" s="983"/>
      <c r="S113" s="983"/>
      <c r="T113" s="983"/>
      <c r="U113" s="984"/>
      <c r="V113" s="983"/>
      <c r="W113" s="983"/>
      <c r="X113" s="983"/>
      <c r="Y113" s="983"/>
    </row>
    <row r="114" spans="1:25" hidden="1" outlineLevel="1" x14ac:dyDescent="0.25">
      <c r="A114" s="986" t="s">
        <v>730</v>
      </c>
      <c r="B114" s="789"/>
      <c r="C114" s="789"/>
      <c r="D114" s="789"/>
      <c r="E114" s="789"/>
      <c r="F114" s="789"/>
      <c r="G114" s="789"/>
      <c r="H114" s="789"/>
      <c r="I114" s="789"/>
      <c r="J114" s="789"/>
      <c r="K114" s="789"/>
      <c r="L114" s="987" t="s">
        <v>659</v>
      </c>
      <c r="M114" s="987">
        <f>M97/H97-1</f>
        <v>0.50308657721544825</v>
      </c>
      <c r="N114" s="987">
        <f>N97/I97-1</f>
        <v>0.51057473071782367</v>
      </c>
      <c r="O114" s="987">
        <f>O97/J97-1</f>
        <v>0.42197386802531023</v>
      </c>
      <c r="P114" s="987"/>
      <c r="Q114" s="987"/>
      <c r="R114" s="789"/>
    </row>
    <row r="115" spans="1:25" hidden="1" outlineLevel="1" x14ac:dyDescent="0.25">
      <c r="A115" s="986" t="s">
        <v>731</v>
      </c>
      <c r="B115" s="789"/>
      <c r="C115" s="789"/>
      <c r="D115" s="789"/>
      <c r="E115" s="789"/>
      <c r="F115" s="789"/>
      <c r="G115" s="789"/>
      <c r="H115" s="789"/>
      <c r="I115" s="789"/>
      <c r="J115" s="789"/>
      <c r="K115" s="789"/>
      <c r="L115" s="789"/>
      <c r="M115" s="789"/>
      <c r="N115" s="789"/>
      <c r="O115" s="789"/>
      <c r="P115" s="789"/>
      <c r="Q115" s="987">
        <f>Q98/L98-1</f>
        <v>0.45921177667065938</v>
      </c>
      <c r="R115" s="987">
        <f t="shared" ref="R115:T117" si="39">R98/M98-1</f>
        <v>0.38694638694638694</v>
      </c>
      <c r="S115" s="987">
        <f t="shared" si="39"/>
        <v>0.32287815126050412</v>
      </c>
      <c r="T115" s="987">
        <f t="shared" si="39"/>
        <v>0.34386000000000005</v>
      </c>
      <c r="U115" s="987"/>
      <c r="V115" s="987">
        <f>V98/Q98-1</f>
        <v>0.22138938053097346</v>
      </c>
      <c r="W115" s="987">
        <f>W98/R98-1</f>
        <v>0.22953361344537826</v>
      </c>
      <c r="X115" s="987">
        <f>X98/S98-1</f>
        <v>0.22284775048039518</v>
      </c>
      <c r="Y115" s="987">
        <f>Y98/T98-1</f>
        <v>0.19720432187876713</v>
      </c>
    </row>
    <row r="116" spans="1:25" hidden="1" outlineLevel="1" x14ac:dyDescent="0.25">
      <c r="A116" s="986" t="s">
        <v>732</v>
      </c>
      <c r="B116" s="789"/>
      <c r="C116" s="789"/>
      <c r="D116" s="789"/>
      <c r="E116" s="789"/>
      <c r="F116" s="789"/>
      <c r="G116" s="789"/>
      <c r="H116" s="789"/>
      <c r="I116" s="789"/>
      <c r="J116" s="789"/>
      <c r="K116" s="789"/>
      <c r="L116" s="789"/>
      <c r="M116" s="789"/>
      <c r="N116" s="789"/>
      <c r="O116" s="789"/>
      <c r="P116" s="789"/>
      <c r="Q116" s="987">
        <f t="shared" ref="Q116:Q117" si="40">Q99/L99-1</f>
        <v>0.44777834394904459</v>
      </c>
      <c r="R116" s="987">
        <f t="shared" si="39"/>
        <v>0.40762124711316394</v>
      </c>
      <c r="S116" s="987">
        <f t="shared" si="39"/>
        <v>0.32167290753413824</v>
      </c>
      <c r="T116" s="987">
        <f t="shared" si="39"/>
        <v>0.37055335968379444</v>
      </c>
      <c r="U116" s="987"/>
      <c r="V116" s="987">
        <f t="shared" ref="V116:Y117" si="41">V99/Q99-1</f>
        <v>0.24886274247562268</v>
      </c>
      <c r="W116" s="987">
        <f t="shared" si="41"/>
        <v>0.23157506152584095</v>
      </c>
      <c r="X116" s="987">
        <f t="shared" si="41"/>
        <v>0.20705058365758755</v>
      </c>
      <c r="Y116" s="987">
        <f t="shared" si="41"/>
        <v>0.1742970439798126</v>
      </c>
    </row>
    <row r="117" spans="1:25" hidden="1" outlineLevel="1" x14ac:dyDescent="0.25">
      <c r="A117" s="986" t="s">
        <v>733</v>
      </c>
      <c r="B117" s="789"/>
      <c r="C117" s="789"/>
      <c r="D117" s="789"/>
      <c r="E117" s="789"/>
      <c r="F117" s="789"/>
      <c r="G117" s="789"/>
      <c r="H117" s="789"/>
      <c r="I117" s="789"/>
      <c r="J117" s="789"/>
      <c r="K117" s="789"/>
      <c r="L117" s="789"/>
      <c r="M117" s="789"/>
      <c r="N117" s="789"/>
      <c r="O117" s="789"/>
      <c r="P117" s="789"/>
      <c r="Q117" s="987">
        <f t="shared" si="40"/>
        <v>0.4461376623376625</v>
      </c>
      <c r="R117" s="987">
        <f t="shared" si="39"/>
        <v>0.38470588235294123</v>
      </c>
      <c r="S117" s="987">
        <f t="shared" si="39"/>
        <v>0.30686695278969967</v>
      </c>
      <c r="T117" s="987">
        <f t="shared" si="39"/>
        <v>0.3390150879665359</v>
      </c>
      <c r="U117" s="987"/>
      <c r="V117" s="987">
        <f t="shared" si="41"/>
        <v>0.2042826121707082</v>
      </c>
      <c r="W117" s="987">
        <f t="shared" si="41"/>
        <v>0.21070518266779947</v>
      </c>
      <c r="X117" s="987">
        <f t="shared" si="41"/>
        <v>0.25533661740558289</v>
      </c>
      <c r="Y117" s="987">
        <f t="shared" si="41"/>
        <v>0.20660328645627679</v>
      </c>
    </row>
    <row r="118" spans="1:25" hidden="1" outlineLevel="1" x14ac:dyDescent="0.25">
      <c r="A118" s="986"/>
      <c r="B118" s="789"/>
      <c r="C118" s="789"/>
      <c r="D118" s="789"/>
      <c r="E118" s="789"/>
      <c r="F118" s="789"/>
      <c r="G118" s="789"/>
      <c r="H118" s="789"/>
      <c r="I118" s="789"/>
      <c r="J118" s="789"/>
      <c r="K118" s="789"/>
      <c r="L118" s="789"/>
      <c r="M118" s="789"/>
      <c r="N118" s="789"/>
      <c r="O118" s="789"/>
      <c r="P118" s="789"/>
      <c r="Q118" s="923"/>
      <c r="R118" s="923"/>
      <c r="S118" s="923"/>
      <c r="T118" s="923"/>
      <c r="U118" s="923"/>
      <c r="V118" s="923"/>
      <c r="W118" s="923"/>
      <c r="X118" s="923"/>
      <c r="Y118" s="923"/>
    </row>
    <row r="119" spans="1:25" s="60" customFormat="1" ht="15.75" outlineLevel="1" x14ac:dyDescent="0.25">
      <c r="A119" s="753" t="s">
        <v>6</v>
      </c>
      <c r="B119" s="753"/>
      <c r="C119" s="753"/>
      <c r="D119" s="753"/>
      <c r="E119" s="753"/>
      <c r="F119" s="753"/>
      <c r="G119" s="753"/>
      <c r="H119" s="753"/>
      <c r="I119" s="753"/>
      <c r="J119" s="753"/>
      <c r="K119" s="753"/>
      <c r="L119" s="753"/>
      <c r="M119" s="753"/>
      <c r="N119" s="753"/>
      <c r="O119" s="753"/>
      <c r="P119" s="753"/>
      <c r="Q119" s="753"/>
    </row>
    <row r="120" spans="1:25" ht="15.75" thickBot="1" x14ac:dyDescent="0.3">
      <c r="A120" s="988" t="s">
        <v>734</v>
      </c>
      <c r="B120" s="989"/>
      <c r="C120" s="989"/>
      <c r="D120" s="989"/>
      <c r="E120" s="990"/>
      <c r="F120" s="789"/>
      <c r="G120" s="988" t="s">
        <v>735</v>
      </c>
      <c r="H120" s="989"/>
      <c r="I120" s="989"/>
      <c r="J120" s="989"/>
      <c r="K120" s="990"/>
      <c r="L120" s="789"/>
      <c r="M120" s="988" t="s">
        <v>736</v>
      </c>
      <c r="N120" s="989"/>
      <c r="O120" s="989"/>
      <c r="P120" s="989"/>
      <c r="Q120" s="990"/>
      <c r="R120" s="789"/>
    </row>
    <row r="121" spans="1:25" x14ac:dyDescent="0.25">
      <c r="A121" s="991" t="s">
        <v>737</v>
      </c>
      <c r="B121" s="992" t="s">
        <v>670</v>
      </c>
      <c r="C121" s="992" t="s">
        <v>671</v>
      </c>
      <c r="D121" s="992" t="s">
        <v>672</v>
      </c>
      <c r="E121" s="993" t="s">
        <v>673</v>
      </c>
      <c r="F121" s="789"/>
      <c r="G121" s="991" t="s">
        <v>737</v>
      </c>
      <c r="H121" s="992" t="s">
        <v>670</v>
      </c>
      <c r="I121" s="992" t="s">
        <v>671</v>
      </c>
      <c r="J121" s="992" t="s">
        <v>672</v>
      </c>
      <c r="K121" s="994" t="s">
        <v>673</v>
      </c>
      <c r="L121" s="789"/>
      <c r="M121" s="991" t="s">
        <v>737</v>
      </c>
      <c r="N121" s="992" t="s">
        <v>670</v>
      </c>
      <c r="O121" s="992" t="s">
        <v>671</v>
      </c>
      <c r="P121" s="992" t="s">
        <v>672</v>
      </c>
      <c r="Q121" s="993" t="s">
        <v>673</v>
      </c>
      <c r="R121" s="789"/>
    </row>
    <row r="122" spans="1:25" x14ac:dyDescent="0.25">
      <c r="A122" s="995" t="s">
        <v>738</v>
      </c>
      <c r="B122" s="1200">
        <f>Q117</f>
        <v>0.4461376623376625</v>
      </c>
      <c r="C122" s="1200">
        <f>R117</f>
        <v>0.38470588235294123</v>
      </c>
      <c r="D122" s="1200">
        <f>S117</f>
        <v>0.30686695278969967</v>
      </c>
      <c r="E122" s="1201">
        <f>T117</f>
        <v>0.3390150879665359</v>
      </c>
      <c r="F122" s="789"/>
      <c r="G122" s="995" t="s">
        <v>738</v>
      </c>
      <c r="H122" s="1192">
        <f>+Q117</f>
        <v>0.4461376623376625</v>
      </c>
      <c r="I122" s="1192">
        <f t="shared" ref="I122:K122" si="42">+R117</f>
        <v>0.38470588235294123</v>
      </c>
      <c r="J122" s="1192">
        <f t="shared" si="42"/>
        <v>0.30686695278969967</v>
      </c>
      <c r="K122" s="1193">
        <f t="shared" si="42"/>
        <v>0.3390150879665359</v>
      </c>
      <c r="L122" s="789"/>
      <c r="M122" s="995" t="s">
        <v>738</v>
      </c>
      <c r="N122" s="1200">
        <f>Q117</f>
        <v>0.4461376623376625</v>
      </c>
      <c r="O122" s="1200">
        <f>R117</f>
        <v>0.38470588235294123</v>
      </c>
      <c r="P122" s="1200">
        <f>S117</f>
        <v>0.30686695278969967</v>
      </c>
      <c r="Q122" s="1201">
        <f>T117</f>
        <v>0.3390150879665359</v>
      </c>
      <c r="R122" s="789"/>
    </row>
    <row r="123" spans="1:25" x14ac:dyDescent="0.25">
      <c r="A123" s="995" t="s">
        <v>739</v>
      </c>
      <c r="B123" s="1200">
        <f>+V117</f>
        <v>0.2042826121707082</v>
      </c>
      <c r="C123" s="1200">
        <f>+W117</f>
        <v>0.21070518266779947</v>
      </c>
      <c r="D123" s="1200">
        <f>+X117</f>
        <v>0.25533661740558289</v>
      </c>
      <c r="E123" s="1201">
        <f>+Y117</f>
        <v>0.20660328645627679</v>
      </c>
      <c r="F123" s="789"/>
      <c r="G123" s="995" t="s">
        <v>739</v>
      </c>
      <c r="H123" s="1192">
        <f>V117</f>
        <v>0.2042826121707082</v>
      </c>
      <c r="I123" s="1192">
        <f t="shared" ref="I123:K123" si="43">W117</f>
        <v>0.21070518266779947</v>
      </c>
      <c r="J123" s="1192">
        <f t="shared" si="43"/>
        <v>0.25533661740558289</v>
      </c>
      <c r="K123" s="1193">
        <f t="shared" si="43"/>
        <v>0.20660328645627679</v>
      </c>
      <c r="L123" s="789"/>
      <c r="M123" s="995" t="s">
        <v>739</v>
      </c>
      <c r="N123" s="1200">
        <f>+V117</f>
        <v>0.2042826121707082</v>
      </c>
      <c r="O123" s="1200">
        <f>+W117</f>
        <v>0.21070518266779947</v>
      </c>
      <c r="P123" s="1200">
        <f>+X117</f>
        <v>0.25533661740558289</v>
      </c>
      <c r="Q123" s="1201">
        <f>+Y117</f>
        <v>0.20660328645627679</v>
      </c>
      <c r="R123" s="789"/>
    </row>
    <row r="124" spans="1:25" ht="12" hidden="1" customHeight="1" outlineLevel="1" x14ac:dyDescent="0.25">
      <c r="A124" s="995" t="s">
        <v>740</v>
      </c>
      <c r="B124" s="1202">
        <v>0.4</v>
      </c>
      <c r="C124" s="1202">
        <v>0.4</v>
      </c>
      <c r="D124" s="1202">
        <v>0.4</v>
      </c>
      <c r="E124" s="1202">
        <v>0.4</v>
      </c>
      <c r="F124" s="789"/>
      <c r="G124" s="995" t="s">
        <v>740</v>
      </c>
      <c r="H124" s="1194">
        <v>0.25</v>
      </c>
      <c r="I124" s="1194">
        <v>0.25</v>
      </c>
      <c r="J124" s="1194">
        <v>0.25</v>
      </c>
      <c r="K124" s="1194">
        <v>0.25</v>
      </c>
      <c r="L124" s="789"/>
      <c r="M124" s="995" t="s">
        <v>740</v>
      </c>
      <c r="N124" s="1202">
        <v>0.2</v>
      </c>
      <c r="O124" s="1202">
        <v>0.2</v>
      </c>
      <c r="P124" s="1202">
        <v>0.2</v>
      </c>
      <c r="Q124" s="1202">
        <v>0.2</v>
      </c>
      <c r="R124" s="789"/>
    </row>
    <row r="125" spans="1:25" collapsed="1" x14ac:dyDescent="0.25">
      <c r="A125" s="996" t="s">
        <v>741</v>
      </c>
      <c r="B125" s="1204">
        <f>+B123*(1-B124)</f>
        <v>0.12256956730242491</v>
      </c>
      <c r="C125" s="1204">
        <f t="shared" ref="C125:E125" si="44">+C123*(1-C124)</f>
        <v>0.12642310960067968</v>
      </c>
      <c r="D125" s="1204">
        <f t="shared" si="44"/>
        <v>0.15320197044334974</v>
      </c>
      <c r="E125" s="1205">
        <f t="shared" si="44"/>
        <v>0.12396197187376606</v>
      </c>
      <c r="F125" s="789"/>
      <c r="G125" s="996" t="s">
        <v>741</v>
      </c>
      <c r="H125" s="1196">
        <f>+H123*(1-H124)</f>
        <v>0.15321195912803115</v>
      </c>
      <c r="I125" s="1196">
        <f t="shared" ref="I125:K125" si="45">+I123*(1-I124)</f>
        <v>0.1580288870008496</v>
      </c>
      <c r="J125" s="1196">
        <f t="shared" si="45"/>
        <v>0.19150246305418717</v>
      </c>
      <c r="K125" s="1197">
        <f t="shared" si="45"/>
        <v>0.15495246484220759</v>
      </c>
      <c r="L125" s="789"/>
      <c r="M125" s="996" t="s">
        <v>741</v>
      </c>
      <c r="N125" s="1204">
        <f>+N123*(1-N124)</f>
        <v>0.16342608973656658</v>
      </c>
      <c r="O125" s="1204">
        <f t="shared" ref="O125:Q125" si="46">+O123*(1-O124)</f>
        <v>0.16856414613423959</v>
      </c>
      <c r="P125" s="1204">
        <f t="shared" si="46"/>
        <v>0.20426929392446633</v>
      </c>
      <c r="Q125" s="1205">
        <f t="shared" si="46"/>
        <v>0.16528262916502146</v>
      </c>
      <c r="R125" s="789"/>
    </row>
    <row r="126" spans="1:25" ht="12" hidden="1" customHeight="1" outlineLevel="1" x14ac:dyDescent="0.25">
      <c r="A126" s="995" t="s">
        <v>740</v>
      </c>
      <c r="B126" s="1202">
        <v>0.45</v>
      </c>
      <c r="C126" s="1202">
        <v>0.45</v>
      </c>
      <c r="D126" s="1202">
        <v>0.45</v>
      </c>
      <c r="E126" s="1202">
        <v>0.45</v>
      </c>
      <c r="F126" s="789"/>
      <c r="G126" s="995" t="s">
        <v>740</v>
      </c>
      <c r="H126" s="1194">
        <v>0.4</v>
      </c>
      <c r="I126" s="1194">
        <v>0.4</v>
      </c>
      <c r="J126" s="1194">
        <v>0.4</v>
      </c>
      <c r="K126" s="1194">
        <v>0.4</v>
      </c>
      <c r="L126" s="789"/>
      <c r="M126" s="995" t="s">
        <v>740</v>
      </c>
      <c r="N126" s="1202">
        <v>0.15</v>
      </c>
      <c r="O126" s="1202">
        <v>0.15</v>
      </c>
      <c r="P126" s="1202">
        <v>0.15</v>
      </c>
      <c r="Q126" s="1202">
        <v>0.15</v>
      </c>
      <c r="R126" s="789"/>
    </row>
    <row r="127" spans="1:25" collapsed="1" x14ac:dyDescent="0.25">
      <c r="A127" s="996" t="s">
        <v>742</v>
      </c>
      <c r="B127" s="1204">
        <f>+B125*(1-B126)</f>
        <v>6.74132620163337E-2</v>
      </c>
      <c r="C127" s="1204">
        <f t="shared" ref="C127:E127" si="47">+C125*(1-C126)</f>
        <v>6.9532710280373833E-2</v>
      </c>
      <c r="D127" s="1204">
        <f t="shared" si="47"/>
        <v>8.4261083743842363E-2</v>
      </c>
      <c r="E127" s="1205">
        <f t="shared" si="47"/>
        <v>6.8179084530571338E-2</v>
      </c>
      <c r="F127" s="789"/>
      <c r="G127" s="996" t="s">
        <v>742</v>
      </c>
      <c r="H127" s="1196">
        <f>+H125*(1-H126)</f>
        <v>9.1927175476818682E-2</v>
      </c>
      <c r="I127" s="1196">
        <f t="shared" ref="I127:K127" si="48">+I125*(1-I126)</f>
        <v>9.4817332200509766E-2</v>
      </c>
      <c r="J127" s="1196">
        <f t="shared" si="48"/>
        <v>0.1149014778325123</v>
      </c>
      <c r="K127" s="1197">
        <f t="shared" si="48"/>
        <v>9.2971478905324548E-2</v>
      </c>
      <c r="L127" s="789"/>
      <c r="M127" s="996" t="s">
        <v>742</v>
      </c>
      <c r="N127" s="1204">
        <f>+N125*(1-N126)</f>
        <v>0.1389121762760816</v>
      </c>
      <c r="O127" s="1204">
        <f t="shared" ref="O127:Q127" si="49">+O125*(1-O126)</f>
        <v>0.14327952421410364</v>
      </c>
      <c r="P127" s="1204">
        <f t="shared" si="49"/>
        <v>0.17362889983579638</v>
      </c>
      <c r="Q127" s="1205">
        <f t="shared" si="49"/>
        <v>0.14049023479026823</v>
      </c>
      <c r="R127" s="789"/>
    </row>
    <row r="128" spans="1:25" ht="12" hidden="1" customHeight="1" outlineLevel="1" x14ac:dyDescent="0.25">
      <c r="A128" s="995" t="s">
        <v>740</v>
      </c>
      <c r="B128" s="1202">
        <v>0.5</v>
      </c>
      <c r="C128" s="1202">
        <v>0.5</v>
      </c>
      <c r="D128" s="1202">
        <v>0.5</v>
      </c>
      <c r="E128" s="1202">
        <v>0.5</v>
      </c>
      <c r="F128" s="789"/>
      <c r="G128" s="995" t="s">
        <v>740</v>
      </c>
      <c r="H128" s="1194">
        <v>0.5</v>
      </c>
      <c r="I128" s="1194">
        <v>0.5</v>
      </c>
      <c r="J128" s="1194">
        <v>0.5</v>
      </c>
      <c r="K128" s="1194">
        <v>0.5</v>
      </c>
      <c r="L128" s="789"/>
      <c r="M128" s="995" t="s">
        <v>740</v>
      </c>
      <c r="N128" s="1202">
        <v>0.15</v>
      </c>
      <c r="O128" s="1202">
        <v>0.15</v>
      </c>
      <c r="P128" s="1202">
        <v>0.15</v>
      </c>
      <c r="Q128" s="1202">
        <v>0.15</v>
      </c>
      <c r="R128" s="789"/>
    </row>
    <row r="129" spans="1:18" collapsed="1" x14ac:dyDescent="0.25">
      <c r="A129" s="997" t="s">
        <v>743</v>
      </c>
      <c r="B129" s="1207">
        <f>+B127*(1-B128)</f>
        <v>3.370663100816685E-2</v>
      </c>
      <c r="C129" s="1207">
        <f t="shared" ref="C129:E129" si="50">+C127*(1-C128)</f>
        <v>3.4766355140186916E-2</v>
      </c>
      <c r="D129" s="1207">
        <f t="shared" si="50"/>
        <v>4.2130541871921182E-2</v>
      </c>
      <c r="E129" s="1206">
        <f t="shared" si="50"/>
        <v>3.4089542265285669E-2</v>
      </c>
      <c r="F129" s="789"/>
      <c r="G129" s="997" t="s">
        <v>743</v>
      </c>
      <c r="H129" s="1199">
        <f>+H127*(1-H128)</f>
        <v>4.5963587738409341E-2</v>
      </c>
      <c r="I129" s="1199">
        <f t="shared" ref="I129:K129" si="51">+I127*(1-I128)</f>
        <v>4.7408666100254883E-2</v>
      </c>
      <c r="J129" s="1199">
        <f t="shared" si="51"/>
        <v>5.7450738916256149E-2</v>
      </c>
      <c r="K129" s="1198">
        <f t="shared" si="51"/>
        <v>4.6485739452662274E-2</v>
      </c>
      <c r="L129" s="789"/>
      <c r="M129" s="997" t="s">
        <v>743</v>
      </c>
      <c r="N129" s="1204">
        <f>+N127*(1-N128)</f>
        <v>0.11807534983466936</v>
      </c>
      <c r="O129" s="1204">
        <f t="shared" ref="O129:Q129" si="52">+O127*(1-O128)</f>
        <v>0.1217875955819881</v>
      </c>
      <c r="P129" s="1204">
        <f t="shared" si="52"/>
        <v>0.14758456486042693</v>
      </c>
      <c r="Q129" s="1205">
        <f t="shared" si="52"/>
        <v>0.119416699571728</v>
      </c>
      <c r="R129" s="789"/>
    </row>
    <row r="130" spans="1:18" ht="15.75" x14ac:dyDescent="0.25">
      <c r="A130" s="753" t="s">
        <v>8</v>
      </c>
      <c r="B130" s="753"/>
      <c r="C130" s="753"/>
      <c r="D130" s="753"/>
      <c r="E130" s="753"/>
      <c r="F130" s="753"/>
      <c r="G130" s="753"/>
      <c r="H130" s="753"/>
      <c r="I130" s="753"/>
      <c r="J130" s="753"/>
      <c r="K130" s="753"/>
      <c r="L130" s="753"/>
      <c r="M130" s="753"/>
      <c r="N130" s="753"/>
      <c r="O130" s="753"/>
      <c r="P130" s="753"/>
      <c r="Q130" s="1191"/>
      <c r="R130" s="789"/>
    </row>
    <row r="131" spans="1:18" ht="15.75" thickBot="1" x14ac:dyDescent="0.3">
      <c r="A131" s="988" t="s">
        <v>744</v>
      </c>
      <c r="B131" s="989"/>
      <c r="C131" s="989"/>
      <c r="D131" s="989"/>
      <c r="E131" s="990"/>
      <c r="F131" s="789"/>
      <c r="G131" s="988" t="s">
        <v>745</v>
      </c>
      <c r="H131" s="989"/>
      <c r="I131" s="989"/>
      <c r="J131" s="989"/>
      <c r="K131" s="990"/>
      <c r="L131" s="789"/>
      <c r="M131" s="988" t="s">
        <v>746</v>
      </c>
      <c r="N131" s="989"/>
      <c r="O131" s="989"/>
      <c r="P131" s="989"/>
      <c r="Q131" s="990"/>
      <c r="R131" s="789"/>
    </row>
    <row r="132" spans="1:18" x14ac:dyDescent="0.25">
      <c r="A132" s="991" t="s">
        <v>747</v>
      </c>
      <c r="B132" s="992" t="s">
        <v>670</v>
      </c>
      <c r="C132" s="992" t="s">
        <v>671</v>
      </c>
      <c r="D132" s="992" t="s">
        <v>672</v>
      </c>
      <c r="E132" s="994" t="s">
        <v>673</v>
      </c>
      <c r="F132" s="789"/>
      <c r="G132" s="991" t="s">
        <v>747</v>
      </c>
      <c r="H132" s="992" t="s">
        <v>670</v>
      </c>
      <c r="I132" s="992" t="s">
        <v>671</v>
      </c>
      <c r="J132" s="992" t="s">
        <v>672</v>
      </c>
      <c r="K132" s="994" t="s">
        <v>673</v>
      </c>
      <c r="L132" s="789"/>
      <c r="M132" s="991" t="s">
        <v>747</v>
      </c>
      <c r="N132" s="992" t="s">
        <v>670</v>
      </c>
      <c r="O132" s="992" t="s">
        <v>671</v>
      </c>
      <c r="P132" s="992" t="s">
        <v>672</v>
      </c>
      <c r="Q132" s="994" t="s">
        <v>673</v>
      </c>
      <c r="R132" s="789"/>
    </row>
    <row r="133" spans="1:18" x14ac:dyDescent="0.25">
      <c r="A133" s="996" t="s">
        <v>748</v>
      </c>
      <c r="B133" s="1200">
        <f>+'QoQ Estimates_Edited'!K31</f>
        <v>0.72831707566774373</v>
      </c>
      <c r="C133" s="1200">
        <f>+'QoQ Estimates_Edited'!L31</f>
        <v>0.7281223449447749</v>
      </c>
      <c r="D133" s="1200">
        <f>+'QoQ Estimates_Edited'!M31</f>
        <v>0.74548440065681443</v>
      </c>
      <c r="E133" s="1201">
        <f>+'QoQ Estimates_Edited'!N31</f>
        <v>0.73999939252194513</v>
      </c>
      <c r="F133" s="789"/>
      <c r="G133" s="996" t="s">
        <v>748</v>
      </c>
      <c r="H133" s="1192">
        <f>+'QoQ Estimates_Edited'!K31</f>
        <v>0.72831707566774373</v>
      </c>
      <c r="I133" s="1192">
        <f>+'QoQ Estimates_Edited'!L31</f>
        <v>0.7281223449447749</v>
      </c>
      <c r="J133" s="1192">
        <f>+'QoQ Estimates_Edited'!M31</f>
        <v>0.74548440065681443</v>
      </c>
      <c r="K133" s="1193">
        <f>+'QoQ Estimates_Edited'!N31</f>
        <v>0.73999939252194513</v>
      </c>
      <c r="L133" s="789"/>
      <c r="M133" s="995" t="s">
        <v>748</v>
      </c>
      <c r="N133" s="1200">
        <f>+'QoQ Estimates_Edited'!K31</f>
        <v>0.72831707566774373</v>
      </c>
      <c r="O133" s="1200">
        <f>+'QoQ Estimates_Edited'!L31</f>
        <v>0.7281223449447749</v>
      </c>
      <c r="P133" s="1200">
        <f>+'QoQ Estimates_Edited'!M31</f>
        <v>0.74548440065681443</v>
      </c>
      <c r="Q133" s="1201">
        <f>+'QoQ Estimates_Edited'!N31</f>
        <v>0.73999939252194513</v>
      </c>
      <c r="R133" s="789"/>
    </row>
    <row r="134" spans="1:18" x14ac:dyDescent="0.25">
      <c r="A134" s="996" t="s">
        <v>749</v>
      </c>
      <c r="B134" s="1200">
        <f>+'QoQ Estimates_Edited'!O31</f>
        <v>0.72408650260999252</v>
      </c>
      <c r="C134" s="1200">
        <f>+'QoQ Estimates_Edited'!P31</f>
        <v>0.72631578947368425</v>
      </c>
      <c r="D134" s="1200">
        <f>+'QoQ Estimates_Edited'!Q31</f>
        <v>0.72727272727272729</v>
      </c>
      <c r="E134" s="1201">
        <f>+'QoQ Estimates_Edited'!R31</f>
        <v>0.72938955317809939</v>
      </c>
      <c r="F134" s="789"/>
      <c r="G134" s="996" t="s">
        <v>749</v>
      </c>
      <c r="H134" s="1192">
        <f>++'QoQ Estimates_Edited'!O31</f>
        <v>0.72408650260999252</v>
      </c>
      <c r="I134" s="1192">
        <f>++'QoQ Estimates_Edited'!P31</f>
        <v>0.72631578947368425</v>
      </c>
      <c r="J134" s="1192">
        <f>++'QoQ Estimates_Edited'!Q31</f>
        <v>0.72727272727272729</v>
      </c>
      <c r="K134" s="1193">
        <f>++'QoQ Estimates_Edited'!R31</f>
        <v>0.72938955317809939</v>
      </c>
      <c r="L134" s="789"/>
      <c r="M134" s="996" t="s">
        <v>749</v>
      </c>
      <c r="N134" s="1200">
        <f>+'QoQ Estimates_Edited'!O31</f>
        <v>0.72408650260999252</v>
      </c>
      <c r="O134" s="1200">
        <f>+'QoQ Estimates_Edited'!P31</f>
        <v>0.72631578947368425</v>
      </c>
      <c r="P134" s="1200">
        <f>+'QoQ Estimates_Edited'!Q31</f>
        <v>0.72727272727272729</v>
      </c>
      <c r="Q134" s="1201">
        <f>+'QoQ Estimates_Edited'!R31</f>
        <v>0.72938955317809939</v>
      </c>
      <c r="R134" s="789"/>
    </row>
    <row r="135" spans="1:18" hidden="1" outlineLevel="1" x14ac:dyDescent="0.25">
      <c r="A135" s="995" t="s">
        <v>740</v>
      </c>
      <c r="B135" s="1202">
        <v>0</v>
      </c>
      <c r="C135" s="1202">
        <v>0</v>
      </c>
      <c r="D135" s="1202">
        <v>0</v>
      </c>
      <c r="E135" s="1203">
        <v>0</v>
      </c>
      <c r="F135" s="789"/>
      <c r="G135" s="995" t="s">
        <v>740</v>
      </c>
      <c r="H135" s="1194">
        <v>0</v>
      </c>
      <c r="I135" s="1194">
        <v>0</v>
      </c>
      <c r="J135" s="1194">
        <v>0</v>
      </c>
      <c r="K135" s="1195">
        <v>0</v>
      </c>
      <c r="L135" s="789"/>
      <c r="M135" s="995" t="s">
        <v>740</v>
      </c>
      <c r="N135" s="1203">
        <v>5.0000000000000001E-3</v>
      </c>
      <c r="O135" s="1203">
        <v>5.0000000000000001E-3</v>
      </c>
      <c r="P135" s="1203">
        <v>5.0000000000000001E-3</v>
      </c>
      <c r="Q135" s="1203">
        <v>5.0000000000000001E-3</v>
      </c>
      <c r="R135" s="789"/>
    </row>
    <row r="136" spans="1:18" collapsed="1" x14ac:dyDescent="0.25">
      <c r="A136" s="996" t="s">
        <v>741</v>
      </c>
      <c r="B136" s="1204">
        <f>+B134+B135</f>
        <v>0.72408650260999252</v>
      </c>
      <c r="C136" s="1204">
        <f>+C134+C135</f>
        <v>0.72631578947368425</v>
      </c>
      <c r="D136" s="1204">
        <f>+D134+D135</f>
        <v>0.72727272727272729</v>
      </c>
      <c r="E136" s="1205">
        <f>+E134+E135</f>
        <v>0.72938955317809939</v>
      </c>
      <c r="F136" s="789"/>
      <c r="G136" s="996" t="s">
        <v>741</v>
      </c>
      <c r="H136" s="1196">
        <f>+H134+H135</f>
        <v>0.72408650260999252</v>
      </c>
      <c r="I136" s="1196">
        <f>+I134+I135</f>
        <v>0.72631578947368425</v>
      </c>
      <c r="J136" s="1196">
        <f>+J134+J135</f>
        <v>0.72727272727272729</v>
      </c>
      <c r="K136" s="1197">
        <f>+K134+K135</f>
        <v>0.72938955317809939</v>
      </c>
      <c r="L136" s="789"/>
      <c r="M136" s="996" t="s">
        <v>741</v>
      </c>
      <c r="N136" s="1204">
        <f>+N134+N135</f>
        <v>0.72908650260999253</v>
      </c>
      <c r="O136" s="1204">
        <f>+O134+O135</f>
        <v>0.73131578947368425</v>
      </c>
      <c r="P136" s="1204">
        <f>+P134+P135</f>
        <v>0.7322727272727273</v>
      </c>
      <c r="Q136" s="1206">
        <f>+Q134+Q135</f>
        <v>0.7343895531780994</v>
      </c>
      <c r="R136" s="789"/>
    </row>
    <row r="137" spans="1:18" hidden="1" outlineLevel="1" x14ac:dyDescent="0.25">
      <c r="A137" s="995" t="s">
        <v>740</v>
      </c>
      <c r="B137" s="1202">
        <v>0</v>
      </c>
      <c r="C137" s="1202">
        <v>0</v>
      </c>
      <c r="D137" s="1202">
        <v>0</v>
      </c>
      <c r="E137" s="1203">
        <v>0</v>
      </c>
      <c r="F137" s="789"/>
      <c r="G137" s="995" t="s">
        <v>740</v>
      </c>
      <c r="H137" s="1194">
        <v>0</v>
      </c>
      <c r="I137" s="1194">
        <v>0</v>
      </c>
      <c r="J137" s="1194">
        <v>0</v>
      </c>
      <c r="K137" s="1195">
        <v>0</v>
      </c>
      <c r="L137" s="789"/>
      <c r="M137" s="995" t="s">
        <v>740</v>
      </c>
      <c r="N137" s="1203">
        <v>0</v>
      </c>
      <c r="O137" s="1203">
        <v>0</v>
      </c>
      <c r="P137" s="1203">
        <v>0</v>
      </c>
      <c r="Q137" s="1203">
        <v>0</v>
      </c>
      <c r="R137" s="789"/>
    </row>
    <row r="138" spans="1:18" collapsed="1" x14ac:dyDescent="0.25">
      <c r="A138" s="996" t="s">
        <v>742</v>
      </c>
      <c r="B138" s="1204">
        <f>+B136+B137</f>
        <v>0.72408650260999252</v>
      </c>
      <c r="C138" s="1204">
        <f>+C136+C137</f>
        <v>0.72631578947368425</v>
      </c>
      <c r="D138" s="1204">
        <f>+D136+D137</f>
        <v>0.72727272727272729</v>
      </c>
      <c r="E138" s="1205">
        <f>+E136+E137</f>
        <v>0.72938955317809939</v>
      </c>
      <c r="F138" s="789"/>
      <c r="G138" s="996" t="s">
        <v>742</v>
      </c>
      <c r="H138" s="1196">
        <f>+H136+H137</f>
        <v>0.72408650260999252</v>
      </c>
      <c r="I138" s="1196">
        <f>+I136+I137</f>
        <v>0.72631578947368425</v>
      </c>
      <c r="J138" s="1196">
        <f>+J136+J137</f>
        <v>0.72727272727272729</v>
      </c>
      <c r="K138" s="1197">
        <f>+K136+K137</f>
        <v>0.72938955317809939</v>
      </c>
      <c r="L138" s="789"/>
      <c r="M138" s="996" t="s">
        <v>742</v>
      </c>
      <c r="N138" s="1204">
        <f>+N136+N137</f>
        <v>0.72908650260999253</v>
      </c>
      <c r="O138" s="1204">
        <f>+O136+O137</f>
        <v>0.73131578947368425</v>
      </c>
      <c r="P138" s="1204">
        <f>+P136+P137</f>
        <v>0.7322727272727273</v>
      </c>
      <c r="Q138" s="1205">
        <f>+Q136+Q137</f>
        <v>0.7343895531780994</v>
      </c>
      <c r="R138" s="789"/>
    </row>
    <row r="139" spans="1:18" hidden="1" outlineLevel="1" x14ac:dyDescent="0.25">
      <c r="A139" s="995" t="s">
        <v>740</v>
      </c>
      <c r="B139" s="1202">
        <v>0</v>
      </c>
      <c r="C139" s="1202">
        <v>0</v>
      </c>
      <c r="D139" s="1202">
        <v>0</v>
      </c>
      <c r="E139" s="1203">
        <v>0</v>
      </c>
      <c r="F139" s="789"/>
      <c r="G139" s="995" t="s">
        <v>740</v>
      </c>
      <c r="H139" s="1194">
        <v>0</v>
      </c>
      <c r="I139" s="1194">
        <v>0</v>
      </c>
      <c r="J139" s="1194">
        <v>0</v>
      </c>
      <c r="K139" s="1195">
        <v>0</v>
      </c>
      <c r="L139" s="789"/>
      <c r="M139" s="995" t="s">
        <v>740</v>
      </c>
      <c r="N139" s="1203">
        <v>0</v>
      </c>
      <c r="O139" s="1203">
        <v>0</v>
      </c>
      <c r="P139" s="1203">
        <v>0</v>
      </c>
      <c r="Q139" s="1203">
        <v>0</v>
      </c>
      <c r="R139" s="789"/>
    </row>
    <row r="140" spans="1:18" collapsed="1" x14ac:dyDescent="0.25">
      <c r="A140" s="997" t="s">
        <v>743</v>
      </c>
      <c r="B140" s="1207">
        <f>+B138+B139</f>
        <v>0.72408650260999252</v>
      </c>
      <c r="C140" s="1207">
        <f>+C138+C139</f>
        <v>0.72631578947368425</v>
      </c>
      <c r="D140" s="1207">
        <f>+D138+D139</f>
        <v>0.72727272727272729</v>
      </c>
      <c r="E140" s="1206">
        <f>+E138+E139</f>
        <v>0.72938955317809939</v>
      </c>
      <c r="F140" s="789"/>
      <c r="G140" s="997" t="s">
        <v>743</v>
      </c>
      <c r="H140" s="1199">
        <f>+H138+H139</f>
        <v>0.72408650260999252</v>
      </c>
      <c r="I140" s="1199">
        <f>+I138+I139</f>
        <v>0.72631578947368425</v>
      </c>
      <c r="J140" s="1199">
        <f>+J138+J139</f>
        <v>0.72727272727272729</v>
      </c>
      <c r="K140" s="1198">
        <f>+K138+K139</f>
        <v>0.72938955317809939</v>
      </c>
      <c r="L140" s="789"/>
      <c r="M140" s="997" t="s">
        <v>743</v>
      </c>
      <c r="N140" s="1207">
        <f>+N138+N139</f>
        <v>0.72908650260999253</v>
      </c>
      <c r="O140" s="1207">
        <f>+O138+O139</f>
        <v>0.73131578947368425</v>
      </c>
      <c r="P140" s="1207">
        <f>+P138+P139</f>
        <v>0.7322727272727273</v>
      </c>
      <c r="Q140" s="1206">
        <f>+Q138+Q139</f>
        <v>0.7343895531780994</v>
      </c>
      <c r="R140" s="789"/>
    </row>
    <row r="141" spans="1:18" ht="15.75" x14ac:dyDescent="0.25">
      <c r="A141" s="753" t="s">
        <v>750</v>
      </c>
      <c r="B141" s="753"/>
      <c r="C141" s="753"/>
      <c r="D141" s="753"/>
      <c r="E141" s="753"/>
      <c r="F141" s="753"/>
      <c r="G141" s="753"/>
      <c r="H141" s="753"/>
      <c r="I141" s="753"/>
      <c r="J141" s="753"/>
      <c r="K141" s="753"/>
      <c r="L141" s="753"/>
      <c r="M141" s="753"/>
      <c r="N141" s="753"/>
      <c r="O141" s="753"/>
      <c r="P141" s="753"/>
      <c r="Q141" s="753"/>
      <c r="R141" s="789"/>
    </row>
    <row r="142" spans="1:18" ht="15.75" thickBot="1" x14ac:dyDescent="0.3">
      <c r="A142" s="988" t="s">
        <v>751</v>
      </c>
      <c r="B142" s="989"/>
      <c r="C142" s="989"/>
      <c r="D142" s="989"/>
      <c r="E142" s="990"/>
      <c r="F142" s="789"/>
      <c r="G142" s="988" t="s">
        <v>752</v>
      </c>
      <c r="H142" s="989"/>
      <c r="I142" s="989"/>
      <c r="J142" s="989"/>
      <c r="K142" s="990"/>
      <c r="L142" s="789"/>
      <c r="M142" s="988" t="s">
        <v>753</v>
      </c>
      <c r="N142" s="989"/>
      <c r="O142" s="989"/>
      <c r="P142" s="989"/>
      <c r="Q142" s="990"/>
      <c r="R142" s="789"/>
    </row>
    <row r="143" spans="1:18" x14ac:dyDescent="0.25">
      <c r="A143" s="991" t="s">
        <v>754</v>
      </c>
      <c r="B143" s="992" t="s">
        <v>670</v>
      </c>
      <c r="C143" s="992" t="s">
        <v>671</v>
      </c>
      <c r="D143" s="992" t="s">
        <v>672</v>
      </c>
      <c r="E143" s="993" t="s">
        <v>673</v>
      </c>
      <c r="F143" s="789"/>
      <c r="G143" s="991" t="s">
        <v>754</v>
      </c>
      <c r="H143" s="992" t="s">
        <v>670</v>
      </c>
      <c r="I143" s="992" t="s">
        <v>671</v>
      </c>
      <c r="J143" s="992" t="s">
        <v>672</v>
      </c>
      <c r="K143" s="994" t="s">
        <v>673</v>
      </c>
      <c r="L143" s="789"/>
      <c r="M143" s="991" t="s">
        <v>754</v>
      </c>
      <c r="N143" s="992" t="s">
        <v>670</v>
      </c>
      <c r="O143" s="992" t="s">
        <v>671</v>
      </c>
      <c r="P143" s="992" t="s">
        <v>672</v>
      </c>
      <c r="Q143" s="993" t="s">
        <v>673</v>
      </c>
      <c r="R143" s="789"/>
    </row>
    <row r="144" spans="1:18" x14ac:dyDescent="0.25">
      <c r="A144" s="996" t="s">
        <v>755</v>
      </c>
      <c r="B144" s="1200">
        <f>+'Operating Model'!O91</f>
        <v>0.32030288106377741</v>
      </c>
      <c r="C144" s="1200">
        <f>+'Operating Model'!P91</f>
        <v>0.31657728599551965</v>
      </c>
      <c r="D144" s="1200">
        <f>+'Operating Model'!Q91</f>
        <v>0.34683807838442721</v>
      </c>
      <c r="E144" s="1200">
        <f>+'Operating Model'!R91</f>
        <v>0.33957466481738324</v>
      </c>
      <c r="F144" s="789"/>
      <c r="G144" s="996" t="s">
        <v>755</v>
      </c>
      <c r="H144" s="1200">
        <f>+'Operating Model'!O91</f>
        <v>0.32030288106377741</v>
      </c>
      <c r="I144" s="1200">
        <f>+'Operating Model'!P91</f>
        <v>0.31657728599551965</v>
      </c>
      <c r="J144" s="1200">
        <f>+'Operating Model'!Q91</f>
        <v>0.34683807838442721</v>
      </c>
      <c r="K144" s="1201">
        <f>+'Operating Model'!R91</f>
        <v>0.33957466481738324</v>
      </c>
      <c r="L144" s="789"/>
      <c r="M144" s="996" t="s">
        <v>755</v>
      </c>
      <c r="N144" s="1200">
        <f>+'Operating Model'!O91</f>
        <v>0.32030288106377741</v>
      </c>
      <c r="O144" s="1200">
        <f>+'Operating Model'!P91</f>
        <v>0.31657728599551965</v>
      </c>
      <c r="P144" s="1200">
        <f>+'Operating Model'!Q91</f>
        <v>0.34683807838442721</v>
      </c>
      <c r="Q144" s="1237">
        <f>+'Operating Model'!R91</f>
        <v>0.33957466481738324</v>
      </c>
      <c r="R144" s="789"/>
    </row>
    <row r="145" spans="1:18" x14ac:dyDescent="0.25">
      <c r="A145" s="995" t="s">
        <v>740</v>
      </c>
      <c r="B145" s="1203">
        <v>0</v>
      </c>
      <c r="C145" s="1203">
        <f>+B145</f>
        <v>0</v>
      </c>
      <c r="D145" s="1203">
        <f t="shared" ref="D145:E145" si="53">+C145</f>
        <v>0</v>
      </c>
      <c r="E145" s="1203">
        <f t="shared" si="53"/>
        <v>0</v>
      </c>
      <c r="F145" s="789"/>
      <c r="G145" s="995" t="s">
        <v>740</v>
      </c>
      <c r="H145" s="1208">
        <v>-1.4999999999999999E-2</v>
      </c>
      <c r="I145" s="1208">
        <v>-1.4999999999999999E-2</v>
      </c>
      <c r="J145" s="1208">
        <v>-1.4999999999999999E-2</v>
      </c>
      <c r="K145" s="1208">
        <v>-1.4999999999999999E-2</v>
      </c>
      <c r="L145" s="789"/>
      <c r="M145" s="995" t="s">
        <v>740</v>
      </c>
      <c r="N145" s="1208">
        <v>-1.4999999999999999E-2</v>
      </c>
      <c r="O145" s="1208">
        <v>-1.4999999999999999E-2</v>
      </c>
      <c r="P145" s="1208">
        <v>-1.4999999999999999E-2</v>
      </c>
      <c r="Q145" s="1208">
        <v>-1.4999999999999999E-2</v>
      </c>
      <c r="R145" s="789"/>
    </row>
    <row r="146" spans="1:18" x14ac:dyDescent="0.25">
      <c r="A146" s="996" t="s">
        <v>756</v>
      </c>
      <c r="B146" s="1204">
        <f>+B144+B145</f>
        <v>0.32030288106377741</v>
      </c>
      <c r="C146" s="1204">
        <f>+C144+C145</f>
        <v>0.31657728599551965</v>
      </c>
      <c r="D146" s="1204">
        <f>+D144+D145</f>
        <v>0.34683807838442721</v>
      </c>
      <c r="E146" s="1205">
        <f>+E144+E145</f>
        <v>0.33957466481738324</v>
      </c>
      <c r="F146" s="789"/>
      <c r="G146" s="996" t="s">
        <v>756</v>
      </c>
      <c r="H146" s="1204">
        <f>+H144+H145</f>
        <v>0.3053028810637774</v>
      </c>
      <c r="I146" s="1204">
        <f>+I144+I145</f>
        <v>0.30157728599551964</v>
      </c>
      <c r="J146" s="1204">
        <f>+J144+J145</f>
        <v>0.33183807838442719</v>
      </c>
      <c r="K146" s="1205">
        <f>+K144+K145</f>
        <v>0.32457466481738323</v>
      </c>
      <c r="L146" s="789"/>
      <c r="M146" s="996" t="s">
        <v>757</v>
      </c>
      <c r="N146" s="1204">
        <f>+N144+N145</f>
        <v>0.3053028810637774</v>
      </c>
      <c r="O146" s="1204">
        <f>+O144+O145</f>
        <v>0.30157728599551964</v>
      </c>
      <c r="P146" s="1204">
        <f>+P144+P145</f>
        <v>0.33183807838442719</v>
      </c>
      <c r="Q146" s="1205">
        <f>+Q144+Q145</f>
        <v>0.32457466481738323</v>
      </c>
      <c r="R146" s="789"/>
    </row>
    <row r="147" spans="1:18" x14ac:dyDescent="0.25">
      <c r="A147" s="995" t="s">
        <v>740</v>
      </c>
      <c r="B147" s="1203">
        <v>0</v>
      </c>
      <c r="C147" s="1203">
        <f>+B147</f>
        <v>0</v>
      </c>
      <c r="D147" s="1203">
        <f t="shared" ref="D147:E149" si="54">+C147</f>
        <v>0</v>
      </c>
      <c r="E147" s="1203">
        <f t="shared" si="54"/>
        <v>0</v>
      </c>
      <c r="F147" s="789"/>
      <c r="G147" s="995" t="s">
        <v>740</v>
      </c>
      <c r="H147" s="1208">
        <v>-0.01</v>
      </c>
      <c r="I147" s="1208">
        <v>-0.01</v>
      </c>
      <c r="J147" s="1208">
        <v>-0.01</v>
      </c>
      <c r="K147" s="1208">
        <v>-0.01</v>
      </c>
      <c r="L147" s="789"/>
      <c r="M147" s="995" t="s">
        <v>740</v>
      </c>
      <c r="N147" s="1208">
        <v>-1.2500000000000001E-2</v>
      </c>
      <c r="O147" s="1208">
        <v>-1.2500000000000001E-2</v>
      </c>
      <c r="P147" s="1208">
        <v>-1.2500000000000001E-2</v>
      </c>
      <c r="Q147" s="1208">
        <v>-1.2500000000000001E-2</v>
      </c>
      <c r="R147" s="789"/>
    </row>
    <row r="148" spans="1:18" x14ac:dyDescent="0.25">
      <c r="A148" s="996" t="s">
        <v>758</v>
      </c>
      <c r="B148" s="1204">
        <f>+B146+B147</f>
        <v>0.32030288106377741</v>
      </c>
      <c r="C148" s="1204">
        <f>+C146+C147</f>
        <v>0.31657728599551965</v>
      </c>
      <c r="D148" s="1204">
        <f>+D146+D147</f>
        <v>0.34683807838442721</v>
      </c>
      <c r="E148" s="1205">
        <f>+E146+E147</f>
        <v>0.33957466481738324</v>
      </c>
      <c r="F148" s="789"/>
      <c r="G148" s="996" t="s">
        <v>758</v>
      </c>
      <c r="H148" s="1204">
        <f>+H146+H147</f>
        <v>0.29530288106377739</v>
      </c>
      <c r="I148" s="1204">
        <f>+I146+I147</f>
        <v>0.29157728599551963</v>
      </c>
      <c r="J148" s="1204">
        <f>+J146+J147</f>
        <v>0.32183807838442718</v>
      </c>
      <c r="K148" s="1205">
        <f>+K146+K147</f>
        <v>0.31457466481738322</v>
      </c>
      <c r="L148" s="789"/>
      <c r="M148" s="996" t="s">
        <v>759</v>
      </c>
      <c r="N148" s="1204">
        <f>+N146+N147</f>
        <v>0.29280288106377739</v>
      </c>
      <c r="O148" s="1204">
        <f>+O146+O147</f>
        <v>0.28907728599551963</v>
      </c>
      <c r="P148" s="1204">
        <f>+P146+P147</f>
        <v>0.31933807838442718</v>
      </c>
      <c r="Q148" s="1205">
        <f>+Q146+Q147</f>
        <v>0.31207466481738322</v>
      </c>
      <c r="R148" s="789"/>
    </row>
    <row r="149" spans="1:18" hidden="1" outlineLevel="1" x14ac:dyDescent="0.25">
      <c r="A149" s="995" t="s">
        <v>740</v>
      </c>
      <c r="B149" s="1203">
        <v>0</v>
      </c>
      <c r="C149" s="1203">
        <f>+B149</f>
        <v>0</v>
      </c>
      <c r="D149" s="1203">
        <f t="shared" si="54"/>
        <v>0</v>
      </c>
      <c r="E149" s="1203">
        <f t="shared" si="54"/>
        <v>0</v>
      </c>
      <c r="F149" s="789"/>
      <c r="G149" s="995" t="s">
        <v>740</v>
      </c>
      <c r="H149" s="1195">
        <v>0</v>
      </c>
      <c r="I149" s="1195">
        <f>+H149</f>
        <v>0</v>
      </c>
      <c r="J149" s="1195">
        <f t="shared" ref="J149:K149" si="55">+I149</f>
        <v>0</v>
      </c>
      <c r="K149" s="1195">
        <f t="shared" si="55"/>
        <v>0</v>
      </c>
      <c r="L149" s="789"/>
      <c r="M149" s="995" t="s">
        <v>740</v>
      </c>
      <c r="N149" s="1203">
        <v>0</v>
      </c>
      <c r="O149" s="1203">
        <v>0</v>
      </c>
      <c r="P149" s="1203">
        <v>0</v>
      </c>
      <c r="Q149" s="1203">
        <v>0</v>
      </c>
      <c r="R149" s="789"/>
    </row>
    <row r="150" spans="1:18" collapsed="1" x14ac:dyDescent="0.25">
      <c r="A150" s="996" t="s">
        <v>741</v>
      </c>
      <c r="B150" s="1204">
        <f>+B148+B149</f>
        <v>0.32030288106377741</v>
      </c>
      <c r="C150" s="1204">
        <f>+C148+C149</f>
        <v>0.31657728599551965</v>
      </c>
      <c r="D150" s="1204">
        <f>+D148+D149</f>
        <v>0.34683807838442721</v>
      </c>
      <c r="E150" s="1205">
        <f>+E148+E149</f>
        <v>0.33957466481738324</v>
      </c>
      <c r="F150" s="789"/>
      <c r="G150" s="996" t="s">
        <v>741</v>
      </c>
      <c r="H150" s="1196">
        <f>+H148+H149</f>
        <v>0.29530288106377739</v>
      </c>
      <c r="I150" s="1196">
        <f>+I148+I149</f>
        <v>0.29157728599551963</v>
      </c>
      <c r="J150" s="1196">
        <f>+J148+J149</f>
        <v>0.32183807838442718</v>
      </c>
      <c r="K150" s="1197">
        <f>+K148+K149</f>
        <v>0.31457466481738322</v>
      </c>
      <c r="L150" s="789"/>
      <c r="M150" s="996" t="s">
        <v>741</v>
      </c>
      <c r="N150" s="1204">
        <f>+N148+N149</f>
        <v>0.29280288106377739</v>
      </c>
      <c r="O150" s="1204">
        <f>+O148+O149</f>
        <v>0.28907728599551963</v>
      </c>
      <c r="P150" s="1204">
        <f>+P148+P149</f>
        <v>0.31933807838442718</v>
      </c>
      <c r="Q150" s="1205">
        <f>+Q148+Q149</f>
        <v>0.31207466481738322</v>
      </c>
      <c r="R150" s="789"/>
    </row>
    <row r="151" spans="1:18" hidden="1" outlineLevel="1" x14ac:dyDescent="0.25">
      <c r="A151" s="995" t="s">
        <v>740</v>
      </c>
      <c r="B151" s="1203">
        <v>0</v>
      </c>
      <c r="C151" s="1203">
        <f>+B151</f>
        <v>0</v>
      </c>
      <c r="D151" s="1203">
        <f t="shared" ref="D151:E151" si="56">+C151</f>
        <v>0</v>
      </c>
      <c r="E151" s="1203">
        <f t="shared" si="56"/>
        <v>0</v>
      </c>
      <c r="F151" s="789"/>
      <c r="G151" s="995" t="s">
        <v>740</v>
      </c>
      <c r="H151" s="1195">
        <v>0</v>
      </c>
      <c r="I151" s="1195">
        <f>+H151</f>
        <v>0</v>
      </c>
      <c r="J151" s="1195">
        <f t="shared" ref="J151:K151" si="57">+I151</f>
        <v>0</v>
      </c>
      <c r="K151" s="1195">
        <f t="shared" si="57"/>
        <v>0</v>
      </c>
      <c r="L151" s="789"/>
      <c r="M151" s="995" t="s">
        <v>740</v>
      </c>
      <c r="N151" s="1208">
        <v>0</v>
      </c>
      <c r="O151" s="1208">
        <v>0</v>
      </c>
      <c r="P151" s="1208">
        <v>0</v>
      </c>
      <c r="Q151" s="1208">
        <v>0</v>
      </c>
      <c r="R151" s="789"/>
    </row>
    <row r="152" spans="1:18" collapsed="1" x14ac:dyDescent="0.25">
      <c r="A152" s="996" t="s">
        <v>742</v>
      </c>
      <c r="B152" s="1204">
        <f>+B150+B151</f>
        <v>0.32030288106377741</v>
      </c>
      <c r="C152" s="1204">
        <f>+C150+C151</f>
        <v>0.31657728599551965</v>
      </c>
      <c r="D152" s="1204">
        <f>+D150+D151</f>
        <v>0.34683807838442721</v>
      </c>
      <c r="E152" s="1205">
        <f>+E150+E151</f>
        <v>0.33957466481738324</v>
      </c>
      <c r="F152" s="789"/>
      <c r="G152" s="996" t="s">
        <v>742</v>
      </c>
      <c r="H152" s="1196">
        <f>+H150+H151</f>
        <v>0.29530288106377739</v>
      </c>
      <c r="I152" s="1196">
        <f>+I150+I151</f>
        <v>0.29157728599551963</v>
      </c>
      <c r="J152" s="1196">
        <f>+J150+J151</f>
        <v>0.32183807838442718</v>
      </c>
      <c r="K152" s="1197">
        <f>+K150+K151</f>
        <v>0.31457466481738322</v>
      </c>
      <c r="L152" s="789"/>
      <c r="M152" s="996" t="s">
        <v>742</v>
      </c>
      <c r="N152" s="1204">
        <f>+N150+N151</f>
        <v>0.29280288106377739</v>
      </c>
      <c r="O152" s="1204">
        <f>+O150+O151</f>
        <v>0.28907728599551963</v>
      </c>
      <c r="P152" s="1204">
        <f>+P150+P151</f>
        <v>0.31933807838442718</v>
      </c>
      <c r="Q152" s="1205">
        <f>+Q150+Q151</f>
        <v>0.31207466481738322</v>
      </c>
      <c r="R152" s="789"/>
    </row>
    <row r="153" spans="1:18" hidden="1" outlineLevel="1" x14ac:dyDescent="0.25">
      <c r="A153" s="995" t="s">
        <v>740</v>
      </c>
      <c r="B153" s="1203">
        <v>0</v>
      </c>
      <c r="C153" s="1203">
        <f>+B153</f>
        <v>0</v>
      </c>
      <c r="D153" s="1203">
        <f t="shared" ref="D153:E153" si="58">+C153</f>
        <v>0</v>
      </c>
      <c r="E153" s="1203">
        <f t="shared" si="58"/>
        <v>0</v>
      </c>
      <c r="F153" s="789"/>
      <c r="G153" s="995" t="s">
        <v>740</v>
      </c>
      <c r="H153" s="1195">
        <v>0</v>
      </c>
      <c r="I153" s="1195">
        <f>+H153</f>
        <v>0</v>
      </c>
      <c r="J153" s="1195">
        <f t="shared" ref="J153:K153" si="59">+I153</f>
        <v>0</v>
      </c>
      <c r="K153" s="1195">
        <f t="shared" si="59"/>
        <v>0</v>
      </c>
      <c r="L153" s="789"/>
      <c r="M153" s="995" t="s">
        <v>740</v>
      </c>
      <c r="N153" s="1208">
        <v>0</v>
      </c>
      <c r="O153" s="1208">
        <v>0</v>
      </c>
      <c r="P153" s="1208">
        <v>0</v>
      </c>
      <c r="Q153" s="1208">
        <v>0</v>
      </c>
      <c r="R153" s="789"/>
    </row>
    <row r="154" spans="1:18" ht="15.75" collapsed="1" x14ac:dyDescent="0.25">
      <c r="A154" s="997" t="s">
        <v>743</v>
      </c>
      <c r="B154" s="1207">
        <f>+B152+B153</f>
        <v>0.32030288106377741</v>
      </c>
      <c r="C154" s="1207">
        <f>+C152+C153</f>
        <v>0.31657728599551965</v>
      </c>
      <c r="D154" s="1207">
        <f>+D152+D153</f>
        <v>0.34683807838442721</v>
      </c>
      <c r="E154" s="1206">
        <f>+E152+E153</f>
        <v>0.33957466481738324</v>
      </c>
      <c r="F154" s="789"/>
      <c r="G154" s="997" t="s">
        <v>743</v>
      </c>
      <c r="H154" s="1199">
        <f>+H152+H153</f>
        <v>0.29530288106377739</v>
      </c>
      <c r="I154" s="1199">
        <f>+I152+I153</f>
        <v>0.29157728599551963</v>
      </c>
      <c r="J154" s="1199">
        <f>+J152+J153</f>
        <v>0.32183807838442718</v>
      </c>
      <c r="K154" s="1198">
        <f>+K152+K153</f>
        <v>0.31457466481738322</v>
      </c>
      <c r="L154" s="789"/>
      <c r="M154" s="997" t="s">
        <v>743</v>
      </c>
      <c r="N154" s="1207">
        <f>+N152+N153</f>
        <v>0.29280288106377739</v>
      </c>
      <c r="O154" s="1207">
        <f>+O152+O153</f>
        <v>0.28907728599551963</v>
      </c>
      <c r="P154" s="1207">
        <f>+P152+P153</f>
        <v>0.31933807838442718</v>
      </c>
      <c r="Q154" s="1206">
        <f>+Q152+Q153</f>
        <v>0.31207466481738322</v>
      </c>
      <c r="R154" s="543"/>
    </row>
    <row r="155" spans="1:18" ht="15.75" x14ac:dyDescent="0.25">
      <c r="A155" s="753" t="s">
        <v>760</v>
      </c>
      <c r="B155" s="753"/>
      <c r="C155" s="753"/>
      <c r="D155" s="753"/>
      <c r="E155" s="753"/>
      <c r="F155" s="753"/>
      <c r="G155" s="753"/>
      <c r="H155" s="753"/>
      <c r="I155" s="753"/>
      <c r="J155" s="753"/>
      <c r="K155" s="753"/>
      <c r="L155" s="753"/>
      <c r="M155" s="753"/>
      <c r="N155" s="753"/>
      <c r="O155" s="753"/>
      <c r="P155" s="753"/>
      <c r="Q155" s="753"/>
      <c r="R155" s="543"/>
    </row>
    <row r="156" spans="1:18" ht="15.75" thickBot="1" x14ac:dyDescent="0.3">
      <c r="A156" s="988" t="s">
        <v>761</v>
      </c>
      <c r="B156" s="989"/>
      <c r="C156" s="989"/>
      <c r="D156" s="989"/>
      <c r="E156" s="990"/>
      <c r="F156" s="789"/>
      <c r="G156" s="988" t="s">
        <v>762</v>
      </c>
      <c r="H156" s="989"/>
      <c r="I156" s="989"/>
      <c r="J156" s="989"/>
      <c r="K156" s="990"/>
      <c r="L156" s="789"/>
      <c r="M156" s="988" t="s">
        <v>763</v>
      </c>
      <c r="N156" s="989"/>
      <c r="O156" s="989"/>
      <c r="P156" s="989"/>
      <c r="Q156" s="989"/>
      <c r="R156" s="789"/>
    </row>
    <row r="157" spans="1:18" x14ac:dyDescent="0.25">
      <c r="A157" s="991" t="s">
        <v>754</v>
      </c>
      <c r="B157" s="992" t="s">
        <v>670</v>
      </c>
      <c r="C157" s="992" t="s">
        <v>671</v>
      </c>
      <c r="D157" s="992" t="s">
        <v>672</v>
      </c>
      <c r="E157" s="993" t="s">
        <v>673</v>
      </c>
      <c r="F157" s="789"/>
      <c r="G157" s="991" t="s">
        <v>754</v>
      </c>
      <c r="H157" s="992" t="s">
        <v>670</v>
      </c>
      <c r="I157" s="992" t="s">
        <v>671</v>
      </c>
      <c r="J157" s="992" t="s">
        <v>672</v>
      </c>
      <c r="K157" s="993" t="s">
        <v>673</v>
      </c>
      <c r="L157" s="789"/>
      <c r="M157" s="991" t="s">
        <v>754</v>
      </c>
      <c r="N157" s="992" t="s">
        <v>670</v>
      </c>
      <c r="O157" s="992" t="s">
        <v>671</v>
      </c>
      <c r="P157" s="992" t="s">
        <v>672</v>
      </c>
      <c r="Q157" s="994" t="s">
        <v>673</v>
      </c>
      <c r="R157" s="789"/>
    </row>
    <row r="158" spans="1:18" x14ac:dyDescent="0.25">
      <c r="A158" s="996" t="s">
        <v>755</v>
      </c>
      <c r="B158" s="1200">
        <f>+'Operating Model'!O92</f>
        <v>0.17685299187392267</v>
      </c>
      <c r="C158" s="1200">
        <f>+'Operating Model'!P92</f>
        <v>0.16308012581178014</v>
      </c>
      <c r="D158" s="1200">
        <f>+'Operating Model'!Q92</f>
        <v>0.17330973819809503</v>
      </c>
      <c r="E158" s="1237">
        <f>+'Operating Model'!R92</f>
        <v>0.17267683772538142</v>
      </c>
      <c r="F158" s="789"/>
      <c r="G158" s="996" t="s">
        <v>755</v>
      </c>
      <c r="H158" s="1200">
        <f>+'Operating Model'!O92</f>
        <v>0.17685299187392267</v>
      </c>
      <c r="I158" s="1200">
        <f>+'Operating Model'!P92</f>
        <v>0.16308012581178014</v>
      </c>
      <c r="J158" s="1200">
        <f>+'Operating Model'!Q92</f>
        <v>0.17330973819809503</v>
      </c>
      <c r="K158" s="1237">
        <f>+'Operating Model'!R92</f>
        <v>0.17267683772538142</v>
      </c>
      <c r="L158" s="789"/>
      <c r="M158" s="996" t="s">
        <v>755</v>
      </c>
      <c r="N158" s="1200">
        <f>+'Operating Model'!O92</f>
        <v>0.17685299187392267</v>
      </c>
      <c r="O158" s="1200">
        <f>+'Operating Model'!P92</f>
        <v>0.16308012581178014</v>
      </c>
      <c r="P158" s="1200">
        <f>+'Operating Model'!Q92</f>
        <v>0.17330973819809503</v>
      </c>
      <c r="Q158" s="1201">
        <f>+'Operating Model'!R92</f>
        <v>0.17267683772538142</v>
      </c>
      <c r="R158" s="789"/>
    </row>
    <row r="159" spans="1:18" x14ac:dyDescent="0.25">
      <c r="A159" s="995" t="s">
        <v>740</v>
      </c>
      <c r="B159" s="1203">
        <v>0</v>
      </c>
      <c r="C159" s="1203">
        <f>+B159</f>
        <v>0</v>
      </c>
      <c r="D159" s="1203">
        <f t="shared" ref="D159:E159" si="60">+C159</f>
        <v>0</v>
      </c>
      <c r="E159" s="1203">
        <f t="shared" si="60"/>
        <v>0</v>
      </c>
      <c r="F159" s="789"/>
      <c r="G159" s="995" t="s">
        <v>740</v>
      </c>
      <c r="H159" s="1203">
        <v>-1.55E-2</v>
      </c>
      <c r="I159" s="1203">
        <f>+H159</f>
        <v>-1.55E-2</v>
      </c>
      <c r="J159" s="1203">
        <f t="shared" ref="J159:K159" si="61">+I159</f>
        <v>-1.55E-2</v>
      </c>
      <c r="K159" s="1203">
        <f t="shared" si="61"/>
        <v>-1.55E-2</v>
      </c>
      <c r="L159" s="789"/>
      <c r="M159" s="995" t="s">
        <v>740</v>
      </c>
      <c r="N159" s="1208">
        <v>-2.7E-2</v>
      </c>
      <c r="O159" s="1208">
        <v>-2.7E-2</v>
      </c>
      <c r="P159" s="1208">
        <v>-2.7E-2</v>
      </c>
      <c r="Q159" s="1208">
        <v>-2.7E-2</v>
      </c>
      <c r="R159" s="789"/>
    </row>
    <row r="160" spans="1:18" x14ac:dyDescent="0.25">
      <c r="A160" s="996" t="s">
        <v>756</v>
      </c>
      <c r="B160" s="1204">
        <f>+B158+B159</f>
        <v>0.17685299187392267</v>
      </c>
      <c r="C160" s="1204">
        <f>+C158+C159</f>
        <v>0.16308012581178014</v>
      </c>
      <c r="D160" s="1204">
        <f>+D158+D159</f>
        <v>0.17330973819809503</v>
      </c>
      <c r="E160" s="1205">
        <f>+E158+E159</f>
        <v>0.17267683772538142</v>
      </c>
      <c r="F160" s="789"/>
      <c r="G160" s="996" t="s">
        <v>756</v>
      </c>
      <c r="H160" s="1204">
        <f>+H158+H159</f>
        <v>0.16135299187392266</v>
      </c>
      <c r="I160" s="1204">
        <f>+I158+I159</f>
        <v>0.14758012581178015</v>
      </c>
      <c r="J160" s="1204">
        <f>+J158+J159</f>
        <v>0.15780973819809502</v>
      </c>
      <c r="K160" s="1205">
        <f>+K158+K159</f>
        <v>0.15717683772538144</v>
      </c>
      <c r="L160" s="789"/>
      <c r="M160" s="996" t="s">
        <v>757</v>
      </c>
      <c r="N160" s="1204">
        <f>+N158+N159</f>
        <v>0.14985299187392268</v>
      </c>
      <c r="O160" s="1204">
        <f>+O158+O159</f>
        <v>0.13608012581178014</v>
      </c>
      <c r="P160" s="1204">
        <f>+P158+P159</f>
        <v>0.14630973819809504</v>
      </c>
      <c r="Q160" s="1205">
        <f>+Q158+Q159</f>
        <v>0.14567683772538143</v>
      </c>
      <c r="R160" s="789"/>
    </row>
    <row r="161" spans="1:18" x14ac:dyDescent="0.25">
      <c r="A161" s="995" t="s">
        <v>740</v>
      </c>
      <c r="B161" s="1203">
        <v>0</v>
      </c>
      <c r="C161" s="1203">
        <f>+B161</f>
        <v>0</v>
      </c>
      <c r="D161" s="1203">
        <f t="shared" ref="D161:E161" si="62">+C161</f>
        <v>0</v>
      </c>
      <c r="E161" s="1203">
        <f t="shared" si="62"/>
        <v>0</v>
      </c>
      <c r="F161" s="789"/>
      <c r="G161" s="995" t="s">
        <v>740</v>
      </c>
      <c r="H161" s="1203">
        <v>-1.4999999999999999E-2</v>
      </c>
      <c r="I161" s="1203">
        <f>+H161</f>
        <v>-1.4999999999999999E-2</v>
      </c>
      <c r="J161" s="1203">
        <f t="shared" ref="J161:K161" si="63">+I161</f>
        <v>-1.4999999999999999E-2</v>
      </c>
      <c r="K161" s="1203">
        <f t="shared" si="63"/>
        <v>-1.4999999999999999E-2</v>
      </c>
      <c r="L161" s="789"/>
      <c r="M161" s="995" t="s">
        <v>740</v>
      </c>
      <c r="N161" s="1208">
        <v>-0.02</v>
      </c>
      <c r="O161" s="1208">
        <v>-0.02</v>
      </c>
      <c r="P161" s="1208">
        <v>-0.02</v>
      </c>
      <c r="Q161" s="1208">
        <v>-0.02</v>
      </c>
      <c r="R161" s="789"/>
    </row>
    <row r="162" spans="1:18" x14ac:dyDescent="0.25">
      <c r="A162" s="996" t="s">
        <v>758</v>
      </c>
      <c r="B162" s="1204">
        <f>+B160+B161</f>
        <v>0.17685299187392267</v>
      </c>
      <c r="C162" s="1204">
        <f>+C160+C161</f>
        <v>0.16308012581178014</v>
      </c>
      <c r="D162" s="1204">
        <f>+D160+D161</f>
        <v>0.17330973819809503</v>
      </c>
      <c r="E162" s="1205">
        <f>+E160+E161</f>
        <v>0.17267683772538142</v>
      </c>
      <c r="F162" s="789"/>
      <c r="G162" s="996" t="s">
        <v>758</v>
      </c>
      <c r="H162" s="1204">
        <f>+H160+H161</f>
        <v>0.14635299187392264</v>
      </c>
      <c r="I162" s="1204">
        <f>+I160+I161</f>
        <v>0.13258012581178014</v>
      </c>
      <c r="J162" s="1204">
        <f>+J160+J161</f>
        <v>0.142809738198095</v>
      </c>
      <c r="K162" s="1205">
        <f>+K160+K161</f>
        <v>0.14217683772538142</v>
      </c>
      <c r="L162" s="789"/>
      <c r="M162" s="996" t="s">
        <v>758</v>
      </c>
      <c r="N162" s="1204">
        <f>+N160+N161</f>
        <v>0.12985299187392269</v>
      </c>
      <c r="O162" s="1204">
        <f>+O160+O161</f>
        <v>0.11608012581178014</v>
      </c>
      <c r="P162" s="1204">
        <f>+P160+P161</f>
        <v>0.12630973819809505</v>
      </c>
      <c r="Q162" s="1205">
        <f>+Q160+Q161</f>
        <v>0.12567683772538144</v>
      </c>
      <c r="R162" s="789"/>
    </row>
    <row r="163" spans="1:18" hidden="1" outlineLevel="1" x14ac:dyDescent="0.25">
      <c r="A163" s="995" t="s">
        <v>740</v>
      </c>
      <c r="B163" s="1203">
        <v>0</v>
      </c>
      <c r="C163" s="1203">
        <v>0</v>
      </c>
      <c r="D163" s="1203">
        <v>0</v>
      </c>
      <c r="E163" s="1203">
        <v>0</v>
      </c>
      <c r="F163" s="789"/>
      <c r="G163" s="995" t="s">
        <v>740</v>
      </c>
      <c r="H163" s="1195">
        <v>0</v>
      </c>
      <c r="I163" s="1195">
        <v>0</v>
      </c>
      <c r="J163" s="1195">
        <v>0</v>
      </c>
      <c r="K163" s="1195">
        <v>0</v>
      </c>
      <c r="L163" s="789"/>
      <c r="M163" s="995" t="s">
        <v>740</v>
      </c>
      <c r="N163" s="1208">
        <v>0</v>
      </c>
      <c r="O163" s="1208">
        <v>0</v>
      </c>
      <c r="P163" s="1208">
        <v>0</v>
      </c>
      <c r="Q163" s="1208">
        <v>0</v>
      </c>
      <c r="R163" s="789"/>
    </row>
    <row r="164" spans="1:18" collapsed="1" x14ac:dyDescent="0.25">
      <c r="A164" s="996" t="s">
        <v>741</v>
      </c>
      <c r="B164" s="1204">
        <f>+B162+B163</f>
        <v>0.17685299187392267</v>
      </c>
      <c r="C164" s="1204">
        <f>+C162+C163</f>
        <v>0.16308012581178014</v>
      </c>
      <c r="D164" s="1204">
        <f>+D162+D163</f>
        <v>0.17330973819809503</v>
      </c>
      <c r="E164" s="1205">
        <f>+E162+E163</f>
        <v>0.17267683772538142</v>
      </c>
      <c r="F164" s="789"/>
      <c r="G164" s="996" t="s">
        <v>741</v>
      </c>
      <c r="H164" s="1196">
        <f>+H162+H163</f>
        <v>0.14635299187392264</v>
      </c>
      <c r="I164" s="1196">
        <f>+I162+I163</f>
        <v>0.13258012581178014</v>
      </c>
      <c r="J164" s="1196">
        <f>+J162+J163</f>
        <v>0.142809738198095</v>
      </c>
      <c r="K164" s="1197">
        <f>+K162+K163</f>
        <v>0.14217683772538142</v>
      </c>
      <c r="L164" s="789"/>
      <c r="M164" s="996" t="s">
        <v>741</v>
      </c>
      <c r="N164" s="1204">
        <f>+N162+N163</f>
        <v>0.12985299187392269</v>
      </c>
      <c r="O164" s="1204">
        <f>+O162+O163</f>
        <v>0.11608012581178014</v>
      </c>
      <c r="P164" s="1204">
        <f>+P162+P163</f>
        <v>0.12630973819809505</v>
      </c>
      <c r="Q164" s="1205">
        <f>+Q162+Q163</f>
        <v>0.12567683772538144</v>
      </c>
      <c r="R164" s="789"/>
    </row>
    <row r="165" spans="1:18" hidden="1" outlineLevel="1" x14ac:dyDescent="0.25">
      <c r="A165" s="995" t="s">
        <v>740</v>
      </c>
      <c r="B165" s="1203">
        <v>0</v>
      </c>
      <c r="C165" s="1203">
        <v>0</v>
      </c>
      <c r="D165" s="1203">
        <v>0</v>
      </c>
      <c r="E165" s="1203">
        <v>0</v>
      </c>
      <c r="F165" s="789"/>
      <c r="G165" s="995" t="s">
        <v>740</v>
      </c>
      <c r="H165" s="1195">
        <v>0</v>
      </c>
      <c r="I165" s="1195">
        <v>0</v>
      </c>
      <c r="J165" s="1195">
        <v>0</v>
      </c>
      <c r="K165" s="1195">
        <v>0</v>
      </c>
      <c r="L165" s="789"/>
      <c r="M165" s="995" t="s">
        <v>740</v>
      </c>
      <c r="N165" s="1208">
        <v>0</v>
      </c>
      <c r="O165" s="1208">
        <v>0</v>
      </c>
      <c r="P165" s="1208">
        <v>0</v>
      </c>
      <c r="Q165" s="1208">
        <v>0</v>
      </c>
      <c r="R165" s="789"/>
    </row>
    <row r="166" spans="1:18" collapsed="1" x14ac:dyDescent="0.25">
      <c r="A166" s="996" t="s">
        <v>742</v>
      </c>
      <c r="B166" s="1204">
        <f>+B164+B165</f>
        <v>0.17685299187392267</v>
      </c>
      <c r="C166" s="1204">
        <f>+C164+C165</f>
        <v>0.16308012581178014</v>
      </c>
      <c r="D166" s="1204">
        <f>+D164+D165</f>
        <v>0.17330973819809503</v>
      </c>
      <c r="E166" s="1205">
        <f>+E164+E165</f>
        <v>0.17267683772538142</v>
      </c>
      <c r="F166" s="789"/>
      <c r="G166" s="996" t="s">
        <v>742</v>
      </c>
      <c r="H166" s="1196">
        <f>+H164+H165</f>
        <v>0.14635299187392264</v>
      </c>
      <c r="I166" s="1196">
        <f>+I164+I165</f>
        <v>0.13258012581178014</v>
      </c>
      <c r="J166" s="1196">
        <f>+J164+J165</f>
        <v>0.142809738198095</v>
      </c>
      <c r="K166" s="1197">
        <f>+K164+K165</f>
        <v>0.14217683772538142</v>
      </c>
      <c r="L166" s="789"/>
      <c r="M166" s="996" t="s">
        <v>742</v>
      </c>
      <c r="N166" s="1204">
        <f>+N164+N165</f>
        <v>0.12985299187392269</v>
      </c>
      <c r="O166" s="1204">
        <f>+O164+O165</f>
        <v>0.11608012581178014</v>
      </c>
      <c r="P166" s="1204">
        <f>+P164+P165</f>
        <v>0.12630973819809505</v>
      </c>
      <c r="Q166" s="1205">
        <f>+Q164+Q165</f>
        <v>0.12567683772538144</v>
      </c>
      <c r="R166" s="789"/>
    </row>
    <row r="167" spans="1:18" hidden="1" outlineLevel="1" x14ac:dyDescent="0.25">
      <c r="A167" s="995" t="s">
        <v>740</v>
      </c>
      <c r="B167" s="1203">
        <v>0</v>
      </c>
      <c r="C167" s="1203">
        <v>0</v>
      </c>
      <c r="D167" s="1203">
        <v>0</v>
      </c>
      <c r="E167" s="1203">
        <v>0</v>
      </c>
      <c r="F167" s="789"/>
      <c r="G167" s="995" t="s">
        <v>740</v>
      </c>
      <c r="H167" s="1195">
        <v>0</v>
      </c>
      <c r="I167" s="1195">
        <v>0</v>
      </c>
      <c r="J167" s="1195">
        <v>0</v>
      </c>
      <c r="K167" s="1195">
        <v>0</v>
      </c>
      <c r="L167" s="789"/>
      <c r="M167" s="995" t="s">
        <v>740</v>
      </c>
      <c r="N167" s="1208">
        <v>0</v>
      </c>
      <c r="O167" s="1208">
        <v>0</v>
      </c>
      <c r="P167" s="1208">
        <v>0</v>
      </c>
      <c r="Q167" s="1208">
        <v>0</v>
      </c>
      <c r="R167" s="789"/>
    </row>
    <row r="168" spans="1:18" collapsed="1" x14ac:dyDescent="0.25">
      <c r="A168" s="997" t="s">
        <v>743</v>
      </c>
      <c r="B168" s="1207">
        <f>+B166+B167</f>
        <v>0.17685299187392267</v>
      </c>
      <c r="C168" s="1207">
        <f>+C166+C167</f>
        <v>0.16308012581178014</v>
      </c>
      <c r="D168" s="1207">
        <f>+D166+D167</f>
        <v>0.17330973819809503</v>
      </c>
      <c r="E168" s="1206">
        <f>+E166+E167</f>
        <v>0.17267683772538142</v>
      </c>
      <c r="F168" s="789"/>
      <c r="G168" s="997" t="s">
        <v>743</v>
      </c>
      <c r="H168" s="1199">
        <f>+H166+H167</f>
        <v>0.14635299187392264</v>
      </c>
      <c r="I168" s="1199">
        <f>+I166+I167</f>
        <v>0.13258012581178014</v>
      </c>
      <c r="J168" s="1199">
        <f>+J166+J167</f>
        <v>0.142809738198095</v>
      </c>
      <c r="K168" s="1198">
        <f>+K166+K167</f>
        <v>0.14217683772538142</v>
      </c>
      <c r="L168" s="789"/>
      <c r="M168" s="997" t="s">
        <v>743</v>
      </c>
      <c r="N168" s="1207">
        <f>+N166+N167</f>
        <v>0.12985299187392269</v>
      </c>
      <c r="O168" s="1207">
        <f>+O166+O167</f>
        <v>0.11608012581178014</v>
      </c>
      <c r="P168" s="1207">
        <f>+P166+P167</f>
        <v>0.12630973819809505</v>
      </c>
      <c r="Q168" s="1206">
        <f>+Q166+Q167</f>
        <v>0.12567683772538144</v>
      </c>
      <c r="R168" s="789"/>
    </row>
    <row r="169" spans="1:18" ht="15.75" x14ac:dyDescent="0.25">
      <c r="A169" s="753" t="s">
        <v>764</v>
      </c>
      <c r="B169" s="753"/>
      <c r="C169" s="753"/>
      <c r="D169" s="753"/>
      <c r="E169" s="753"/>
      <c r="F169" s="753"/>
      <c r="G169" s="753"/>
      <c r="H169" s="753"/>
      <c r="I169" s="753"/>
      <c r="J169" s="753"/>
      <c r="K169" s="753"/>
      <c r="L169" s="753"/>
      <c r="M169" s="753"/>
      <c r="N169" s="753"/>
      <c r="O169" s="753"/>
      <c r="P169" s="753"/>
      <c r="Q169" s="753"/>
      <c r="R169" s="789"/>
    </row>
    <row r="170" spans="1:18" ht="15.75" thickBot="1" x14ac:dyDescent="0.3">
      <c r="A170" s="988" t="s">
        <v>765</v>
      </c>
      <c r="B170" s="989"/>
      <c r="C170" s="989"/>
      <c r="D170" s="989"/>
      <c r="E170" s="990"/>
      <c r="F170" s="789"/>
      <c r="G170" s="988" t="s">
        <v>766</v>
      </c>
      <c r="H170" s="989"/>
      <c r="I170" s="989"/>
      <c r="J170" s="989"/>
      <c r="K170" s="990"/>
      <c r="L170" s="789"/>
      <c r="M170" s="988" t="s">
        <v>767</v>
      </c>
      <c r="N170" s="989"/>
      <c r="O170" s="989"/>
      <c r="P170" s="989"/>
      <c r="Q170" s="990"/>
      <c r="R170" s="789"/>
    </row>
    <row r="171" spans="1:18" x14ac:dyDescent="0.25">
      <c r="A171" s="991" t="s">
        <v>754</v>
      </c>
      <c r="B171" s="992" t="s">
        <v>670</v>
      </c>
      <c r="C171" s="992" t="s">
        <v>671</v>
      </c>
      <c r="D171" s="992" t="s">
        <v>672</v>
      </c>
      <c r="E171" s="993" t="s">
        <v>673</v>
      </c>
      <c r="F171" s="789"/>
      <c r="G171" s="991" t="s">
        <v>754</v>
      </c>
      <c r="H171" s="992" t="s">
        <v>670</v>
      </c>
      <c r="I171" s="992" t="s">
        <v>671</v>
      </c>
      <c r="J171" s="992" t="s">
        <v>672</v>
      </c>
      <c r="K171" s="993" t="s">
        <v>673</v>
      </c>
      <c r="L171" s="789"/>
      <c r="M171" s="991" t="s">
        <v>754</v>
      </c>
      <c r="N171" s="992" t="s">
        <v>670</v>
      </c>
      <c r="O171" s="992" t="s">
        <v>671</v>
      </c>
      <c r="P171" s="992" t="s">
        <v>672</v>
      </c>
      <c r="Q171" s="993" t="s">
        <v>673</v>
      </c>
      <c r="R171" s="789"/>
    </row>
    <row r="172" spans="1:18" x14ac:dyDescent="0.25">
      <c r="A172" s="996" t="s">
        <v>755</v>
      </c>
      <c r="B172" s="1200">
        <f>+'Operating Model'!O93</f>
        <v>0.19223097759172617</v>
      </c>
      <c r="C172" s="1200">
        <f>+'Operating Model'!P93</f>
        <v>0.20419523453940669</v>
      </c>
      <c r="D172" s="1200">
        <f>+'Operating Model'!Q93</f>
        <v>0.18836204653099464</v>
      </c>
      <c r="E172" s="1201">
        <f>+'Operating Model'!R93</f>
        <v>0.18453344120819848</v>
      </c>
      <c r="F172" s="789"/>
      <c r="G172" s="996" t="s">
        <v>755</v>
      </c>
      <c r="H172" s="1200">
        <f>+'Operating Model'!O93</f>
        <v>0.19223097759172617</v>
      </c>
      <c r="I172" s="1200">
        <f>+'Operating Model'!P93</f>
        <v>0.20419523453940669</v>
      </c>
      <c r="J172" s="1200">
        <f>+'Operating Model'!Q93</f>
        <v>0.18836204653099464</v>
      </c>
      <c r="K172" s="1201">
        <f>+'Operating Model'!R93</f>
        <v>0.18453344120819848</v>
      </c>
      <c r="L172" s="789"/>
      <c r="M172" s="996" t="s">
        <v>755</v>
      </c>
      <c r="N172" s="1200">
        <f>+'Operating Model'!O93</f>
        <v>0.19223097759172617</v>
      </c>
      <c r="O172" s="1200">
        <f>+'Operating Model'!P93</f>
        <v>0.20419523453940669</v>
      </c>
      <c r="P172" s="1200">
        <f>+'Operating Model'!Q93</f>
        <v>0.18836204653099464</v>
      </c>
      <c r="Q172" s="1201">
        <f>+'Operating Model'!R93</f>
        <v>0.18453344120819848</v>
      </c>
      <c r="R172" s="789"/>
    </row>
    <row r="173" spans="1:18" x14ac:dyDescent="0.25">
      <c r="A173" s="995" t="s">
        <v>740</v>
      </c>
      <c r="B173" s="1203">
        <v>0</v>
      </c>
      <c r="C173" s="1203">
        <f>+B173</f>
        <v>0</v>
      </c>
      <c r="D173" s="1203">
        <f t="shared" ref="D173:E175" si="64">+C173</f>
        <v>0</v>
      </c>
      <c r="E173" s="1203">
        <f t="shared" si="64"/>
        <v>0</v>
      </c>
      <c r="F173" s="789"/>
      <c r="G173" s="995" t="s">
        <v>740</v>
      </c>
      <c r="H173" s="1203">
        <v>-1.55E-2</v>
      </c>
      <c r="I173" s="1203">
        <f>+H173</f>
        <v>-1.55E-2</v>
      </c>
      <c r="J173" s="1203">
        <f t="shared" ref="J173:K173" si="65">+I173</f>
        <v>-1.55E-2</v>
      </c>
      <c r="K173" s="1203">
        <f t="shared" si="65"/>
        <v>-1.55E-2</v>
      </c>
      <c r="L173" s="789"/>
      <c r="M173" s="995" t="s">
        <v>740</v>
      </c>
      <c r="N173" s="1203">
        <v>-0.03</v>
      </c>
      <c r="O173" s="1203">
        <v>-0.03</v>
      </c>
      <c r="P173" s="1203">
        <v>-0.03</v>
      </c>
      <c r="Q173" s="1203">
        <v>-0.03</v>
      </c>
      <c r="R173" s="789"/>
    </row>
    <row r="174" spans="1:18" x14ac:dyDescent="0.25">
      <c r="A174" s="996" t="s">
        <v>756</v>
      </c>
      <c r="B174" s="1204">
        <f>+B172+B173</f>
        <v>0.19223097759172617</v>
      </c>
      <c r="C174" s="1204">
        <f>+C172+C173</f>
        <v>0.20419523453940669</v>
      </c>
      <c r="D174" s="1204">
        <f>+D172+D173</f>
        <v>0.18836204653099464</v>
      </c>
      <c r="E174" s="1205">
        <f>+E172+E173</f>
        <v>0.18453344120819848</v>
      </c>
      <c r="F174" s="789"/>
      <c r="G174" s="996" t="s">
        <v>756</v>
      </c>
      <c r="H174" s="1204">
        <f>+H172+H173</f>
        <v>0.17673097759172618</v>
      </c>
      <c r="I174" s="1204">
        <f>+I172+I173</f>
        <v>0.18869523453940668</v>
      </c>
      <c r="J174" s="1204">
        <f>+J172+J173</f>
        <v>0.17286204653099463</v>
      </c>
      <c r="K174" s="1205">
        <f>+K172+K173</f>
        <v>0.16903344120819846</v>
      </c>
      <c r="L174" s="789"/>
      <c r="M174" s="995" t="s">
        <v>756</v>
      </c>
      <c r="N174" s="1204">
        <f>+N172+N173</f>
        <v>0.16223097759172617</v>
      </c>
      <c r="O174" s="1204">
        <f>+O172+O173</f>
        <v>0.17419523453940669</v>
      </c>
      <c r="P174" s="1204">
        <f>+P172+P173</f>
        <v>0.15836204653099464</v>
      </c>
      <c r="Q174" s="1205">
        <f>+Q172+Q173</f>
        <v>0.15453344120819848</v>
      </c>
      <c r="R174" s="789"/>
    </row>
    <row r="175" spans="1:18" x14ac:dyDescent="0.25">
      <c r="A175" s="995" t="s">
        <v>740</v>
      </c>
      <c r="B175" s="1203">
        <v>0</v>
      </c>
      <c r="C175" s="1203">
        <f>+B175</f>
        <v>0</v>
      </c>
      <c r="D175" s="1203">
        <f t="shared" si="64"/>
        <v>0</v>
      </c>
      <c r="E175" s="1203">
        <f t="shared" si="64"/>
        <v>0</v>
      </c>
      <c r="F175" s="789"/>
      <c r="G175" s="995" t="s">
        <v>740</v>
      </c>
      <c r="H175" s="1203">
        <v>-0.01</v>
      </c>
      <c r="I175" s="1203">
        <f>+H175</f>
        <v>-0.01</v>
      </c>
      <c r="J175" s="1203">
        <f t="shared" ref="J175:K175" si="66">+I175</f>
        <v>-0.01</v>
      </c>
      <c r="K175" s="1203">
        <f t="shared" si="66"/>
        <v>-0.01</v>
      </c>
      <c r="L175" s="789"/>
      <c r="M175" s="995" t="s">
        <v>740</v>
      </c>
      <c r="N175" s="1208">
        <v>-0.02</v>
      </c>
      <c r="O175" s="1208">
        <v>-0.02</v>
      </c>
      <c r="P175" s="1208">
        <v>-0.02</v>
      </c>
      <c r="Q175" s="1208">
        <v>-0.02</v>
      </c>
      <c r="R175" s="789"/>
    </row>
    <row r="176" spans="1:18" x14ac:dyDescent="0.25">
      <c r="A176" s="996" t="s">
        <v>758</v>
      </c>
      <c r="B176" s="1204">
        <f>+B174+B175</f>
        <v>0.19223097759172617</v>
      </c>
      <c r="C176" s="1204">
        <f>+C174+C175</f>
        <v>0.20419523453940669</v>
      </c>
      <c r="D176" s="1204">
        <f>+D174+D175</f>
        <v>0.18836204653099464</v>
      </c>
      <c r="E176" s="1205">
        <f>+E174+E175</f>
        <v>0.18453344120819848</v>
      </c>
      <c r="F176" s="789"/>
      <c r="G176" s="996" t="s">
        <v>758</v>
      </c>
      <c r="H176" s="1204">
        <f>+H174+H175</f>
        <v>0.16673097759172617</v>
      </c>
      <c r="I176" s="1204">
        <f>+I174+I175</f>
        <v>0.17869523453940667</v>
      </c>
      <c r="J176" s="1204">
        <f>+J174+J175</f>
        <v>0.16286204653099462</v>
      </c>
      <c r="K176" s="1205">
        <f>+K174+K175</f>
        <v>0.15903344120819846</v>
      </c>
      <c r="L176" s="789"/>
      <c r="M176" s="996" t="s">
        <v>758</v>
      </c>
      <c r="N176" s="1204">
        <f>+N174+N175</f>
        <v>0.14223097759172618</v>
      </c>
      <c r="O176" s="1204">
        <f>+O174+O175</f>
        <v>0.1541952345394067</v>
      </c>
      <c r="P176" s="1204">
        <f>+P174+P175</f>
        <v>0.13836204653099465</v>
      </c>
      <c r="Q176" s="1205">
        <f>+Q174+Q175</f>
        <v>0.13453344120819849</v>
      </c>
      <c r="R176" s="789"/>
    </row>
    <row r="177" spans="1:23" hidden="1" outlineLevel="1" x14ac:dyDescent="0.25">
      <c r="A177" s="995" t="s">
        <v>740</v>
      </c>
      <c r="B177" s="1203">
        <v>0</v>
      </c>
      <c r="C177" s="1203">
        <v>0</v>
      </c>
      <c r="D177" s="1203">
        <v>0</v>
      </c>
      <c r="E177" s="1203">
        <v>0</v>
      </c>
      <c r="F177" s="789"/>
      <c r="G177" s="995" t="s">
        <v>740</v>
      </c>
      <c r="H177" s="1195">
        <v>0</v>
      </c>
      <c r="I177" s="1195">
        <v>0</v>
      </c>
      <c r="J177" s="1195">
        <v>0</v>
      </c>
      <c r="K177" s="1195">
        <v>0</v>
      </c>
      <c r="L177" s="789"/>
      <c r="M177" s="995" t="s">
        <v>740</v>
      </c>
      <c r="N177" s="1208">
        <v>0</v>
      </c>
      <c r="O177" s="1208">
        <v>0</v>
      </c>
      <c r="P177" s="1208">
        <v>0</v>
      </c>
      <c r="Q177" s="1208">
        <v>0</v>
      </c>
      <c r="R177" s="789"/>
    </row>
    <row r="178" spans="1:23" collapsed="1" x14ac:dyDescent="0.25">
      <c r="A178" s="996" t="s">
        <v>741</v>
      </c>
      <c r="B178" s="1204">
        <f>+B176+B177</f>
        <v>0.19223097759172617</v>
      </c>
      <c r="C178" s="1204">
        <f>+C176+C177</f>
        <v>0.20419523453940669</v>
      </c>
      <c r="D178" s="1204">
        <f>+D176+D177</f>
        <v>0.18836204653099464</v>
      </c>
      <c r="E178" s="1205">
        <f>+E176+E177</f>
        <v>0.18453344120819848</v>
      </c>
      <c r="F178" s="789"/>
      <c r="G178" s="996" t="s">
        <v>741</v>
      </c>
      <c r="H178" s="1204">
        <f>+H176+H177</f>
        <v>0.16673097759172617</v>
      </c>
      <c r="I178" s="1204">
        <f>+I176+I177</f>
        <v>0.17869523453940667</v>
      </c>
      <c r="J178" s="1204">
        <f>+J176+J177</f>
        <v>0.16286204653099462</v>
      </c>
      <c r="K178" s="1205">
        <f>+K176+K177</f>
        <v>0.15903344120819846</v>
      </c>
      <c r="L178" s="789"/>
      <c r="M178" s="996" t="s">
        <v>741</v>
      </c>
      <c r="N178" s="1204">
        <f>+N176+N177</f>
        <v>0.14223097759172618</v>
      </c>
      <c r="O178" s="1204">
        <f>+O176+O177</f>
        <v>0.1541952345394067</v>
      </c>
      <c r="P178" s="1204">
        <f>+P176+P177</f>
        <v>0.13836204653099465</v>
      </c>
      <c r="Q178" s="1205">
        <f>+Q176+Q177</f>
        <v>0.13453344120819849</v>
      </c>
      <c r="R178" s="789"/>
    </row>
    <row r="179" spans="1:23" hidden="1" outlineLevel="1" x14ac:dyDescent="0.25">
      <c r="A179" s="995" t="s">
        <v>740</v>
      </c>
      <c r="B179" s="1203">
        <v>0</v>
      </c>
      <c r="C179" s="1203">
        <v>0</v>
      </c>
      <c r="D179" s="1203">
        <v>0</v>
      </c>
      <c r="E179" s="1203">
        <v>0</v>
      </c>
      <c r="F179" s="789"/>
      <c r="G179" s="995" t="s">
        <v>740</v>
      </c>
      <c r="H179" s="1195">
        <v>0</v>
      </c>
      <c r="I179" s="1195">
        <v>0</v>
      </c>
      <c r="J179" s="1195">
        <v>0</v>
      </c>
      <c r="K179" s="1195">
        <v>0</v>
      </c>
      <c r="L179" s="789"/>
      <c r="M179" s="995" t="s">
        <v>740</v>
      </c>
      <c r="N179" s="1208">
        <v>0</v>
      </c>
      <c r="O179" s="1208">
        <v>0</v>
      </c>
      <c r="P179" s="1208">
        <v>0</v>
      </c>
      <c r="Q179" s="1208">
        <v>0</v>
      </c>
      <c r="R179" s="789"/>
    </row>
    <row r="180" spans="1:23" collapsed="1" x14ac:dyDescent="0.25">
      <c r="A180" s="996" t="s">
        <v>742</v>
      </c>
      <c r="B180" s="1204">
        <f>+B178+B179</f>
        <v>0.19223097759172617</v>
      </c>
      <c r="C180" s="1204">
        <f>+C178+C179</f>
        <v>0.20419523453940669</v>
      </c>
      <c r="D180" s="1204">
        <f>+D178+D179</f>
        <v>0.18836204653099464</v>
      </c>
      <c r="E180" s="1205">
        <f>+E178+E179</f>
        <v>0.18453344120819848</v>
      </c>
      <c r="F180" s="789"/>
      <c r="G180" s="996" t="s">
        <v>742</v>
      </c>
      <c r="H180" s="1196">
        <f>+H178+H179</f>
        <v>0.16673097759172617</v>
      </c>
      <c r="I180" s="1196">
        <f>+I178+I179</f>
        <v>0.17869523453940667</v>
      </c>
      <c r="J180" s="1196">
        <f>+J178+J179</f>
        <v>0.16286204653099462</v>
      </c>
      <c r="K180" s="1197">
        <f>+K178+K179</f>
        <v>0.15903344120819846</v>
      </c>
      <c r="L180" s="789"/>
      <c r="M180" s="996" t="s">
        <v>742</v>
      </c>
      <c r="N180" s="1204">
        <f>+N178+N179</f>
        <v>0.14223097759172618</v>
      </c>
      <c r="O180" s="1204">
        <f>+O178+O179</f>
        <v>0.1541952345394067</v>
      </c>
      <c r="P180" s="1204">
        <f>+P178+P179</f>
        <v>0.13836204653099465</v>
      </c>
      <c r="Q180" s="1205">
        <f>+Q178+Q179</f>
        <v>0.13453344120819849</v>
      </c>
      <c r="R180" s="789"/>
    </row>
    <row r="181" spans="1:23" hidden="1" outlineLevel="1" x14ac:dyDescent="0.25">
      <c r="A181" s="995" t="s">
        <v>740</v>
      </c>
      <c r="B181" s="1203">
        <v>0</v>
      </c>
      <c r="C181" s="1203">
        <v>0</v>
      </c>
      <c r="D181" s="1203">
        <v>0</v>
      </c>
      <c r="E181" s="1203">
        <v>0</v>
      </c>
      <c r="F181" s="789"/>
      <c r="G181" s="995" t="s">
        <v>740</v>
      </c>
      <c r="H181" s="1195">
        <v>0</v>
      </c>
      <c r="I181" s="1195">
        <v>0</v>
      </c>
      <c r="J181" s="1195">
        <v>0</v>
      </c>
      <c r="K181" s="1195">
        <v>0</v>
      </c>
      <c r="L181" s="789"/>
      <c r="M181" s="995" t="s">
        <v>740</v>
      </c>
      <c r="N181" s="1208">
        <v>0</v>
      </c>
      <c r="O181" s="1208">
        <v>0</v>
      </c>
      <c r="P181" s="1208">
        <v>0</v>
      </c>
      <c r="Q181" s="1208">
        <v>0</v>
      </c>
      <c r="R181" s="789"/>
    </row>
    <row r="182" spans="1:23" collapsed="1" x14ac:dyDescent="0.25">
      <c r="A182" s="997" t="s">
        <v>743</v>
      </c>
      <c r="B182" s="1207">
        <f>+B180+B181</f>
        <v>0.19223097759172617</v>
      </c>
      <c r="C182" s="1207">
        <f>+C180+C181</f>
        <v>0.20419523453940669</v>
      </c>
      <c r="D182" s="1207">
        <f>+D180+D181</f>
        <v>0.18836204653099464</v>
      </c>
      <c r="E182" s="1206">
        <f>+E180+E181</f>
        <v>0.18453344120819848</v>
      </c>
      <c r="F182" s="789"/>
      <c r="G182" s="997" t="s">
        <v>743</v>
      </c>
      <c r="H182" s="1199">
        <f>+H180+H181</f>
        <v>0.16673097759172617</v>
      </c>
      <c r="I182" s="1199">
        <f>+I180+I181</f>
        <v>0.17869523453940667</v>
      </c>
      <c r="J182" s="1199">
        <f>+J180+J181</f>
        <v>0.16286204653099462</v>
      </c>
      <c r="K182" s="1198">
        <f>+K180+K181</f>
        <v>0.15903344120819846</v>
      </c>
      <c r="L182" s="789"/>
      <c r="M182" s="997" t="s">
        <v>743</v>
      </c>
      <c r="N182" s="1207">
        <f>+N180+N181</f>
        <v>0.14223097759172618</v>
      </c>
      <c r="O182" s="1207">
        <f>+O180+O181</f>
        <v>0.1541952345394067</v>
      </c>
      <c r="P182" s="1207">
        <f>+P180+P181</f>
        <v>0.13836204653099465</v>
      </c>
      <c r="Q182" s="1206">
        <f>+Q180+Q181</f>
        <v>0.13453344120819849</v>
      </c>
      <c r="R182" s="789"/>
    </row>
    <row r="183" spans="1:23" x14ac:dyDescent="0.25">
      <c r="A183" s="955"/>
      <c r="B183" s="939"/>
      <c r="C183" s="939"/>
      <c r="D183" s="939"/>
      <c r="E183" s="939"/>
      <c r="F183" s="789"/>
      <c r="G183" s="789"/>
      <c r="H183" s="789"/>
      <c r="I183" s="789"/>
      <c r="J183" s="789"/>
      <c r="K183" s="789"/>
      <c r="L183" s="789"/>
      <c r="M183" s="789"/>
      <c r="N183" s="789"/>
      <c r="O183" s="789"/>
      <c r="P183" s="789"/>
      <c r="Q183" s="789"/>
      <c r="R183" s="789"/>
    </row>
    <row r="184" spans="1:23" x14ac:dyDescent="0.25">
      <c r="A184" s="955"/>
      <c r="B184" s="939"/>
      <c r="C184" s="939"/>
      <c r="D184" s="939"/>
      <c r="E184" s="939"/>
      <c r="F184" s="789"/>
      <c r="G184" s="789"/>
      <c r="H184" s="789"/>
      <c r="I184" s="789"/>
      <c r="J184" s="789"/>
      <c r="K184" s="789"/>
      <c r="L184" s="789"/>
      <c r="M184" s="789"/>
      <c r="N184" s="789"/>
      <c r="O184" s="789"/>
      <c r="P184" s="789"/>
      <c r="Q184" s="789"/>
      <c r="R184" s="789"/>
    </row>
    <row r="185" spans="1:23" x14ac:dyDescent="0.25">
      <c r="A185" s="955"/>
      <c r="B185" s="939"/>
      <c r="C185" s="939"/>
      <c r="D185" s="939"/>
      <c r="E185" s="939"/>
      <c r="F185" s="789"/>
      <c r="G185" s="789"/>
      <c r="H185" s="789"/>
      <c r="I185" s="789"/>
      <c r="J185" s="789"/>
      <c r="K185" s="789"/>
      <c r="L185" s="789"/>
      <c r="M185" s="789"/>
      <c r="N185" s="789"/>
      <c r="O185" s="789"/>
      <c r="P185" s="789"/>
      <c r="Q185" s="789"/>
      <c r="R185" s="789"/>
    </row>
    <row r="186" spans="1:23" x14ac:dyDescent="0.25">
      <c r="A186" s="955"/>
      <c r="B186" s="939"/>
      <c r="C186" s="939"/>
      <c r="D186" s="939"/>
      <c r="E186" s="939"/>
      <c r="F186" s="789"/>
      <c r="G186" s="789"/>
      <c r="H186" s="789"/>
      <c r="I186" s="789"/>
      <c r="J186" s="789"/>
      <c r="K186" s="789"/>
      <c r="L186" s="789"/>
      <c r="M186" s="789"/>
      <c r="N186" s="789"/>
      <c r="O186" s="789"/>
      <c r="P186" s="789"/>
      <c r="Q186" s="789"/>
      <c r="R186" s="789"/>
    </row>
    <row r="187" spans="1:23" x14ac:dyDescent="0.25">
      <c r="A187" s="955"/>
      <c r="B187" s="939"/>
      <c r="C187" s="939"/>
      <c r="D187" s="939"/>
      <c r="E187" s="939"/>
      <c r="F187" s="789"/>
      <c r="G187" s="789"/>
      <c r="H187" s="789"/>
      <c r="I187" s="789"/>
      <c r="J187" s="789"/>
      <c r="K187" s="789"/>
      <c r="L187" s="789"/>
      <c r="M187" s="789"/>
      <c r="N187" s="789"/>
      <c r="O187" s="789"/>
      <c r="P187" s="789"/>
      <c r="Q187" s="789"/>
      <c r="R187" s="789"/>
    </row>
    <row r="188" spans="1:23" x14ac:dyDescent="0.25">
      <c r="A188" s="1046" t="s">
        <v>768</v>
      </c>
      <c r="B188" s="998"/>
      <c r="C188" s="998"/>
      <c r="D188" s="998"/>
      <c r="E188" s="998"/>
      <c r="F188" s="998"/>
      <c r="G188" s="998"/>
      <c r="H188" s="998"/>
      <c r="I188" s="998"/>
      <c r="J188" s="998"/>
      <c r="K188" s="998"/>
      <c r="L188" s="998"/>
      <c r="M188" s="998"/>
      <c r="N188" s="998"/>
      <c r="O188" s="998"/>
      <c r="P188" s="998"/>
      <c r="Q188" s="998"/>
      <c r="R188" s="998"/>
      <c r="S188" s="998"/>
      <c r="T188" s="998"/>
      <c r="U188" s="998"/>
      <c r="V188" s="998"/>
      <c r="W188" s="998"/>
    </row>
    <row r="189" spans="1:23" x14ac:dyDescent="0.25">
      <c r="A189" t="s">
        <v>769</v>
      </c>
      <c r="B189" s="1190" t="str">
        <f>+'Transaction Structure'!U5</f>
        <v>Base Case</v>
      </c>
      <c r="C189"/>
      <c r="D189" s="864" t="s">
        <v>684</v>
      </c>
      <c r="E189" s="864" t="s">
        <v>684</v>
      </c>
      <c r="F189" s="864" t="s">
        <v>685</v>
      </c>
      <c r="G189" s="864" t="s">
        <v>684</v>
      </c>
      <c r="H189" s="864" t="s">
        <v>684</v>
      </c>
      <c r="I189" s="864" t="s">
        <v>684</v>
      </c>
      <c r="J189" s="864" t="s">
        <v>684</v>
      </c>
      <c r="K189" s="864" t="s">
        <v>684</v>
      </c>
      <c r="L189" s="864" t="s">
        <v>684</v>
      </c>
      <c r="M189" s="864" t="s">
        <v>684</v>
      </c>
      <c r="N189" s="864" t="s">
        <v>684</v>
      </c>
      <c r="O189" s="864" t="s">
        <v>684</v>
      </c>
      <c r="P189" s="864" t="s">
        <v>684</v>
      </c>
      <c r="Q189" s="864" t="s">
        <v>684</v>
      </c>
      <c r="R189" s="864" t="s">
        <v>684</v>
      </c>
      <c r="S189" s="864" t="s">
        <v>684</v>
      </c>
      <c r="T189" s="864" t="s">
        <v>684</v>
      </c>
      <c r="U189" s="864" t="s">
        <v>684</v>
      </c>
      <c r="V189" s="864" t="s">
        <v>684</v>
      </c>
      <c r="W189" s="864" t="s">
        <v>684</v>
      </c>
    </row>
    <row r="190" spans="1:23" x14ac:dyDescent="0.25">
      <c r="A190" t="s">
        <v>770</v>
      </c>
      <c r="B190"/>
      <c r="C190"/>
      <c r="D190" s="1047">
        <f t="shared" ref="D190:W190" si="67">YEAR(D191)</f>
        <v>2023</v>
      </c>
      <c r="E190" s="1047">
        <f t="shared" si="67"/>
        <v>2023</v>
      </c>
      <c r="F190" s="1047">
        <f t="shared" si="67"/>
        <v>2023</v>
      </c>
      <c r="G190" s="1047">
        <f t="shared" si="67"/>
        <v>2023</v>
      </c>
      <c r="H190" s="1047">
        <f t="shared" si="67"/>
        <v>2024</v>
      </c>
      <c r="I190" s="1047">
        <f t="shared" si="67"/>
        <v>2024</v>
      </c>
      <c r="J190" s="1047">
        <f t="shared" si="67"/>
        <v>2024</v>
      </c>
      <c r="K190" s="1047">
        <f t="shared" si="67"/>
        <v>2024</v>
      </c>
      <c r="L190" s="1047">
        <f t="shared" si="67"/>
        <v>2025</v>
      </c>
      <c r="M190" s="1047">
        <f t="shared" si="67"/>
        <v>2025</v>
      </c>
      <c r="N190" s="1047">
        <f t="shared" si="67"/>
        <v>2025</v>
      </c>
      <c r="O190" s="1047">
        <f t="shared" si="67"/>
        <v>2025</v>
      </c>
      <c r="P190" s="1047">
        <f t="shared" si="67"/>
        <v>2026</v>
      </c>
      <c r="Q190" s="1047">
        <f t="shared" si="67"/>
        <v>2026</v>
      </c>
      <c r="R190" s="1047">
        <f t="shared" si="67"/>
        <v>2026</v>
      </c>
      <c r="S190" s="1047">
        <f t="shared" si="67"/>
        <v>2026</v>
      </c>
      <c r="T190" s="1047">
        <f t="shared" si="67"/>
        <v>2027</v>
      </c>
      <c r="U190" s="1047">
        <f t="shared" si="67"/>
        <v>2027</v>
      </c>
      <c r="V190" s="1047">
        <f t="shared" si="67"/>
        <v>2027</v>
      </c>
      <c r="W190" s="1047">
        <f t="shared" si="67"/>
        <v>2027</v>
      </c>
    </row>
    <row r="191" spans="1:23" x14ac:dyDescent="0.25">
      <c r="A191"/>
      <c r="B191"/>
      <c r="C191"/>
      <c r="D191" s="4">
        <v>45016</v>
      </c>
      <c r="E191" s="4">
        <f>+EOMONTH(D191,3)</f>
        <v>45107</v>
      </c>
      <c r="F191" s="4">
        <f>+EOMONTH(E191,3)</f>
        <v>45199</v>
      </c>
      <c r="G191" s="4">
        <f t="shared" ref="G191:W191" si="68">+EOMONTH(F191,3)</f>
        <v>45291</v>
      </c>
      <c r="H191" s="4">
        <f t="shared" si="68"/>
        <v>45382</v>
      </c>
      <c r="I191" s="4">
        <f t="shared" si="68"/>
        <v>45473</v>
      </c>
      <c r="J191" s="4">
        <f t="shared" si="68"/>
        <v>45565</v>
      </c>
      <c r="K191" s="4">
        <f t="shared" si="68"/>
        <v>45657</v>
      </c>
      <c r="L191" s="4">
        <f t="shared" si="68"/>
        <v>45747</v>
      </c>
      <c r="M191" s="4">
        <f t="shared" si="68"/>
        <v>45838</v>
      </c>
      <c r="N191" s="4">
        <f t="shared" si="68"/>
        <v>45930</v>
      </c>
      <c r="O191" s="4">
        <f t="shared" si="68"/>
        <v>46022</v>
      </c>
      <c r="P191" s="4">
        <f t="shared" si="68"/>
        <v>46112</v>
      </c>
      <c r="Q191" s="4">
        <f t="shared" si="68"/>
        <v>46203</v>
      </c>
      <c r="R191" s="4">
        <f>+EOMONTH(Q191,3)</f>
        <v>46295</v>
      </c>
      <c r="S191" s="4">
        <f t="shared" si="68"/>
        <v>46387</v>
      </c>
      <c r="T191" s="4">
        <f t="shared" si="68"/>
        <v>46477</v>
      </c>
      <c r="U191" s="4">
        <f t="shared" si="68"/>
        <v>46568</v>
      </c>
      <c r="V191" s="4">
        <f t="shared" si="68"/>
        <v>46660</v>
      </c>
      <c r="W191" s="4">
        <f t="shared" si="68"/>
        <v>46752</v>
      </c>
    </row>
    <row r="192" spans="1:23" hidden="1" outlineLevel="1" x14ac:dyDescent="0.25">
      <c r="A192" s="955"/>
      <c r="B192" s="939"/>
      <c r="C192" s="939"/>
      <c r="D192" s="939"/>
      <c r="E192" s="939"/>
      <c r="F192" s="789"/>
      <c r="G192" s="789"/>
      <c r="H192" s="789"/>
      <c r="I192" s="789"/>
      <c r="J192" s="789"/>
      <c r="K192" s="789"/>
      <c r="L192" s="789"/>
      <c r="M192" s="789"/>
      <c r="N192" s="789"/>
      <c r="O192" s="789"/>
      <c r="P192" s="789"/>
      <c r="Q192" s="789"/>
      <c r="R192" s="789"/>
    </row>
    <row r="193" spans="1:18" hidden="1" outlineLevel="1" x14ac:dyDescent="0.25">
      <c r="A193" s="955"/>
      <c r="B193" s="939"/>
      <c r="C193" s="939"/>
      <c r="D193" s="939"/>
      <c r="E193" s="939"/>
      <c r="F193" s="789"/>
      <c r="G193" s="789"/>
      <c r="H193" s="789"/>
      <c r="I193" s="789"/>
      <c r="J193" s="789"/>
      <c r="K193" s="789"/>
      <c r="L193" s="789"/>
      <c r="M193" s="789"/>
      <c r="N193" s="789"/>
      <c r="O193" s="789"/>
      <c r="P193" s="789"/>
      <c r="Q193" s="789"/>
      <c r="R193" s="789"/>
    </row>
    <row r="194" spans="1:18" hidden="1" outlineLevel="1" x14ac:dyDescent="0.25">
      <c r="A194" s="955"/>
      <c r="B194" s="939"/>
      <c r="C194" s="939"/>
      <c r="D194" s="939"/>
      <c r="E194" s="939"/>
      <c r="F194" s="789"/>
      <c r="G194" s="789"/>
      <c r="H194" s="789"/>
      <c r="I194" s="789"/>
      <c r="J194" s="789"/>
      <c r="K194" s="789"/>
      <c r="L194" s="789"/>
      <c r="M194" s="789"/>
      <c r="N194" s="789"/>
      <c r="O194" s="789"/>
      <c r="P194" s="789"/>
      <c r="Q194" s="789"/>
      <c r="R194" s="789"/>
    </row>
    <row r="195" spans="1:18" hidden="1" outlineLevel="1" x14ac:dyDescent="0.25">
      <c r="A195" s="955"/>
      <c r="B195" s="939"/>
      <c r="C195" s="939"/>
      <c r="D195" s="939"/>
      <c r="E195" s="939"/>
      <c r="F195" s="789"/>
      <c r="G195" s="789"/>
      <c r="H195" s="789"/>
      <c r="I195" s="789"/>
      <c r="J195" s="789"/>
      <c r="K195" s="789"/>
      <c r="L195" s="789"/>
      <c r="M195" s="789"/>
      <c r="N195" s="789"/>
      <c r="O195" s="789"/>
      <c r="P195" s="789"/>
      <c r="Q195" s="789"/>
      <c r="R195" s="789"/>
    </row>
    <row r="196" spans="1:18" hidden="1" outlineLevel="1" x14ac:dyDescent="0.25">
      <c r="A196" s="955"/>
      <c r="B196" s="939"/>
      <c r="C196" s="939"/>
      <c r="D196" s="939"/>
      <c r="E196" s="939"/>
      <c r="F196" s="789"/>
      <c r="G196" s="789"/>
      <c r="H196" s="789"/>
      <c r="I196" s="789"/>
      <c r="J196" s="789"/>
      <c r="K196" s="789"/>
      <c r="L196" s="789"/>
      <c r="M196" s="789"/>
      <c r="N196" s="789"/>
      <c r="O196" s="789"/>
      <c r="P196" s="789"/>
      <c r="Q196" s="789"/>
      <c r="R196" s="789"/>
    </row>
    <row r="197" spans="1:18" hidden="1" outlineLevel="1" x14ac:dyDescent="0.25">
      <c r="A197" s="955"/>
      <c r="B197" s="789"/>
      <c r="C197" s="789"/>
      <c r="D197" s="789"/>
      <c r="E197" s="789"/>
      <c r="F197" s="789"/>
      <c r="G197" s="789"/>
      <c r="H197" s="789"/>
      <c r="I197" s="789"/>
      <c r="J197" s="789"/>
      <c r="K197" s="789"/>
      <c r="L197" s="789"/>
      <c r="M197" s="789"/>
      <c r="N197" s="789"/>
      <c r="O197" s="789"/>
      <c r="P197" s="789"/>
      <c r="Q197" s="789"/>
      <c r="R197" s="789"/>
    </row>
    <row r="198" spans="1:18" ht="15.75" hidden="1" outlineLevel="1" thickBot="1" x14ac:dyDescent="0.3">
      <c r="A198" s="999"/>
      <c r="B198" s="1454" t="s">
        <v>771</v>
      </c>
      <c r="C198" s="1454"/>
      <c r="D198" s="1454"/>
      <c r="E198" s="1455"/>
      <c r="F198" s="970"/>
      <c r="G198" s="789"/>
      <c r="H198" s="789"/>
      <c r="I198" s="789"/>
      <c r="J198" s="789"/>
      <c r="K198" s="789"/>
      <c r="L198" s="789"/>
      <c r="M198" s="789"/>
      <c r="N198" s="789"/>
      <c r="O198" s="789"/>
      <c r="P198" s="789"/>
      <c r="Q198" s="789"/>
      <c r="R198" s="789"/>
    </row>
    <row r="199" spans="1:18" hidden="1" outlineLevel="1" x14ac:dyDescent="0.25">
      <c r="A199" s="1000"/>
      <c r="B199" s="1001" t="s">
        <v>713</v>
      </c>
      <c r="C199" s="1001" t="s">
        <v>713</v>
      </c>
      <c r="D199" s="1001" t="s">
        <v>713</v>
      </c>
      <c r="E199" s="1002" t="s">
        <v>713</v>
      </c>
      <c r="F199" s="970"/>
      <c r="G199" s="789"/>
      <c r="H199" s="789"/>
      <c r="I199" s="789"/>
      <c r="J199" s="789"/>
      <c r="K199" s="789"/>
      <c r="L199" s="789"/>
      <c r="M199" s="789"/>
      <c r="N199" s="789"/>
      <c r="O199" s="789"/>
      <c r="P199" s="789"/>
      <c r="Q199" s="789"/>
      <c r="R199" s="789"/>
    </row>
    <row r="200" spans="1:18" hidden="1" outlineLevel="1" x14ac:dyDescent="0.25">
      <c r="A200" s="1003" t="s">
        <v>772</v>
      </c>
      <c r="B200" s="782" t="s">
        <v>659</v>
      </c>
      <c r="E200" s="1004"/>
      <c r="F200" s="970"/>
      <c r="G200" s="789"/>
      <c r="H200" s="789"/>
      <c r="I200" s="789"/>
      <c r="J200" s="789"/>
      <c r="K200" s="789"/>
      <c r="L200" s="789"/>
      <c r="M200" s="789"/>
      <c r="N200" s="789"/>
      <c r="O200" s="789"/>
      <c r="P200" s="789"/>
      <c r="Q200" s="789"/>
      <c r="R200" s="789"/>
    </row>
    <row r="201" spans="1:18" hidden="1" outlineLevel="1" x14ac:dyDescent="0.25">
      <c r="A201" s="871" t="s">
        <v>773</v>
      </c>
      <c r="B201" s="782" t="s">
        <v>659</v>
      </c>
      <c r="E201" s="1004"/>
      <c r="F201" s="970"/>
      <c r="G201" s="789"/>
      <c r="H201" s="789"/>
      <c r="I201" s="789"/>
      <c r="J201" s="789"/>
      <c r="K201" s="789"/>
      <c r="L201" s="789"/>
      <c r="M201" s="789"/>
      <c r="N201" s="789"/>
      <c r="O201" s="789"/>
      <c r="P201" s="789"/>
      <c r="Q201" s="789"/>
      <c r="R201" s="789"/>
    </row>
    <row r="202" spans="1:18" ht="15.75" hidden="1" outlineLevel="1" thickBot="1" x14ac:dyDescent="0.3">
      <c r="A202" s="1005" t="s">
        <v>560</v>
      </c>
      <c r="B202" s="818" t="s">
        <v>659</v>
      </c>
      <c r="C202" s="818"/>
      <c r="D202" s="818"/>
      <c r="E202" s="828"/>
      <c r="F202" s="970"/>
      <c r="G202" s="789"/>
      <c r="H202" s="789"/>
      <c r="I202" s="789"/>
      <c r="J202" s="789"/>
      <c r="K202" s="789"/>
      <c r="L202" s="789"/>
      <c r="M202" s="789"/>
      <c r="N202" s="789"/>
      <c r="O202" s="789"/>
      <c r="P202" s="789"/>
      <c r="Q202" s="789"/>
      <c r="R202" s="789"/>
    </row>
    <row r="203" spans="1:18" hidden="1" outlineLevel="1" x14ac:dyDescent="0.25">
      <c r="A203" s="783"/>
      <c r="F203" s="970"/>
    </row>
    <row r="204" spans="1:18" ht="15.75" hidden="1" outlineLevel="1" thickBot="1" x14ac:dyDescent="0.3">
      <c r="A204" s="999"/>
      <c r="B204" s="1454" t="s">
        <v>774</v>
      </c>
      <c r="C204" s="1454"/>
      <c r="D204" s="1454"/>
      <c r="E204" s="1455"/>
      <c r="F204" s="970"/>
      <c r="J204" s="1006"/>
    </row>
    <row r="205" spans="1:18" hidden="1" outlineLevel="1" x14ac:dyDescent="0.25">
      <c r="A205" s="1000"/>
      <c r="B205" s="782" t="s">
        <v>670</v>
      </c>
      <c r="C205" s="782" t="s">
        <v>671</v>
      </c>
      <c r="D205" s="782" t="s">
        <v>672</v>
      </c>
      <c r="E205" s="1004" t="s">
        <v>673</v>
      </c>
      <c r="F205" s="970"/>
    </row>
    <row r="206" spans="1:18" hidden="1" outlineLevel="1" x14ac:dyDescent="0.25">
      <c r="A206" s="1003" t="s">
        <v>772</v>
      </c>
      <c r="E206" s="1004"/>
      <c r="F206" s="970"/>
    </row>
    <row r="207" spans="1:18" hidden="1" outlineLevel="1" x14ac:dyDescent="0.25">
      <c r="A207" s="871" t="s">
        <v>773</v>
      </c>
      <c r="E207" s="1004"/>
      <c r="F207" s="970"/>
    </row>
    <row r="208" spans="1:18" ht="15.75" hidden="1" outlineLevel="1" thickBot="1" x14ac:dyDescent="0.3">
      <c r="A208" s="1005" t="s">
        <v>560</v>
      </c>
      <c r="B208" s="818"/>
      <c r="C208" s="818"/>
      <c r="D208" s="818"/>
      <c r="E208" s="828"/>
      <c r="F208" s="970"/>
    </row>
    <row r="209" spans="1:25" hidden="1" outlineLevel="1" x14ac:dyDescent="0.25">
      <c r="A209"/>
      <c r="B209"/>
      <c r="C209"/>
      <c r="D209"/>
      <c r="E209"/>
      <c r="F209"/>
      <c r="G209"/>
      <c r="H209"/>
      <c r="I209"/>
      <c r="J209"/>
      <c r="K209"/>
    </row>
    <row r="210" spans="1:25" hidden="1" outlineLevel="1" x14ac:dyDescent="0.25">
      <c r="A210" t="s">
        <v>775</v>
      </c>
      <c r="B210"/>
      <c r="C210"/>
      <c r="D210"/>
      <c r="E210"/>
      <c r="F210"/>
      <c r="G210"/>
      <c r="H210"/>
      <c r="I210"/>
      <c r="J210"/>
      <c r="K210"/>
    </row>
    <row r="211" spans="1:25" hidden="1" outlineLevel="1" x14ac:dyDescent="0.25">
      <c r="A211" s="1001"/>
      <c r="J211" s="1001" t="str">
        <f>J96</f>
        <v>4Q21</v>
      </c>
      <c r="K211" s="1001"/>
      <c r="L211" s="1001" t="str">
        <f>L96</f>
        <v>1Q22</v>
      </c>
      <c r="M211" s="1001" t="str">
        <f>M96</f>
        <v>2Q22</v>
      </c>
      <c r="N211" s="1001" t="str">
        <f>N96</f>
        <v>3Q22</v>
      </c>
      <c r="O211" s="1001" t="str">
        <f>O96</f>
        <v>4Q22</v>
      </c>
      <c r="P211" s="1001"/>
      <c r="Q211" s="1001" t="str">
        <f>Q96</f>
        <v>1Q23</v>
      </c>
      <c r="R211" s="1001" t="str">
        <f>R96</f>
        <v>2Q23</v>
      </c>
      <c r="S211" s="1001" t="str">
        <f>S96</f>
        <v>3Q23</v>
      </c>
      <c r="T211" s="1001" t="str">
        <f>T96</f>
        <v>4Q23</v>
      </c>
      <c r="U211" s="1001"/>
      <c r="V211" s="1001" t="str">
        <f>V96</f>
        <v>1Q24</v>
      </c>
      <c r="W211" s="1001" t="str">
        <f>W96</f>
        <v>2Q24</v>
      </c>
      <c r="X211" s="1001" t="str">
        <f>X96</f>
        <v>3Q24</v>
      </c>
      <c r="Y211" s="1001" t="str">
        <f>Y96</f>
        <v>4Q24</v>
      </c>
    </row>
    <row r="212" spans="1:25" hidden="1" outlineLevel="1" x14ac:dyDescent="0.25">
      <c r="A212" s="1003" t="s">
        <v>772</v>
      </c>
      <c r="B212" s="822"/>
      <c r="C212" s="822"/>
      <c r="D212" s="822"/>
      <c r="E212" s="822"/>
      <c r="F212" s="822"/>
      <c r="G212" s="822"/>
      <c r="H212" s="822"/>
      <c r="I212" s="822"/>
      <c r="J212" s="879">
        <v>42400</v>
      </c>
      <c r="K212" s="879"/>
      <c r="L212" s="879">
        <v>49200</v>
      </c>
      <c r="M212" s="879">
        <v>49500</v>
      </c>
      <c r="N212" s="879">
        <v>56500</v>
      </c>
      <c r="O212" s="879">
        <v>60700</v>
      </c>
      <c r="P212" s="879"/>
      <c r="Q212" s="879">
        <v>63600</v>
      </c>
      <c r="R212" s="879">
        <v>62400</v>
      </c>
      <c r="S212" s="879">
        <v>67200</v>
      </c>
      <c r="T212" s="879">
        <v>71900</v>
      </c>
      <c r="U212" s="879"/>
      <c r="V212" s="1007" t="s">
        <v>659</v>
      </c>
    </row>
    <row r="213" spans="1:25" hidden="1" outlineLevel="1" x14ac:dyDescent="0.25">
      <c r="A213" s="871" t="s">
        <v>773</v>
      </c>
      <c r="J213" s="839">
        <v>10100</v>
      </c>
      <c r="K213" s="839"/>
      <c r="L213" s="839">
        <v>12500</v>
      </c>
      <c r="M213" s="839">
        <v>13200</v>
      </c>
      <c r="N213" s="839">
        <v>14900</v>
      </c>
      <c r="O213" s="839">
        <v>16300</v>
      </c>
      <c r="P213" s="839"/>
      <c r="Q213" s="839">
        <v>16850</v>
      </c>
      <c r="R213" s="839">
        <v>18200</v>
      </c>
      <c r="S213" s="839">
        <v>19100</v>
      </c>
      <c r="T213" s="839">
        <v>20100</v>
      </c>
      <c r="U213" s="839"/>
      <c r="V213" s="1008" t="s">
        <v>659</v>
      </c>
    </row>
    <row r="214" spans="1:25" hidden="1" outlineLevel="1" x14ac:dyDescent="0.25">
      <c r="A214" s="871" t="s">
        <v>560</v>
      </c>
      <c r="J214" s="1009">
        <v>2512.4499999999998</v>
      </c>
      <c r="L214" s="1009">
        <v>2912.55</v>
      </c>
      <c r="M214" s="1009">
        <v>3300.6</v>
      </c>
      <c r="N214" s="1009">
        <v>3677.65</v>
      </c>
      <c r="O214" s="1009">
        <v>4208.3</v>
      </c>
      <c r="Q214" s="1009">
        <v>4392.6499999999996</v>
      </c>
      <c r="R214" s="1009">
        <v>4572.1000000000004</v>
      </c>
      <c r="S214" s="1009">
        <v>4934.6000000000004</v>
      </c>
      <c r="T214" s="1009">
        <v>5565.9</v>
      </c>
      <c r="V214" s="1010" t="s">
        <v>659</v>
      </c>
    </row>
    <row r="215" spans="1:25" s="1014" customFormat="1" hidden="1" outlineLevel="1" x14ac:dyDescent="0.25">
      <c r="A215" s="1011" t="s">
        <v>776</v>
      </c>
      <c r="B215" s="1012"/>
      <c r="C215" s="1012"/>
      <c r="D215" s="1012"/>
      <c r="E215" s="1012"/>
      <c r="F215" s="1012"/>
      <c r="G215" s="1012"/>
      <c r="H215" s="1012"/>
      <c r="I215" s="1012"/>
      <c r="J215" s="1013">
        <v>90.8</v>
      </c>
      <c r="K215" s="1012"/>
      <c r="L215" s="1013">
        <v>102.054</v>
      </c>
      <c r="M215" s="1013">
        <v>97.466999999999999</v>
      </c>
      <c r="N215" s="1013">
        <v>102.738</v>
      </c>
      <c r="O215" s="1013">
        <v>126.38800000000001</v>
      </c>
      <c r="P215" s="1012"/>
      <c r="Q215" s="1013">
        <v>128</v>
      </c>
      <c r="R215" s="1013">
        <v>124.5</v>
      </c>
      <c r="S215" s="1013">
        <v>128.35</v>
      </c>
      <c r="T215" s="1013">
        <v>154.80000000000001</v>
      </c>
      <c r="V215" s="1015" t="s">
        <v>659</v>
      </c>
    </row>
    <row r="216" spans="1:25" s="1020" customFormat="1" hidden="1" outlineLevel="1" x14ac:dyDescent="0.25">
      <c r="A216" s="1016" t="s">
        <v>777</v>
      </c>
      <c r="B216" s="1017"/>
      <c r="C216" s="1017"/>
      <c r="D216" s="1017"/>
      <c r="E216" s="1017"/>
      <c r="F216" s="1017"/>
      <c r="G216" s="1017"/>
      <c r="H216" s="1017"/>
      <c r="I216" s="1017"/>
      <c r="J216" s="1018">
        <v>79</v>
      </c>
      <c r="K216" s="1017"/>
      <c r="L216" s="1018">
        <v>92</v>
      </c>
      <c r="M216" s="1018">
        <v>86</v>
      </c>
      <c r="N216" s="1018">
        <v>94</v>
      </c>
      <c r="O216" s="1018">
        <v>112</v>
      </c>
      <c r="P216" s="1017"/>
      <c r="Q216" s="1018">
        <v>127.5</v>
      </c>
      <c r="R216" s="1019" t="s">
        <v>659</v>
      </c>
      <c r="S216" s="1019" t="s">
        <v>659</v>
      </c>
      <c r="T216" s="1019" t="s">
        <v>659</v>
      </c>
      <c r="V216" s="1021" t="s">
        <v>659</v>
      </c>
    </row>
    <row r="217" spans="1:25" s="1020" customFormat="1" hidden="1" outlineLevel="1" x14ac:dyDescent="0.25">
      <c r="A217" s="1016" t="s">
        <v>778</v>
      </c>
      <c r="B217" s="1017"/>
      <c r="C217" s="1017"/>
      <c r="D217" s="1017"/>
      <c r="E217" s="1017"/>
      <c r="F217" s="1017"/>
      <c r="G217" s="1017"/>
      <c r="H217" s="1017"/>
      <c r="I217" s="1017"/>
      <c r="J217" s="1018">
        <v>82</v>
      </c>
      <c r="K217" s="1017"/>
      <c r="L217" s="1018">
        <v>95</v>
      </c>
      <c r="M217" s="1018">
        <v>89</v>
      </c>
      <c r="N217" s="1018">
        <v>97</v>
      </c>
      <c r="O217" s="1018">
        <v>115</v>
      </c>
      <c r="P217" s="1017"/>
      <c r="Q217" s="1018">
        <v>130.5</v>
      </c>
      <c r="R217" s="1019" t="s">
        <v>659</v>
      </c>
      <c r="S217" s="1019" t="s">
        <v>659</v>
      </c>
      <c r="T217" s="1019" t="s">
        <v>659</v>
      </c>
      <c r="V217" s="1021" t="s">
        <v>659</v>
      </c>
    </row>
    <row r="218" spans="1:25" s="1014" customFormat="1" ht="15.75" hidden="1" outlineLevel="1" thickBot="1" x14ac:dyDescent="0.3">
      <c r="A218" s="1022" t="s">
        <v>779</v>
      </c>
      <c r="B218" s="1023"/>
      <c r="C218" s="1023"/>
      <c r="D218" s="1023"/>
      <c r="E218" s="1023"/>
      <c r="F218" s="1023"/>
      <c r="G218" s="1023"/>
      <c r="H218" s="1023"/>
      <c r="I218" s="1023"/>
      <c r="J218" s="1024" t="s">
        <v>659</v>
      </c>
      <c r="K218" s="1023"/>
      <c r="L218" s="1024" t="s">
        <v>659</v>
      </c>
      <c r="M218" s="1024" t="s">
        <v>659</v>
      </c>
      <c r="N218" s="1025">
        <v>6.92</v>
      </c>
      <c r="O218" s="1025">
        <v>6.62</v>
      </c>
      <c r="P218" s="1023"/>
      <c r="Q218" s="1025">
        <v>6.84</v>
      </c>
      <c r="R218" s="1025">
        <v>6.89</v>
      </c>
      <c r="S218" s="1025">
        <v>6.54</v>
      </c>
      <c r="T218" s="1025">
        <v>6.85</v>
      </c>
      <c r="U218" s="1026"/>
      <c r="V218" s="1027" t="s">
        <v>659</v>
      </c>
    </row>
    <row r="219" spans="1:25" s="1014" customFormat="1" hidden="1" outlineLevel="1" x14ac:dyDescent="0.25">
      <c r="A219" s="1028"/>
      <c r="B219" s="1012"/>
      <c r="C219" s="1012"/>
      <c r="D219" s="1012"/>
      <c r="E219" s="1012"/>
      <c r="F219" s="1012"/>
      <c r="G219" s="1012"/>
      <c r="H219" s="1012"/>
      <c r="I219" s="1012"/>
      <c r="J219" s="1028"/>
      <c r="K219" s="1012"/>
      <c r="L219" s="1028"/>
      <c r="M219" s="1028"/>
      <c r="N219" s="1029"/>
      <c r="O219" s="1029"/>
      <c r="P219" s="1012"/>
      <c r="Q219" s="1029"/>
      <c r="R219" s="1029"/>
      <c r="S219" s="1029"/>
      <c r="T219" s="1029"/>
      <c r="V219" s="1028"/>
    </row>
    <row r="220" spans="1:25" hidden="1" outlineLevel="1" x14ac:dyDescent="0.25"/>
    <row r="221" spans="1:25" collapsed="1" x14ac:dyDescent="0.25">
      <c r="A221"/>
      <c r="B221"/>
      <c r="C221"/>
      <c r="D221"/>
      <c r="E221"/>
    </row>
    <row r="222" spans="1:25" x14ac:dyDescent="0.25">
      <c r="A222" s="1031" t="s">
        <v>780</v>
      </c>
      <c r="B222" s="1031"/>
      <c r="C222" s="1031"/>
      <c r="D222" s="1031"/>
      <c r="E222" s="1031"/>
      <c r="F222" s="1031"/>
      <c r="G222" s="1031"/>
      <c r="H222" s="1031"/>
      <c r="I222" s="1031"/>
      <c r="J222" s="1031"/>
      <c r="K222" s="1031"/>
      <c r="L222" s="1031"/>
      <c r="M222" s="1031"/>
      <c r="N222" s="1031"/>
      <c r="O222" s="1031"/>
      <c r="P222" s="1031"/>
      <c r="Q222" s="1031"/>
      <c r="R222" s="1031"/>
      <c r="S222" s="1031"/>
      <c r="T222" s="1031"/>
      <c r="U222" s="1031"/>
      <c r="V222" s="1031"/>
      <c r="W222" s="1031"/>
    </row>
    <row r="223" spans="1:25" ht="15.75" thickBot="1" x14ac:dyDescent="0.3">
      <c r="A223"/>
      <c r="B223"/>
      <c r="C223"/>
      <c r="D223"/>
      <c r="E223"/>
      <c r="F223"/>
      <c r="G223"/>
      <c r="H223"/>
      <c r="I223"/>
      <c r="J223"/>
    </row>
    <row r="224" spans="1:25" ht="15.75" thickBot="1" x14ac:dyDescent="0.3">
      <c r="A224" t="s">
        <v>781</v>
      </c>
      <c r="B224" s="1189" t="str">
        <f>+B189</f>
        <v>Base Case</v>
      </c>
      <c r="C224" s="186"/>
      <c r="D224" s="1047">
        <f t="shared" ref="D224:W224" si="69">YEAR(D225)</f>
        <v>2023</v>
      </c>
      <c r="E224" s="1047">
        <f t="shared" si="69"/>
        <v>2023</v>
      </c>
      <c r="F224" s="1047">
        <f t="shared" si="69"/>
        <v>2023</v>
      </c>
      <c r="G224" s="1047">
        <f t="shared" si="69"/>
        <v>2023</v>
      </c>
      <c r="H224" s="1047">
        <f t="shared" si="69"/>
        <v>2024</v>
      </c>
      <c r="I224" s="1047">
        <f t="shared" si="69"/>
        <v>2024</v>
      </c>
      <c r="J224" s="1047">
        <f t="shared" si="69"/>
        <v>2024</v>
      </c>
      <c r="K224" s="1047">
        <f t="shared" si="69"/>
        <v>2024</v>
      </c>
      <c r="L224" s="1047">
        <f t="shared" si="69"/>
        <v>2025</v>
      </c>
      <c r="M224" s="1047">
        <f t="shared" si="69"/>
        <v>2025</v>
      </c>
      <c r="N224" s="1047">
        <f t="shared" si="69"/>
        <v>2025</v>
      </c>
      <c r="O224" s="1047">
        <f t="shared" si="69"/>
        <v>2025</v>
      </c>
      <c r="P224" s="1047">
        <f t="shared" si="69"/>
        <v>2026</v>
      </c>
      <c r="Q224" s="1047">
        <f t="shared" si="69"/>
        <v>2026</v>
      </c>
      <c r="R224" s="1047">
        <f t="shared" si="69"/>
        <v>2026</v>
      </c>
      <c r="S224" s="1047">
        <f t="shared" si="69"/>
        <v>2026</v>
      </c>
      <c r="T224" s="1047">
        <f t="shared" si="69"/>
        <v>2027</v>
      </c>
      <c r="U224" s="1047">
        <f t="shared" si="69"/>
        <v>2027</v>
      </c>
      <c r="V224" s="1047">
        <f t="shared" si="69"/>
        <v>2027</v>
      </c>
      <c r="W224" s="1047">
        <f t="shared" si="69"/>
        <v>2027</v>
      </c>
    </row>
    <row r="225" spans="1:23" ht="15.75" thickBot="1" x14ac:dyDescent="0.3">
      <c r="A225" s="1030" t="s">
        <v>280</v>
      </c>
      <c r="B225"/>
      <c r="C225" s="186"/>
      <c r="D225" s="4">
        <v>45016</v>
      </c>
      <c r="E225" s="4">
        <f>+EOMONTH(D225,3)</f>
        <v>45107</v>
      </c>
      <c r="F225" s="4">
        <f>+EOMONTH(E225,3)</f>
        <v>45199</v>
      </c>
      <c r="G225" s="4">
        <f t="shared" ref="G225:Q225" si="70">+EOMONTH(F225,3)</f>
        <v>45291</v>
      </c>
      <c r="H225" s="4">
        <f t="shared" si="70"/>
        <v>45382</v>
      </c>
      <c r="I225" s="4">
        <f t="shared" si="70"/>
        <v>45473</v>
      </c>
      <c r="J225" s="4">
        <f t="shared" si="70"/>
        <v>45565</v>
      </c>
      <c r="K225" s="4">
        <f t="shared" si="70"/>
        <v>45657</v>
      </c>
      <c r="L225" s="4">
        <f t="shared" si="70"/>
        <v>45747</v>
      </c>
      <c r="M225" s="4">
        <f t="shared" si="70"/>
        <v>45838</v>
      </c>
      <c r="N225" s="4">
        <f t="shared" si="70"/>
        <v>45930</v>
      </c>
      <c r="O225" s="4">
        <f t="shared" si="70"/>
        <v>46022</v>
      </c>
      <c r="P225" s="4">
        <f t="shared" si="70"/>
        <v>46112</v>
      </c>
      <c r="Q225" s="4">
        <f t="shared" si="70"/>
        <v>46203</v>
      </c>
      <c r="R225" s="4">
        <f>+EOMONTH(Q225,3)</f>
        <v>46295</v>
      </c>
      <c r="S225" s="4">
        <f t="shared" ref="S225:W225" si="71">+EOMONTH(R225,3)</f>
        <v>46387</v>
      </c>
      <c r="T225" s="4">
        <f t="shared" si="71"/>
        <v>46477</v>
      </c>
      <c r="U225" s="4">
        <f t="shared" si="71"/>
        <v>46568</v>
      </c>
      <c r="V225" s="4">
        <f t="shared" si="71"/>
        <v>46660</v>
      </c>
      <c r="W225" s="4">
        <f t="shared" si="71"/>
        <v>46752</v>
      </c>
    </row>
    <row r="226" spans="1:23" x14ac:dyDescent="0.25">
      <c r="A226" s="2" t="s">
        <v>782</v>
      </c>
      <c r="B226"/>
      <c r="C226" s="1044"/>
      <c r="D226" s="1238">
        <f t="shared" ref="D226:W226" ca="1" si="72">OFFSET(D$232,MATCH($B$189,$A$233:$A$235,0)+MATCH($A226,$A$232:$A$251,0)-1,0)</f>
        <v>0.4461376623376625</v>
      </c>
      <c r="E226" s="1238">
        <f t="shared" ca="1" si="72"/>
        <v>0.38470588235294123</v>
      </c>
      <c r="F226" s="1238">
        <f t="shared" ca="1" si="72"/>
        <v>0.30686695278969967</v>
      </c>
      <c r="G226" s="1238">
        <f t="shared" ca="1" si="72"/>
        <v>0.3390150879665359</v>
      </c>
      <c r="H226" s="1238">
        <f t="shared" ca="1" si="72"/>
        <v>0.2042826121707082</v>
      </c>
      <c r="I226" s="1238">
        <f t="shared" ca="1" si="72"/>
        <v>0.21070518266779947</v>
      </c>
      <c r="J226" s="1238">
        <f t="shared" ca="1" si="72"/>
        <v>0.25533661740558289</v>
      </c>
      <c r="K226" s="1238">
        <f t="shared" ca="1" si="72"/>
        <v>0.20660328645627679</v>
      </c>
      <c r="L226" s="1238">
        <f t="shared" ca="1" si="72"/>
        <v>0.15321195912803115</v>
      </c>
      <c r="M226" s="1238">
        <f t="shared" ca="1" si="72"/>
        <v>0.1580288870008496</v>
      </c>
      <c r="N226" s="1238">
        <f t="shared" ca="1" si="72"/>
        <v>0.19150246305418717</v>
      </c>
      <c r="O226" s="1238">
        <f t="shared" ca="1" si="72"/>
        <v>0.15495246484220759</v>
      </c>
      <c r="P226" s="1238">
        <f t="shared" ca="1" si="72"/>
        <v>9.1927175476818682E-2</v>
      </c>
      <c r="Q226" s="1238">
        <f t="shared" ca="1" si="72"/>
        <v>9.4817332200509766E-2</v>
      </c>
      <c r="R226" s="1238">
        <f t="shared" ca="1" si="72"/>
        <v>0.1149014778325123</v>
      </c>
      <c r="S226" s="1238">
        <f t="shared" ca="1" si="72"/>
        <v>9.2971478905324548E-2</v>
      </c>
      <c r="T226" s="1238">
        <f t="shared" ca="1" si="72"/>
        <v>4.5963587738409341E-2</v>
      </c>
      <c r="U226" s="1238">
        <f t="shared" ca="1" si="72"/>
        <v>4.7408666100254883E-2</v>
      </c>
      <c r="V226" s="1238">
        <f t="shared" ca="1" si="72"/>
        <v>5.7450738916256149E-2</v>
      </c>
      <c r="W226" s="1238">
        <f t="shared" ca="1" si="72"/>
        <v>4.6485739452662274E-2</v>
      </c>
    </row>
    <row r="227" spans="1:23" x14ac:dyDescent="0.25">
      <c r="A227" s="2" t="s">
        <v>783</v>
      </c>
      <c r="B227"/>
      <c r="C227" s="1044"/>
      <c r="D227" s="1239">
        <f t="shared" ref="D227:W227" ca="1" si="73">OFFSET(D$236,MATCH($B$189,$A$237:$A$239,0)+MATCH($A227,$A$232:$A$251,0)-5,0)</f>
        <v>0.72831707566774373</v>
      </c>
      <c r="E227" s="1239">
        <f t="shared" ca="1" si="73"/>
        <v>0.7281223449447749</v>
      </c>
      <c r="F227" s="1239">
        <f t="shared" ca="1" si="73"/>
        <v>0.74548440065681443</v>
      </c>
      <c r="G227" s="1239">
        <f t="shared" ca="1" si="73"/>
        <v>0.73999939252194513</v>
      </c>
      <c r="H227" s="1239">
        <f t="shared" ca="1" si="73"/>
        <v>0.72408650260999252</v>
      </c>
      <c r="I227" s="1239">
        <f t="shared" ca="1" si="73"/>
        <v>0.72631578947368425</v>
      </c>
      <c r="J227" s="1239">
        <f t="shared" ca="1" si="73"/>
        <v>0.72727272727272729</v>
      </c>
      <c r="K227" s="1239">
        <f t="shared" ca="1" si="73"/>
        <v>0.72938955317809939</v>
      </c>
      <c r="L227" s="1239">
        <f t="shared" ca="1" si="73"/>
        <v>0.72408650260999252</v>
      </c>
      <c r="M227" s="1239">
        <f t="shared" ca="1" si="73"/>
        <v>0.72631578947368425</v>
      </c>
      <c r="N227" s="1239">
        <f t="shared" ca="1" si="73"/>
        <v>0.72727272727272729</v>
      </c>
      <c r="O227" s="1239">
        <f t="shared" ca="1" si="73"/>
        <v>0.72938955317809939</v>
      </c>
      <c r="P227" s="1239">
        <f t="shared" ca="1" si="73"/>
        <v>0.72408650260999252</v>
      </c>
      <c r="Q227" s="1239">
        <f t="shared" ca="1" si="73"/>
        <v>0.72631578947368425</v>
      </c>
      <c r="R227" s="1239">
        <f t="shared" ca="1" si="73"/>
        <v>0.72727272727272729</v>
      </c>
      <c r="S227" s="1239">
        <f t="shared" ca="1" si="73"/>
        <v>0.72938955317809939</v>
      </c>
      <c r="T227" s="1239">
        <f t="shared" ca="1" si="73"/>
        <v>0.72408650260999252</v>
      </c>
      <c r="U227" s="1239">
        <f t="shared" ca="1" si="73"/>
        <v>0.72631578947368425</v>
      </c>
      <c r="V227" s="1239">
        <f t="shared" ca="1" si="73"/>
        <v>0.72727272727272729</v>
      </c>
      <c r="W227" s="1239">
        <f t="shared" ca="1" si="73"/>
        <v>0.72938955317809939</v>
      </c>
    </row>
    <row r="228" spans="1:23" x14ac:dyDescent="0.25">
      <c r="A228" s="2" t="s">
        <v>784</v>
      </c>
      <c r="B228"/>
      <c r="C228" s="1044"/>
      <c r="D228" s="1239">
        <f t="shared" ref="D228:W228" ca="1" si="74">OFFSET(D$240,MATCH($B$189,$A$241:$A$243,0)+MATCH($A228,$A$232:$A$251,0)-9,0)</f>
        <v>0.3053028810637774</v>
      </c>
      <c r="E228" s="1239">
        <f t="shared" ca="1" si="74"/>
        <v>0.30157728599551964</v>
      </c>
      <c r="F228" s="1239">
        <f t="shared" ca="1" si="74"/>
        <v>0.33183807838442719</v>
      </c>
      <c r="G228" s="1239">
        <f t="shared" ca="1" si="74"/>
        <v>0.32457466481738323</v>
      </c>
      <c r="H228" s="1239">
        <f t="shared" ca="1" si="74"/>
        <v>0.29530288106377739</v>
      </c>
      <c r="I228" s="1239">
        <f t="shared" ca="1" si="74"/>
        <v>0.29157728599551963</v>
      </c>
      <c r="J228" s="1239">
        <f t="shared" ca="1" si="74"/>
        <v>0.32183807838442718</v>
      </c>
      <c r="K228" s="1239">
        <f t="shared" ca="1" si="74"/>
        <v>0.31457466481738322</v>
      </c>
      <c r="L228" s="1239">
        <f t="shared" ca="1" si="74"/>
        <v>0.29530288106377739</v>
      </c>
      <c r="M228" s="1239">
        <f t="shared" ca="1" si="74"/>
        <v>0.29157728599551963</v>
      </c>
      <c r="N228" s="1239">
        <f t="shared" ca="1" si="74"/>
        <v>0.32183807838442718</v>
      </c>
      <c r="O228" s="1239">
        <f t="shared" ca="1" si="74"/>
        <v>0.31457466481738322</v>
      </c>
      <c r="P228" s="1239">
        <f t="shared" ca="1" si="74"/>
        <v>0.29530288106377739</v>
      </c>
      <c r="Q228" s="1239">
        <f t="shared" ca="1" si="74"/>
        <v>0.29157728599551963</v>
      </c>
      <c r="R228" s="1239">
        <f t="shared" ca="1" si="74"/>
        <v>0.32183807838442718</v>
      </c>
      <c r="S228" s="1239">
        <f t="shared" ca="1" si="74"/>
        <v>0.31457466481738322</v>
      </c>
      <c r="T228" s="1239">
        <f t="shared" ca="1" si="74"/>
        <v>0.29530288106377739</v>
      </c>
      <c r="U228" s="1239">
        <f t="shared" ca="1" si="74"/>
        <v>0.29157728599551963</v>
      </c>
      <c r="V228" s="1239">
        <f t="shared" ca="1" si="74"/>
        <v>0.32183807838442718</v>
      </c>
      <c r="W228" s="1239">
        <f t="shared" ca="1" si="74"/>
        <v>0.31457466481738322</v>
      </c>
    </row>
    <row r="229" spans="1:23" x14ac:dyDescent="0.25">
      <c r="A229" s="2" t="s">
        <v>785</v>
      </c>
      <c r="B229"/>
      <c r="C229" s="1044"/>
      <c r="D229" s="1239">
        <f t="shared" ref="D229:W229" ca="1" si="75">OFFSET(D$244,MATCH($B$189,$A$245:$A$247,0)+MATCH($A229,$A$232:$A$251,0)-13,0)</f>
        <v>0.16135299187392266</v>
      </c>
      <c r="E229" s="1239">
        <f t="shared" ca="1" si="75"/>
        <v>0.14758012581178015</v>
      </c>
      <c r="F229" s="1239">
        <f t="shared" ca="1" si="75"/>
        <v>0.15780973819809502</v>
      </c>
      <c r="G229" s="1239">
        <f t="shared" ca="1" si="75"/>
        <v>0.15717683772538144</v>
      </c>
      <c r="H229" s="1239">
        <f t="shared" ca="1" si="75"/>
        <v>0.14635299187392264</v>
      </c>
      <c r="I229" s="1239">
        <f t="shared" ca="1" si="75"/>
        <v>0.13258012581178014</v>
      </c>
      <c r="J229" s="1239">
        <f t="shared" ca="1" si="75"/>
        <v>0.142809738198095</v>
      </c>
      <c r="K229" s="1239">
        <f t="shared" ca="1" si="75"/>
        <v>0.14217683772538142</v>
      </c>
      <c r="L229" s="1239">
        <f t="shared" ca="1" si="75"/>
        <v>0.14635299187392264</v>
      </c>
      <c r="M229" s="1239">
        <f t="shared" ca="1" si="75"/>
        <v>0.13258012581178014</v>
      </c>
      <c r="N229" s="1239">
        <f t="shared" ca="1" si="75"/>
        <v>0.142809738198095</v>
      </c>
      <c r="O229" s="1239">
        <f t="shared" ca="1" si="75"/>
        <v>0.14217683772538142</v>
      </c>
      <c r="P229" s="1239">
        <f t="shared" ca="1" si="75"/>
        <v>0.14635299187392264</v>
      </c>
      <c r="Q229" s="1239">
        <f t="shared" ca="1" si="75"/>
        <v>0.13258012581178014</v>
      </c>
      <c r="R229" s="1239">
        <f t="shared" ca="1" si="75"/>
        <v>0.142809738198095</v>
      </c>
      <c r="S229" s="1239">
        <f t="shared" ca="1" si="75"/>
        <v>0.14217683772538142</v>
      </c>
      <c r="T229" s="1239">
        <f t="shared" ca="1" si="75"/>
        <v>0.14635299187392264</v>
      </c>
      <c r="U229" s="1239">
        <f t="shared" ca="1" si="75"/>
        <v>0.13258012581178014</v>
      </c>
      <c r="V229" s="1239">
        <f t="shared" ca="1" si="75"/>
        <v>0.142809738198095</v>
      </c>
      <c r="W229" s="1239">
        <f t="shared" ca="1" si="75"/>
        <v>0.14217683772538142</v>
      </c>
    </row>
    <row r="230" spans="1:23" x14ac:dyDescent="0.25">
      <c r="A230" s="2" t="s">
        <v>786</v>
      </c>
      <c r="B230"/>
      <c r="C230" s="1044"/>
      <c r="D230" s="1239">
        <f t="shared" ref="D230:W230" ca="1" si="76">OFFSET(D$248,MATCH($B$189,$A$249:$A$251,0)+MATCH($A230,$A$232:$A$251,0)-17,0)</f>
        <v>0.17673097759172618</v>
      </c>
      <c r="E230" s="1239">
        <f t="shared" ca="1" si="76"/>
        <v>0.18869523453940668</v>
      </c>
      <c r="F230" s="1239">
        <f t="shared" ca="1" si="76"/>
        <v>0.17286204653099463</v>
      </c>
      <c r="G230" s="1239">
        <f t="shared" ca="1" si="76"/>
        <v>0.16903344120819846</v>
      </c>
      <c r="H230" s="1239">
        <f t="shared" ca="1" si="76"/>
        <v>0.16673097759172617</v>
      </c>
      <c r="I230" s="1239">
        <f t="shared" ca="1" si="76"/>
        <v>0.17869523453940667</v>
      </c>
      <c r="J230" s="1239">
        <f t="shared" ca="1" si="76"/>
        <v>0.16286204653099462</v>
      </c>
      <c r="K230" s="1239">
        <f t="shared" ca="1" si="76"/>
        <v>0.15903344120819846</v>
      </c>
      <c r="L230" s="1239">
        <f t="shared" ca="1" si="76"/>
        <v>0.16673097759172617</v>
      </c>
      <c r="M230" s="1239">
        <f t="shared" ca="1" si="76"/>
        <v>0.17869523453940667</v>
      </c>
      <c r="N230" s="1239">
        <f t="shared" ca="1" si="76"/>
        <v>0.16286204653099462</v>
      </c>
      <c r="O230" s="1239">
        <f t="shared" ca="1" si="76"/>
        <v>0.15903344120819846</v>
      </c>
      <c r="P230" s="1239">
        <f t="shared" ca="1" si="76"/>
        <v>0.16673097759172617</v>
      </c>
      <c r="Q230" s="1239">
        <f t="shared" ca="1" si="76"/>
        <v>0.17869523453940667</v>
      </c>
      <c r="R230" s="1239">
        <f t="shared" ca="1" si="76"/>
        <v>0.16286204653099462</v>
      </c>
      <c r="S230" s="1239">
        <f t="shared" ca="1" si="76"/>
        <v>0.15903344120819846</v>
      </c>
      <c r="T230" s="1239">
        <f t="shared" ca="1" si="76"/>
        <v>0.16673097759172617</v>
      </c>
      <c r="U230" s="1239">
        <f t="shared" ca="1" si="76"/>
        <v>0.17869523453940667</v>
      </c>
      <c r="V230" s="1239">
        <f t="shared" ca="1" si="76"/>
        <v>0.16286204653099462</v>
      </c>
      <c r="W230" s="1239">
        <f t="shared" ca="1" si="76"/>
        <v>0.15903344120819846</v>
      </c>
    </row>
    <row r="231" spans="1:23" x14ac:dyDescent="0.25">
      <c r="A231"/>
      <c r="B231"/>
      <c r="C231"/>
      <c r="D231" s="1184"/>
      <c r="E231" s="1184"/>
      <c r="F231" s="1184"/>
      <c r="G231" s="1184"/>
      <c r="H231" s="1184"/>
      <c r="I231" s="1184"/>
      <c r="J231" s="1184"/>
      <c r="K231" s="1185"/>
      <c r="L231" s="1185"/>
      <c r="M231" s="1185"/>
      <c r="N231" s="1185"/>
      <c r="O231" s="1185"/>
      <c r="P231" s="1185"/>
      <c r="Q231" s="1185"/>
      <c r="R231" s="1185"/>
      <c r="S231" s="1184"/>
      <c r="T231" s="1184"/>
      <c r="U231" s="1184"/>
      <c r="V231" s="1184"/>
      <c r="W231" s="1184"/>
    </row>
    <row r="232" spans="1:23" x14ac:dyDescent="0.25">
      <c r="A232" s="2" t="s">
        <v>782</v>
      </c>
      <c r="B232"/>
      <c r="C232"/>
      <c r="D232" s="1184"/>
      <c r="E232" s="1184"/>
      <c r="F232" s="1184"/>
      <c r="G232" s="1184"/>
      <c r="H232" s="1184"/>
      <c r="I232" s="1184"/>
      <c r="J232" s="1184"/>
      <c r="K232" s="1185"/>
      <c r="L232" s="1185"/>
      <c r="M232" s="1185"/>
      <c r="N232" s="1185"/>
      <c r="O232" s="1185"/>
      <c r="P232" s="1185"/>
      <c r="Q232" s="1185"/>
      <c r="R232" s="1185"/>
      <c r="S232" s="1184"/>
      <c r="T232" s="1184"/>
      <c r="U232" s="1184"/>
      <c r="V232" s="1184"/>
      <c r="W232" s="1184"/>
    </row>
    <row r="233" spans="1:23" x14ac:dyDescent="0.25">
      <c r="A233" s="888" t="s">
        <v>65</v>
      </c>
      <c r="B233"/>
      <c r="C233" s="1045"/>
      <c r="D233" s="1032">
        <f>+N122</f>
        <v>0.4461376623376625</v>
      </c>
      <c r="E233" s="1032">
        <f>+O122</f>
        <v>0.38470588235294123</v>
      </c>
      <c r="F233" s="1032">
        <f>+P122</f>
        <v>0.30686695278969967</v>
      </c>
      <c r="G233" s="1032">
        <f>+Q122</f>
        <v>0.3390150879665359</v>
      </c>
      <c r="H233" s="1032">
        <f>+N123</f>
        <v>0.2042826121707082</v>
      </c>
      <c r="I233" s="1032">
        <f>+O123</f>
        <v>0.21070518266779947</v>
      </c>
      <c r="J233" s="1032">
        <f>+P123</f>
        <v>0.25533661740558289</v>
      </c>
      <c r="K233" s="1032">
        <f>+Q123</f>
        <v>0.20660328645627679</v>
      </c>
      <c r="L233" s="1033">
        <f>+N125</f>
        <v>0.16342608973656658</v>
      </c>
      <c r="M233" s="1033">
        <f>+O125</f>
        <v>0.16856414613423959</v>
      </c>
      <c r="N233" s="1033">
        <f>+P125</f>
        <v>0.20426929392446633</v>
      </c>
      <c r="O233" s="1033">
        <f>+Q125</f>
        <v>0.16528262916502146</v>
      </c>
      <c r="P233" s="1033">
        <f>+N127</f>
        <v>0.1389121762760816</v>
      </c>
      <c r="Q233" s="1033">
        <f>+O127</f>
        <v>0.14327952421410364</v>
      </c>
      <c r="R233" s="1033">
        <f>+P127</f>
        <v>0.17362889983579638</v>
      </c>
      <c r="S233" s="1033">
        <f>+Q127</f>
        <v>0.14049023479026823</v>
      </c>
      <c r="T233" s="1032">
        <f>+N129</f>
        <v>0.11807534983466936</v>
      </c>
      <c r="U233" s="1032">
        <f>+O129</f>
        <v>0.1217875955819881</v>
      </c>
      <c r="V233" s="1032">
        <f>+P129</f>
        <v>0.14758456486042693</v>
      </c>
      <c r="W233" s="1032">
        <f>+Q129</f>
        <v>0.119416699571728</v>
      </c>
    </row>
    <row r="234" spans="1:23" x14ac:dyDescent="0.25">
      <c r="A234" s="888" t="s">
        <v>64</v>
      </c>
      <c r="B234"/>
      <c r="C234" s="981"/>
      <c r="D234" s="1032">
        <f>+H122</f>
        <v>0.4461376623376625</v>
      </c>
      <c r="E234" s="1032">
        <f>+I122</f>
        <v>0.38470588235294123</v>
      </c>
      <c r="F234" s="1032">
        <f>+J122</f>
        <v>0.30686695278969967</v>
      </c>
      <c r="G234" s="1032">
        <f>+K122</f>
        <v>0.3390150879665359</v>
      </c>
      <c r="H234" s="1032">
        <f>+H123</f>
        <v>0.2042826121707082</v>
      </c>
      <c r="I234" s="1032">
        <f>+I123</f>
        <v>0.21070518266779947</v>
      </c>
      <c r="J234" s="1032">
        <f>+J123</f>
        <v>0.25533661740558289</v>
      </c>
      <c r="K234" s="1032">
        <f>+K123</f>
        <v>0.20660328645627679</v>
      </c>
      <c r="L234" s="1033">
        <f>+H125</f>
        <v>0.15321195912803115</v>
      </c>
      <c r="M234" s="1033">
        <f t="shared" ref="M234:O234" si="77">+I125</f>
        <v>0.1580288870008496</v>
      </c>
      <c r="N234" s="1033">
        <f t="shared" si="77"/>
        <v>0.19150246305418717</v>
      </c>
      <c r="O234" s="1033">
        <f t="shared" si="77"/>
        <v>0.15495246484220759</v>
      </c>
      <c r="P234" s="1033">
        <f>+H127</f>
        <v>9.1927175476818682E-2</v>
      </c>
      <c r="Q234" s="1033">
        <f>+I127</f>
        <v>9.4817332200509766E-2</v>
      </c>
      <c r="R234" s="1033">
        <f>+J127</f>
        <v>0.1149014778325123</v>
      </c>
      <c r="S234" s="1033">
        <f>+K127</f>
        <v>9.2971478905324548E-2</v>
      </c>
      <c r="T234" s="1032">
        <f>+H129</f>
        <v>4.5963587738409341E-2</v>
      </c>
      <c r="U234" s="1032">
        <f>+I129</f>
        <v>4.7408666100254883E-2</v>
      </c>
      <c r="V234" s="1032">
        <f>+J129</f>
        <v>5.7450738916256149E-2</v>
      </c>
      <c r="W234" s="1032">
        <f>+K129</f>
        <v>4.6485739452662274E-2</v>
      </c>
    </row>
    <row r="235" spans="1:23" x14ac:dyDescent="0.25">
      <c r="A235" s="888" t="s">
        <v>71</v>
      </c>
      <c r="B235"/>
      <c r="C235" s="1045"/>
      <c r="D235" s="1032">
        <f>+B122</f>
        <v>0.4461376623376625</v>
      </c>
      <c r="E235" s="1032">
        <f>+C122</f>
        <v>0.38470588235294123</v>
      </c>
      <c r="F235" s="1032">
        <f>+D122</f>
        <v>0.30686695278969967</v>
      </c>
      <c r="G235" s="1032">
        <f>+E122</f>
        <v>0.3390150879665359</v>
      </c>
      <c r="H235" s="1032">
        <f>+B123</f>
        <v>0.2042826121707082</v>
      </c>
      <c r="I235" s="1032">
        <f>+C123</f>
        <v>0.21070518266779947</v>
      </c>
      <c r="J235" s="1032">
        <f>+D123</f>
        <v>0.25533661740558289</v>
      </c>
      <c r="K235" s="1032">
        <f>+E123</f>
        <v>0.20660328645627679</v>
      </c>
      <c r="L235" s="1033">
        <f>+B125</f>
        <v>0.12256956730242491</v>
      </c>
      <c r="M235" s="1033">
        <f t="shared" ref="M235:O235" si="78">+C125</f>
        <v>0.12642310960067968</v>
      </c>
      <c r="N235" s="1033">
        <f t="shared" si="78"/>
        <v>0.15320197044334974</v>
      </c>
      <c r="O235" s="1033">
        <f t="shared" si="78"/>
        <v>0.12396197187376606</v>
      </c>
      <c r="P235" s="1033">
        <f>+B127</f>
        <v>6.74132620163337E-2</v>
      </c>
      <c r="Q235" s="1033">
        <f>+C127</f>
        <v>6.9532710280373833E-2</v>
      </c>
      <c r="R235" s="1033">
        <f>+D127</f>
        <v>8.4261083743842363E-2</v>
      </c>
      <c r="S235" s="1033">
        <f>+E127</f>
        <v>6.8179084530571338E-2</v>
      </c>
      <c r="T235" s="1032">
        <f>+B129</f>
        <v>3.370663100816685E-2</v>
      </c>
      <c r="U235" s="1032">
        <f>+C129</f>
        <v>3.4766355140186916E-2</v>
      </c>
      <c r="V235" s="1032">
        <f>+D129</f>
        <v>4.2130541871921182E-2</v>
      </c>
      <c r="W235" s="1032">
        <f>+E129</f>
        <v>3.4089542265285669E-2</v>
      </c>
    </row>
    <row r="236" spans="1:23" x14ac:dyDescent="0.25">
      <c r="A236" s="2" t="s">
        <v>783</v>
      </c>
      <c r="B236"/>
      <c r="C236" s="981"/>
      <c r="D236" s="1032"/>
      <c r="E236" s="1032"/>
      <c r="F236" s="1032"/>
      <c r="G236" s="1032"/>
      <c r="H236" s="1032"/>
      <c r="I236" s="1032"/>
      <c r="J236" s="1032"/>
      <c r="K236" s="1033"/>
      <c r="L236" s="1033"/>
      <c r="M236" s="1033"/>
      <c r="N236" s="1033"/>
      <c r="O236" s="1033"/>
      <c r="P236" s="1033"/>
      <c r="Q236" s="1033"/>
      <c r="R236" s="1033"/>
      <c r="S236" s="1032"/>
      <c r="T236" s="1032"/>
      <c r="U236" s="1032"/>
      <c r="V236" s="1032"/>
      <c r="W236" s="1032"/>
    </row>
    <row r="237" spans="1:23" x14ac:dyDescent="0.25">
      <c r="A237" s="888" t="s">
        <v>65</v>
      </c>
      <c r="B237"/>
      <c r="C237" s="1045"/>
      <c r="D237" s="1032">
        <f>+N133</f>
        <v>0.72831707566774373</v>
      </c>
      <c r="E237" s="1032">
        <f>+O133</f>
        <v>0.7281223449447749</v>
      </c>
      <c r="F237" s="1032">
        <f>+P133</f>
        <v>0.74548440065681443</v>
      </c>
      <c r="G237" s="1032">
        <f>+Q133</f>
        <v>0.73999939252194513</v>
      </c>
      <c r="H237" s="1032">
        <f>+N134</f>
        <v>0.72408650260999252</v>
      </c>
      <c r="I237" s="1032">
        <f>+O134</f>
        <v>0.72631578947368425</v>
      </c>
      <c r="J237" s="1032">
        <f>+P134</f>
        <v>0.72727272727272729</v>
      </c>
      <c r="K237" s="1032">
        <f>+Q134</f>
        <v>0.72938955317809939</v>
      </c>
      <c r="L237" s="1032">
        <f>+N136</f>
        <v>0.72908650260999253</v>
      </c>
      <c r="M237" s="1032">
        <f>+O136</f>
        <v>0.73131578947368425</v>
      </c>
      <c r="N237" s="1032">
        <f>+P136</f>
        <v>0.7322727272727273</v>
      </c>
      <c r="O237" s="1032">
        <f>+Q136</f>
        <v>0.7343895531780994</v>
      </c>
      <c r="P237" s="1032">
        <f>+N138</f>
        <v>0.72908650260999253</v>
      </c>
      <c r="Q237" s="1032">
        <f>+O138</f>
        <v>0.73131578947368425</v>
      </c>
      <c r="R237" s="1032">
        <f>+P138</f>
        <v>0.7322727272727273</v>
      </c>
      <c r="S237" s="1032">
        <f>+Q138</f>
        <v>0.7343895531780994</v>
      </c>
      <c r="T237" s="1032">
        <f>+N140</f>
        <v>0.72908650260999253</v>
      </c>
      <c r="U237" s="1032">
        <f>+O140</f>
        <v>0.73131578947368425</v>
      </c>
      <c r="V237" s="1032">
        <f>+P140</f>
        <v>0.7322727272727273</v>
      </c>
      <c r="W237" s="1032">
        <f>+Q140</f>
        <v>0.7343895531780994</v>
      </c>
    </row>
    <row r="238" spans="1:23" x14ac:dyDescent="0.25">
      <c r="A238" s="888" t="s">
        <v>64</v>
      </c>
      <c r="B238"/>
      <c r="C238" s="981"/>
      <c r="D238" s="1032">
        <f>+H133</f>
        <v>0.72831707566774373</v>
      </c>
      <c r="E238" s="1032">
        <f>+I133</f>
        <v>0.7281223449447749</v>
      </c>
      <c r="F238" s="1032">
        <f>+J133</f>
        <v>0.74548440065681443</v>
      </c>
      <c r="G238" s="1032">
        <f>+K133</f>
        <v>0.73999939252194513</v>
      </c>
      <c r="H238" s="1032">
        <f>+H134</f>
        <v>0.72408650260999252</v>
      </c>
      <c r="I238" s="1032">
        <f>+I134</f>
        <v>0.72631578947368425</v>
      </c>
      <c r="J238" s="1032">
        <f>+J134</f>
        <v>0.72727272727272729</v>
      </c>
      <c r="K238" s="1032">
        <f>+K134</f>
        <v>0.72938955317809939</v>
      </c>
      <c r="L238" s="1033">
        <f>+H136</f>
        <v>0.72408650260999252</v>
      </c>
      <c r="M238" s="1033">
        <f>+I136</f>
        <v>0.72631578947368425</v>
      </c>
      <c r="N238" s="1033">
        <f>+J136</f>
        <v>0.72727272727272729</v>
      </c>
      <c r="O238" s="1033">
        <f>+K136</f>
        <v>0.72938955317809939</v>
      </c>
      <c r="P238" s="1033">
        <f>+H138</f>
        <v>0.72408650260999252</v>
      </c>
      <c r="Q238" s="1033">
        <f>+I138</f>
        <v>0.72631578947368425</v>
      </c>
      <c r="R238" s="1033">
        <f>+J138</f>
        <v>0.72727272727272729</v>
      </c>
      <c r="S238" s="1033">
        <f>+K138</f>
        <v>0.72938955317809939</v>
      </c>
      <c r="T238" s="1032">
        <f>+H140</f>
        <v>0.72408650260999252</v>
      </c>
      <c r="U238" s="1032">
        <f>+I140</f>
        <v>0.72631578947368425</v>
      </c>
      <c r="V238" s="1032">
        <f>+J140</f>
        <v>0.72727272727272729</v>
      </c>
      <c r="W238" s="1032">
        <f>+K140</f>
        <v>0.72938955317809939</v>
      </c>
    </row>
    <row r="239" spans="1:23" x14ac:dyDescent="0.25">
      <c r="A239" s="888" t="s">
        <v>71</v>
      </c>
      <c r="B239"/>
      <c r="C239" s="1045"/>
      <c r="D239" s="1032">
        <f>+B133</f>
        <v>0.72831707566774373</v>
      </c>
      <c r="E239" s="1032">
        <f>+C133</f>
        <v>0.7281223449447749</v>
      </c>
      <c r="F239" s="1032">
        <f>+D133</f>
        <v>0.74548440065681443</v>
      </c>
      <c r="G239" s="1032">
        <f>+E133</f>
        <v>0.73999939252194513</v>
      </c>
      <c r="H239" s="1032">
        <f>+B134</f>
        <v>0.72408650260999252</v>
      </c>
      <c r="I239" s="1032">
        <f>+C134</f>
        <v>0.72631578947368425</v>
      </c>
      <c r="J239" s="1032">
        <f>+D134</f>
        <v>0.72727272727272729</v>
      </c>
      <c r="K239" s="1032">
        <f>+E134</f>
        <v>0.72938955317809939</v>
      </c>
      <c r="L239" s="1033">
        <f>+B136</f>
        <v>0.72408650260999252</v>
      </c>
      <c r="M239" s="1033">
        <f>+C136</f>
        <v>0.72631578947368425</v>
      </c>
      <c r="N239" s="1033">
        <f>+D136</f>
        <v>0.72727272727272729</v>
      </c>
      <c r="O239" s="1033">
        <f>+E136</f>
        <v>0.72938955317809939</v>
      </c>
      <c r="P239" s="1033">
        <f>+B138</f>
        <v>0.72408650260999252</v>
      </c>
      <c r="Q239" s="1033">
        <f>+C138</f>
        <v>0.72631578947368425</v>
      </c>
      <c r="R239" s="1033">
        <f>+D138</f>
        <v>0.72727272727272729</v>
      </c>
      <c r="S239" s="1033">
        <f>+E138</f>
        <v>0.72938955317809939</v>
      </c>
      <c r="T239" s="1032">
        <f>+B140</f>
        <v>0.72408650260999252</v>
      </c>
      <c r="U239" s="1032">
        <f>+C140</f>
        <v>0.72631578947368425</v>
      </c>
      <c r="V239" s="1032">
        <f>+D140</f>
        <v>0.72727272727272729</v>
      </c>
      <c r="W239" s="1032">
        <f>+E140</f>
        <v>0.72938955317809939</v>
      </c>
    </row>
    <row r="240" spans="1:23" x14ac:dyDescent="0.25">
      <c r="A240" s="2" t="s">
        <v>784</v>
      </c>
      <c r="B240"/>
      <c r="C240" s="981"/>
      <c r="D240" s="1032"/>
      <c r="E240" s="1032"/>
      <c r="F240" s="1032"/>
      <c r="G240" s="1032"/>
      <c r="H240" s="1032"/>
      <c r="I240" s="1032"/>
      <c r="J240" s="1032"/>
      <c r="K240" s="1033"/>
      <c r="L240" s="1033"/>
      <c r="M240" s="1033"/>
      <c r="N240" s="1033"/>
      <c r="O240" s="1033"/>
      <c r="P240" s="1033"/>
      <c r="Q240" s="1033"/>
      <c r="R240" s="1033"/>
      <c r="S240" s="1032"/>
      <c r="T240" s="1032"/>
      <c r="U240" s="1032"/>
      <c r="V240" s="1032"/>
      <c r="W240" s="1032"/>
    </row>
    <row r="241" spans="1:23" x14ac:dyDescent="0.25">
      <c r="A241" s="888" t="s">
        <v>65</v>
      </c>
      <c r="B241"/>
      <c r="C241" s="1045"/>
      <c r="D241" s="1032">
        <f>+N146</f>
        <v>0.3053028810637774</v>
      </c>
      <c r="E241" s="1032">
        <f>+O146</f>
        <v>0.30157728599551964</v>
      </c>
      <c r="F241" s="1032">
        <f>+P146</f>
        <v>0.33183807838442719</v>
      </c>
      <c r="G241" s="1032">
        <f>+Q146</f>
        <v>0.32457466481738323</v>
      </c>
      <c r="H241" s="1032">
        <f>+N148</f>
        <v>0.29280288106377739</v>
      </c>
      <c r="I241" s="1032">
        <f>+O148</f>
        <v>0.28907728599551963</v>
      </c>
      <c r="J241" s="1032">
        <f>+P148</f>
        <v>0.31933807838442718</v>
      </c>
      <c r="K241" s="1032">
        <f>+Q148</f>
        <v>0.31207466481738322</v>
      </c>
      <c r="L241" s="1032">
        <f>+N150</f>
        <v>0.29280288106377739</v>
      </c>
      <c r="M241" s="1032">
        <f>+O150</f>
        <v>0.28907728599551963</v>
      </c>
      <c r="N241" s="1032">
        <f>+P150</f>
        <v>0.31933807838442718</v>
      </c>
      <c r="O241" s="1032">
        <f>+Q150</f>
        <v>0.31207466481738322</v>
      </c>
      <c r="P241" s="1032">
        <f>+N152</f>
        <v>0.29280288106377739</v>
      </c>
      <c r="Q241" s="1032">
        <f>+O152</f>
        <v>0.28907728599551963</v>
      </c>
      <c r="R241" s="1032">
        <f>+P152</f>
        <v>0.31933807838442718</v>
      </c>
      <c r="S241" s="1032">
        <f>+Q152</f>
        <v>0.31207466481738322</v>
      </c>
      <c r="T241" s="1032">
        <f>+N154</f>
        <v>0.29280288106377739</v>
      </c>
      <c r="U241" s="1032">
        <f>+O154</f>
        <v>0.28907728599551963</v>
      </c>
      <c r="V241" s="1032">
        <f>+P154</f>
        <v>0.31933807838442718</v>
      </c>
      <c r="W241" s="1032">
        <f>+Q154</f>
        <v>0.31207466481738322</v>
      </c>
    </row>
    <row r="242" spans="1:23" x14ac:dyDescent="0.25">
      <c r="A242" s="888" t="s">
        <v>64</v>
      </c>
      <c r="B242"/>
      <c r="C242" s="981"/>
      <c r="D242" s="1032">
        <f>+H146</f>
        <v>0.3053028810637774</v>
      </c>
      <c r="E242" s="1032">
        <f>+I146</f>
        <v>0.30157728599551964</v>
      </c>
      <c r="F242" s="1032">
        <f>+J146</f>
        <v>0.33183807838442719</v>
      </c>
      <c r="G242" s="1032">
        <f>+K146</f>
        <v>0.32457466481738323</v>
      </c>
      <c r="H242" s="1032">
        <f>+H148</f>
        <v>0.29530288106377739</v>
      </c>
      <c r="I242" s="1032">
        <f>+I148</f>
        <v>0.29157728599551963</v>
      </c>
      <c r="J242" s="1032">
        <f>+J148</f>
        <v>0.32183807838442718</v>
      </c>
      <c r="K242" s="1032">
        <f>+K148</f>
        <v>0.31457466481738322</v>
      </c>
      <c r="L242" s="1033">
        <f>+H150</f>
        <v>0.29530288106377739</v>
      </c>
      <c r="M242" s="1033">
        <f>+I150</f>
        <v>0.29157728599551963</v>
      </c>
      <c r="N242" s="1033">
        <f>+J150</f>
        <v>0.32183807838442718</v>
      </c>
      <c r="O242" s="1033">
        <f>+K150</f>
        <v>0.31457466481738322</v>
      </c>
      <c r="P242" s="1033">
        <f>+H152</f>
        <v>0.29530288106377739</v>
      </c>
      <c r="Q242" s="1033">
        <f>+I152</f>
        <v>0.29157728599551963</v>
      </c>
      <c r="R242" s="1033">
        <f>+J152</f>
        <v>0.32183807838442718</v>
      </c>
      <c r="S242" s="1033">
        <f>+K152</f>
        <v>0.31457466481738322</v>
      </c>
      <c r="T242" s="1032">
        <f>+H154</f>
        <v>0.29530288106377739</v>
      </c>
      <c r="U242" s="1032">
        <f>+I154</f>
        <v>0.29157728599551963</v>
      </c>
      <c r="V242" s="1032">
        <f>+J154</f>
        <v>0.32183807838442718</v>
      </c>
      <c r="W242" s="1032">
        <f>+K154</f>
        <v>0.31457466481738322</v>
      </c>
    </row>
    <row r="243" spans="1:23" x14ac:dyDescent="0.25">
      <c r="A243" s="888" t="s">
        <v>71</v>
      </c>
      <c r="B243"/>
      <c r="C243" s="1045"/>
      <c r="D243" s="1032">
        <f>+B146</f>
        <v>0.32030288106377741</v>
      </c>
      <c r="E243" s="1032">
        <f>+C146</f>
        <v>0.31657728599551965</v>
      </c>
      <c r="F243" s="1032">
        <f>+D146</f>
        <v>0.34683807838442721</v>
      </c>
      <c r="G243" s="1032">
        <f>+E146</f>
        <v>0.33957466481738324</v>
      </c>
      <c r="H243" s="1032">
        <f>+B148</f>
        <v>0.32030288106377741</v>
      </c>
      <c r="I243" s="1032">
        <f>+C148</f>
        <v>0.31657728599551965</v>
      </c>
      <c r="J243" s="1032">
        <f>+D148</f>
        <v>0.34683807838442721</v>
      </c>
      <c r="K243" s="1032">
        <f>+E148</f>
        <v>0.33957466481738324</v>
      </c>
      <c r="L243" s="1033">
        <f>+B150</f>
        <v>0.32030288106377741</v>
      </c>
      <c r="M243" s="1033">
        <f>+C150</f>
        <v>0.31657728599551965</v>
      </c>
      <c r="N243" s="1033">
        <f>+D150</f>
        <v>0.34683807838442721</v>
      </c>
      <c r="O243" s="1033">
        <f>+E150</f>
        <v>0.33957466481738324</v>
      </c>
      <c r="P243" s="1033">
        <f>+B152</f>
        <v>0.32030288106377741</v>
      </c>
      <c r="Q243" s="1033">
        <f>+C152</f>
        <v>0.31657728599551965</v>
      </c>
      <c r="R243" s="1033">
        <f>+D152</f>
        <v>0.34683807838442721</v>
      </c>
      <c r="S243" s="1033">
        <f>+E152</f>
        <v>0.33957466481738324</v>
      </c>
      <c r="T243" s="1032">
        <f>+B154</f>
        <v>0.32030288106377741</v>
      </c>
      <c r="U243" s="1032">
        <f>+C154</f>
        <v>0.31657728599551965</v>
      </c>
      <c r="V243" s="1032">
        <f>+D154</f>
        <v>0.34683807838442721</v>
      </c>
      <c r="W243" s="1032">
        <f>+E154</f>
        <v>0.33957466481738324</v>
      </c>
    </row>
    <row r="244" spans="1:23" x14ac:dyDescent="0.25">
      <c r="A244" s="2" t="s">
        <v>785</v>
      </c>
      <c r="B244"/>
      <c r="C244" s="981"/>
      <c r="D244" s="1032"/>
      <c r="E244" s="1032"/>
      <c r="F244" s="1032"/>
      <c r="G244" s="1032"/>
      <c r="H244" s="1032"/>
      <c r="I244" s="1032"/>
      <c r="J244" s="1032"/>
      <c r="K244" s="1033"/>
      <c r="L244" s="1033"/>
      <c r="M244" s="1033"/>
      <c r="N244" s="1033"/>
      <c r="O244" s="1033"/>
      <c r="P244" s="1033"/>
      <c r="Q244" s="1033"/>
      <c r="R244" s="1033"/>
      <c r="S244" s="1032"/>
      <c r="T244" s="1032"/>
      <c r="U244" s="1032"/>
      <c r="V244" s="1032"/>
      <c r="W244" s="1032"/>
    </row>
    <row r="245" spans="1:23" x14ac:dyDescent="0.25">
      <c r="A245" s="888" t="s">
        <v>65</v>
      </c>
      <c r="B245"/>
      <c r="C245" s="1045"/>
      <c r="D245" s="1032">
        <f>+N160</f>
        <v>0.14985299187392268</v>
      </c>
      <c r="E245" s="1032">
        <f>+O160</f>
        <v>0.13608012581178014</v>
      </c>
      <c r="F245" s="1032">
        <f>+P160</f>
        <v>0.14630973819809504</v>
      </c>
      <c r="G245" s="1032">
        <f>+Q160</f>
        <v>0.14567683772538143</v>
      </c>
      <c r="H245" s="1032">
        <f>+N162</f>
        <v>0.12985299187392269</v>
      </c>
      <c r="I245" s="1032">
        <f>+O162</f>
        <v>0.11608012581178014</v>
      </c>
      <c r="J245" s="1032">
        <f>+P162</f>
        <v>0.12630973819809505</v>
      </c>
      <c r="K245" s="1032">
        <f>+Q162</f>
        <v>0.12567683772538144</v>
      </c>
      <c r="L245" s="1032">
        <f>+N164</f>
        <v>0.12985299187392269</v>
      </c>
      <c r="M245" s="1032">
        <f>+O164</f>
        <v>0.11608012581178014</v>
      </c>
      <c r="N245" s="1032">
        <f>+P164</f>
        <v>0.12630973819809505</v>
      </c>
      <c r="O245" s="1032">
        <f>+Q164</f>
        <v>0.12567683772538144</v>
      </c>
      <c r="P245" s="1032">
        <f>+N166</f>
        <v>0.12985299187392269</v>
      </c>
      <c r="Q245" s="1032">
        <f>+O166</f>
        <v>0.11608012581178014</v>
      </c>
      <c r="R245" s="1032">
        <f>+P166</f>
        <v>0.12630973819809505</v>
      </c>
      <c r="S245" s="1032">
        <f>+Q166</f>
        <v>0.12567683772538144</v>
      </c>
      <c r="T245" s="1032">
        <f>+N168</f>
        <v>0.12985299187392269</v>
      </c>
      <c r="U245" s="1032">
        <f>+O168</f>
        <v>0.11608012581178014</v>
      </c>
      <c r="V245" s="1032">
        <f>+P168</f>
        <v>0.12630973819809505</v>
      </c>
      <c r="W245" s="1032">
        <f>+Q168</f>
        <v>0.12567683772538144</v>
      </c>
    </row>
    <row r="246" spans="1:23" x14ac:dyDescent="0.25">
      <c r="A246" s="888" t="s">
        <v>64</v>
      </c>
      <c r="B246"/>
      <c r="C246" s="981"/>
      <c r="D246" s="1032">
        <f>+H160</f>
        <v>0.16135299187392266</v>
      </c>
      <c r="E246" s="1032">
        <f>+I160</f>
        <v>0.14758012581178015</v>
      </c>
      <c r="F246" s="1032">
        <f>+J160</f>
        <v>0.15780973819809502</v>
      </c>
      <c r="G246" s="1032">
        <f>+K160</f>
        <v>0.15717683772538144</v>
      </c>
      <c r="H246" s="1032">
        <f>+H162</f>
        <v>0.14635299187392264</v>
      </c>
      <c r="I246" s="1032">
        <f>+I162</f>
        <v>0.13258012581178014</v>
      </c>
      <c r="J246" s="1032">
        <f>+J162</f>
        <v>0.142809738198095</v>
      </c>
      <c r="K246" s="1032">
        <f>+K162</f>
        <v>0.14217683772538142</v>
      </c>
      <c r="L246" s="1033">
        <f>+H164</f>
        <v>0.14635299187392264</v>
      </c>
      <c r="M246" s="1033">
        <f>+I164</f>
        <v>0.13258012581178014</v>
      </c>
      <c r="N246" s="1033">
        <f>+J164</f>
        <v>0.142809738198095</v>
      </c>
      <c r="O246" s="1033">
        <f>+K164</f>
        <v>0.14217683772538142</v>
      </c>
      <c r="P246" s="1033">
        <f>+H166</f>
        <v>0.14635299187392264</v>
      </c>
      <c r="Q246" s="1033">
        <f>+I166</f>
        <v>0.13258012581178014</v>
      </c>
      <c r="R246" s="1033">
        <f>+J166</f>
        <v>0.142809738198095</v>
      </c>
      <c r="S246" s="1033">
        <f>+K166</f>
        <v>0.14217683772538142</v>
      </c>
      <c r="T246" s="1032">
        <f>+H168</f>
        <v>0.14635299187392264</v>
      </c>
      <c r="U246" s="1032">
        <f>+I168</f>
        <v>0.13258012581178014</v>
      </c>
      <c r="V246" s="1032">
        <f>+J168</f>
        <v>0.142809738198095</v>
      </c>
      <c r="W246" s="1032">
        <f>+K168</f>
        <v>0.14217683772538142</v>
      </c>
    </row>
    <row r="247" spans="1:23" x14ac:dyDescent="0.25">
      <c r="A247" s="888" t="s">
        <v>71</v>
      </c>
      <c r="B247"/>
      <c r="C247" s="1045"/>
      <c r="D247" s="1032">
        <f>+B160</f>
        <v>0.17685299187392267</v>
      </c>
      <c r="E247" s="1032">
        <f>+C160</f>
        <v>0.16308012581178014</v>
      </c>
      <c r="F247" s="1032">
        <f>+D160</f>
        <v>0.17330973819809503</v>
      </c>
      <c r="G247" s="1032">
        <f>+E160</f>
        <v>0.17267683772538142</v>
      </c>
      <c r="H247" s="1032">
        <f>+B162</f>
        <v>0.17685299187392267</v>
      </c>
      <c r="I247" s="1032">
        <f>+C162</f>
        <v>0.16308012581178014</v>
      </c>
      <c r="J247" s="1032">
        <f>+D162</f>
        <v>0.17330973819809503</v>
      </c>
      <c r="K247" s="1032">
        <f>+E162</f>
        <v>0.17267683772538142</v>
      </c>
      <c r="L247" s="1033">
        <f>+B164</f>
        <v>0.17685299187392267</v>
      </c>
      <c r="M247" s="1033">
        <f>+C164</f>
        <v>0.16308012581178014</v>
      </c>
      <c r="N247" s="1033">
        <f>+D164</f>
        <v>0.17330973819809503</v>
      </c>
      <c r="O247" s="1033">
        <f>+E164</f>
        <v>0.17267683772538142</v>
      </c>
      <c r="P247" s="1033">
        <f>+B166</f>
        <v>0.17685299187392267</v>
      </c>
      <c r="Q247" s="1033">
        <f>+C166</f>
        <v>0.16308012581178014</v>
      </c>
      <c r="R247" s="1033">
        <f>+D166</f>
        <v>0.17330973819809503</v>
      </c>
      <c r="S247" s="1033">
        <f>+E166</f>
        <v>0.17267683772538142</v>
      </c>
      <c r="T247" s="1032">
        <f>+B168</f>
        <v>0.17685299187392267</v>
      </c>
      <c r="U247" s="1032">
        <f>+C168</f>
        <v>0.16308012581178014</v>
      </c>
      <c r="V247" s="1032">
        <f>+D168</f>
        <v>0.17330973819809503</v>
      </c>
      <c r="W247" s="1032">
        <f>+E168</f>
        <v>0.17267683772538142</v>
      </c>
    </row>
    <row r="248" spans="1:23" x14ac:dyDescent="0.25">
      <c r="A248" s="2" t="s">
        <v>786</v>
      </c>
      <c r="B248"/>
      <c r="C248" s="981"/>
      <c r="D248" s="1032"/>
      <c r="E248" s="1032"/>
      <c r="F248" s="1032"/>
      <c r="G248" s="1032"/>
      <c r="H248" s="1032"/>
      <c r="I248" s="1032"/>
      <c r="J248" s="1032"/>
      <c r="K248" s="1033"/>
      <c r="L248" s="1033"/>
      <c r="M248" s="1033"/>
      <c r="N248" s="1033"/>
      <c r="O248" s="1033"/>
      <c r="P248" s="1033"/>
      <c r="Q248" s="1033"/>
      <c r="R248" s="1033"/>
      <c r="S248" s="1032"/>
      <c r="T248" s="1032"/>
      <c r="U248" s="1032"/>
      <c r="V248" s="1032"/>
      <c r="W248" s="1032"/>
    </row>
    <row r="249" spans="1:23" x14ac:dyDescent="0.25">
      <c r="A249" s="888" t="s">
        <v>65</v>
      </c>
      <c r="B249"/>
      <c r="C249" s="1045"/>
      <c r="D249" s="1032">
        <f>+N174</f>
        <v>0.16223097759172617</v>
      </c>
      <c r="E249" s="1032">
        <f t="shared" ref="E249:G249" si="79">+O174</f>
        <v>0.17419523453940669</v>
      </c>
      <c r="F249" s="1032">
        <f t="shared" si="79"/>
        <v>0.15836204653099464</v>
      </c>
      <c r="G249" s="1032">
        <f t="shared" si="79"/>
        <v>0.15453344120819848</v>
      </c>
      <c r="H249" s="1032">
        <f>+N176</f>
        <v>0.14223097759172618</v>
      </c>
      <c r="I249" s="1032">
        <f t="shared" ref="I249:K249" si="80">+O176</f>
        <v>0.1541952345394067</v>
      </c>
      <c r="J249" s="1032">
        <f t="shared" si="80"/>
        <v>0.13836204653099465</v>
      </c>
      <c r="K249" s="1032">
        <f t="shared" si="80"/>
        <v>0.13453344120819849</v>
      </c>
      <c r="L249" s="1033">
        <f>+N178</f>
        <v>0.14223097759172618</v>
      </c>
      <c r="M249" s="1033">
        <f t="shared" ref="M249:O249" si="81">+O178</f>
        <v>0.1541952345394067</v>
      </c>
      <c r="N249" s="1033">
        <f t="shared" si="81"/>
        <v>0.13836204653099465</v>
      </c>
      <c r="O249" s="1033">
        <f t="shared" si="81"/>
        <v>0.13453344120819849</v>
      </c>
      <c r="P249" s="1033">
        <f>+N180</f>
        <v>0.14223097759172618</v>
      </c>
      <c r="Q249" s="1033">
        <f t="shared" ref="Q249:S249" si="82">+O180</f>
        <v>0.1541952345394067</v>
      </c>
      <c r="R249" s="1033">
        <f t="shared" si="82"/>
        <v>0.13836204653099465</v>
      </c>
      <c r="S249" s="1033">
        <f t="shared" si="82"/>
        <v>0.13453344120819849</v>
      </c>
      <c r="T249" s="1032">
        <f>+N182</f>
        <v>0.14223097759172618</v>
      </c>
      <c r="U249" s="1032">
        <f t="shared" ref="U249:W249" si="83">+O182</f>
        <v>0.1541952345394067</v>
      </c>
      <c r="V249" s="1032">
        <f t="shared" si="83"/>
        <v>0.13836204653099465</v>
      </c>
      <c r="W249" s="1032">
        <f t="shared" si="83"/>
        <v>0.13453344120819849</v>
      </c>
    </row>
    <row r="250" spans="1:23" x14ac:dyDescent="0.25">
      <c r="A250" s="888" t="s">
        <v>64</v>
      </c>
      <c r="B250"/>
      <c r="C250" s="981"/>
      <c r="D250" s="1032">
        <f>+H174</f>
        <v>0.17673097759172618</v>
      </c>
      <c r="E250" s="1032">
        <f t="shared" ref="E250:G250" si="84">+I174</f>
        <v>0.18869523453940668</v>
      </c>
      <c r="F250" s="1032">
        <f t="shared" si="84"/>
        <v>0.17286204653099463</v>
      </c>
      <c r="G250" s="1032">
        <f t="shared" si="84"/>
        <v>0.16903344120819846</v>
      </c>
      <c r="H250" s="1032">
        <f>+H176</f>
        <v>0.16673097759172617</v>
      </c>
      <c r="I250" s="1032">
        <f t="shared" ref="I250:K250" si="85">+I176</f>
        <v>0.17869523453940667</v>
      </c>
      <c r="J250" s="1032">
        <f t="shared" si="85"/>
        <v>0.16286204653099462</v>
      </c>
      <c r="K250" s="1032">
        <f t="shared" si="85"/>
        <v>0.15903344120819846</v>
      </c>
      <c r="L250" s="1033">
        <f>+H178</f>
        <v>0.16673097759172617</v>
      </c>
      <c r="M250" s="1033">
        <f t="shared" ref="M250:O250" si="86">+I178</f>
        <v>0.17869523453940667</v>
      </c>
      <c r="N250" s="1033">
        <f t="shared" si="86"/>
        <v>0.16286204653099462</v>
      </c>
      <c r="O250" s="1033">
        <f t="shared" si="86"/>
        <v>0.15903344120819846</v>
      </c>
      <c r="P250" s="1033">
        <f>+H180</f>
        <v>0.16673097759172617</v>
      </c>
      <c r="Q250" s="1033">
        <f t="shared" ref="Q250:S250" si="87">+I180</f>
        <v>0.17869523453940667</v>
      </c>
      <c r="R250" s="1033">
        <f t="shared" si="87"/>
        <v>0.16286204653099462</v>
      </c>
      <c r="S250" s="1033">
        <f t="shared" si="87"/>
        <v>0.15903344120819846</v>
      </c>
      <c r="T250" s="1032">
        <f>+H182</f>
        <v>0.16673097759172617</v>
      </c>
      <c r="U250" s="1032">
        <f t="shared" ref="U250:W250" si="88">+I182</f>
        <v>0.17869523453940667</v>
      </c>
      <c r="V250" s="1032">
        <f t="shared" si="88"/>
        <v>0.16286204653099462</v>
      </c>
      <c r="W250" s="1032">
        <f t="shared" si="88"/>
        <v>0.15903344120819846</v>
      </c>
    </row>
    <row r="251" spans="1:23" x14ac:dyDescent="0.25">
      <c r="A251" s="888" t="s">
        <v>71</v>
      </c>
      <c r="B251"/>
      <c r="C251" s="1045"/>
      <c r="D251" s="1032">
        <f>+B174</f>
        <v>0.19223097759172617</v>
      </c>
      <c r="E251" s="1032">
        <f t="shared" ref="E251:G251" si="89">+C174</f>
        <v>0.20419523453940669</v>
      </c>
      <c r="F251" s="1032">
        <f t="shared" si="89"/>
        <v>0.18836204653099464</v>
      </c>
      <c r="G251" s="1032">
        <f t="shared" si="89"/>
        <v>0.18453344120819848</v>
      </c>
      <c r="H251" s="1032">
        <f>+B176</f>
        <v>0.19223097759172617</v>
      </c>
      <c r="I251" s="1032">
        <f t="shared" ref="I251:K251" si="90">+C176</f>
        <v>0.20419523453940669</v>
      </c>
      <c r="J251" s="1032">
        <f t="shared" si="90"/>
        <v>0.18836204653099464</v>
      </c>
      <c r="K251" s="1032">
        <f t="shared" si="90"/>
        <v>0.18453344120819848</v>
      </c>
      <c r="L251" s="1033">
        <f>+B178</f>
        <v>0.19223097759172617</v>
      </c>
      <c r="M251" s="1033">
        <f t="shared" ref="M251:O251" si="91">+C178</f>
        <v>0.20419523453940669</v>
      </c>
      <c r="N251" s="1033">
        <f t="shared" si="91"/>
        <v>0.18836204653099464</v>
      </c>
      <c r="O251" s="1033">
        <f t="shared" si="91"/>
        <v>0.18453344120819848</v>
      </c>
      <c r="P251" s="1033">
        <f>+B180</f>
        <v>0.19223097759172617</v>
      </c>
      <c r="Q251" s="1033">
        <f t="shared" ref="Q251:S251" si="92">+C180</f>
        <v>0.20419523453940669</v>
      </c>
      <c r="R251" s="1033">
        <f t="shared" si="92"/>
        <v>0.18836204653099464</v>
      </c>
      <c r="S251" s="1033">
        <f t="shared" si="92"/>
        <v>0.18453344120819848</v>
      </c>
      <c r="T251" s="1032">
        <f>+B182</f>
        <v>0.19223097759172617</v>
      </c>
      <c r="U251" s="1032">
        <f t="shared" ref="U251:W251" si="93">+C182</f>
        <v>0.20419523453940669</v>
      </c>
      <c r="V251" s="1032">
        <f t="shared" si="93"/>
        <v>0.18836204653099464</v>
      </c>
      <c r="W251" s="1032">
        <f t="shared" si="93"/>
        <v>0.18453344120819848</v>
      </c>
    </row>
  </sheetData>
  <mergeCells count="9">
    <mergeCell ref="B198:E198"/>
    <mergeCell ref="B204:E204"/>
    <mergeCell ref="B4:E4"/>
    <mergeCell ref="H4:J4"/>
    <mergeCell ref="L4:O4"/>
    <mergeCell ref="B25:E25"/>
    <mergeCell ref="G25:J25"/>
    <mergeCell ref="L25:O25"/>
    <mergeCell ref="E35:F35"/>
  </mergeCells>
  <conditionalFormatting sqref="H103:J103 L103:O103 Q103:T103 V103:Y103">
    <cfRule type="expression" dxfId="26" priority="7">
      <formula>NOT(SUBTOTAL(109,$A108)=$A108)</formula>
    </cfRule>
  </conditionalFormatting>
  <conditionalFormatting sqref="D189:W189">
    <cfRule type="cellIs" dxfId="25" priority="2" operator="equal">
      <formula>"Forecast"</formula>
    </cfRule>
    <cfRule type="cellIs" dxfId="24" priority="3" operator="equal">
      <formula>"Closing"</formula>
    </cfRule>
    <cfRule type="cellIs" dxfId="23" priority="4" operator="equal">
      <formula>"Actual"</formula>
    </cfRule>
    <cfRule type="cellIs" dxfId="22" priority="5" operator="equal">
      <formula>"""Actual"""</formula>
    </cfRule>
    <cfRule type="cellIs" dxfId="21" priority="6" operator="equal">
      <formula>"""Forecast"""</formula>
    </cfRule>
  </conditionalFormatting>
  <conditionalFormatting sqref="A248 A230">
    <cfRule type="expression" dxfId="20" priority="8">
      <formula>#REF!=#REF!</formula>
    </cfRule>
  </conditionalFormatting>
  <pageMargins left="0.7" right="0.7" top="0.75" bottom="0.75" header="0.3" footer="0.3"/>
  <pageSetup orientation="portrait" r:id="rId1"/>
  <ignoredErrors>
    <ignoredError sqref="C125:Q125 F148:G148 C142:F143 H142:L143 N142:Q143 F162:G162 C156:F157 H156:L157 N156:Q157 C127:Q127 F126:G126 C129:Q130 F128:G128 L126:M126 L128:M128 C136:Q136 F135:H135 C138:Q138 F137:H137 C140:Q141 F139:H139 L135:M135 L137:M137 L139:Q139 C150:Q150 C149:G149 C152:Q152 C151:G151 C154:Q155 C153:G153 C166:Q166 F165:G165 C168:Q169 F167:G167 C164:Q164 F163:G163 F146:G146 C131:F134 H131:L134 N131:Q134 L146 L148 F160:G160 L160 L162 I149:M149 I151:M151 I153:M153 L165:M165 L167:M167 L163:M163"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P215"/>
  <sheetViews>
    <sheetView topLeftCell="H1" zoomScaleNormal="100" workbookViewId="0">
      <selection activeCell="A4" sqref="A4:A8"/>
    </sheetView>
  </sheetViews>
  <sheetFormatPr defaultColWidth="8.85546875" defaultRowHeight="12" outlineLevelRow="1" outlineLevelCol="1" x14ac:dyDescent="0.2"/>
  <cols>
    <col min="1" max="1" width="35.42578125" style="218" customWidth="1"/>
    <col min="2" max="2" width="10.5703125" style="222" customWidth="1"/>
    <col min="3" max="3" width="14.5703125" style="222" bestFit="1" customWidth="1"/>
    <col min="4" max="4" width="13.42578125" style="222" bestFit="1" customWidth="1"/>
    <col min="5" max="5" width="11.85546875" style="222" bestFit="1" customWidth="1"/>
    <col min="6" max="6" width="12.5703125" style="222" bestFit="1" customWidth="1"/>
    <col min="7" max="7" width="13.28515625" style="222" customWidth="1" outlineLevel="1"/>
    <col min="8" max="9" width="12.5703125" style="222" customWidth="1" outlineLevel="1"/>
    <col min="10" max="10" width="13.28515625" style="222" customWidth="1" outlineLevel="1"/>
    <col min="11" max="12" width="13" style="222" customWidth="1" outlineLevel="1"/>
    <col min="13" max="16" width="12.5703125" style="222" customWidth="1" outlineLevel="1"/>
    <col min="17" max="17" width="15.5703125" style="222" bestFit="1" customWidth="1"/>
    <col min="18" max="18" width="13.5703125" style="222" bestFit="1" customWidth="1"/>
    <col min="19" max="20" width="13.5703125" style="219" bestFit="1" customWidth="1"/>
    <col min="21" max="21" width="13.42578125" style="219" bestFit="1" customWidth="1"/>
    <col min="22" max="35" width="13.5703125" style="219" bestFit="1" customWidth="1"/>
    <col min="36" max="38" width="9.42578125" style="219" bestFit="1" customWidth="1"/>
    <col min="39" max="16384" width="8.85546875" style="219"/>
  </cols>
  <sheetData>
    <row r="1" spans="1:19" ht="10.5" customHeight="1" x14ac:dyDescent="0.2">
      <c r="A1" s="334" t="s">
        <v>663</v>
      </c>
      <c r="B1" s="219"/>
      <c r="C1" s="419" t="s">
        <v>664</v>
      </c>
    </row>
    <row r="2" spans="1:19" ht="10.5" customHeight="1" thickBot="1" x14ac:dyDescent="0.25">
      <c r="A2" s="334" t="s">
        <v>665</v>
      </c>
      <c r="B2" s="219"/>
      <c r="C2" s="360" t="s">
        <v>666</v>
      </c>
    </row>
    <row r="3" spans="1:19" s="227" customFormat="1" ht="12.75" thickBot="1" x14ac:dyDescent="0.25">
      <c r="A3" s="225"/>
      <c r="B3" s="1469" t="s">
        <v>667</v>
      </c>
      <c r="C3" s="1467"/>
      <c r="D3" s="1467"/>
      <c r="E3" s="1467"/>
      <c r="F3" s="431"/>
      <c r="G3" s="430"/>
      <c r="H3" s="1467" t="s">
        <v>668</v>
      </c>
      <c r="I3" s="1467"/>
      <c r="J3" s="1467"/>
      <c r="K3" s="430"/>
      <c r="L3" s="1469" t="s">
        <v>669</v>
      </c>
      <c r="M3" s="1467"/>
      <c r="N3" s="1467"/>
      <c r="O3" s="1467"/>
      <c r="P3" s="431"/>
      <c r="Q3" s="219"/>
      <c r="R3" s="334"/>
      <c r="S3" s="219"/>
    </row>
    <row r="4" spans="1:19" x14ac:dyDescent="0.2">
      <c r="A4" s="432" t="s">
        <v>255</v>
      </c>
      <c r="B4" s="433" t="s">
        <v>670</v>
      </c>
      <c r="C4" s="434" t="s">
        <v>671</v>
      </c>
      <c r="D4" s="434" t="s">
        <v>672</v>
      </c>
      <c r="E4" s="434" t="s">
        <v>673</v>
      </c>
      <c r="F4" s="435" t="s">
        <v>674</v>
      </c>
      <c r="G4" s="434" t="s">
        <v>670</v>
      </c>
      <c r="H4" s="434" t="s">
        <v>671</v>
      </c>
      <c r="I4" s="434" t="s">
        <v>672</v>
      </c>
      <c r="J4" s="434" t="s">
        <v>673</v>
      </c>
      <c r="K4" s="434" t="s">
        <v>674</v>
      </c>
      <c r="L4" s="433" t="s">
        <v>670</v>
      </c>
      <c r="M4" s="434" t="s">
        <v>671</v>
      </c>
      <c r="N4" s="434" t="s">
        <v>672</v>
      </c>
      <c r="O4" s="434" t="s">
        <v>673</v>
      </c>
      <c r="P4" s="435" t="s">
        <v>674</v>
      </c>
      <c r="Q4" s="219"/>
      <c r="R4" s="219"/>
    </row>
    <row r="5" spans="1:19" x14ac:dyDescent="0.2">
      <c r="A5" s="432" t="str">
        <f>'Original - Metrics (formatted)'!H27</f>
        <v xml:space="preserve">Monthly active users (MAUs) </v>
      </c>
      <c r="B5" s="228" t="s">
        <v>659</v>
      </c>
      <c r="C5" s="229">
        <f>((H5/(1-0.03)))</f>
        <v>39072.16494845361</v>
      </c>
      <c r="D5" s="230">
        <f>('Original - Metrics (formatted)'!J27)*1000</f>
        <v>37000</v>
      </c>
      <c r="E5" s="230">
        <f>('Original - Metrics (formatted)'!Q27)*1000</f>
        <v>37000</v>
      </c>
      <c r="F5" s="436">
        <f>('Original - Metrics (formatted)'!T27)*1000</f>
        <v>36700</v>
      </c>
      <c r="G5" s="230">
        <f>('Original - Metrics (formatted)'!AA27)*1000</f>
        <v>39900</v>
      </c>
      <c r="H5" s="230">
        <f>('Original - Metrics (formatted)'!B27)*1000</f>
        <v>37900</v>
      </c>
      <c r="I5" s="230">
        <f>('Original - Metrics (formatted)'!I27)*1000</f>
        <v>41700</v>
      </c>
      <c r="J5" s="230">
        <f>('Original - Metrics (formatted)'!P27)*1000</f>
        <v>42400</v>
      </c>
      <c r="K5" s="437">
        <f>('Original - Metrics (formatted)'!S27)*1000</f>
        <v>40500</v>
      </c>
      <c r="L5" s="228">
        <f>('Original - Metrics (formatted)'!Z27)*1000</f>
        <v>49200</v>
      </c>
      <c r="M5" s="230">
        <f>('Original - Metrics (formatted)'!AF27)*1000</f>
        <v>49500</v>
      </c>
      <c r="N5" s="230">
        <f>('Original - Metrics (formatted)'!AM27)*1000</f>
        <v>56500</v>
      </c>
      <c r="O5" s="230">
        <f>('Original - Metrics (formatted)'!AT27)*1000</f>
        <v>60700</v>
      </c>
      <c r="P5" s="436" t="s">
        <v>659</v>
      </c>
      <c r="Q5" s="219"/>
      <c r="R5" s="219"/>
    </row>
    <row r="6" spans="1:19" x14ac:dyDescent="0.2">
      <c r="A6" s="432" t="str">
        <f>'Original - Metrics (formatted)'!H28</f>
        <v xml:space="preserve">Daily active users (DAUs) </v>
      </c>
      <c r="B6" s="228" t="s">
        <v>659</v>
      </c>
      <c r="C6" s="229">
        <f>(H6/(1+0.02))</f>
        <v>8921.5686274509808</v>
      </c>
      <c r="D6" s="230">
        <f>('Original - Metrics (formatted)'!J28)*1000</f>
        <v>8400</v>
      </c>
      <c r="E6" s="230">
        <f>('Original - Metrics (formatted)'!Q28)*1000</f>
        <v>8400</v>
      </c>
      <c r="F6" s="436">
        <f>('Original - Metrics (formatted)'!T28)*1000</f>
        <v>8200</v>
      </c>
      <c r="G6" s="230">
        <f>('Original - Metrics (formatted)'!AA28)*1000</f>
        <v>9500</v>
      </c>
      <c r="H6" s="230">
        <f>('Original - Metrics (formatted)'!B28)*1000</f>
        <v>9100</v>
      </c>
      <c r="I6" s="230">
        <f>('Original - Metrics (formatted)'!I28)*1000</f>
        <v>9800</v>
      </c>
      <c r="J6" s="230">
        <f>('Original - Metrics (formatted)'!P28)*1000</f>
        <v>10100</v>
      </c>
      <c r="K6" s="437">
        <f>('Original - Metrics (formatted)'!S28)*1000</f>
        <v>9600</v>
      </c>
      <c r="L6" s="228">
        <f>('Original - Metrics (formatted)'!Z28)*1000</f>
        <v>12500</v>
      </c>
      <c r="M6" s="230">
        <f>('Original - Metrics (formatted)'!AF28)*1000</f>
        <v>13200</v>
      </c>
      <c r="N6" s="230">
        <f>('Original - Metrics (formatted)'!AM28)*1000</f>
        <v>14900</v>
      </c>
      <c r="O6" s="230">
        <f>('Original - Metrics (formatted)'!AT28)*1000</f>
        <v>16300</v>
      </c>
      <c r="P6" s="436" t="s">
        <v>659</v>
      </c>
      <c r="Q6" s="219"/>
      <c r="R6" s="219"/>
    </row>
    <row r="7" spans="1:19" x14ac:dyDescent="0.2">
      <c r="A7" s="432" t="str">
        <f>'Original - Metrics (formatted)'!H29</f>
        <v xml:space="preserve">Paid subscribers (at period end) </v>
      </c>
      <c r="B7" s="228" t="s">
        <v>659</v>
      </c>
      <c r="C7" s="229">
        <f>(H7/(1+0.46))</f>
        <v>1301.3698630136987</v>
      </c>
      <c r="D7" s="230">
        <f>('Original - Metrics (formatted)'!J29)*1000</f>
        <v>1500</v>
      </c>
      <c r="E7" s="230">
        <f>('Original - Metrics (formatted)'!Q29)*1000</f>
        <v>1600</v>
      </c>
      <c r="F7" s="436">
        <f>('Original - Metrics (formatted)'!T29)*1000</f>
        <v>1600</v>
      </c>
      <c r="G7" s="230">
        <f>('Original - Metrics (formatted)'!AA29)*1000</f>
        <v>1800</v>
      </c>
      <c r="H7" s="230">
        <f>('Original - Metrics (formatted)'!B29)*1000</f>
        <v>1900</v>
      </c>
      <c r="I7" s="230">
        <f>('Original - Metrics (formatted)'!I29)*1000</f>
        <v>2200</v>
      </c>
      <c r="J7" s="230">
        <f>('Original - Metrics (formatted)'!P29)*1000</f>
        <v>2500</v>
      </c>
      <c r="K7" s="437">
        <f>('Original - Metrics (formatted)'!S29)*1000</f>
        <v>2500</v>
      </c>
      <c r="L7" s="228">
        <f>('Original - Metrics (formatted)'!Z29)*1000</f>
        <v>2900</v>
      </c>
      <c r="M7" s="230">
        <f>('Original - Metrics (formatted)'!AF29)*1000</f>
        <v>3300</v>
      </c>
      <c r="N7" s="230">
        <f>('Original - Metrics (formatted)'!AM29)*1000</f>
        <v>3700</v>
      </c>
      <c r="O7" s="230">
        <f>('Original - Metrics (formatted)'!AT29)*1000</f>
        <v>4200</v>
      </c>
      <c r="P7" s="436" t="s">
        <v>659</v>
      </c>
      <c r="Q7" s="219"/>
      <c r="R7" s="219" t="s">
        <v>675</v>
      </c>
    </row>
    <row r="8" spans="1:19" ht="12.75" thickBot="1" x14ac:dyDescent="0.25">
      <c r="A8" s="432" t="str">
        <f>'Original - Metrics (formatted)'!H30</f>
        <v xml:space="preserve">Total bookings </v>
      </c>
      <c r="B8" s="228" t="s">
        <v>659</v>
      </c>
      <c r="C8" s="229">
        <f>(H8/(1+0.3))</f>
        <v>49615.384615384617</v>
      </c>
      <c r="D8" s="230">
        <f>('Original - Metrics (formatted)'!J30)</f>
        <v>46667</v>
      </c>
      <c r="E8" s="230">
        <f>('Original - Metrics (formatted)'!Q30)</f>
        <v>57064</v>
      </c>
      <c r="F8" s="436">
        <f>('Original - Metrics (formatted)'!T30)</f>
        <v>190181</v>
      </c>
      <c r="G8" s="270">
        <f>(L8/(1+0.55))</f>
        <v>65841.290322580637</v>
      </c>
      <c r="H8" s="230">
        <v>64500</v>
      </c>
      <c r="I8" s="230">
        <f>('Original - Metrics (formatted)'!I30)</f>
        <v>73058</v>
      </c>
      <c r="J8" s="230">
        <f>('Original - Metrics (formatted)'!P30)</f>
        <v>90821</v>
      </c>
      <c r="K8" s="437">
        <f>('Original - Metrics (formatted)'!S30)</f>
        <v>294247</v>
      </c>
      <c r="L8" s="237">
        <f>('Original - Metrics (formatted)'!Z46)</f>
        <v>102054</v>
      </c>
      <c r="M8" s="238">
        <f>('Original - Metrics (formatted)'!AF46)</f>
        <v>97467</v>
      </c>
      <c r="N8" s="238">
        <f>('Original - Metrics (formatted)'!AM46)</f>
        <v>102738</v>
      </c>
      <c r="O8" s="230">
        <f>('Original - Metrics (formatted)'!AT30)</f>
        <v>126388</v>
      </c>
      <c r="P8" s="436">
        <f>('Original - Metrics (formatted)'!AU30)</f>
        <v>428647</v>
      </c>
      <c r="Q8" s="219"/>
      <c r="R8" s="334"/>
    </row>
    <row r="9" spans="1:19" x14ac:dyDescent="0.2">
      <c r="A9" s="438" t="str">
        <f>'Original - Metrics (formatted)'!H35 &amp;" (In thousands)"</f>
        <v>Products (In thousands)</v>
      </c>
      <c r="B9" s="241"/>
      <c r="C9" s="242"/>
      <c r="D9" s="242"/>
      <c r="E9" s="242"/>
      <c r="F9" s="243"/>
      <c r="G9" s="242"/>
      <c r="H9" s="242"/>
      <c r="I9" s="242"/>
      <c r="J9" s="242"/>
      <c r="K9" s="242"/>
      <c r="L9" s="241"/>
      <c r="M9" s="242"/>
      <c r="N9" s="242"/>
      <c r="O9" s="242"/>
      <c r="P9" s="243"/>
      <c r="Q9" s="219"/>
      <c r="R9" s="334"/>
    </row>
    <row r="10" spans="1:19" x14ac:dyDescent="0.2">
      <c r="A10" s="432" t="str">
        <f>'Original - Metrics (formatted)'!H37</f>
        <v xml:space="preserve">Subscription </v>
      </c>
      <c r="B10" s="228" t="s">
        <v>659</v>
      </c>
      <c r="C10" s="230">
        <v>28274</v>
      </c>
      <c r="D10" s="230">
        <f>'Original - Metrics (formatted)'!J37</f>
        <v>32317</v>
      </c>
      <c r="E10" s="230" t="str">
        <f>'Original - Metrics (formatted)'!Q37</f>
        <v>-</v>
      </c>
      <c r="F10" s="436">
        <v>117501</v>
      </c>
      <c r="G10" s="230">
        <f>'Original - Metrics (formatted)'!AA37</f>
        <v>40055</v>
      </c>
      <c r="H10" s="230">
        <v>43502</v>
      </c>
      <c r="I10" s="230">
        <f>'Original - Metrics (formatted)'!I37</f>
        <v>46030</v>
      </c>
      <c r="J10" s="230">
        <f>K10-SUM(G10:I10)</f>
        <v>51111</v>
      </c>
      <c r="K10" s="437">
        <v>180698</v>
      </c>
      <c r="L10" s="228">
        <f>'Original - Metrics (formatted)'!Z37</f>
        <v>58010</v>
      </c>
      <c r="M10" s="230">
        <f>'Original - Metrics (formatted)'!AF37</f>
        <v>65194</v>
      </c>
      <c r="N10" s="230">
        <f>'Original - Metrics (formatted)'!AM37</f>
        <v>72172</v>
      </c>
      <c r="O10" s="230">
        <f>'Original - Metrics (formatted)'!AT37</f>
        <v>78131</v>
      </c>
      <c r="P10" s="436">
        <f>SUM(L10:O10)</f>
        <v>273507</v>
      </c>
      <c r="Q10" s="219"/>
      <c r="R10" s="219"/>
    </row>
    <row r="11" spans="1:19" x14ac:dyDescent="0.2">
      <c r="A11" s="432" t="str">
        <f>'Original - Metrics (formatted)'!H38</f>
        <v xml:space="preserve">Advertising </v>
      </c>
      <c r="B11" s="228" t="s">
        <v>659</v>
      </c>
      <c r="C11" s="230">
        <v>6808</v>
      </c>
      <c r="D11" s="230">
        <f>'Original - Metrics (formatted)'!J38</f>
        <v>6720</v>
      </c>
      <c r="E11" s="230" t="str">
        <f>'Original - Metrics (formatted)'!Q38</f>
        <v>-</v>
      </c>
      <c r="F11" s="436">
        <v>27043</v>
      </c>
      <c r="G11" s="230">
        <f>'Original - Metrics (formatted)'!AA38</f>
        <v>9275</v>
      </c>
      <c r="H11" s="230">
        <v>9056</v>
      </c>
      <c r="I11" s="230">
        <f>'Original - Metrics (formatted)'!I38</f>
        <v>9029</v>
      </c>
      <c r="J11" s="230">
        <f>K11-SUM(G11:I11)</f>
        <v>11141</v>
      </c>
      <c r="K11" s="437">
        <v>38501</v>
      </c>
      <c r="L11" s="228">
        <f>'Original - Metrics (formatted)'!Z38</f>
        <v>11748</v>
      </c>
      <c r="M11" s="230">
        <f>'Original - Metrics (formatted)'!AF38</f>
        <v>11218</v>
      </c>
      <c r="N11" s="230">
        <f>'Original - Metrics (formatted)'!AM38</f>
        <v>10619</v>
      </c>
      <c r="O11" s="230">
        <f>'Original - Metrics (formatted)'!AT38</f>
        <v>11146</v>
      </c>
      <c r="P11" s="436">
        <f>SUM(L11:O11)</f>
        <v>44731</v>
      </c>
      <c r="Q11" s="219"/>
      <c r="R11" s="219"/>
    </row>
    <row r="12" spans="1:19" x14ac:dyDescent="0.2">
      <c r="A12" s="432" t="str">
        <f>'Original - Metrics (formatted)'!H39</f>
        <v xml:space="preserve">Duolingo English Test </v>
      </c>
      <c r="B12" s="228" t="s">
        <v>659</v>
      </c>
      <c r="C12" s="230">
        <v>4598</v>
      </c>
      <c r="D12" s="230">
        <f>'Original - Metrics (formatted)'!J39</f>
        <v>5607</v>
      </c>
      <c r="E12" s="230" t="str">
        <f>'Original - Metrics (formatted)'!Q39</f>
        <v>-</v>
      </c>
      <c r="F12" s="436">
        <v>15155</v>
      </c>
      <c r="G12" s="230">
        <f>'Original - Metrics (formatted)'!AA39</f>
        <v>5035</v>
      </c>
      <c r="H12" s="230">
        <v>4833</v>
      </c>
      <c r="I12" s="230">
        <f>'Original - Metrics (formatted)'!I39</f>
        <v>6695</v>
      </c>
      <c r="J12" s="230">
        <f>K12-SUM(G12:I12)</f>
        <v>8095</v>
      </c>
      <c r="K12" s="437">
        <v>24658</v>
      </c>
      <c r="L12" s="228">
        <f>'Original - Metrics (formatted)'!Z39</f>
        <v>8080</v>
      </c>
      <c r="M12" s="230">
        <f>'Original - Metrics (formatted)'!AF39</f>
        <v>8036</v>
      </c>
      <c r="N12" s="230">
        <f>'Original - Metrics (formatted)'!AM39</f>
        <v>8192</v>
      </c>
      <c r="O12" s="230">
        <f>'Original - Metrics (formatted)'!AT39</f>
        <v>8410</v>
      </c>
      <c r="P12" s="436">
        <f>SUM(L12:O12)</f>
        <v>32718</v>
      </c>
      <c r="Q12" s="219"/>
      <c r="R12" s="219"/>
    </row>
    <row r="13" spans="1:19" x14ac:dyDescent="0.2">
      <c r="A13" s="432" t="str">
        <f>'Original - Metrics (formatted)'!H40</f>
        <v xml:space="preserve">Other </v>
      </c>
      <c r="B13" s="228" t="s">
        <v>659</v>
      </c>
      <c r="C13" s="230">
        <v>331</v>
      </c>
      <c r="D13" s="230">
        <f>'Original - Metrics (formatted)'!J40</f>
        <v>661</v>
      </c>
      <c r="E13" s="230" t="str">
        <f>'Original - Metrics (formatted)'!Q40</f>
        <v>-</v>
      </c>
      <c r="F13" s="436">
        <v>1997</v>
      </c>
      <c r="G13" s="230">
        <f>'Original - Metrics (formatted)'!AA40</f>
        <v>995</v>
      </c>
      <c r="H13" s="230">
        <v>1412</v>
      </c>
      <c r="I13" s="230">
        <f>'Original - Metrics (formatted)'!I40</f>
        <v>1841</v>
      </c>
      <c r="J13" s="230">
        <f>K13-SUM(G13:I13)</f>
        <v>2667</v>
      </c>
      <c r="K13" s="437">
        <v>6915</v>
      </c>
      <c r="L13" s="228">
        <f>'Original - Metrics (formatted)'!Z40</f>
        <v>3382</v>
      </c>
      <c r="M13" s="230">
        <f>'Original - Metrics (formatted)'!AF40</f>
        <v>3938</v>
      </c>
      <c r="N13" s="230">
        <f>'Original - Metrics (formatted)'!AM40</f>
        <v>5082</v>
      </c>
      <c r="O13" s="230">
        <f>'Original - Metrics (formatted)'!AT40</f>
        <v>6137</v>
      </c>
      <c r="P13" s="436">
        <f>SUM(L13:O13)</f>
        <v>18539</v>
      </c>
      <c r="Q13" s="219"/>
      <c r="R13" s="219"/>
    </row>
    <row r="14" spans="1:19" x14ac:dyDescent="0.2">
      <c r="A14" s="432" t="str">
        <f>'Original - Metrics (formatted)'!H41</f>
        <v xml:space="preserve">Total revenues </v>
      </c>
      <c r="B14" s="228" t="s">
        <v>659</v>
      </c>
      <c r="C14" s="230">
        <v>40011</v>
      </c>
      <c r="D14" s="230">
        <f>'Original - Metrics (formatted)'!J41</f>
        <v>45305</v>
      </c>
      <c r="E14" s="230">
        <f>'Original - Metrics (formatted)'!Q41</f>
        <v>0</v>
      </c>
      <c r="F14" s="436">
        <v>161696</v>
      </c>
      <c r="G14" s="230">
        <f>'Original - Metrics (formatted)'!AA41</f>
        <v>55360</v>
      </c>
      <c r="H14" s="230">
        <v>58803</v>
      </c>
      <c r="I14" s="230">
        <f>'Original - Metrics (formatted)'!I41</f>
        <v>63595</v>
      </c>
      <c r="J14" s="230">
        <f>K14-SUM(G14:I14)</f>
        <v>73014</v>
      </c>
      <c r="K14" s="437">
        <v>250772</v>
      </c>
      <c r="L14" s="228">
        <f>'Original - Metrics (formatted)'!Z41</f>
        <v>81220</v>
      </c>
      <c r="M14" s="230">
        <f>'Original - Metrics (formatted)'!AF41</f>
        <v>88386</v>
      </c>
      <c r="N14" s="230">
        <f>'Original - Metrics (formatted)'!AM41</f>
        <v>96065</v>
      </c>
      <c r="O14" s="230">
        <f>'Original - Metrics (formatted)'!AT41</f>
        <v>103824</v>
      </c>
      <c r="P14" s="436">
        <f>SUM(L14:O14)</f>
        <v>369495</v>
      </c>
      <c r="Q14" s="219"/>
      <c r="R14" s="219"/>
    </row>
    <row r="15" spans="1:19" x14ac:dyDescent="0.2">
      <c r="A15" s="438" t="str">
        <f>'Original - Metrics (formatted)'!H43 &amp; " (in thousands)"</f>
        <v>Subscription Breakdown  (in thousands)</v>
      </c>
      <c r="B15" s="241"/>
      <c r="C15" s="242"/>
      <c r="D15" s="242">
        <f>'Original - Metrics (formatted)'!J43</f>
        <v>0</v>
      </c>
      <c r="E15" s="242">
        <f>'Original - Metrics (formatted)'!Q43</f>
        <v>0</v>
      </c>
      <c r="F15" s="243">
        <f>'Original - Metrics (formatted)'!T43</f>
        <v>0</v>
      </c>
      <c r="G15" s="242"/>
      <c r="H15" s="242">
        <f>'Original - Metrics (formatted)'!B43</f>
        <v>0</v>
      </c>
      <c r="I15" s="242">
        <f>'Original - Metrics (formatted)'!I43</f>
        <v>0</v>
      </c>
      <c r="J15" s="242"/>
      <c r="K15" s="242"/>
      <c r="L15" s="241"/>
      <c r="M15" s="242"/>
      <c r="N15" s="242"/>
      <c r="O15" s="242"/>
      <c r="P15" s="243"/>
      <c r="Q15" s="219"/>
      <c r="R15" s="219"/>
    </row>
    <row r="16" spans="1:19" x14ac:dyDescent="0.2">
      <c r="A16" s="432" t="str">
        <f>'Original - Metrics (formatted)'!H45</f>
        <v xml:space="preserve">Subscription bookings </v>
      </c>
      <c r="B16" s="228" t="s">
        <v>659</v>
      </c>
      <c r="C16" s="230" t="s">
        <v>659</v>
      </c>
      <c r="D16" s="230">
        <f>'Original - Metrics (formatted)'!J45</f>
        <v>33778</v>
      </c>
      <c r="E16" s="230">
        <f>'Original - Metrics (formatted)'!Q45</f>
        <v>43284</v>
      </c>
      <c r="F16" s="436">
        <f>'Original - Metrics (formatted)'!T45</f>
        <v>144379</v>
      </c>
      <c r="G16" s="230">
        <f>'Original - Metrics (formatted)'!AA45</f>
        <v>50466</v>
      </c>
      <c r="H16" s="230">
        <f>'Original - Metrics (formatted)'!B45</f>
        <v>0</v>
      </c>
      <c r="I16" s="230">
        <f>'Original - Metrics (formatted)'!I45</f>
        <v>55362</v>
      </c>
      <c r="J16" s="230">
        <f>'Original - Metrics (formatted)'!P45</f>
        <v>69752</v>
      </c>
      <c r="K16" s="437">
        <f>'Original - Metrics (formatted)'!S45</f>
        <v>224520</v>
      </c>
      <c r="L16" s="228">
        <f>'Original - Metrics (formatted)'!Z45</f>
        <v>78539</v>
      </c>
      <c r="M16" s="230">
        <f>'Original - Metrics (formatted)'!AF45</f>
        <v>74123</v>
      </c>
      <c r="N16" s="230">
        <f>'Original - Metrics (formatted)'!AM45</f>
        <v>78858</v>
      </c>
      <c r="O16" s="230">
        <f>'Original - Metrics (formatted)'!AT45</f>
        <v>100283</v>
      </c>
      <c r="P16" s="436">
        <f>'Original - Metrics (formatted)'!AX45</f>
        <v>331803</v>
      </c>
      <c r="Q16" s="219"/>
      <c r="R16" s="219"/>
    </row>
    <row r="17" spans="1:25" ht="12.75" thickBot="1" x14ac:dyDescent="0.25">
      <c r="A17" s="439" t="s">
        <v>617</v>
      </c>
      <c r="B17" s="237" t="s">
        <v>659</v>
      </c>
      <c r="C17" s="238" t="s">
        <v>659</v>
      </c>
      <c r="D17" s="238">
        <f>'Original - Metrics (formatted)'!J46</f>
        <v>0</v>
      </c>
      <c r="E17" s="238">
        <f>'Original - Metrics (formatted)'!Q46</f>
        <v>0</v>
      </c>
      <c r="F17" s="440">
        <f>'Original - Metrics (formatted)'!T46</f>
        <v>0</v>
      </c>
      <c r="G17" s="238">
        <f>'Original - Metrics (formatted)'!AA46</f>
        <v>65830</v>
      </c>
      <c r="H17" s="238">
        <f>'Original - Metrics (formatted)'!B46</f>
        <v>0</v>
      </c>
      <c r="I17" s="238">
        <f>'Original - Metrics (formatted)'!I46</f>
        <v>0</v>
      </c>
      <c r="J17" s="238">
        <f>'Original - Metrics (formatted)'!P46</f>
        <v>0</v>
      </c>
      <c r="K17" s="441">
        <f>'Original - Metrics (formatted)'!S46</f>
        <v>0</v>
      </c>
      <c r="O17" s="238">
        <f>'Original - Metrics (formatted)'!AT46</f>
        <v>0</v>
      </c>
      <c r="P17" s="440"/>
      <c r="Q17" s="219"/>
      <c r="R17" s="219"/>
    </row>
    <row r="18" spans="1:25" x14ac:dyDescent="0.2">
      <c r="A18" s="438" t="str">
        <f>'Original - Metrics (formatted)'!H31 &amp; " (in thousands)"</f>
        <v>Financial Measures (in thousands)</v>
      </c>
      <c r="B18" s="241"/>
      <c r="C18" s="242"/>
      <c r="D18" s="242">
        <f>'Original - Metrics (formatted)'!J31</f>
        <v>0</v>
      </c>
      <c r="E18" s="242">
        <f>'Original - Metrics (formatted)'!Q31</f>
        <v>0</v>
      </c>
      <c r="F18" s="243">
        <f>'Original - Metrics (formatted)'!T31</f>
        <v>0</v>
      </c>
      <c r="G18" s="242">
        <f>'Original - Metrics (formatted)'!AA31</f>
        <v>0</v>
      </c>
      <c r="H18" s="242">
        <f>'Original - Metrics (formatted)'!B31</f>
        <v>0</v>
      </c>
      <c r="I18" s="242">
        <f>'Original - Metrics (formatted)'!I31</f>
        <v>0</v>
      </c>
      <c r="J18" s="242">
        <f>'Original - Metrics (formatted)'!P31</f>
        <v>0</v>
      </c>
      <c r="K18" s="242">
        <f>'Original - Metrics (formatted)'!S31</f>
        <v>0</v>
      </c>
      <c r="L18" s="241">
        <f>'Original - Metrics (formatted)'!Z31</f>
        <v>0</v>
      </c>
      <c r="M18" s="242">
        <f>'Original - Metrics (formatted)'!AF31</f>
        <v>0</v>
      </c>
      <c r="N18" s="242">
        <f>'Original - Metrics (formatted)'!AM31</f>
        <v>0</v>
      </c>
      <c r="O18" s="242">
        <f>'Original - Metrics (formatted)'!AT31</f>
        <v>0</v>
      </c>
      <c r="P18" s="243"/>
      <c r="Q18" s="219"/>
      <c r="R18" s="219"/>
    </row>
    <row r="19" spans="1:25" x14ac:dyDescent="0.2">
      <c r="A19" s="432" t="s">
        <v>605</v>
      </c>
      <c r="B19" s="228" t="s">
        <v>659</v>
      </c>
      <c r="C19" s="230" t="s">
        <v>659</v>
      </c>
      <c r="D19" s="230">
        <f>'Original - Metrics (formatted)'!J32</f>
        <v>0</v>
      </c>
      <c r="E19" s="230">
        <f>'Original - Metrics (formatted)'!Q32</f>
        <v>48268</v>
      </c>
      <c r="F19" s="436">
        <f>'Original - Metrics (formatted)'!T32</f>
        <v>161696</v>
      </c>
      <c r="G19" s="230">
        <f>'Original - Metrics (formatted)'!AA32</f>
        <v>55360</v>
      </c>
      <c r="H19" s="230">
        <f>'Original - Metrics (formatted)'!B32</f>
        <v>0</v>
      </c>
      <c r="I19" s="230">
        <f>'Original - Metrics (formatted)'!I32</f>
        <v>0</v>
      </c>
      <c r="J19" s="230">
        <f>'Original - Metrics (formatted)'!P32</f>
        <v>73014</v>
      </c>
      <c r="K19" s="437">
        <f>'Original - Metrics (formatted)'!S32</f>
        <v>250772</v>
      </c>
      <c r="L19" s="228">
        <f>'Original - Metrics (formatted)'!Z32</f>
        <v>81220</v>
      </c>
      <c r="M19" s="230">
        <f>'Original - Metrics (formatted)'!AF32</f>
        <v>88386</v>
      </c>
      <c r="N19" s="230">
        <f>'Original - Metrics (formatted)'!AM32</f>
        <v>96065</v>
      </c>
      <c r="O19" s="230">
        <f>'Original - Metrics (formatted)'!AT32</f>
        <v>103824</v>
      </c>
      <c r="P19" s="436"/>
      <c r="Q19" s="219"/>
      <c r="R19" s="219"/>
      <c r="X19" s="250"/>
      <c r="Y19" s="250"/>
    </row>
    <row r="20" spans="1:25" x14ac:dyDescent="0.2">
      <c r="A20" s="432" t="str">
        <f>'Original - Metrics (formatted)'!H33</f>
        <v xml:space="preserve">Net loss (GAAP) </v>
      </c>
      <c r="B20" s="228" t="s">
        <v>659</v>
      </c>
      <c r="C20" s="230" t="s">
        <v>659</v>
      </c>
      <c r="D20" s="230">
        <f>'Original - Metrics (formatted)'!J33</f>
        <v>-3176</v>
      </c>
      <c r="E20" s="230">
        <f>'Original - Metrics (formatted)'!Q33</f>
        <v>-10407</v>
      </c>
      <c r="F20" s="436">
        <f>'Original - Metrics (formatted)'!T33</f>
        <v>-15776</v>
      </c>
      <c r="G20" s="230">
        <f>'Original - Metrics (formatted)'!AA33</f>
        <v>-13472</v>
      </c>
      <c r="H20" s="230">
        <f>'Original - Metrics (formatted)'!B33</f>
        <v>0</v>
      </c>
      <c r="I20" s="230">
        <f>'Original - Metrics (formatted)'!I33</f>
        <v>-28970</v>
      </c>
      <c r="J20" s="230">
        <f>'Original - Metrics (formatted)'!P33</f>
        <v>-17517</v>
      </c>
      <c r="K20" s="437">
        <f>'Original - Metrics (formatted)'!S33</f>
        <v>-60135</v>
      </c>
      <c r="L20" s="228">
        <f>'Original - Metrics (formatted)'!Z33</f>
        <v>-12154</v>
      </c>
      <c r="M20" s="230">
        <f>'Original - Metrics (formatted)'!AF33</f>
        <v>-15045</v>
      </c>
      <c r="N20" s="230">
        <f>'Original - Metrics (formatted)'!AM33</f>
        <v>-18445</v>
      </c>
      <c r="O20" s="230">
        <f>'Original - Metrics (formatted)'!AT33</f>
        <v>-13930</v>
      </c>
      <c r="P20" s="436"/>
      <c r="Q20" s="219"/>
      <c r="R20" s="219"/>
      <c r="X20" s="251"/>
      <c r="Y20" s="251"/>
    </row>
    <row r="21" spans="1:25" ht="12.75" thickBot="1" x14ac:dyDescent="0.25">
      <c r="A21" s="439" t="str">
        <f>'Original - Metrics (formatted)'!H34</f>
        <v xml:space="preserve">Adjusted EBITDA (Non-GAAP) </v>
      </c>
      <c r="B21" s="237" t="s">
        <v>659</v>
      </c>
      <c r="C21" s="238" t="s">
        <v>659</v>
      </c>
      <c r="D21" s="238">
        <f>'Original - Metrics (formatted)'!J34</f>
        <v>-724</v>
      </c>
      <c r="E21" s="238">
        <f>'Original - Metrics (formatted)'!Q34</f>
        <v>2891</v>
      </c>
      <c r="F21" s="440">
        <f>'Original - Metrics (formatted)'!T34</f>
        <v>3630</v>
      </c>
      <c r="G21" s="238">
        <f>'Original - Metrics (formatted)'!AA34</f>
        <v>871</v>
      </c>
      <c r="H21" s="238">
        <f>'Original - Metrics (formatted)'!B34</f>
        <v>0</v>
      </c>
      <c r="I21" s="238">
        <f>'Original - Metrics (formatted)'!I34</f>
        <v>-5968</v>
      </c>
      <c r="J21" s="238">
        <f>'Original - Metrics (formatted)'!P34</f>
        <v>329</v>
      </c>
      <c r="K21" s="441">
        <f>'Original - Metrics (formatted)'!S34</f>
        <v>-1066</v>
      </c>
      <c r="L21" s="237">
        <f>'Original - Metrics (formatted)'!Z34</f>
        <v>3946</v>
      </c>
      <c r="M21" s="238">
        <f>'Original - Metrics (formatted)'!AF34</f>
        <v>4198</v>
      </c>
      <c r="N21" s="238">
        <f>'Original - Metrics (formatted)'!AM34</f>
        <v>2130</v>
      </c>
      <c r="O21" s="238">
        <f>'Original - Metrics (formatted)'!AT34</f>
        <v>5183</v>
      </c>
      <c r="P21" s="440"/>
      <c r="Q21" s="219"/>
      <c r="R21" s="219"/>
      <c r="X21" s="250"/>
      <c r="Y21" s="250"/>
    </row>
    <row r="22" spans="1:25" x14ac:dyDescent="0.2">
      <c r="A22" s="219"/>
      <c r="B22" s="219"/>
      <c r="C22" s="219"/>
      <c r="D22" s="219"/>
      <c r="E22" s="219"/>
      <c r="F22" s="219"/>
      <c r="G22" s="219"/>
      <c r="H22" s="219"/>
      <c r="I22" s="219"/>
      <c r="J22" s="219"/>
      <c r="K22" s="219"/>
      <c r="L22" s="219"/>
      <c r="M22" s="219"/>
      <c r="N22" s="219"/>
      <c r="O22" s="219"/>
      <c r="P22" s="219"/>
      <c r="Q22" s="219"/>
      <c r="R22" s="219"/>
      <c r="X22" s="251"/>
      <c r="Y22" s="251"/>
    </row>
    <row r="23" spans="1:25" ht="12.75" thickBot="1" x14ac:dyDescent="0.25">
      <c r="A23" s="219"/>
      <c r="B23" s="219"/>
      <c r="C23" s="219"/>
      <c r="D23" s="219"/>
      <c r="E23" s="219"/>
      <c r="F23" s="219"/>
      <c r="G23" s="219"/>
      <c r="H23" s="219"/>
      <c r="I23" s="219"/>
      <c r="J23" s="219"/>
      <c r="K23" s="219"/>
      <c r="L23" s="219"/>
      <c r="M23" s="219"/>
      <c r="N23" s="219"/>
      <c r="O23" s="219"/>
      <c r="P23" s="219"/>
      <c r="Q23" s="219"/>
      <c r="R23" s="219"/>
      <c r="X23" s="250"/>
      <c r="Y23" s="250"/>
    </row>
    <row r="24" spans="1:25" ht="12.75" thickBot="1" x14ac:dyDescent="0.25">
      <c r="A24" s="224"/>
      <c r="B24" s="1469" t="s">
        <v>667</v>
      </c>
      <c r="C24" s="1467"/>
      <c r="D24" s="1467"/>
      <c r="E24" s="1467"/>
      <c r="F24" s="431"/>
      <c r="G24" s="1470" t="s">
        <v>668</v>
      </c>
      <c r="H24" s="1471"/>
      <c r="I24" s="1471"/>
      <c r="J24" s="1471"/>
      <c r="K24" s="430"/>
      <c r="L24" s="1469" t="s">
        <v>669</v>
      </c>
      <c r="M24" s="1467"/>
      <c r="N24" s="1467"/>
      <c r="O24" s="1467"/>
      <c r="P24" s="431"/>
      <c r="Q24" s="219"/>
      <c r="R24" s="219"/>
      <c r="X24" s="251"/>
      <c r="Y24" s="251"/>
    </row>
    <row r="25" spans="1:25" x14ac:dyDescent="0.2">
      <c r="A25" s="442" t="s">
        <v>679</v>
      </c>
      <c r="B25" s="433" t="s">
        <v>670</v>
      </c>
      <c r="C25" s="434" t="s">
        <v>671</v>
      </c>
      <c r="D25" s="434" t="s">
        <v>672</v>
      </c>
      <c r="E25" s="434" t="s">
        <v>673</v>
      </c>
      <c r="F25" s="435"/>
      <c r="G25" s="434" t="s">
        <v>670</v>
      </c>
      <c r="H25" s="434" t="s">
        <v>671</v>
      </c>
      <c r="I25" s="434" t="s">
        <v>672</v>
      </c>
      <c r="J25" s="434" t="s">
        <v>673</v>
      </c>
      <c r="K25" s="434"/>
      <c r="L25" s="433" t="s">
        <v>670</v>
      </c>
      <c r="M25" s="434" t="s">
        <v>671</v>
      </c>
      <c r="N25" s="434" t="s">
        <v>672</v>
      </c>
      <c r="O25" s="434" t="s">
        <v>673</v>
      </c>
      <c r="P25" s="435"/>
      <c r="Q25" s="219"/>
      <c r="R25" s="219"/>
      <c r="X25" s="250"/>
      <c r="Y25" s="250"/>
    </row>
    <row r="26" spans="1:25" x14ac:dyDescent="0.2">
      <c r="A26" s="432" t="s">
        <v>556</v>
      </c>
      <c r="B26" s="252"/>
      <c r="C26" s="253"/>
      <c r="D26" s="405">
        <f t="shared" ref="D26:E29" si="0">D5/C5-1</f>
        <v>-5.3034300791556799E-2</v>
      </c>
      <c r="E26" s="405">
        <f t="shared" si="0"/>
        <v>0</v>
      </c>
      <c r="F26" s="405"/>
      <c r="G26" s="405">
        <f>G5/E5-1</f>
        <v>7.8378378378378466E-2</v>
      </c>
      <c r="H26" s="405">
        <f t="shared" ref="H26:J29" si="1">H5/G5-1</f>
        <v>-5.0125313283208017E-2</v>
      </c>
      <c r="I26" s="405">
        <f t="shared" si="1"/>
        <v>0.10026385224274414</v>
      </c>
      <c r="J26" s="405">
        <f t="shared" si="1"/>
        <v>1.6786570743405171E-2</v>
      </c>
      <c r="K26" s="405"/>
      <c r="L26" s="405">
        <f>L5/J5-1</f>
        <v>0.16037735849056611</v>
      </c>
      <c r="M26" s="405">
        <f t="shared" ref="M26:O29" si="2">M5/L5-1</f>
        <v>6.0975609756097615E-3</v>
      </c>
      <c r="N26" s="405">
        <f t="shared" si="2"/>
        <v>0.14141414141414144</v>
      </c>
      <c r="O26" s="405">
        <f t="shared" si="2"/>
        <v>7.4336283185840735E-2</v>
      </c>
      <c r="P26" s="259"/>
      <c r="Q26" s="219"/>
      <c r="R26" s="219"/>
      <c r="T26" s="254"/>
      <c r="U26" s="251"/>
      <c r="V26" s="251"/>
      <c r="W26" s="251"/>
      <c r="X26" s="251"/>
      <c r="Y26" s="251"/>
    </row>
    <row r="27" spans="1:25" x14ac:dyDescent="0.2">
      <c r="A27" s="432" t="s">
        <v>558</v>
      </c>
      <c r="D27" s="405">
        <f t="shared" si="0"/>
        <v>-5.8461538461538454E-2</v>
      </c>
      <c r="E27" s="405">
        <f t="shared" si="0"/>
        <v>0</v>
      </c>
      <c r="F27" s="405"/>
      <c r="G27" s="405">
        <f>G6/E6-1</f>
        <v>0.13095238095238093</v>
      </c>
      <c r="H27" s="405">
        <f t="shared" si="1"/>
        <v>-4.2105263157894757E-2</v>
      </c>
      <c r="I27" s="405">
        <f t="shared" si="1"/>
        <v>7.6923076923076872E-2</v>
      </c>
      <c r="J27" s="405">
        <f t="shared" si="1"/>
        <v>3.0612244897959107E-2</v>
      </c>
      <c r="K27" s="405"/>
      <c r="L27" s="405">
        <f>L6/J6-1</f>
        <v>0.23762376237623761</v>
      </c>
      <c r="M27" s="405">
        <f t="shared" si="2"/>
        <v>5.600000000000005E-2</v>
      </c>
      <c r="N27" s="405">
        <f t="shared" si="2"/>
        <v>0.1287878787878789</v>
      </c>
      <c r="O27" s="405">
        <f t="shared" si="2"/>
        <v>9.3959731543624248E-2</v>
      </c>
      <c r="P27" s="259"/>
      <c r="Q27" s="219"/>
      <c r="R27" s="219"/>
      <c r="X27" s="250"/>
      <c r="Y27" s="250"/>
    </row>
    <row r="28" spans="1:25" x14ac:dyDescent="0.2">
      <c r="A28" s="432" t="s">
        <v>680</v>
      </c>
      <c r="D28" s="405">
        <f t="shared" si="0"/>
        <v>0.15263157894736845</v>
      </c>
      <c r="E28" s="405">
        <f t="shared" si="0"/>
        <v>6.6666666666666652E-2</v>
      </c>
      <c r="F28" s="405"/>
      <c r="G28" s="405">
        <f>G7/E7-1</f>
        <v>0.125</v>
      </c>
      <c r="H28" s="405">
        <f t="shared" si="1"/>
        <v>5.555555555555558E-2</v>
      </c>
      <c r="I28" s="405">
        <f t="shared" si="1"/>
        <v>0.15789473684210531</v>
      </c>
      <c r="J28" s="405">
        <f t="shared" si="1"/>
        <v>0.13636363636363646</v>
      </c>
      <c r="K28" s="405"/>
      <c r="L28" s="405">
        <f>L7/J7-1</f>
        <v>0.15999999999999992</v>
      </c>
      <c r="M28" s="405">
        <f t="shared" si="2"/>
        <v>0.13793103448275867</v>
      </c>
      <c r="N28" s="405">
        <f t="shared" si="2"/>
        <v>0.1212121212121211</v>
      </c>
      <c r="O28" s="405">
        <f t="shared" si="2"/>
        <v>0.13513513513513509</v>
      </c>
      <c r="P28" s="259"/>
      <c r="Q28" s="219"/>
      <c r="R28" s="219"/>
      <c r="X28" s="250"/>
      <c r="Y28" s="250"/>
    </row>
    <row r="29" spans="1:25" ht="12.75" thickBot="1" x14ac:dyDescent="0.25">
      <c r="A29" s="439" t="s">
        <v>582</v>
      </c>
      <c r="B29" s="255"/>
      <c r="C29" s="255"/>
      <c r="D29" s="407">
        <f t="shared" si="0"/>
        <v>-5.942480620155044E-2</v>
      </c>
      <c r="E29" s="407">
        <f t="shared" si="0"/>
        <v>0.22279126577667308</v>
      </c>
      <c r="F29" s="407"/>
      <c r="G29" s="407">
        <f>G8/E8-1</f>
        <v>0.1538148451314425</v>
      </c>
      <c r="H29" s="407">
        <f t="shared" si="1"/>
        <v>-2.0371567993415107E-2</v>
      </c>
      <c r="I29" s="407">
        <f t="shared" si="1"/>
        <v>0.13268217054263576</v>
      </c>
      <c r="J29" s="407">
        <f t="shared" si="1"/>
        <v>0.2431355909003805</v>
      </c>
      <c r="K29" s="407"/>
      <c r="L29" s="407">
        <f>L8/J8-1</f>
        <v>0.12368284868037138</v>
      </c>
      <c r="M29" s="407">
        <f t="shared" si="2"/>
        <v>-4.4946792874360653E-2</v>
      </c>
      <c r="N29" s="407">
        <f t="shared" si="2"/>
        <v>5.407984240819963E-2</v>
      </c>
      <c r="O29" s="407">
        <f t="shared" si="2"/>
        <v>0.23019720064630422</v>
      </c>
      <c r="P29" s="260"/>
      <c r="Q29" s="219"/>
      <c r="R29" s="219"/>
      <c r="X29" s="250"/>
      <c r="Y29" s="250"/>
    </row>
    <row r="30" spans="1:25" x14ac:dyDescent="0.2">
      <c r="D30" s="253"/>
      <c r="E30" s="253"/>
      <c r="F30" s="253"/>
      <c r="G30" s="253"/>
      <c r="H30" s="253"/>
      <c r="I30" s="253"/>
      <c r="J30" s="253"/>
      <c r="K30" s="253"/>
      <c r="L30" s="253"/>
      <c r="M30" s="253"/>
      <c r="N30" s="253"/>
      <c r="O30" s="253"/>
      <c r="P30" s="253"/>
      <c r="Q30" s="219"/>
      <c r="R30" s="219"/>
      <c r="X30" s="250"/>
      <c r="Y30" s="250"/>
    </row>
    <row r="31" spans="1:25" x14ac:dyDescent="0.2">
      <c r="D31" s="253"/>
      <c r="E31" s="253"/>
      <c r="F31" s="253"/>
      <c r="G31" s="253"/>
      <c r="H31" s="253"/>
      <c r="I31" s="253"/>
      <c r="J31" s="253"/>
      <c r="K31" s="253"/>
      <c r="L31" s="253"/>
      <c r="M31" s="253"/>
      <c r="N31" s="253"/>
      <c r="O31" s="253"/>
      <c r="P31" s="253"/>
      <c r="Q31" s="219"/>
      <c r="R31" s="219"/>
      <c r="X31" s="250"/>
      <c r="Y31" s="250"/>
    </row>
    <row r="32" spans="1:25" x14ac:dyDescent="0.2">
      <c r="D32" s="253"/>
      <c r="E32" s="253"/>
      <c r="F32" s="253"/>
      <c r="G32" s="253"/>
      <c r="H32" s="253"/>
      <c r="I32" s="253"/>
      <c r="J32" s="253"/>
      <c r="K32" s="253"/>
      <c r="L32" s="253"/>
      <c r="M32" s="253"/>
      <c r="N32" s="253"/>
      <c r="O32" s="253"/>
      <c r="P32" s="253"/>
      <c r="Q32" s="219"/>
      <c r="R32" s="219"/>
      <c r="X32" s="250"/>
      <c r="Y32" s="250"/>
    </row>
    <row r="33" spans="1:94" ht="12.75" thickBot="1" x14ac:dyDescent="0.25">
      <c r="D33" s="253"/>
      <c r="E33" s="253"/>
      <c r="F33" s="253"/>
      <c r="G33" s="253"/>
      <c r="H33" s="253"/>
      <c r="I33" s="253"/>
      <c r="J33" s="253"/>
      <c r="K33" s="253"/>
      <c r="L33" s="253"/>
      <c r="M33" s="253"/>
      <c r="N33" s="253"/>
      <c r="O33" s="253"/>
      <c r="P33" s="253"/>
      <c r="Q33" s="219"/>
      <c r="R33" s="219"/>
      <c r="X33" s="250"/>
      <c r="Y33" s="250"/>
    </row>
    <row r="34" spans="1:94" ht="12.75" thickBot="1" x14ac:dyDescent="0.25">
      <c r="A34" s="222"/>
      <c r="B34" s="256"/>
      <c r="C34" s="257"/>
      <c r="D34" s="258"/>
      <c r="E34" s="1465" t="s">
        <v>681</v>
      </c>
      <c r="F34" s="1466"/>
      <c r="G34" s="253"/>
      <c r="H34" s="253"/>
      <c r="I34" s="253"/>
      <c r="J34" s="253"/>
      <c r="K34" s="253"/>
      <c r="L34" s="253"/>
      <c r="M34" s="253"/>
      <c r="N34" s="253"/>
      <c r="O34" s="253"/>
      <c r="P34" s="253"/>
      <c r="Q34" s="219"/>
      <c r="R34" s="219"/>
      <c r="X34" s="250"/>
      <c r="Y34" s="250"/>
    </row>
    <row r="35" spans="1:94" ht="12.75" thickBot="1" x14ac:dyDescent="0.25">
      <c r="A35" s="443" t="s">
        <v>676</v>
      </c>
      <c r="B35" s="444">
        <v>2020</v>
      </c>
      <c r="C35" s="445">
        <v>2021</v>
      </c>
      <c r="D35" s="446">
        <v>2022</v>
      </c>
      <c r="E35" s="255">
        <v>2021</v>
      </c>
      <c r="F35" s="447">
        <v>2022</v>
      </c>
      <c r="H35" s="253"/>
      <c r="I35" s="253"/>
      <c r="J35" s="253"/>
      <c r="K35" s="253"/>
      <c r="L35" s="253"/>
      <c r="M35" s="253"/>
      <c r="N35" s="253"/>
      <c r="O35" s="253"/>
      <c r="P35" s="253"/>
      <c r="Q35" s="219"/>
      <c r="R35" s="219"/>
      <c r="X35" s="250"/>
      <c r="Y35" s="250"/>
    </row>
    <row r="36" spans="1:94" x14ac:dyDescent="0.2">
      <c r="A36" s="432" t="s">
        <v>588</v>
      </c>
      <c r="B36" s="409">
        <f>F10</f>
        <v>117501</v>
      </c>
      <c r="C36" s="410">
        <f>K10</f>
        <v>180698</v>
      </c>
      <c r="D36" s="411">
        <f>P10</f>
        <v>273507</v>
      </c>
      <c r="E36" s="405">
        <f t="shared" ref="E36:F40" si="3">C36/B36-1</f>
        <v>0.53784223112994778</v>
      </c>
      <c r="F36" s="406">
        <f t="shared" si="3"/>
        <v>0.51361387508439504</v>
      </c>
      <c r="G36" s="253"/>
      <c r="H36" s="253"/>
      <c r="I36" s="253"/>
      <c r="J36" s="253"/>
      <c r="K36" s="253"/>
      <c r="L36" s="253"/>
      <c r="M36" s="253"/>
      <c r="N36" s="253"/>
      <c r="O36" s="253"/>
      <c r="P36" s="253"/>
      <c r="Q36" s="219"/>
      <c r="R36" s="219"/>
      <c r="X36" s="250"/>
      <c r="Y36" s="250"/>
    </row>
    <row r="37" spans="1:94" x14ac:dyDescent="0.2">
      <c r="A37" s="432" t="s">
        <v>589</v>
      </c>
      <c r="B37" s="409">
        <f>F11</f>
        <v>27043</v>
      </c>
      <c r="C37" s="410">
        <f>K11</f>
        <v>38501</v>
      </c>
      <c r="D37" s="411">
        <f>P11</f>
        <v>44731</v>
      </c>
      <c r="E37" s="405">
        <f t="shared" si="3"/>
        <v>0.42369559590282146</v>
      </c>
      <c r="F37" s="406">
        <f t="shared" si="3"/>
        <v>0.161813978857692</v>
      </c>
      <c r="G37" s="253"/>
      <c r="H37" s="253"/>
      <c r="I37" s="253"/>
      <c r="J37" s="253"/>
      <c r="K37" s="253"/>
      <c r="L37" s="253"/>
      <c r="M37" s="253"/>
      <c r="N37" s="253"/>
      <c r="O37" s="253"/>
      <c r="P37" s="253"/>
      <c r="Q37" s="219"/>
      <c r="R37" s="219"/>
      <c r="X37" s="250"/>
      <c r="Y37" s="250"/>
    </row>
    <row r="38" spans="1:94" x14ac:dyDescent="0.2">
      <c r="A38" s="432" t="s">
        <v>590</v>
      </c>
      <c r="B38" s="409">
        <f>F12</f>
        <v>15155</v>
      </c>
      <c r="C38" s="410">
        <f>K12</f>
        <v>24658</v>
      </c>
      <c r="D38" s="411">
        <f>P12</f>
        <v>32718</v>
      </c>
      <c r="E38" s="405">
        <f t="shared" si="3"/>
        <v>0.62705377763114489</v>
      </c>
      <c r="F38" s="406">
        <f t="shared" si="3"/>
        <v>0.32687160353637768</v>
      </c>
      <c r="K38" s="253"/>
      <c r="Q38" s="219"/>
      <c r="R38" s="219"/>
      <c r="X38" s="250"/>
      <c r="Y38" s="250"/>
    </row>
    <row r="39" spans="1:94" x14ac:dyDescent="0.2">
      <c r="A39" s="432" t="s">
        <v>591</v>
      </c>
      <c r="B39" s="409">
        <f>F13</f>
        <v>1997</v>
      </c>
      <c r="C39" s="410">
        <f>K13</f>
        <v>6915</v>
      </c>
      <c r="D39" s="411">
        <f>P13</f>
        <v>18539</v>
      </c>
      <c r="E39" s="405">
        <f t="shared" si="3"/>
        <v>2.4626940410615923</v>
      </c>
      <c r="F39" s="406">
        <f t="shared" si="3"/>
        <v>1.6809833694866234</v>
      </c>
      <c r="K39" s="253"/>
      <c r="Q39" s="219"/>
      <c r="R39" s="219"/>
    </row>
    <row r="40" spans="1:94" ht="12.75" thickBot="1" x14ac:dyDescent="0.25">
      <c r="A40" s="432" t="s">
        <v>592</v>
      </c>
      <c r="B40" s="412">
        <f>F14</f>
        <v>161696</v>
      </c>
      <c r="C40" s="413">
        <f>K14</f>
        <v>250772</v>
      </c>
      <c r="D40" s="414">
        <f>P14</f>
        <v>369495</v>
      </c>
      <c r="E40" s="407">
        <f t="shared" si="3"/>
        <v>0.5508856125074213</v>
      </c>
      <c r="F40" s="408">
        <f t="shared" si="3"/>
        <v>0.47343004801173971</v>
      </c>
      <c r="K40" s="253"/>
      <c r="Q40" s="219"/>
      <c r="R40" s="219"/>
    </row>
    <row r="41" spans="1:94" x14ac:dyDescent="0.2">
      <c r="K41" s="253"/>
      <c r="Q41" s="219"/>
      <c r="R41" s="219"/>
    </row>
    <row r="42" spans="1:94" x14ac:dyDescent="0.2">
      <c r="K42" s="253"/>
      <c r="Q42" s="219"/>
      <c r="R42" s="219"/>
    </row>
    <row r="45" spans="1:94" ht="12.75" thickBot="1" x14ac:dyDescent="0.25">
      <c r="Q45" s="505"/>
      <c r="R45" s="506" t="s">
        <v>682</v>
      </c>
      <c r="AH45" s="279"/>
    </row>
    <row r="46" spans="1:94" s="226" customFormat="1" x14ac:dyDescent="0.2">
      <c r="A46" s="448" t="str">
        <f>'Operating Model'!B3</f>
        <v xml:space="preserve">$ in '000 </v>
      </c>
      <c r="B46" s="449"/>
      <c r="C46" s="449"/>
      <c r="D46" s="449"/>
      <c r="E46" s="449"/>
      <c r="F46" s="449"/>
      <c r="G46" s="449" t="str">
        <f>'Operating Model'!K3</f>
        <v>Actual</v>
      </c>
      <c r="H46" s="449" t="str">
        <f>'Operating Model'!L3</f>
        <v>Actual</v>
      </c>
      <c r="I46" s="449" t="str">
        <f>'Operating Model'!M3</f>
        <v>Actual</v>
      </c>
      <c r="J46" s="450" t="str">
        <f>'Operating Model'!N3</f>
        <v>Actual</v>
      </c>
      <c r="K46" s="219"/>
      <c r="L46" s="448" t="str">
        <f>'Operating Model'!O3</f>
        <v>Actual</v>
      </c>
      <c r="M46" s="449" t="str">
        <f>'Operating Model'!P3</f>
        <v>Actual</v>
      </c>
      <c r="N46" s="449" t="str">
        <f>'Operating Model'!Q3</f>
        <v>Actual</v>
      </c>
      <c r="O46" s="450" t="str">
        <f>'Operating Model'!R3</f>
        <v>Actual</v>
      </c>
      <c r="P46" s="448" t="str">
        <f>'Operating Model'!S3</f>
        <v>Forecast</v>
      </c>
      <c r="Q46" s="449" t="str">
        <f>'Operating Model'!T3</f>
        <v>Forecast</v>
      </c>
      <c r="R46" s="449" t="str">
        <f>'Operating Model'!U3</f>
        <v>Closing</v>
      </c>
      <c r="S46" s="449" t="str">
        <f>'Operating Model'!V3</f>
        <v>Forecast</v>
      </c>
      <c r="T46" s="449" t="str">
        <f>'Operating Model'!W3</f>
        <v>Forecast</v>
      </c>
      <c r="U46" s="449" t="str">
        <f>'Operating Model'!X3</f>
        <v>Forecast</v>
      </c>
      <c r="V46" s="449" t="str">
        <f>'Operating Model'!Y3</f>
        <v>Forecast</v>
      </c>
      <c r="W46" s="449" t="str">
        <f>'Operating Model'!Z3</f>
        <v>Forecast</v>
      </c>
      <c r="X46" s="449" t="str">
        <f>'Operating Model'!AA3</f>
        <v>Forecast</v>
      </c>
      <c r="Y46" s="449" t="str">
        <f>'Operating Model'!AB3</f>
        <v>Forecast</v>
      </c>
      <c r="Z46" s="449" t="str">
        <f>'Operating Model'!AC3</f>
        <v>Forecast</v>
      </c>
      <c r="AA46" s="449" t="str">
        <f>'Operating Model'!AD3</f>
        <v>Forecast</v>
      </c>
      <c r="AB46" s="449" t="str">
        <f>'Operating Model'!AE3</f>
        <v>Forecast</v>
      </c>
      <c r="AC46" s="449" t="str">
        <f>'Operating Model'!AF3</f>
        <v>Forecast</v>
      </c>
      <c r="AD46" s="449" t="str">
        <f>'Operating Model'!AG3</f>
        <v>Forecast</v>
      </c>
      <c r="AE46" s="449" t="str">
        <f>'Operating Model'!AH3</f>
        <v>Forecast</v>
      </c>
      <c r="AF46" s="449" t="str">
        <f>'Operating Model'!AI3</f>
        <v>Forecast</v>
      </c>
      <c r="AG46" s="449" t="str">
        <f>'Operating Model'!AJ3</f>
        <v>Forecast</v>
      </c>
      <c r="AH46" s="449" t="str">
        <f>'Operating Model'!AK3</f>
        <v>Forecast</v>
      </c>
      <c r="AI46" s="449" t="str">
        <f>'Operating Model'!AL3</f>
        <v>Forecast</v>
      </c>
      <c r="AJ46" s="27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row>
    <row r="47" spans="1:94" s="226" customFormat="1" x14ac:dyDescent="0.2">
      <c r="A47" s="451" t="str">
        <f>'Operating Model'!B4</f>
        <v xml:space="preserve">Quaterly </v>
      </c>
      <c r="B47" s="452"/>
      <c r="C47" s="452"/>
      <c r="D47" s="452"/>
      <c r="E47" s="452"/>
      <c r="F47" s="452"/>
      <c r="G47" s="452">
        <f>'Operating Model'!K4</f>
        <v>2021</v>
      </c>
      <c r="H47" s="452">
        <f>'Operating Model'!L4</f>
        <v>2021</v>
      </c>
      <c r="I47" s="452">
        <f>'Operating Model'!M4</f>
        <v>2021</v>
      </c>
      <c r="J47" s="453">
        <f>'Operating Model'!N4</f>
        <v>2021</v>
      </c>
      <c r="K47" s="219"/>
      <c r="L47" s="451">
        <f>'Operating Model'!O4</f>
        <v>2022</v>
      </c>
      <c r="M47" s="452">
        <f>'Operating Model'!P4</f>
        <v>2022</v>
      </c>
      <c r="N47" s="452">
        <f>'Operating Model'!Q4</f>
        <v>2022</v>
      </c>
      <c r="O47" s="453">
        <f>'Operating Model'!R4</f>
        <v>2022</v>
      </c>
      <c r="P47" s="451">
        <f>'Operating Model'!S4</f>
        <v>2023</v>
      </c>
      <c r="Q47" s="452">
        <f>'Operating Model'!T4</f>
        <v>2023</v>
      </c>
      <c r="R47" s="452">
        <f>'Operating Model'!U4</f>
        <v>2023</v>
      </c>
      <c r="S47" s="452">
        <f>'Operating Model'!V4</f>
        <v>2023</v>
      </c>
      <c r="T47" s="452">
        <f>'Operating Model'!W4</f>
        <v>2024</v>
      </c>
      <c r="U47" s="452">
        <f>'Operating Model'!X4</f>
        <v>2024</v>
      </c>
      <c r="V47" s="452">
        <f>'Operating Model'!Y4</f>
        <v>2024</v>
      </c>
      <c r="W47" s="452">
        <f>'Operating Model'!Z4</f>
        <v>2024</v>
      </c>
      <c r="X47" s="452">
        <f>'Operating Model'!AA4</f>
        <v>2025</v>
      </c>
      <c r="Y47" s="452">
        <f>'Operating Model'!AB4</f>
        <v>2025</v>
      </c>
      <c r="Z47" s="452">
        <f>'Operating Model'!AC4</f>
        <v>2025</v>
      </c>
      <c r="AA47" s="452">
        <f>'Operating Model'!AD4</f>
        <v>2025</v>
      </c>
      <c r="AB47" s="452">
        <f>'Operating Model'!AE4</f>
        <v>2026</v>
      </c>
      <c r="AC47" s="452">
        <f>'Operating Model'!AF4</f>
        <v>2026</v>
      </c>
      <c r="AD47" s="452">
        <f>'Operating Model'!AG4</f>
        <v>2026</v>
      </c>
      <c r="AE47" s="452">
        <f>'Operating Model'!AH4</f>
        <v>2026</v>
      </c>
      <c r="AF47" s="452">
        <f>'Operating Model'!AI4</f>
        <v>2027</v>
      </c>
      <c r="AG47" s="452">
        <f>'Operating Model'!AJ4</f>
        <v>2027</v>
      </c>
      <c r="AH47" s="452">
        <f>'Operating Model'!AK4</f>
        <v>2027</v>
      </c>
      <c r="AI47" s="452">
        <f>'Operating Model'!AL4</f>
        <v>2027</v>
      </c>
      <c r="AJ47" s="27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row>
    <row r="48" spans="1:94" s="226" customFormat="1" x14ac:dyDescent="0.2">
      <c r="A48" s="451" t="str">
        <f>'Operating Model'!B5</f>
        <v>Fiscal End Date</v>
      </c>
      <c r="B48" s="452"/>
      <c r="C48" s="452"/>
      <c r="D48" s="452"/>
      <c r="E48" s="452"/>
      <c r="F48" s="452"/>
      <c r="G48" s="454">
        <f>'Operating Model'!K5</f>
        <v>44286</v>
      </c>
      <c r="H48" s="454">
        <f>'Operating Model'!L5</f>
        <v>44377</v>
      </c>
      <c r="I48" s="454">
        <f>'Operating Model'!M5</f>
        <v>44469</v>
      </c>
      <c r="J48" s="455">
        <f>'Operating Model'!N5</f>
        <v>44561</v>
      </c>
      <c r="K48" s="219"/>
      <c r="L48" s="456">
        <f>'Operating Model'!O5</f>
        <v>44651</v>
      </c>
      <c r="M48" s="454">
        <f>'Operating Model'!P5</f>
        <v>44742</v>
      </c>
      <c r="N48" s="454">
        <f>'Operating Model'!Q5</f>
        <v>44834</v>
      </c>
      <c r="O48" s="455">
        <f>'Operating Model'!R5</f>
        <v>44926</v>
      </c>
      <c r="P48" s="456">
        <f>'Operating Model'!S5</f>
        <v>45016</v>
      </c>
      <c r="Q48" s="454">
        <f>'Operating Model'!T5</f>
        <v>45107</v>
      </c>
      <c r="R48" s="454">
        <f>'Operating Model'!U5</f>
        <v>45199</v>
      </c>
      <c r="S48" s="454">
        <f>'Operating Model'!V5</f>
        <v>45291</v>
      </c>
      <c r="T48" s="454">
        <f>'Operating Model'!W5</f>
        <v>45382</v>
      </c>
      <c r="U48" s="454">
        <f>'Operating Model'!X5</f>
        <v>45473</v>
      </c>
      <c r="V48" s="454">
        <f>'Operating Model'!Y5</f>
        <v>45565</v>
      </c>
      <c r="W48" s="454">
        <f>'Operating Model'!Z5</f>
        <v>45657</v>
      </c>
      <c r="X48" s="454">
        <f>'Operating Model'!AA5</f>
        <v>45747</v>
      </c>
      <c r="Y48" s="454">
        <f>'Operating Model'!AB5</f>
        <v>45838</v>
      </c>
      <c r="Z48" s="454">
        <f>'Operating Model'!AC5</f>
        <v>45930</v>
      </c>
      <c r="AA48" s="454">
        <f>'Operating Model'!AD5</f>
        <v>46022</v>
      </c>
      <c r="AB48" s="454">
        <f>'Operating Model'!AE5</f>
        <v>46112</v>
      </c>
      <c r="AC48" s="454">
        <f>'Operating Model'!AF5</f>
        <v>46203</v>
      </c>
      <c r="AD48" s="454">
        <f>'Operating Model'!AG5</f>
        <v>46295</v>
      </c>
      <c r="AE48" s="454">
        <f>'Operating Model'!AH5</f>
        <v>46387</v>
      </c>
      <c r="AF48" s="454">
        <f>'Operating Model'!AI5</f>
        <v>46477</v>
      </c>
      <c r="AG48" s="454">
        <f>'Operating Model'!AJ5</f>
        <v>46568</v>
      </c>
      <c r="AH48" s="454">
        <f>'Operating Model'!AK5</f>
        <v>46660</v>
      </c>
      <c r="AI48" s="454">
        <f>'Operating Model'!AL5</f>
        <v>46752</v>
      </c>
      <c r="AJ48" s="27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row>
    <row r="49" spans="1:94" s="281" customFormat="1" x14ac:dyDescent="0.2">
      <c r="A49" s="457"/>
      <c r="B49" s="458"/>
      <c r="C49" s="458"/>
      <c r="D49" s="458"/>
      <c r="E49" s="458"/>
      <c r="F49" s="458"/>
      <c r="G49" s="459" t="s">
        <v>670</v>
      </c>
      <c r="H49" s="459" t="s">
        <v>671</v>
      </c>
      <c r="I49" s="459" t="s">
        <v>672</v>
      </c>
      <c r="J49" s="460" t="s">
        <v>673</v>
      </c>
      <c r="K49" s="227"/>
      <c r="L49" s="461" t="s">
        <v>670</v>
      </c>
      <c r="M49" s="459" t="s">
        <v>671</v>
      </c>
      <c r="N49" s="459" t="s">
        <v>672</v>
      </c>
      <c r="O49" s="460" t="s">
        <v>673</v>
      </c>
      <c r="P49" s="461" t="s">
        <v>670</v>
      </c>
      <c r="Q49" s="459" t="s">
        <v>671</v>
      </c>
      <c r="R49" s="459" t="s">
        <v>672</v>
      </c>
      <c r="S49" s="459" t="s">
        <v>673</v>
      </c>
      <c r="T49" s="459" t="s">
        <v>670</v>
      </c>
      <c r="U49" s="459" t="s">
        <v>671</v>
      </c>
      <c r="V49" s="459" t="s">
        <v>672</v>
      </c>
      <c r="W49" s="459" t="s">
        <v>673</v>
      </c>
      <c r="X49" s="459" t="s">
        <v>670</v>
      </c>
      <c r="Y49" s="459" t="s">
        <v>671</v>
      </c>
      <c r="Z49" s="459" t="s">
        <v>672</v>
      </c>
      <c r="AA49" s="459" t="s">
        <v>673</v>
      </c>
      <c r="AB49" s="459" t="s">
        <v>670</v>
      </c>
      <c r="AC49" s="459" t="s">
        <v>671</v>
      </c>
      <c r="AD49" s="459" t="s">
        <v>672</v>
      </c>
      <c r="AE49" s="459" t="s">
        <v>673</v>
      </c>
      <c r="AF49" s="459" t="s">
        <v>670</v>
      </c>
      <c r="AG49" s="459" t="s">
        <v>671</v>
      </c>
      <c r="AH49" s="459" t="s">
        <v>672</v>
      </c>
      <c r="AI49" s="459" t="s">
        <v>673</v>
      </c>
      <c r="AJ49" s="280"/>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19"/>
      <c r="CL49" s="219"/>
      <c r="CM49" s="219"/>
      <c r="CN49" s="219"/>
      <c r="CO49" s="219"/>
      <c r="CP49" s="219"/>
    </row>
    <row r="50" spans="1:94" s="281" customFormat="1" x14ac:dyDescent="0.2">
      <c r="A50" s="509" t="str">
        <f>'Operating Model'!B7 &amp;" (Source: 3 Stmt Model)"</f>
        <v>Revenues (Source: 3 Stmt Model)</v>
      </c>
      <c r="B50" s="510"/>
      <c r="C50" s="510"/>
      <c r="D50" s="510"/>
      <c r="F50" s="510"/>
      <c r="G50" s="282">
        <f>'Operating Model'!K7</f>
        <v>55360</v>
      </c>
      <c r="H50" s="282">
        <f>'Operating Model'!L7</f>
        <v>58803</v>
      </c>
      <c r="I50" s="282">
        <f>'Operating Model'!M7</f>
        <v>63595</v>
      </c>
      <c r="J50" s="282">
        <f>'Operating Model'!N7</f>
        <v>73014</v>
      </c>
      <c r="K50" s="227"/>
      <c r="L50" s="282">
        <f>'Operating Model'!O7</f>
        <v>81220</v>
      </c>
      <c r="M50" s="282">
        <f>'Operating Model'!P7</f>
        <v>88386</v>
      </c>
      <c r="N50" s="282">
        <f>'Operating Model'!Q7</f>
        <v>96065</v>
      </c>
      <c r="O50" s="282">
        <f>'Operating Model'!R7</f>
        <v>103824</v>
      </c>
      <c r="P50" s="282">
        <f ca="1">'Operating Model'!S7</f>
        <v>117455.30093506495</v>
      </c>
      <c r="Q50" s="282">
        <f ca="1">'Operating Model'!T7</f>
        <v>122388.61411764707</v>
      </c>
      <c r="R50" s="282">
        <f ca="1">'Operating Model'!U7</f>
        <v>125544.1738197425</v>
      </c>
      <c r="S50" s="282">
        <f ca="1">'Operating Model'!V7</f>
        <v>139021.90249303763</v>
      </c>
      <c r="T50" s="282">
        <f ca="1">'Operating Model'!W7</f>
        <v>141449.37662337665</v>
      </c>
      <c r="U50" s="282">
        <f ca="1">'Operating Model'!X7</f>
        <v>148176.52941176473</v>
      </c>
      <c r="V50" s="282">
        <f ca="1">'Operating Model'!Y7</f>
        <v>157600.19849785409</v>
      </c>
      <c r="W50" s="282">
        <f ca="1">'Operating Model'!Z7</f>
        <v>167744.28443750326</v>
      </c>
      <c r="X50" s="282">
        <f ca="1">'Operating Model'!AA7</f>
        <v>163121.11273328293</v>
      </c>
      <c r="Y50" s="282">
        <f ca="1">'Operating Model'!AB7</f>
        <v>171592.70143435456</v>
      </c>
      <c r="Z50" s="282">
        <f ca="1">'Operating Model'!AC7</f>
        <v>187781.02468802198</v>
      </c>
      <c r="AA50" s="282">
        <f ca="1">'Operating Model'!AD7</f>
        <v>193736.67477428674</v>
      </c>
      <c r="AB50" s="282">
        <f ca="1">'Operating Model'!AE7</f>
        <v>178116.37588748935</v>
      </c>
      <c r="AC50" s="282">
        <f ca="1">'Operating Model'!AF7</f>
        <v>187862.66360943863</v>
      </c>
      <c r="AD50" s="282">
        <f ca="1">'Operating Model'!AG7</f>
        <v>209357.34193357918</v>
      </c>
      <c r="AE50" s="282">
        <f ca="1">'Operating Model'!AH7</f>
        <v>211748.6599462521</v>
      </c>
      <c r="AF50" s="282">
        <f ca="1">'Operating Model'!AI7</f>
        <v>186303.24355824146</v>
      </c>
      <c r="AG50" s="282">
        <f ca="1">'Operating Model'!AJ7</f>
        <v>196768.98190120302</v>
      </c>
      <c r="AH50" s="282">
        <f ca="1">'Operating Model'!AK7</f>
        <v>221385.07592520662</v>
      </c>
      <c r="AI50" s="282">
        <f ca="1">'Operating Model'!AL7</f>
        <v>221591.95298196396</v>
      </c>
      <c r="AJ50" s="280"/>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row>
    <row r="51" spans="1:94" s="281" customFormat="1" x14ac:dyDescent="0.2">
      <c r="A51" s="511" t="s">
        <v>687</v>
      </c>
      <c r="B51" s="510"/>
      <c r="C51" s="510"/>
      <c r="D51" s="510"/>
      <c r="F51" s="510"/>
      <c r="G51" s="489">
        <f>G50</f>
        <v>55360</v>
      </c>
      <c r="H51" s="489">
        <f t="shared" ref="H51:O51" si="4">H50</f>
        <v>58803</v>
      </c>
      <c r="I51" s="489">
        <f t="shared" si="4"/>
        <v>63595</v>
      </c>
      <c r="J51" s="489">
        <f t="shared" si="4"/>
        <v>73014</v>
      </c>
      <c r="K51" s="227"/>
      <c r="L51" s="489">
        <f t="shared" si="4"/>
        <v>81220</v>
      </c>
      <c r="M51" s="489">
        <f t="shared" si="4"/>
        <v>88386</v>
      </c>
      <c r="N51" s="489">
        <f t="shared" si="4"/>
        <v>96065</v>
      </c>
      <c r="O51" s="489">
        <f t="shared" si="4"/>
        <v>103824</v>
      </c>
      <c r="P51" s="489">
        <f>Q97</f>
        <v>113000</v>
      </c>
      <c r="Q51" s="489">
        <f>R97</f>
        <v>119000</v>
      </c>
      <c r="R51" s="489">
        <f>S97</f>
        <v>125938</v>
      </c>
      <c r="S51" s="489">
        <f>T97</f>
        <v>134386</v>
      </c>
      <c r="T51" s="489">
        <f>V97</f>
        <v>138017</v>
      </c>
      <c r="U51" s="489">
        <f>W97</f>
        <v>146314.5</v>
      </c>
      <c r="V51" s="489">
        <f>X97</f>
        <v>154003</v>
      </c>
      <c r="W51" s="489">
        <f>Y97</f>
        <v>160887.5</v>
      </c>
      <c r="X51" s="508"/>
      <c r="Y51" s="508">
        <f>AA97</f>
        <v>0</v>
      </c>
      <c r="Z51" s="508">
        <f>AB97</f>
        <v>0</v>
      </c>
      <c r="AA51" s="508">
        <f>AC97</f>
        <v>0</v>
      </c>
      <c r="AB51" s="508" t="e">
        <f>#REF!</f>
        <v>#REF!</v>
      </c>
      <c r="AC51" s="508">
        <f>AD97</f>
        <v>0</v>
      </c>
      <c r="AD51" s="508">
        <f>AE97</f>
        <v>0</v>
      </c>
      <c r="AE51" s="508">
        <f>AF97</f>
        <v>0</v>
      </c>
      <c r="AF51" s="508">
        <f>AG97</f>
        <v>0</v>
      </c>
      <c r="AG51" s="508" t="e">
        <f>#REF!</f>
        <v>#REF!</v>
      </c>
      <c r="AH51" s="508">
        <f>AH97</f>
        <v>0</v>
      </c>
      <c r="AI51" s="508">
        <f>AI97</f>
        <v>0</v>
      </c>
      <c r="AJ51" s="507"/>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row>
    <row r="52" spans="1:94" s="281" customFormat="1" x14ac:dyDescent="0.2">
      <c r="A52" s="511" t="s">
        <v>688</v>
      </c>
      <c r="B52" s="510"/>
      <c r="C52" s="510"/>
      <c r="D52" s="510"/>
      <c r="F52" s="510"/>
      <c r="G52" s="489"/>
      <c r="H52" s="489"/>
      <c r="I52" s="489"/>
      <c r="J52" s="489"/>
      <c r="K52" s="227"/>
      <c r="L52" s="489">
        <f t="shared" ref="L52:O52" si="5">L99</f>
        <v>77000</v>
      </c>
      <c r="M52" s="489">
        <f t="shared" si="5"/>
        <v>85000</v>
      </c>
      <c r="N52" s="489">
        <f t="shared" si="5"/>
        <v>93200</v>
      </c>
      <c r="O52" s="489">
        <f t="shared" si="5"/>
        <v>98349.9</v>
      </c>
      <c r="P52" s="489">
        <f>Q99</f>
        <v>111352.6</v>
      </c>
      <c r="Q52" s="489">
        <f>R99</f>
        <v>117700</v>
      </c>
      <c r="R52" s="489">
        <f>S99</f>
        <v>121800</v>
      </c>
      <c r="S52" s="489">
        <f>T99</f>
        <v>131692</v>
      </c>
      <c r="T52" s="489">
        <f t="shared" ref="T52:AI52" si="6">V99</f>
        <v>134100</v>
      </c>
      <c r="U52" s="489">
        <f t="shared" si="6"/>
        <v>142500</v>
      </c>
      <c r="V52" s="489">
        <f t="shared" si="6"/>
        <v>152900</v>
      </c>
      <c r="W52" s="489">
        <f t="shared" si="6"/>
        <v>158900</v>
      </c>
      <c r="X52" s="489">
        <f t="shared" si="6"/>
        <v>0</v>
      </c>
      <c r="Y52" s="489">
        <f t="shared" si="6"/>
        <v>0</v>
      </c>
      <c r="Z52" s="489">
        <f t="shared" si="6"/>
        <v>0</v>
      </c>
      <c r="AA52" s="489">
        <f t="shared" si="6"/>
        <v>0</v>
      </c>
      <c r="AB52" s="489">
        <f t="shared" si="6"/>
        <v>0</v>
      </c>
      <c r="AC52" s="489">
        <f t="shared" si="6"/>
        <v>0</v>
      </c>
      <c r="AD52" s="489">
        <f t="shared" si="6"/>
        <v>0</v>
      </c>
      <c r="AE52" s="489">
        <f t="shared" si="6"/>
        <v>0</v>
      </c>
      <c r="AF52" s="489">
        <f t="shared" si="6"/>
        <v>0</v>
      </c>
      <c r="AG52" s="489">
        <f t="shared" si="6"/>
        <v>0</v>
      </c>
      <c r="AH52" s="489">
        <f t="shared" si="6"/>
        <v>0</v>
      </c>
      <c r="AI52" s="489">
        <f t="shared" si="6"/>
        <v>0</v>
      </c>
      <c r="AJ52" s="515"/>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row>
    <row r="53" spans="1:94" s="281" customFormat="1" x14ac:dyDescent="0.2">
      <c r="A53" s="334" t="s">
        <v>689</v>
      </c>
      <c r="B53" s="477"/>
      <c r="C53" s="477"/>
      <c r="D53" s="477"/>
      <c r="E53" s="227"/>
      <c r="F53" s="477"/>
      <c r="G53" s="513"/>
      <c r="H53" s="513"/>
      <c r="I53" s="513"/>
      <c r="J53" s="513"/>
      <c r="K53" s="514"/>
      <c r="L53" s="513"/>
      <c r="M53" s="513"/>
      <c r="N53" s="513"/>
      <c r="O53" s="513"/>
      <c r="P53" s="516"/>
      <c r="Q53" s="514"/>
      <c r="R53" s="514"/>
      <c r="S53" s="514"/>
      <c r="T53" s="516">
        <f>P52*(1+B129)</f>
        <v>136430.3343296104</v>
      </c>
      <c r="U53" s="516">
        <f>Q52*(1+C129)</f>
        <v>143323.94117647057</v>
      </c>
      <c r="V53" s="516">
        <f>R52*(1+D129)</f>
        <v>153602.19742489269</v>
      </c>
      <c r="W53" s="516">
        <f>S52*(1+E129)</f>
        <v>159717.26748224453</v>
      </c>
      <c r="X53" s="512">
        <f>T52*(1+B129)</f>
        <v>164300.67940578624</v>
      </c>
      <c r="Y53" s="512">
        <f>U52*(1+C129)</f>
        <v>173523.03838272777</v>
      </c>
      <c r="Z53" s="512">
        <f>V52*(1+D129)</f>
        <v>192822.46294142934</v>
      </c>
      <c r="AA53" s="512">
        <f>W52*(1+E129)</f>
        <v>192715.37984789247</v>
      </c>
      <c r="AB53" s="512">
        <f>X53*(1+B129)</f>
        <v>201302.85796571925</v>
      </c>
      <c r="AC53" s="512">
        <f>Y53*(1+C129)</f>
        <v>211299.96385665695</v>
      </c>
      <c r="AD53" s="512">
        <f>Z53*(1+D129)</f>
        <v>243168.75222236032</v>
      </c>
      <c r="AE53" s="512">
        <f>AA53*(1+E129)</f>
        <v>233726.98319645991</v>
      </c>
      <c r="AF53" s="512">
        <f>AB53*(1+B129)</f>
        <v>246638.30223783865</v>
      </c>
      <c r="AG53" s="512">
        <f>AC53*(1+C129)</f>
        <v>257301.13500749244</v>
      </c>
      <c r="AH53" s="512">
        <f>AD53*(1+D129)</f>
        <v>306660.54750758456</v>
      </c>
      <c r="AI53" s="512">
        <f>AE53*(1+E129)</f>
        <v>283466.2325198726</v>
      </c>
      <c r="AJ53" s="515"/>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row>
    <row r="54" spans="1:94" s="281" customFormat="1" x14ac:dyDescent="0.2">
      <c r="A54" s="509" t="str">
        <f>'Operating Model'!B8</f>
        <v>quarter over quarter growth %</v>
      </c>
      <c r="B54" s="510"/>
      <c r="C54" s="510"/>
      <c r="D54" s="510"/>
      <c r="E54" s="510"/>
      <c r="F54" s="510"/>
      <c r="G54" s="283">
        <f>'Operating Model'!K8</f>
        <v>0</v>
      </c>
      <c r="H54" s="283">
        <f>'Operating Model'!L8</f>
        <v>6.2192919075144459E-2</v>
      </c>
      <c r="I54" s="283">
        <f>'Operating Model'!M8</f>
        <v>8.1492440861860693E-2</v>
      </c>
      <c r="J54" s="283">
        <f>'Operating Model'!N8</f>
        <v>0.14810912807610666</v>
      </c>
      <c r="K54" s="227"/>
      <c r="L54" s="283">
        <f>'Operating Model'!O8</f>
        <v>0.11238940477168757</v>
      </c>
      <c r="M54" s="283">
        <f>'Operating Model'!P8</f>
        <v>8.8229500123122362E-2</v>
      </c>
      <c r="N54" s="283">
        <f>'Operating Model'!Q8</f>
        <v>8.6880275156699049E-2</v>
      </c>
      <c r="O54" s="283">
        <f>'Operating Model'!R8</f>
        <v>8.0768229844376149E-2</v>
      </c>
      <c r="P54" s="333">
        <f ca="1">'Operating Model'!S8</f>
        <v>0.13129238841756186</v>
      </c>
      <c r="Q54" s="333">
        <f ca="1">Q50/P50-1</f>
        <v>4.2001622262323401E-2</v>
      </c>
      <c r="R54" s="333">
        <f t="shared" ref="R54:S54" ca="1" si="7">R50/Q50-1</f>
        <v>2.5783114915102434E-2</v>
      </c>
      <c r="S54" s="283">
        <f t="shared" ca="1" si="7"/>
        <v>0.10735447343535487</v>
      </c>
      <c r="T54" s="283">
        <f ca="1">'Operating Model'!W8</f>
        <v>1.7461091287112707E-2</v>
      </c>
      <c r="U54" s="283">
        <f ca="1">'Operating Model'!X8</f>
        <v>4.7558730543576733E-2</v>
      </c>
      <c r="V54" s="283">
        <f ca="1">'Operating Model'!Y8</f>
        <v>6.3597582717719758E-2</v>
      </c>
      <c r="W54" s="283">
        <f ca="1">'Operating Model'!Z8</f>
        <v>6.4365946466668378E-2</v>
      </c>
      <c r="X54" s="283">
        <f ca="1">'Operating Model'!AA8</f>
        <v>-2.7560829984301427E-2</v>
      </c>
      <c r="Y54" s="283">
        <f ca="1">'Operating Model'!AB8</f>
        <v>5.1934348406042385E-2</v>
      </c>
      <c r="Z54" s="283">
        <f ca="1">'Operating Model'!AC8</f>
        <v>9.4341560674481961E-2</v>
      </c>
      <c r="AA54" s="283">
        <f ca="1">'Operating Model'!AD8</f>
        <v>3.1715931341622206E-2</v>
      </c>
      <c r="AB54" s="283">
        <f ca="1">'Operating Model'!AE8</f>
        <v>-8.06264425927401E-2</v>
      </c>
      <c r="AC54" s="283">
        <f ca="1">'Operating Model'!AF8</f>
        <v>5.4718650508057243E-2</v>
      </c>
      <c r="AD54" s="283">
        <f ca="1">'Operating Model'!AG8</f>
        <v>0.11441697839879139</v>
      </c>
      <c r="AE54" s="283">
        <f ca="1">'Operating Model'!AH8</f>
        <v>1.1422183672123554E-2</v>
      </c>
      <c r="AF54" s="283">
        <f ca="1">'Operating Model'!AI8</f>
        <v>-0.12016801614928474</v>
      </c>
      <c r="AG54" s="283">
        <f ca="1">'Operating Model'!AJ8</f>
        <v>5.617582465594495E-2</v>
      </c>
      <c r="AH54" s="283">
        <f ca="1">'Operating Model'!AK8</f>
        <v>0.12510149611061783</v>
      </c>
      <c r="AI54" s="283">
        <f ca="1">'Operating Model'!AL8</f>
        <v>9.3446704071076248E-4</v>
      </c>
      <c r="AJ54" s="280"/>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19"/>
      <c r="CP54" s="219"/>
    </row>
    <row r="55" spans="1:94" s="227" customFormat="1" outlineLevel="1" x14ac:dyDescent="0.2">
      <c r="A55" s="292" t="str">
        <f>'Operating Model'!B18</f>
        <v>Operating expenses (enter as -):</v>
      </c>
      <c r="G55" s="280">
        <f>'Operating Model'!K18</f>
        <v>0</v>
      </c>
      <c r="H55" s="280">
        <f>'Operating Model'!L18</f>
        <v>0</v>
      </c>
      <c r="I55" s="280">
        <f>'Operating Model'!M18</f>
        <v>0</v>
      </c>
      <c r="J55" s="284">
        <f>'Operating Model'!N18</f>
        <v>0</v>
      </c>
      <c r="L55" s="285">
        <f>'Operating Model'!O18</f>
        <v>0</v>
      </c>
      <c r="M55" s="280">
        <f>'Operating Model'!P18</f>
        <v>0</v>
      </c>
      <c r="N55" s="280">
        <f>'Operating Model'!Q18</f>
        <v>0</v>
      </c>
      <c r="O55" s="284">
        <f>'Operating Model'!R18</f>
        <v>0</v>
      </c>
      <c r="P55" s="285">
        <f>'Operating Model'!S18</f>
        <v>0</v>
      </c>
      <c r="Q55" s="280">
        <f>'Operating Model'!T18</f>
        <v>0</v>
      </c>
      <c r="R55" s="280">
        <f>'Operating Model'!U18</f>
        <v>0</v>
      </c>
      <c r="S55" s="280">
        <f>'Operating Model'!V18</f>
        <v>0</v>
      </c>
      <c r="T55" s="280">
        <f>'Operating Model'!W18</f>
        <v>0</v>
      </c>
      <c r="U55" s="280">
        <f>'Operating Model'!X18</f>
        <v>0</v>
      </c>
      <c r="V55" s="280">
        <f>'Operating Model'!Y18</f>
        <v>0</v>
      </c>
      <c r="W55" s="280">
        <f>'Operating Model'!Z18</f>
        <v>0</v>
      </c>
      <c r="X55" s="280">
        <f>'Operating Model'!AA18</f>
        <v>0</v>
      </c>
      <c r="Y55" s="280">
        <f>'Operating Model'!AB18</f>
        <v>0</v>
      </c>
      <c r="Z55" s="280">
        <f>'Operating Model'!AC18</f>
        <v>0</v>
      </c>
      <c r="AA55" s="280">
        <f>'Operating Model'!AD18</f>
        <v>0</v>
      </c>
      <c r="AB55" s="280">
        <f>'Operating Model'!AE18</f>
        <v>0</v>
      </c>
      <c r="AC55" s="280">
        <f>'Operating Model'!AF18</f>
        <v>0</v>
      </c>
      <c r="AD55" s="280">
        <f>'Operating Model'!AG18</f>
        <v>0</v>
      </c>
      <c r="AE55" s="280">
        <f>'Operating Model'!AH18</f>
        <v>0</v>
      </c>
      <c r="AF55" s="280">
        <f>'Operating Model'!AI18</f>
        <v>0</v>
      </c>
      <c r="AG55" s="280">
        <f>'Operating Model'!AJ18</f>
        <v>0</v>
      </c>
      <c r="AH55" s="280">
        <f>'Operating Model'!AK18</f>
        <v>0</v>
      </c>
      <c r="AI55" s="280">
        <f>'Operating Model'!AL18</f>
        <v>0</v>
      </c>
      <c r="AJ55" s="280"/>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row>
    <row r="56" spans="1:94" s="227" customFormat="1" outlineLevel="1" x14ac:dyDescent="0.2">
      <c r="A56" s="292" t="str">
        <f>'Operating Model'!B19</f>
        <v>Research and development</v>
      </c>
      <c r="G56" s="280">
        <f>('Operating Model'!K19)*-1</f>
        <v>21418</v>
      </c>
      <c r="H56" s="280">
        <f>('Operating Model'!L19)*-1</f>
        <v>20801</v>
      </c>
      <c r="I56" s="280">
        <f>('Operating Model'!M19)*-1</f>
        <v>25713</v>
      </c>
      <c r="J56" s="284">
        <f>('Operating Model'!N19)*-1</f>
        <v>26343</v>
      </c>
      <c r="L56" s="285">
        <f>('Operating Model'!O19)*-1</f>
        <v>26015</v>
      </c>
      <c r="M56" s="280">
        <f>('Operating Model'!P19)*-1</f>
        <v>27981</v>
      </c>
      <c r="N56" s="280">
        <f>('Operating Model'!Q19)*-1</f>
        <v>33319</v>
      </c>
      <c r="O56" s="284">
        <f>('Operating Model'!R19)*-1</f>
        <v>35256</v>
      </c>
      <c r="P56" s="285">
        <f ca="1">('Operating Model'!S19)*-1</f>
        <v>35859.441771688318</v>
      </c>
      <c r="Q56" s="280">
        <f ca="1">('Operating Model'!T19)*-1</f>
        <v>36909.626082352945</v>
      </c>
      <c r="R56" s="280">
        <f ca="1">('Operating Model'!U19)*-1</f>
        <v>41660.337392703863</v>
      </c>
      <c r="S56" s="280">
        <f ca="1">('Operating Model'!V19)*-1</f>
        <v>45122.987403952626</v>
      </c>
      <c r="T56" s="280">
        <f ca="1">('Operating Model'!W19)*-1</f>
        <v>41770.408441558451</v>
      </c>
      <c r="U56" s="280">
        <f ca="1">('Operating Model'!X19)*-1</f>
        <v>43204.910294117653</v>
      </c>
      <c r="V56" s="280">
        <f ca="1">('Operating Model'!Y19)*-1</f>
        <v>50721.74503755365</v>
      </c>
      <c r="W56" s="280">
        <f ca="1">('Operating Model'!Z19)*-1</f>
        <v>52768.10205195938</v>
      </c>
      <c r="X56" s="280">
        <f ca="1">('Operating Model'!AA19)*-1</f>
        <v>48170.134552467673</v>
      </c>
      <c r="Y56" s="280">
        <f ca="1">('Operating Model'!AB19)*-1</f>
        <v>50032.534180868613</v>
      </c>
      <c r="Z56" s="280">
        <f ca="1">('Operating Model'!AC19)*-1</f>
        <v>60435.084142651671</v>
      </c>
      <c r="AA56" s="280">
        <f ca="1">('Operating Model'!AD19)*-1</f>
        <v>60944.649529955634</v>
      </c>
      <c r="AB56" s="280">
        <f ca="1">('Operating Model'!AE19)*-1</f>
        <v>52598.278964214333</v>
      </c>
      <c r="AC56" s="280">
        <f ca="1">('Operating Model'!AF19)*-1</f>
        <v>54776.485595129387</v>
      </c>
      <c r="AD56" s="280">
        <f ca="1">('Operating Model'!AG19)*-1</f>
        <v>67379.164623574587</v>
      </c>
      <c r="AE56" s="280">
        <f ca="1">('Operating Model'!AH19)*-1</f>
        <v>66610.763728122314</v>
      </c>
      <c r="AF56" s="280">
        <f ca="1">('Operating Model'!AI19)*-1</f>
        <v>55015.884574275333</v>
      </c>
      <c r="AG56" s="280">
        <f ca="1">('Operating Model'!AJ19)*-1</f>
        <v>57373.365710854298</v>
      </c>
      <c r="AH56" s="280">
        <f ca="1">('Operating Model'!AK19)*-1</f>
        <v>71250.147418759007</v>
      </c>
      <c r="AI56" s="280">
        <f ca="1">('Operating Model'!AL19)*-1</f>
        <v>69707.214335530647</v>
      </c>
      <c r="AJ56" s="280"/>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219"/>
    </row>
    <row r="57" spans="1:94" s="227" customFormat="1" outlineLevel="1" x14ac:dyDescent="0.2">
      <c r="A57" s="292" t="str">
        <f>'Operating Model'!B20</f>
        <v>Sales and marketing</v>
      </c>
      <c r="G57" s="280">
        <f>('Operating Model'!K20)*-1</f>
        <v>19557</v>
      </c>
      <c r="H57" s="280">
        <f>('Operating Model'!L20)*-1</f>
        <v>9395</v>
      </c>
      <c r="I57" s="280">
        <f>('Operating Model'!M20)*-1</f>
        <v>14658</v>
      </c>
      <c r="J57" s="284">
        <f>('Operating Model'!N20)*-1</f>
        <v>13954</v>
      </c>
      <c r="L57" s="285">
        <f>('Operating Model'!O20)*-1</f>
        <v>14364</v>
      </c>
      <c r="M57" s="280">
        <f>('Operating Model'!P20)*-1</f>
        <v>14414</v>
      </c>
      <c r="N57" s="280">
        <f>('Operating Model'!Q20)*-1</f>
        <v>16649</v>
      </c>
      <c r="O57" s="284">
        <f>('Operating Model'!R20)*-1</f>
        <v>17928</v>
      </c>
      <c r="P57" s="285">
        <f ca="1">('Operating Model'!S20)*-1</f>
        <v>18951.764217324675</v>
      </c>
      <c r="Q57" s="280">
        <f ca="1">('Operating Model'!T20)*-1</f>
        <v>18062.127069411767</v>
      </c>
      <c r="R57" s="280">
        <f ca="1">('Operating Model'!U20)*-1</f>
        <v>19812.0932027897</v>
      </c>
      <c r="S57" s="280">
        <f ca="1">('Operating Model'!V20)*-1</f>
        <v>21851.023008421977</v>
      </c>
      <c r="T57" s="280">
        <f ca="1">('Operating Model'!W20)*-1</f>
        <v>20701.539467532468</v>
      </c>
      <c r="U57" s="280">
        <f ca="1">('Operating Model'!X20)*-1</f>
        <v>19645.262911764708</v>
      </c>
      <c r="V57" s="280">
        <f ca="1">('Operating Model'!Y20)*-1</f>
        <v>22506.843087446348</v>
      </c>
      <c r="W57" s="280">
        <f ca="1">('Operating Model'!Z20)*-1</f>
        <v>23849.351907831126</v>
      </c>
      <c r="X57" s="280">
        <f ca="1">('Operating Model'!AA20)*-1</f>
        <v>23873.262886319379</v>
      </c>
      <c r="Y57" s="280">
        <f ca="1">('Operating Model'!AB20)*-1</f>
        <v>22749.781944549952</v>
      </c>
      <c r="Z57" s="280">
        <f ca="1">('Operating Model'!AC20)*-1</f>
        <v>26816.958974266432</v>
      </c>
      <c r="AA57" s="280">
        <f ca="1">('Operating Model'!AD20)*-1</f>
        <v>27544.867770838762</v>
      </c>
      <c r="AB57" s="280">
        <f ca="1">('Operating Model'!AE20)*-1</f>
        <v>26067.864512874279</v>
      </c>
      <c r="AC57" s="280">
        <f ca="1">('Operating Model'!AF20)*-1</f>
        <v>24906.855576675505</v>
      </c>
      <c r="AD57" s="280">
        <f ca="1">('Operating Model'!AG20)*-1</f>
        <v>29898.2671913835</v>
      </c>
      <c r="AE57" s="280">
        <f ca="1">('Operating Model'!AH20)*-1</f>
        <v>30105.754863745256</v>
      </c>
      <c r="AF57" s="280">
        <f ca="1">('Operating Model'!AI20)*-1</f>
        <v>27266.037090564743</v>
      </c>
      <c r="AG57" s="280">
        <f ca="1">('Operating Model'!AJ20)*-1</f>
        <v>26087.656376317384</v>
      </c>
      <c r="AH57" s="280">
        <f ca="1">('Operating Model'!AK20)*-1</f>
        <v>31615.944733844142</v>
      </c>
      <c r="AI57" s="280">
        <f ca="1">('Operating Model'!AL20)*-1</f>
        <v>31505.243140367038</v>
      </c>
      <c r="AJ57" s="280"/>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219"/>
      <c r="CK57" s="219"/>
      <c r="CL57" s="219"/>
      <c r="CM57" s="219"/>
      <c r="CN57" s="219"/>
      <c r="CO57" s="219"/>
      <c r="CP57" s="219"/>
    </row>
    <row r="58" spans="1:94" s="227" customFormat="1" outlineLevel="1" x14ac:dyDescent="0.2">
      <c r="A58" s="292" t="str">
        <f>'Operating Model'!B21</f>
        <v>General and administrative</v>
      </c>
      <c r="G58" s="280">
        <f>('Operating Model'!K21)*-1</f>
        <v>9151</v>
      </c>
      <c r="H58" s="280">
        <f>('Operating Model'!L21)*-1</f>
        <v>9070</v>
      </c>
      <c r="I58" s="280">
        <f>('Operating Model'!M21)*-1</f>
        <v>10897</v>
      </c>
      <c r="J58" s="284">
        <f>('Operating Model'!N21)*-1</f>
        <v>14083</v>
      </c>
      <c r="L58" s="285">
        <f>('Operating Model'!O21)*-1</f>
        <v>15613</v>
      </c>
      <c r="M58" s="280">
        <f>('Operating Model'!P21)*-1</f>
        <v>18048</v>
      </c>
      <c r="N58" s="280">
        <f>('Operating Model'!Q21)*-1</f>
        <v>18095</v>
      </c>
      <c r="O58" s="284">
        <f>('Operating Model'!R21)*-1</f>
        <v>19159</v>
      </c>
      <c r="P58" s="285">
        <f ca="1">('Operating Model'!S21)*-1</f>
        <v>20757.99015758442</v>
      </c>
      <c r="Q58" s="280">
        <f ca="1">('Operating Model'!T21)*-1</f>
        <v>23094.148245882352</v>
      </c>
      <c r="R58" s="280">
        <f ca="1">('Operating Model'!U21)*-1</f>
        <v>21701.822816523607</v>
      </c>
      <c r="S58" s="280">
        <f ca="1">('Operating Model'!V21)*-1</f>
        <v>23499.350581708775</v>
      </c>
      <c r="T58" s="280">
        <f ca="1">('Operating Model'!W21)*-1</f>
        <v>23583.992844155848</v>
      </c>
      <c r="U58" s="280">
        <f ca="1">('Operating Model'!X21)*-1</f>
        <v>26478.439676470589</v>
      </c>
      <c r="V58" s="280">
        <f ca="1">('Operating Model'!Y21)*-1</f>
        <v>25667.0908610515</v>
      </c>
      <c r="W58" s="280">
        <f ca="1">('Operating Model'!Z21)*-1</f>
        <v>26676.950797102993</v>
      </c>
      <c r="X58" s="280">
        <f ca="1">('Operating Model'!AA21)*-1</f>
        <v>27197.342591870434</v>
      </c>
      <c r="Y58" s="280">
        <f ca="1">('Operating Model'!AB21)*-1</f>
        <v>30662.798028062371</v>
      </c>
      <c r="Z58" s="280">
        <f ca="1">('Operating Model'!AC21)*-1</f>
        <v>30582.401980378483</v>
      </c>
      <c r="AA58" s="280">
        <f ca="1">('Operating Model'!AD21)*-1</f>
        <v>30810.610077588397</v>
      </c>
      <c r="AB58" s="280">
        <f ca="1">('Operating Model'!AE21)*-1</f>
        <v>29697.517476816462</v>
      </c>
      <c r="AC58" s="280">
        <f ca="1">('Operating Model'!AF21)*-1</f>
        <v>33570.162734886297</v>
      </c>
      <c r="AD58" s="280">
        <f ca="1">('Operating Model'!AG21)*-1</f>
        <v>34096.365163591923</v>
      </c>
      <c r="AE58" s="280">
        <f ca="1">('Operating Model'!AH21)*-1</f>
        <v>33675.118062477093</v>
      </c>
      <c r="AF58" s="280">
        <f ca="1">('Operating Model'!AI21)*-1</f>
        <v>31062.52192697506</v>
      </c>
      <c r="AG58" s="280">
        <f ca="1">('Operating Model'!AJ21)*-1</f>
        <v>35161.679370915743</v>
      </c>
      <c r="AH58" s="280">
        <f ca="1">('Operating Model'!AK21)*-1</f>
        <v>36055.226536598777</v>
      </c>
      <c r="AI58" s="280">
        <f ca="1">('Operating Model'!AL21)*-1</f>
        <v>35240.530826767041</v>
      </c>
      <c r="AJ58" s="27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row>
    <row r="59" spans="1:94" s="227" customFormat="1" ht="12.75" outlineLevel="1" thickBot="1" x14ac:dyDescent="0.25">
      <c r="A59" s="293" t="s">
        <v>8</v>
      </c>
      <c r="B59" s="286"/>
      <c r="C59" s="286"/>
      <c r="D59" s="286"/>
      <c r="E59" s="286"/>
      <c r="F59" s="286"/>
      <c r="G59" s="287">
        <f>'Operating Model'!K15</f>
        <v>40341</v>
      </c>
      <c r="H59" s="287">
        <f>'Operating Model'!L15</f>
        <v>42666</v>
      </c>
      <c r="I59" s="287">
        <f>'Operating Model'!M15</f>
        <v>45517</v>
      </c>
      <c r="J59" s="287">
        <f>'Operating Model'!N15</f>
        <v>53062</v>
      </c>
      <c r="L59" s="287">
        <f>'Operating Model'!O15</f>
        <v>59730</v>
      </c>
      <c r="M59" s="287">
        <f>'Operating Model'!P15</f>
        <v>64517</v>
      </c>
      <c r="N59" s="287">
        <f>'Operating Model'!Q15</f>
        <v>69763</v>
      </c>
      <c r="O59" s="287">
        <f>'Operating Model'!R15</f>
        <v>76054</v>
      </c>
      <c r="P59" s="287">
        <f ca="1">'Operating Model'!S15</f>
        <v>85544.701298701315</v>
      </c>
      <c r="Q59" s="287">
        <f ca="1">'Operating Model'!T15</f>
        <v>89113.884705882374</v>
      </c>
      <c r="R59" s="287">
        <f ca="1">'Operating Model'!U15</f>
        <v>93591.223175965672</v>
      </c>
      <c r="S59" s="287">
        <f ca="1">'Operating Model'!V15</f>
        <v>102876.12339209294</v>
      </c>
      <c r="T59" s="287">
        <f ca="1">'Operating Model'!W15</f>
        <v>102421.58441558444</v>
      </c>
      <c r="U59" s="287">
        <f ca="1">'Operating Model'!X15</f>
        <v>107622.9529411765</v>
      </c>
      <c r="V59" s="287">
        <f ca="1">'Operating Model'!Y15</f>
        <v>114618.32618025751</v>
      </c>
      <c r="W59" s="287">
        <f ca="1">'Operating Model'!Z15</f>
        <v>122350.92867405052</v>
      </c>
      <c r="X59" s="287">
        <f ca="1">'Operating Model'!AA15</f>
        <v>118113.79602089316</v>
      </c>
      <c r="Y59" s="287">
        <f ca="1">'Operating Model'!AB15</f>
        <v>124630.48841021542</v>
      </c>
      <c r="Z59" s="287">
        <f ca="1">'Operating Model'!AC15</f>
        <v>136568.01795492508</v>
      </c>
      <c r="AA59" s="287">
        <f ca="1">'Operating Model'!AD15</f>
        <v>141309.50664782777</v>
      </c>
      <c r="AB59" s="287">
        <f ca="1">'Operating Model'!AE15</f>
        <v>128971.66367393897</v>
      </c>
      <c r="AC59" s="287">
        <f ca="1">'Operating Model'!AF15</f>
        <v>136447.61883211861</v>
      </c>
      <c r="AD59" s="287">
        <f ca="1">'Operating Model'!AG15</f>
        <v>152259.88504260304</v>
      </c>
      <c r="AE59" s="287">
        <f ca="1">'Operating Model'!AH15</f>
        <v>154447.26046425814</v>
      </c>
      <c r="AF59" s="287">
        <f ca="1">'Operating Model'!AI15</f>
        <v>134899.66405298468</v>
      </c>
      <c r="AG59" s="287">
        <f ca="1">'Operating Model'!AJ15</f>
        <v>142916.41843350537</v>
      </c>
      <c r="AH59" s="287">
        <f ca="1">'Operating Model'!AK15</f>
        <v>161007.32794560483</v>
      </c>
      <c r="AI59" s="287">
        <f ca="1">'Operating Model'!AL15</f>
        <v>161626.85557337711</v>
      </c>
      <c r="AJ59" s="27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row>
    <row r="60" spans="1:94" outlineLevel="1" x14ac:dyDescent="0.2">
      <c r="A60" s="294" t="s">
        <v>264</v>
      </c>
      <c r="B60" s="271"/>
      <c r="C60" s="271"/>
      <c r="D60" s="271"/>
      <c r="E60" s="271"/>
      <c r="F60" s="271"/>
      <c r="G60" s="271"/>
      <c r="H60" s="274"/>
      <c r="I60" s="274"/>
      <c r="J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9"/>
    </row>
    <row r="61" spans="1:94" x14ac:dyDescent="0.2">
      <c r="A61" s="219"/>
      <c r="B61" s="219"/>
      <c r="C61" s="219"/>
      <c r="D61" s="219"/>
      <c r="E61" s="219"/>
      <c r="F61" s="219"/>
      <c r="G61" s="219"/>
      <c r="H61" s="277"/>
      <c r="I61" s="277"/>
      <c r="J61" s="277"/>
      <c r="L61" s="277"/>
      <c r="M61" s="277"/>
      <c r="N61" s="277"/>
      <c r="O61" s="277"/>
      <c r="P61" s="277"/>
      <c r="Q61" s="277"/>
      <c r="R61" s="277"/>
      <c r="S61" s="277"/>
      <c r="X61" s="277"/>
      <c r="Y61" s="277"/>
      <c r="Z61" s="277"/>
      <c r="AA61" s="277"/>
      <c r="AB61" s="277"/>
      <c r="AC61" s="277"/>
      <c r="AD61" s="277"/>
      <c r="AE61" s="277"/>
      <c r="AF61" s="277"/>
      <c r="AG61" s="277"/>
      <c r="AH61" s="277"/>
      <c r="AI61" s="277"/>
      <c r="AJ61" s="277"/>
    </row>
    <row r="62" spans="1:94" ht="12.75" thickBot="1" x14ac:dyDescent="0.25">
      <c r="A62" s="219"/>
      <c r="B62" s="219"/>
      <c r="C62" s="219"/>
      <c r="D62" s="219"/>
      <c r="E62" s="219"/>
      <c r="F62" s="219"/>
      <c r="G62" s="219"/>
      <c r="H62" s="277"/>
      <c r="I62" s="277"/>
      <c r="J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row>
    <row r="63" spans="1:94" s="289" customFormat="1" x14ac:dyDescent="0.2">
      <c r="A63" s="462"/>
      <c r="B63" s="288"/>
      <c r="C63" s="288"/>
      <c r="D63" s="288"/>
      <c r="E63" s="288"/>
      <c r="F63" s="288"/>
      <c r="G63" s="463">
        <f t="shared" ref="G63:J63" si="8">G48</f>
        <v>44286</v>
      </c>
      <c r="H63" s="463">
        <f t="shared" si="8"/>
        <v>44377</v>
      </c>
      <c r="I63" s="463">
        <f t="shared" si="8"/>
        <v>44469</v>
      </c>
      <c r="J63" s="464">
        <f t="shared" si="8"/>
        <v>44561</v>
      </c>
      <c r="K63" s="222"/>
      <c r="L63" s="465">
        <f>L48</f>
        <v>44651</v>
      </c>
      <c r="M63" s="463">
        <f>M48</f>
        <v>44742</v>
      </c>
      <c r="N63" s="463">
        <f>N48</f>
        <v>44834</v>
      </c>
      <c r="O63" s="464">
        <f>O48</f>
        <v>44926</v>
      </c>
      <c r="P63" s="465">
        <f t="shared" ref="P63:S63" si="9">P48</f>
        <v>45016</v>
      </c>
      <c r="Q63" s="463">
        <f t="shared" si="9"/>
        <v>45107</v>
      </c>
      <c r="R63" s="463">
        <f t="shared" si="9"/>
        <v>45199</v>
      </c>
      <c r="S63" s="463">
        <f t="shared" si="9"/>
        <v>45291</v>
      </c>
      <c r="T63" s="463">
        <f>T48</f>
        <v>45382</v>
      </c>
      <c r="U63" s="463">
        <f>U48</f>
        <v>45473</v>
      </c>
      <c r="V63" s="463">
        <f>V48</f>
        <v>45565</v>
      </c>
      <c r="W63" s="463">
        <f>W48</f>
        <v>45657</v>
      </c>
      <c r="X63" s="463">
        <f t="shared" ref="X63:AA63" si="10">X48</f>
        <v>45747</v>
      </c>
      <c r="Y63" s="463">
        <f t="shared" si="10"/>
        <v>45838</v>
      </c>
      <c r="Z63" s="463">
        <f t="shared" si="10"/>
        <v>45930</v>
      </c>
      <c r="AA63" s="463">
        <f t="shared" si="10"/>
        <v>46022</v>
      </c>
      <c r="AB63" s="463">
        <f t="shared" ref="AB63:AI63" si="11">AB48</f>
        <v>46112</v>
      </c>
      <c r="AC63" s="463">
        <f t="shared" si="11"/>
        <v>46203</v>
      </c>
      <c r="AD63" s="463">
        <f t="shared" si="11"/>
        <v>46295</v>
      </c>
      <c r="AE63" s="463">
        <f t="shared" si="11"/>
        <v>46387</v>
      </c>
      <c r="AF63" s="463">
        <f t="shared" si="11"/>
        <v>46477</v>
      </c>
      <c r="AG63" s="463">
        <f t="shared" si="11"/>
        <v>46568</v>
      </c>
      <c r="AH63" s="463">
        <f t="shared" si="11"/>
        <v>46660</v>
      </c>
      <c r="AI63" s="463">
        <f t="shared" si="11"/>
        <v>46752</v>
      </c>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c r="CF63" s="219"/>
      <c r="CG63" s="219"/>
      <c r="CH63" s="219"/>
      <c r="CI63" s="219"/>
      <c r="CJ63" s="219"/>
      <c r="CK63" s="219"/>
      <c r="CL63" s="219"/>
      <c r="CM63" s="219"/>
      <c r="CN63" s="219"/>
      <c r="CO63" s="219"/>
      <c r="CP63" s="219"/>
    </row>
    <row r="64" spans="1:94" x14ac:dyDescent="0.2">
      <c r="A64" s="466" t="s">
        <v>690</v>
      </c>
      <c r="B64" s="275"/>
      <c r="C64" s="262"/>
      <c r="D64" s="262"/>
      <c r="E64" s="219"/>
      <c r="F64" s="262"/>
      <c r="G64" s="394">
        <f>G5/G56</f>
        <v>1.8629190400597628</v>
      </c>
      <c r="H64" s="394">
        <f>H5/H56</f>
        <v>1.822027787125619</v>
      </c>
      <c r="I64" s="394">
        <f>I5/I56</f>
        <v>1.6217477540543694</v>
      </c>
      <c r="J64" s="395">
        <f>J5/J56</f>
        <v>1.6095357400447936</v>
      </c>
      <c r="K64" s="396"/>
      <c r="L64" s="397">
        <f>L5/L56</f>
        <v>1.8912166058043436</v>
      </c>
      <c r="M64" s="394">
        <f>M5/M56</f>
        <v>1.7690575747828885</v>
      </c>
      <c r="N64" s="394">
        <f>N5/N56</f>
        <v>1.6957291635403224</v>
      </c>
      <c r="O64" s="395">
        <f>O5/O56</f>
        <v>1.7216927615157704</v>
      </c>
      <c r="P64" s="322">
        <f ca="1">Q5/P56</f>
        <v>0</v>
      </c>
      <c r="Q64" s="323" t="e">
        <f ca="1">C1/Q56</f>
        <v>#VALUE!</v>
      </c>
      <c r="R64" s="323">
        <f ca="1">B2/R56</f>
        <v>0</v>
      </c>
      <c r="S64" s="323">
        <f t="shared" ref="S64:Z64" ca="1" si="12">A202/S56</f>
        <v>2.815128925083092E-6</v>
      </c>
      <c r="T64" s="323">
        <f t="shared" ca="1" si="12"/>
        <v>8.4968301816548164E-6</v>
      </c>
      <c r="U64" s="323">
        <f t="shared" ca="1" si="12"/>
        <v>5.2746097276420684E-6</v>
      </c>
      <c r="V64" s="323">
        <f t="shared" ca="1" si="12"/>
        <v>2.8773841640876064E-6</v>
      </c>
      <c r="W64" s="323">
        <f t="shared" ca="1" si="12"/>
        <v>8.179255209139731E-6</v>
      </c>
      <c r="X64" s="323">
        <f t="shared" ca="1" si="12"/>
        <v>5.9301853792377647E-6</v>
      </c>
      <c r="Y64" s="323">
        <f t="shared" ca="1" si="12"/>
        <v>2.0694980981398582E-6</v>
      </c>
      <c r="Z64" s="323" t="e">
        <f t="shared" ca="1" si="12"/>
        <v>#VALUE!</v>
      </c>
      <c r="AA64" s="323">
        <f ca="1">AA5/AA56</f>
        <v>0</v>
      </c>
      <c r="AB64" s="323">
        <f ca="1">AB5/AB56</f>
        <v>0</v>
      </c>
      <c r="AC64" s="323">
        <f ca="1">AC5/AC56</f>
        <v>0</v>
      </c>
      <c r="AD64" s="323" t="e">
        <f ca="1">#REF!/AD56</f>
        <v>#REF!</v>
      </c>
      <c r="AE64" s="323">
        <f ca="1">AD5/AE56</f>
        <v>0</v>
      </c>
      <c r="AF64" s="323">
        <f ca="1">AE5/AF56</f>
        <v>0</v>
      </c>
      <c r="AG64" s="323">
        <f ca="1">AF5/AG56</f>
        <v>0</v>
      </c>
      <c r="AH64" s="323">
        <f ca="1">AG5/AH56</f>
        <v>0</v>
      </c>
      <c r="AI64" s="323" t="e">
        <f ca="1">#REF!/AI56</f>
        <v>#REF!</v>
      </c>
    </row>
    <row r="65" spans="1:36" x14ac:dyDescent="0.2">
      <c r="A65" s="466" t="s">
        <v>691</v>
      </c>
      <c r="B65" s="275"/>
      <c r="C65" s="262"/>
      <c r="D65" s="262"/>
      <c r="E65" s="219"/>
      <c r="F65" s="262"/>
      <c r="G65" s="394">
        <f>G6/G56</f>
        <v>0.44355215239518164</v>
      </c>
      <c r="H65" s="394">
        <f>H6/H56</f>
        <v>0.4374789673573386</v>
      </c>
      <c r="I65" s="394">
        <f>I6/I56</f>
        <v>0.38113016761949209</v>
      </c>
      <c r="J65" s="395">
        <f>J6/J56</f>
        <v>0.38340356071821735</v>
      </c>
      <c r="K65" s="396"/>
      <c r="L65" s="397">
        <f>L6/L56</f>
        <v>0.48049202383240436</v>
      </c>
      <c r="M65" s="394">
        <f>M6/M56</f>
        <v>0.47174868660877023</v>
      </c>
      <c r="N65" s="394">
        <f>N6/N56</f>
        <v>0.44719229268585492</v>
      </c>
      <c r="O65" s="395">
        <f>O6/O56</f>
        <v>0.46233265259813933</v>
      </c>
      <c r="P65" s="322">
        <f ca="1">Q6/P56</f>
        <v>0</v>
      </c>
      <c r="Q65" s="323" t="e">
        <f ca="1">#REF!/Q56</f>
        <v>#REF!</v>
      </c>
      <c r="R65" s="323">
        <f ca="1">S6/R56</f>
        <v>0</v>
      </c>
      <c r="S65" s="323">
        <f t="shared" ref="S65:Z65" ca="1" si="13">A203/S56</f>
        <v>3.6936088733359726E-6</v>
      </c>
      <c r="T65" s="323">
        <f t="shared" ca="1" si="13"/>
        <v>1.2458776025458701E-5</v>
      </c>
      <c r="U65" s="323">
        <f t="shared" ca="1" si="13"/>
        <v>8.1875299402438817E-6</v>
      </c>
      <c r="V65" s="323">
        <f t="shared" ca="1" si="13"/>
        <v>3.9900234550509329E-6</v>
      </c>
      <c r="W65" s="323">
        <f t="shared" ca="1" si="13"/>
        <v>1.1633190550119854E-5</v>
      </c>
      <c r="X65" s="323">
        <f t="shared" ca="1" si="13"/>
        <v>8.5422313551869076E-6</v>
      </c>
      <c r="Y65" s="323">
        <f t="shared" ca="1" si="13"/>
        <v>3.4124137446221402E-6</v>
      </c>
      <c r="Z65" s="323" t="e">
        <f t="shared" ca="1" si="13"/>
        <v>#VALUE!</v>
      </c>
      <c r="AA65" s="323">
        <f ca="1">AA6/AA56</f>
        <v>0</v>
      </c>
      <c r="AB65" s="323">
        <f ca="1">AB6/AB56</f>
        <v>0</v>
      </c>
      <c r="AC65" s="323">
        <f ca="1">AC6/AC56</f>
        <v>0</v>
      </c>
      <c r="AD65" s="323" t="e">
        <f ca="1">#REF!/AD56</f>
        <v>#REF!</v>
      </c>
      <c r="AE65" s="323">
        <f ca="1">AD6/AE56</f>
        <v>0</v>
      </c>
      <c r="AF65" s="323">
        <f ca="1">AE6/AF56</f>
        <v>0</v>
      </c>
      <c r="AG65" s="323">
        <f ca="1">AF6/AG56</f>
        <v>0</v>
      </c>
      <c r="AH65" s="323">
        <f ca="1">AG6/AH56</f>
        <v>0</v>
      </c>
      <c r="AI65" s="323" t="e">
        <f ca="1">#REF!/AI56</f>
        <v>#REF!</v>
      </c>
    </row>
    <row r="66" spans="1:36" ht="12.75" thickBot="1" x14ac:dyDescent="0.25">
      <c r="A66" s="467" t="s">
        <v>692</v>
      </c>
      <c r="B66" s="276"/>
      <c r="C66" s="272"/>
      <c r="D66" s="272"/>
      <c r="E66" s="273"/>
      <c r="F66" s="272"/>
      <c r="G66" s="398">
        <f>G7/G56</f>
        <v>8.404146045382388E-2</v>
      </c>
      <c r="H66" s="398">
        <f>H7/H56</f>
        <v>9.1341762415268493E-2</v>
      </c>
      <c r="I66" s="398">
        <f>I7/I56</f>
        <v>8.5559833547232914E-2</v>
      </c>
      <c r="J66" s="399">
        <f>J7/J56</f>
        <v>9.4901871464905294E-2</v>
      </c>
      <c r="K66" s="396"/>
      <c r="L66" s="400">
        <f>L7/L56</f>
        <v>0.11147414952911781</v>
      </c>
      <c r="M66" s="398">
        <f>M7/M56</f>
        <v>0.11793717165219256</v>
      </c>
      <c r="N66" s="398">
        <f>N7/N56</f>
        <v>0.11104775053272907</v>
      </c>
      <c r="O66" s="399">
        <f>O7/O56</f>
        <v>0.1191286589516678</v>
      </c>
      <c r="P66" s="324">
        <f ca="1">Q7/P56</f>
        <v>0</v>
      </c>
      <c r="Q66" s="325" t="e">
        <f ca="1">C2/Q56</f>
        <v>#VALUE!</v>
      </c>
      <c r="R66" s="325">
        <f ca="1">S7/R56</f>
        <v>0</v>
      </c>
      <c r="S66" s="325">
        <f t="shared" ref="S66:Z66" ca="1" si="14">A204/S56</f>
        <v>1.0342104845340716E-5</v>
      </c>
      <c r="T66" s="325">
        <f t="shared" ca="1" si="14"/>
        <v>1.632299532747263E-5</v>
      </c>
      <c r="U66" s="325">
        <f t="shared" ca="1" si="14"/>
        <v>4.9797931227462398E-6</v>
      </c>
      <c r="V66" s="325">
        <f t="shared" ca="1" si="14"/>
        <v>1.1089918132420978E-5</v>
      </c>
      <c r="W66" s="325">
        <f t="shared" ca="1" si="14"/>
        <v>1.2886573015842443E-5</v>
      </c>
      <c r="X66" s="325">
        <f t="shared" ca="1" si="14"/>
        <v>2.43927074507166E-6</v>
      </c>
      <c r="Y66" s="325">
        <f t="shared" ca="1" si="14"/>
        <v>1.124268456933545E-5</v>
      </c>
      <c r="Z66" s="325" t="e">
        <f t="shared" ca="1" si="14"/>
        <v>#VALUE!</v>
      </c>
      <c r="AA66" s="325">
        <f ca="1">AA7/AA56</f>
        <v>0</v>
      </c>
      <c r="AB66" s="325">
        <f ca="1">AB7/AB56</f>
        <v>0</v>
      </c>
      <c r="AC66" s="325">
        <f ca="1">AC7/AC56</f>
        <v>0</v>
      </c>
      <c r="AD66" s="325" t="e">
        <f ca="1">#REF!/AD56</f>
        <v>#REF!</v>
      </c>
      <c r="AE66" s="325">
        <f ca="1">AD7/AE56</f>
        <v>0</v>
      </c>
      <c r="AF66" s="325">
        <f ca="1">AE7/AF56</f>
        <v>0</v>
      </c>
      <c r="AG66" s="325">
        <f ca="1">AF7/AG56</f>
        <v>0</v>
      </c>
      <c r="AH66" s="325">
        <f ca="1">AG7/AH56</f>
        <v>0</v>
      </c>
      <c r="AI66" s="325" t="e">
        <f ca="1">#REF!/AI56</f>
        <v>#REF!</v>
      </c>
    </row>
    <row r="67" spans="1:36" x14ac:dyDescent="0.2">
      <c r="A67" s="462" t="s">
        <v>693</v>
      </c>
      <c r="B67" s="290"/>
      <c r="C67" s="291"/>
      <c r="D67" s="291"/>
      <c r="E67" s="271"/>
      <c r="F67" s="291"/>
      <c r="G67" s="401">
        <f t="shared" ref="G67:J69" si="15">G5/G$58</f>
        <v>4.3601792153862968</v>
      </c>
      <c r="H67" s="401">
        <f t="shared" si="15"/>
        <v>4.1786108048511581</v>
      </c>
      <c r="I67" s="401">
        <f t="shared" si="15"/>
        <v>3.8267413049463155</v>
      </c>
      <c r="J67" s="402">
        <f t="shared" si="15"/>
        <v>3.0107221472697581</v>
      </c>
      <c r="K67" s="403"/>
      <c r="L67" s="404">
        <f t="shared" ref="L67:O69" si="16">L5/L$58</f>
        <v>3.1512201370652662</v>
      </c>
      <c r="M67" s="401">
        <f t="shared" si="16"/>
        <v>2.7426861702127661</v>
      </c>
      <c r="N67" s="401">
        <f t="shared" si="16"/>
        <v>3.1224095053882288</v>
      </c>
      <c r="O67" s="402">
        <f t="shared" si="16"/>
        <v>3.1682238112636361</v>
      </c>
      <c r="P67" s="326">
        <f ca="1">Q5/P$58</f>
        <v>0</v>
      </c>
      <c r="Q67" s="327" t="e">
        <f ca="1">C1/Q$58</f>
        <v>#VALUE!</v>
      </c>
      <c r="R67" s="327">
        <f ca="1">B2/R$58</f>
        <v>0</v>
      </c>
      <c r="S67" s="327">
        <f t="shared" ref="S67:Z69" ca="1" si="17">A202/S$58</f>
        <v>5.4055547869438264E-6</v>
      </c>
      <c r="T67" s="327">
        <f t="shared" ca="1" si="17"/>
        <v>1.5049023695503358E-5</v>
      </c>
      <c r="U67" s="327">
        <f t="shared" ca="1" si="17"/>
        <v>8.606588715337478E-6</v>
      </c>
      <c r="V67" s="327">
        <f t="shared" ca="1" si="17"/>
        <v>5.686111711530641E-6</v>
      </c>
      <c r="W67" s="327">
        <f t="shared" ca="1" si="17"/>
        <v>1.6178902036726628E-5</v>
      </c>
      <c r="X67" s="327">
        <f t="shared" ca="1" si="17"/>
        <v>1.0503152161797811E-5</v>
      </c>
      <c r="Y67" s="327">
        <f t="shared" ca="1" si="17"/>
        <v>3.3768031944659435E-6</v>
      </c>
      <c r="Z67" s="327" t="e">
        <f t="shared" ca="1" si="17"/>
        <v>#VALUE!</v>
      </c>
      <c r="AA67" s="327">
        <f t="shared" ref="AA67:AC69" ca="1" si="18">AA5/AA$58</f>
        <v>0</v>
      </c>
      <c r="AB67" s="327">
        <f t="shared" ca="1" si="18"/>
        <v>0</v>
      </c>
      <c r="AC67" s="327">
        <f t="shared" ca="1" si="18"/>
        <v>0</v>
      </c>
      <c r="AD67" s="327" t="e">
        <f ca="1">#REF!/AD$58</f>
        <v>#REF!</v>
      </c>
      <c r="AE67" s="327">
        <f t="shared" ref="AE67:AH69" ca="1" si="19">AD5/AE$58</f>
        <v>0</v>
      </c>
      <c r="AF67" s="327">
        <f t="shared" ca="1" si="19"/>
        <v>0</v>
      </c>
      <c r="AG67" s="327">
        <f t="shared" ca="1" si="19"/>
        <v>0</v>
      </c>
      <c r="AH67" s="327">
        <f t="shared" ca="1" si="19"/>
        <v>0</v>
      </c>
      <c r="AI67" s="327" t="e">
        <f ca="1">#REF!/AI$58</f>
        <v>#REF!</v>
      </c>
    </row>
    <row r="68" spans="1:36" x14ac:dyDescent="0.2">
      <c r="A68" s="466" t="s">
        <v>694</v>
      </c>
      <c r="B68" s="275"/>
      <c r="C68" s="262"/>
      <c r="D68" s="262"/>
      <c r="E68" s="219"/>
      <c r="F68" s="262"/>
      <c r="G68" s="394">
        <f t="shared" si="15"/>
        <v>1.0381379084253086</v>
      </c>
      <c r="H68" s="394">
        <f t="shared" si="15"/>
        <v>1.0033076074972436</v>
      </c>
      <c r="I68" s="394">
        <f t="shared" si="15"/>
        <v>0.89933009085069282</v>
      </c>
      <c r="J68" s="395">
        <f t="shared" si="15"/>
        <v>0.71717673791095649</v>
      </c>
      <c r="K68" s="403"/>
      <c r="L68" s="397">
        <f t="shared" si="16"/>
        <v>0.80061487222186645</v>
      </c>
      <c r="M68" s="394">
        <f t="shared" si="16"/>
        <v>0.7313829787234043</v>
      </c>
      <c r="N68" s="394">
        <f t="shared" si="16"/>
        <v>0.82343188726167449</v>
      </c>
      <c r="O68" s="395">
        <f t="shared" si="16"/>
        <v>0.85077509264575391</v>
      </c>
      <c r="P68" s="322">
        <f ca="1">Q6/P$58</f>
        <v>0</v>
      </c>
      <c r="Q68" s="323" t="e">
        <f ca="1">#REF!/Q$58</f>
        <v>#REF!</v>
      </c>
      <c r="R68" s="323">
        <f ca="1">S6/R$58</f>
        <v>0</v>
      </c>
      <c r="S68" s="323">
        <f t="shared" ca="1" si="17"/>
        <v>7.0923945786142417E-6</v>
      </c>
      <c r="T68" s="323">
        <f t="shared" ca="1" si="17"/>
        <v>2.2066160158043981E-5</v>
      </c>
      <c r="U68" s="323">
        <f t="shared" ca="1" si="17"/>
        <v>1.3359605056826028E-5</v>
      </c>
      <c r="V68" s="323">
        <f t="shared" ca="1" si="17"/>
        <v>7.8848418574796536E-6</v>
      </c>
      <c r="W68" s="323">
        <f t="shared" ca="1" si="17"/>
        <v>2.3010927703374436E-5</v>
      </c>
      <c r="X68" s="323">
        <f t="shared" ca="1" si="17"/>
        <v>1.5129435251540251E-5</v>
      </c>
      <c r="Y68" s="323">
        <f t="shared" ca="1" si="17"/>
        <v>5.5680406974216992E-6</v>
      </c>
      <c r="Z68" s="323" t="e">
        <f t="shared" ca="1" si="17"/>
        <v>#VALUE!</v>
      </c>
      <c r="AA68" s="323">
        <f t="shared" ca="1" si="18"/>
        <v>0</v>
      </c>
      <c r="AB68" s="323">
        <f t="shared" ca="1" si="18"/>
        <v>0</v>
      </c>
      <c r="AC68" s="323">
        <f t="shared" ca="1" si="18"/>
        <v>0</v>
      </c>
      <c r="AD68" s="323" t="e">
        <f ca="1">#REF!/AD$58</f>
        <v>#REF!</v>
      </c>
      <c r="AE68" s="323">
        <f t="shared" ca="1" si="19"/>
        <v>0</v>
      </c>
      <c r="AF68" s="323">
        <f t="shared" ca="1" si="19"/>
        <v>0</v>
      </c>
      <c r="AG68" s="323">
        <f t="shared" ca="1" si="19"/>
        <v>0</v>
      </c>
      <c r="AH68" s="323">
        <f t="shared" ca="1" si="19"/>
        <v>0</v>
      </c>
      <c r="AI68" s="323" t="e">
        <f ca="1">#REF!/AI$58</f>
        <v>#REF!</v>
      </c>
    </row>
    <row r="69" spans="1:36" ht="12.75" thickBot="1" x14ac:dyDescent="0.25">
      <c r="A69" s="466" t="s">
        <v>695</v>
      </c>
      <c r="B69" s="275"/>
      <c r="C69" s="262"/>
      <c r="D69" s="262"/>
      <c r="E69" s="219"/>
      <c r="F69" s="262"/>
      <c r="G69" s="394">
        <f t="shared" si="15"/>
        <v>0.19669981422795324</v>
      </c>
      <c r="H69" s="394">
        <f t="shared" si="15"/>
        <v>0.20948180815876516</v>
      </c>
      <c r="I69" s="394">
        <f t="shared" si="15"/>
        <v>0.20189042855831879</v>
      </c>
      <c r="J69" s="395">
        <f t="shared" si="15"/>
        <v>0.17751899453241496</v>
      </c>
      <c r="K69" s="403"/>
      <c r="L69" s="397">
        <f t="shared" si="16"/>
        <v>0.18574265035547299</v>
      </c>
      <c r="M69" s="394">
        <f t="shared" si="16"/>
        <v>0.18284574468085107</v>
      </c>
      <c r="N69" s="394">
        <f t="shared" si="16"/>
        <v>0.20447637468914065</v>
      </c>
      <c r="O69" s="395">
        <f t="shared" si="16"/>
        <v>0.21921812203142127</v>
      </c>
      <c r="P69" s="322">
        <f ca="1">Q7/P$58</f>
        <v>0</v>
      </c>
      <c r="Q69" s="323" t="e">
        <f ca="1">C2/Q$58</f>
        <v>#VALUE!</v>
      </c>
      <c r="R69" s="323">
        <f ca="1">S7/R$58</f>
        <v>0</v>
      </c>
      <c r="S69" s="323">
        <f t="shared" ca="1" si="17"/>
        <v>1.9858704820119862E-5</v>
      </c>
      <c r="T69" s="323">
        <f t="shared" ca="1" si="17"/>
        <v>2.891020983273142E-5</v>
      </c>
      <c r="U69" s="323">
        <f t="shared" ca="1" si="17"/>
        <v>8.1255360127094046E-6</v>
      </c>
      <c r="V69" s="323">
        <f t="shared" ca="1" si="17"/>
        <v>2.1915222221524334E-5</v>
      </c>
      <c r="W69" s="323">
        <f t="shared" ca="1" si="17"/>
        <v>2.5490169591415416E-5</v>
      </c>
      <c r="X69" s="323">
        <f t="shared" ca="1" si="17"/>
        <v>4.3202750269845079E-6</v>
      </c>
      <c r="Y69" s="323">
        <f t="shared" ca="1" si="17"/>
        <v>1.8344705512041142E-5</v>
      </c>
      <c r="Z69" s="323" t="e">
        <f t="shared" ca="1" si="17"/>
        <v>#VALUE!</v>
      </c>
      <c r="AA69" s="323">
        <f t="shared" ca="1" si="18"/>
        <v>0</v>
      </c>
      <c r="AB69" s="323">
        <f t="shared" ca="1" si="18"/>
        <v>0</v>
      </c>
      <c r="AC69" s="323">
        <f t="shared" ca="1" si="18"/>
        <v>0</v>
      </c>
      <c r="AD69" s="323" t="e">
        <f ca="1">#REF!/AD$58</f>
        <v>#REF!</v>
      </c>
      <c r="AE69" s="323">
        <f t="shared" ca="1" si="19"/>
        <v>0</v>
      </c>
      <c r="AF69" s="323">
        <f t="shared" ca="1" si="19"/>
        <v>0</v>
      </c>
      <c r="AG69" s="323">
        <f t="shared" ca="1" si="19"/>
        <v>0</v>
      </c>
      <c r="AH69" s="323">
        <f t="shared" ca="1" si="19"/>
        <v>0</v>
      </c>
      <c r="AI69" s="323" t="e">
        <f ca="1">#REF!/AI$58</f>
        <v>#REF!</v>
      </c>
    </row>
    <row r="70" spans="1:36" x14ac:dyDescent="0.2">
      <c r="A70" s="448" t="s">
        <v>696</v>
      </c>
      <c r="B70" s="291"/>
      <c r="C70" s="291"/>
      <c r="D70" s="291"/>
      <c r="E70" s="271"/>
      <c r="F70" s="291"/>
      <c r="G70" s="295">
        <f t="shared" ref="G70:J71" si="20">G5/G$50</f>
        <v>0.7207369942196532</v>
      </c>
      <c r="H70" s="295">
        <f t="shared" si="20"/>
        <v>0.64452493920378207</v>
      </c>
      <c r="I70" s="295">
        <f t="shared" si="20"/>
        <v>0.65571192703828918</v>
      </c>
      <c r="J70" s="316">
        <f t="shared" si="20"/>
        <v>0.58071054866190042</v>
      </c>
      <c r="K70" s="315"/>
      <c r="L70" s="317">
        <f t="shared" ref="L70:O70" si="21">L5/L$50</f>
        <v>0.60576212755478942</v>
      </c>
      <c r="M70" s="295">
        <f t="shared" si="21"/>
        <v>0.56004344579458287</v>
      </c>
      <c r="N70" s="295">
        <f t="shared" si="21"/>
        <v>0.58814344454275747</v>
      </c>
      <c r="O70" s="295">
        <f t="shared" si="21"/>
        <v>0.58464324241023269</v>
      </c>
      <c r="P70" s="328">
        <f ca="1">Q5/P$50</f>
        <v>0</v>
      </c>
      <c r="Q70" s="328" t="e">
        <f ca="1">C1/Q$50</f>
        <v>#VALUE!</v>
      </c>
      <c r="R70" s="328">
        <f ca="1">B2/R$50</f>
        <v>0</v>
      </c>
      <c r="S70" s="328" t="e">
        <f ca="1">#REF!/S$50</f>
        <v>#REF!</v>
      </c>
      <c r="T70" s="328">
        <f t="shared" ref="T70:X72" ca="1" si="22">U5/T$50</f>
        <v>0</v>
      </c>
      <c r="U70" s="328">
        <f t="shared" ca="1" si="22"/>
        <v>0</v>
      </c>
      <c r="V70" s="328">
        <f t="shared" ca="1" si="22"/>
        <v>0</v>
      </c>
      <c r="W70" s="328">
        <f t="shared" ca="1" si="22"/>
        <v>0</v>
      </c>
      <c r="X70" s="328">
        <f t="shared" ca="1" si="22"/>
        <v>0</v>
      </c>
      <c r="Y70" s="328" t="e">
        <f ca="1">#REF!/Y$50</f>
        <v>#REF!</v>
      </c>
      <c r="Z70" s="328">
        <f t="shared" ref="Z70:AC72" ca="1" si="23">Z5/Z$50</f>
        <v>0</v>
      </c>
      <c r="AA70" s="328">
        <f t="shared" ca="1" si="23"/>
        <v>0</v>
      </c>
      <c r="AB70" s="328">
        <f t="shared" ca="1" si="23"/>
        <v>0</v>
      </c>
      <c r="AC70" s="328">
        <f t="shared" ca="1" si="23"/>
        <v>0</v>
      </c>
      <c r="AD70" s="328" t="e">
        <f ca="1">#REF!/AD$50</f>
        <v>#REF!</v>
      </c>
      <c r="AE70" s="328">
        <f t="shared" ref="AE70:AH72" ca="1" si="24">AD5/AE$50</f>
        <v>0</v>
      </c>
      <c r="AF70" s="328">
        <f t="shared" ca="1" si="24"/>
        <v>0</v>
      </c>
      <c r="AG70" s="328">
        <f t="shared" ca="1" si="24"/>
        <v>0</v>
      </c>
      <c r="AH70" s="328">
        <f t="shared" ca="1" si="24"/>
        <v>0</v>
      </c>
      <c r="AI70" s="328" t="e">
        <f ca="1">#REF!/AI$50</f>
        <v>#REF!</v>
      </c>
    </row>
    <row r="71" spans="1:36" x14ac:dyDescent="0.2">
      <c r="A71" s="451" t="s">
        <v>697</v>
      </c>
      <c r="B71" s="262"/>
      <c r="C71" s="262"/>
      <c r="D71" s="262"/>
      <c r="E71" s="219"/>
      <c r="F71" s="262"/>
      <c r="G71" s="388">
        <f t="shared" si="20"/>
        <v>0.17160404624277456</v>
      </c>
      <c r="H71" s="388">
        <f t="shared" si="20"/>
        <v>0.15475400914919307</v>
      </c>
      <c r="I71" s="388">
        <f t="shared" si="20"/>
        <v>0.15410016510731975</v>
      </c>
      <c r="J71" s="389">
        <f t="shared" si="20"/>
        <v>0.13832963541238666</v>
      </c>
      <c r="K71" s="388"/>
      <c r="L71" s="390">
        <f t="shared" ref="L71:O71" si="25">L6/L$50</f>
        <v>0.15390297956168431</v>
      </c>
      <c r="M71" s="388">
        <f t="shared" si="25"/>
        <v>0.14934491887855542</v>
      </c>
      <c r="N71" s="388">
        <f t="shared" si="25"/>
        <v>0.15510331546348827</v>
      </c>
      <c r="O71" s="388">
        <f t="shared" si="25"/>
        <v>0.15699645554014485</v>
      </c>
      <c r="P71" s="329">
        <f ca="1">Q6/P$50</f>
        <v>0</v>
      </c>
      <c r="Q71" s="329" t="e">
        <f ca="1">#REF!/Q$50</f>
        <v>#REF!</v>
      </c>
      <c r="R71" s="329">
        <f ca="1">S6/R$50</f>
        <v>0</v>
      </c>
      <c r="S71" s="329">
        <f ca="1">T6/S$50</f>
        <v>0</v>
      </c>
      <c r="T71" s="329">
        <f t="shared" ca="1" si="22"/>
        <v>0</v>
      </c>
      <c r="U71" s="329">
        <f t="shared" ca="1" si="22"/>
        <v>0</v>
      </c>
      <c r="V71" s="329">
        <f t="shared" ca="1" si="22"/>
        <v>0</v>
      </c>
      <c r="W71" s="329">
        <f t="shared" ca="1" si="22"/>
        <v>0</v>
      </c>
      <c r="X71" s="329">
        <f t="shared" ca="1" si="22"/>
        <v>0</v>
      </c>
      <c r="Y71" s="329" t="e">
        <f ca="1">#REF!/Y$50</f>
        <v>#REF!</v>
      </c>
      <c r="Z71" s="329">
        <f t="shared" ca="1" si="23"/>
        <v>0</v>
      </c>
      <c r="AA71" s="329">
        <f t="shared" ca="1" si="23"/>
        <v>0</v>
      </c>
      <c r="AB71" s="329">
        <f t="shared" ca="1" si="23"/>
        <v>0</v>
      </c>
      <c r="AC71" s="329">
        <f t="shared" ca="1" si="23"/>
        <v>0</v>
      </c>
      <c r="AD71" s="329" t="e">
        <f ca="1">#REF!/AD$50</f>
        <v>#REF!</v>
      </c>
      <c r="AE71" s="329">
        <f t="shared" ca="1" si="24"/>
        <v>0</v>
      </c>
      <c r="AF71" s="329">
        <f t="shared" ca="1" si="24"/>
        <v>0</v>
      </c>
      <c r="AG71" s="329">
        <f t="shared" ca="1" si="24"/>
        <v>0</v>
      </c>
      <c r="AH71" s="329">
        <f t="shared" ca="1" si="24"/>
        <v>0</v>
      </c>
      <c r="AI71" s="329" t="e">
        <f ca="1">#REF!/AI$50</f>
        <v>#REF!</v>
      </c>
    </row>
    <row r="72" spans="1:36" ht="12.75" thickBot="1" x14ac:dyDescent="0.25">
      <c r="A72" s="468" t="s">
        <v>698</v>
      </c>
      <c r="B72" s="272"/>
      <c r="C72" s="272"/>
      <c r="D72" s="272"/>
      <c r="E72" s="273"/>
      <c r="F72" s="272"/>
      <c r="G72" s="391">
        <f>G7/G$50</f>
        <v>3.2514450867052021E-2</v>
      </c>
      <c r="H72" s="391">
        <f t="shared" ref="H72:J72" si="26">H7/H$50</f>
        <v>3.2311276635545803E-2</v>
      </c>
      <c r="I72" s="391">
        <f t="shared" si="26"/>
        <v>3.4593914615928922E-2</v>
      </c>
      <c r="J72" s="392">
        <f t="shared" si="26"/>
        <v>3.4240008765442247E-2</v>
      </c>
      <c r="K72" s="388"/>
      <c r="L72" s="393">
        <f t="shared" ref="L72:O72" si="27">L7/L$50</f>
        <v>3.5705491258310761E-2</v>
      </c>
      <c r="M72" s="391">
        <f t="shared" si="27"/>
        <v>3.7336229719638854E-2</v>
      </c>
      <c r="N72" s="391">
        <f t="shared" si="27"/>
        <v>3.8515588403685005E-2</v>
      </c>
      <c r="O72" s="391">
        <f t="shared" si="27"/>
        <v>4.0453074433656956E-2</v>
      </c>
      <c r="P72" s="330">
        <f ca="1">Q7/P$50</f>
        <v>0</v>
      </c>
      <c r="Q72" s="330" t="e">
        <f ca="1">C2/Q$50</f>
        <v>#VALUE!</v>
      </c>
      <c r="R72" s="330">
        <f ca="1">S7/R$50</f>
        <v>0</v>
      </c>
      <c r="S72" s="330">
        <f ca="1">T7/S$50</f>
        <v>0</v>
      </c>
      <c r="T72" s="330">
        <f t="shared" ca="1" si="22"/>
        <v>0</v>
      </c>
      <c r="U72" s="330">
        <f t="shared" ca="1" si="22"/>
        <v>0</v>
      </c>
      <c r="V72" s="330">
        <f t="shared" ca="1" si="22"/>
        <v>0</v>
      </c>
      <c r="W72" s="330">
        <f t="shared" ca="1" si="22"/>
        <v>0</v>
      </c>
      <c r="X72" s="330">
        <f t="shared" ca="1" si="22"/>
        <v>0</v>
      </c>
      <c r="Y72" s="330" t="e">
        <f ca="1">#REF!/Y$50</f>
        <v>#REF!</v>
      </c>
      <c r="Z72" s="330">
        <f t="shared" ca="1" si="23"/>
        <v>0</v>
      </c>
      <c r="AA72" s="330">
        <f t="shared" ca="1" si="23"/>
        <v>0</v>
      </c>
      <c r="AB72" s="330">
        <f t="shared" ca="1" si="23"/>
        <v>0</v>
      </c>
      <c r="AC72" s="330">
        <f t="shared" ca="1" si="23"/>
        <v>0</v>
      </c>
      <c r="AD72" s="330" t="e">
        <f ca="1">#REF!/AD$50</f>
        <v>#REF!</v>
      </c>
      <c r="AE72" s="330">
        <f t="shared" ca="1" si="24"/>
        <v>0</v>
      </c>
      <c r="AF72" s="330">
        <f t="shared" ca="1" si="24"/>
        <v>0</v>
      </c>
      <c r="AG72" s="330">
        <f t="shared" ca="1" si="24"/>
        <v>0</v>
      </c>
      <c r="AH72" s="330">
        <f t="shared" ca="1" si="24"/>
        <v>0</v>
      </c>
      <c r="AI72" s="330" t="e">
        <f ca="1">#REF!/AI$50</f>
        <v>#REF!</v>
      </c>
    </row>
    <row r="73" spans="1:36" ht="12.75" thickBot="1" x14ac:dyDescent="0.25">
      <c r="B73" s="262"/>
      <c r="C73" s="262"/>
      <c r="D73" s="262"/>
      <c r="E73" s="219"/>
      <c r="F73" s="219"/>
      <c r="G73" s="278"/>
      <c r="H73" s="278"/>
      <c r="I73" s="278"/>
      <c r="J73" s="278"/>
      <c r="K73" s="219"/>
      <c r="L73" s="278"/>
      <c r="M73" s="278"/>
      <c r="N73" s="278"/>
      <c r="O73" s="278"/>
      <c r="P73" s="219"/>
      <c r="Q73" s="278"/>
      <c r="R73" s="278"/>
      <c r="S73" s="278"/>
      <c r="T73" s="278"/>
      <c r="U73" s="278"/>
      <c r="V73" s="278"/>
      <c r="W73" s="278"/>
      <c r="X73" s="278"/>
      <c r="Y73" s="278"/>
      <c r="Z73" s="278"/>
      <c r="AA73" s="278"/>
      <c r="AB73" s="278"/>
      <c r="AC73" s="278"/>
      <c r="AD73" s="278"/>
      <c r="AE73" s="278"/>
      <c r="AF73" s="278"/>
      <c r="AG73" s="278"/>
      <c r="AH73" s="278"/>
      <c r="AI73" s="278"/>
    </row>
    <row r="74" spans="1:36" x14ac:dyDescent="0.2">
      <c r="A74" s="448" t="s">
        <v>699</v>
      </c>
      <c r="B74" s="291"/>
      <c r="C74" s="291"/>
      <c r="D74" s="372">
        <f t="shared" ref="D74:E74" si="28">D5/C5-1</f>
        <v>-5.3034300791556799E-2</v>
      </c>
      <c r="E74" s="372">
        <f t="shared" si="28"/>
        <v>0</v>
      </c>
      <c r="F74" s="373"/>
      <c r="G74" s="372">
        <f>G5/E5-1</f>
        <v>7.8378378378378466E-2</v>
      </c>
      <c r="H74" s="372">
        <f t="shared" ref="H74:J74" si="29">H5/G5-1</f>
        <v>-5.0125313283208017E-2</v>
      </c>
      <c r="I74" s="372">
        <f t="shared" si="29"/>
        <v>0.10026385224274414</v>
      </c>
      <c r="J74" s="374">
        <f t="shared" si="29"/>
        <v>1.6786570743405171E-2</v>
      </c>
      <c r="K74" s="219"/>
      <c r="L74" s="385">
        <f>L5/J5-1</f>
        <v>0.16037735849056611</v>
      </c>
      <c r="M74" s="372">
        <f t="shared" ref="M74:O74" si="30">M5/L5-1</f>
        <v>6.0975609756097615E-3</v>
      </c>
      <c r="N74" s="372">
        <f t="shared" si="30"/>
        <v>0.14141414141414144</v>
      </c>
      <c r="O74" s="374">
        <f t="shared" si="30"/>
        <v>7.4336283185840735E-2</v>
      </c>
      <c r="P74" s="219"/>
      <c r="Q74" s="278"/>
      <c r="R74" s="278"/>
      <c r="S74" s="278"/>
      <c r="T74" s="278"/>
      <c r="U74" s="278"/>
      <c r="V74" s="278"/>
      <c r="W74" s="278"/>
      <c r="X74" s="278"/>
      <c r="Y74" s="278"/>
      <c r="Z74" s="278"/>
      <c r="AA74" s="278"/>
      <c r="AB74" s="278"/>
      <c r="AC74" s="278"/>
      <c r="AD74" s="278"/>
      <c r="AE74" s="278"/>
      <c r="AF74" s="278"/>
      <c r="AG74" s="278"/>
      <c r="AH74" s="278"/>
      <c r="AI74" s="278"/>
      <c r="AJ74" s="278"/>
    </row>
    <row r="75" spans="1:36" x14ac:dyDescent="0.2">
      <c r="A75" s="451" t="s">
        <v>700</v>
      </c>
      <c r="B75" s="262"/>
      <c r="C75" s="262"/>
      <c r="D75" s="375">
        <f t="shared" ref="D75:E75" si="31">D6/C6-1</f>
        <v>-5.8461538461538454E-2</v>
      </c>
      <c r="E75" s="375">
        <f t="shared" si="31"/>
        <v>0</v>
      </c>
      <c r="F75" s="376"/>
      <c r="G75" s="375">
        <f>G6/E6-1</f>
        <v>0.13095238095238093</v>
      </c>
      <c r="H75" s="375">
        <f t="shared" ref="H75:J75" si="32">H6/G6-1</f>
        <v>-4.2105263157894757E-2</v>
      </c>
      <c r="I75" s="375">
        <f t="shared" si="32"/>
        <v>7.6923076923076872E-2</v>
      </c>
      <c r="J75" s="377">
        <f t="shared" si="32"/>
        <v>3.0612244897959107E-2</v>
      </c>
      <c r="K75" s="219"/>
      <c r="L75" s="386">
        <f>L6/J6-1</f>
        <v>0.23762376237623761</v>
      </c>
      <c r="M75" s="375">
        <f t="shared" ref="M75:O75" si="33">M6/L6-1</f>
        <v>5.600000000000005E-2</v>
      </c>
      <c r="N75" s="375">
        <f t="shared" si="33"/>
        <v>0.1287878787878789</v>
      </c>
      <c r="O75" s="377">
        <f t="shared" si="33"/>
        <v>9.3959731543624248E-2</v>
      </c>
      <c r="P75" s="219"/>
      <c r="Q75" s="278"/>
      <c r="R75" s="278"/>
      <c r="S75" s="278"/>
      <c r="T75" s="278"/>
      <c r="U75" s="278"/>
      <c r="V75" s="278"/>
      <c r="W75" s="278"/>
      <c r="X75" s="278"/>
      <c r="Y75" s="278"/>
      <c r="Z75" s="278"/>
      <c r="AA75" s="278"/>
      <c r="AB75" s="278"/>
      <c r="AC75" s="278"/>
      <c r="AD75" s="278"/>
      <c r="AE75" s="278"/>
      <c r="AF75" s="278"/>
      <c r="AG75" s="278"/>
      <c r="AH75" s="278"/>
      <c r="AI75" s="278"/>
      <c r="AJ75" s="278"/>
    </row>
    <row r="76" spans="1:36" ht="12.75" thickBot="1" x14ac:dyDescent="0.25">
      <c r="A76" s="468" t="s">
        <v>701</v>
      </c>
      <c r="B76" s="272"/>
      <c r="C76" s="272"/>
      <c r="D76" s="378">
        <f>D7/C7-1</f>
        <v>0.15263157894736845</v>
      </c>
      <c r="E76" s="378">
        <f>E7/D7-1</f>
        <v>6.6666666666666652E-2</v>
      </c>
      <c r="F76" s="379"/>
      <c r="G76" s="378">
        <f>G7/E7-1</f>
        <v>0.125</v>
      </c>
      <c r="H76" s="378">
        <f>H7/G7-1</f>
        <v>5.555555555555558E-2</v>
      </c>
      <c r="I76" s="378">
        <f>I7/H7-1</f>
        <v>0.15789473684210531</v>
      </c>
      <c r="J76" s="380">
        <f>J7/I7-1</f>
        <v>0.13636363636363646</v>
      </c>
      <c r="K76" s="219"/>
      <c r="L76" s="387">
        <f>L7/J7-1</f>
        <v>0.15999999999999992</v>
      </c>
      <c r="M76" s="378">
        <f>M7/L7-1</f>
        <v>0.13793103448275867</v>
      </c>
      <c r="N76" s="378">
        <f>N7/M7-1</f>
        <v>0.1212121212121211</v>
      </c>
      <c r="O76" s="380">
        <f>O7/N7-1</f>
        <v>0.13513513513513509</v>
      </c>
      <c r="P76" s="219"/>
      <c r="Q76" s="263"/>
      <c r="R76" s="264"/>
      <c r="S76" s="264"/>
      <c r="T76" s="264"/>
      <c r="U76" s="264"/>
      <c r="V76" s="264"/>
      <c r="W76" s="264"/>
      <c r="X76" s="264"/>
      <c r="Y76" s="264"/>
      <c r="Z76" s="264"/>
      <c r="AA76" s="264"/>
      <c r="AB76" s="264"/>
      <c r="AC76" s="264"/>
      <c r="AD76" s="264"/>
      <c r="AE76" s="264"/>
      <c r="AF76" s="264"/>
      <c r="AG76" s="264"/>
      <c r="AH76" s="264"/>
      <c r="AI76" s="264"/>
    </row>
    <row r="77" spans="1:36" x14ac:dyDescent="0.2">
      <c r="B77" s="262"/>
      <c r="C77" s="262"/>
      <c r="D77" s="262"/>
      <c r="E77" s="219"/>
      <c r="F77" s="262"/>
      <c r="G77" s="262"/>
      <c r="H77" s="262"/>
      <c r="I77" s="262"/>
      <c r="J77" s="219"/>
      <c r="K77" s="263"/>
      <c r="L77" s="263"/>
      <c r="M77" s="263"/>
      <c r="N77" s="263"/>
      <c r="O77" s="263"/>
      <c r="P77" s="263"/>
      <c r="Q77" s="263"/>
      <c r="R77" s="264"/>
      <c r="S77" s="264"/>
      <c r="T77" s="264"/>
      <c r="U77" s="264"/>
      <c r="V77" s="264"/>
      <c r="W77" s="264"/>
      <c r="X77" s="264"/>
      <c r="Y77" s="264"/>
      <c r="Z77" s="264"/>
      <c r="AA77" s="264"/>
      <c r="AB77" s="264"/>
      <c r="AC77" s="264"/>
      <c r="AD77" s="264"/>
      <c r="AE77" s="264"/>
      <c r="AF77" s="264"/>
      <c r="AG77" s="264"/>
      <c r="AH77" s="264"/>
      <c r="AI77" s="264"/>
    </row>
    <row r="78" spans="1:36" x14ac:dyDescent="0.2">
      <c r="B78" s="262"/>
      <c r="C78" s="262"/>
      <c r="D78" s="262"/>
      <c r="E78" s="219"/>
      <c r="F78" s="262"/>
      <c r="G78" s="262"/>
      <c r="H78" s="262"/>
      <c r="I78" s="262"/>
      <c r="J78" s="469"/>
      <c r="K78" s="263"/>
      <c r="L78" s="263"/>
      <c r="M78" s="263"/>
      <c r="N78" s="263"/>
      <c r="O78" s="263"/>
      <c r="P78" s="263"/>
      <c r="Q78" s="263"/>
      <c r="R78" s="264"/>
      <c r="S78" s="264"/>
      <c r="T78" s="264"/>
      <c r="U78" s="264"/>
      <c r="V78" s="264"/>
      <c r="W78" s="264"/>
      <c r="X78" s="264"/>
      <c r="Y78" s="264"/>
      <c r="Z78" s="264"/>
      <c r="AA78" s="264"/>
      <c r="AB78" s="264"/>
      <c r="AC78" s="264"/>
      <c r="AD78" s="264"/>
      <c r="AE78" s="264"/>
      <c r="AF78" s="264"/>
      <c r="AG78" s="264"/>
      <c r="AH78" s="264"/>
      <c r="AI78" s="264"/>
    </row>
    <row r="79" spans="1:36" ht="12.75" thickBot="1" x14ac:dyDescent="0.25">
      <c r="B79" s="227"/>
      <c r="C79" s="227"/>
      <c r="D79" s="470"/>
      <c r="E79" s="227"/>
      <c r="F79" s="227"/>
      <c r="G79" s="278"/>
      <c r="H79" s="278"/>
      <c r="I79" s="278"/>
      <c r="J79" s="278"/>
      <c r="K79" s="315"/>
      <c r="L79" s="278"/>
      <c r="M79" s="263"/>
      <c r="N79" s="263"/>
      <c r="O79" s="263"/>
      <c r="P79" s="263"/>
      <c r="Q79" s="278"/>
      <c r="R79" s="278"/>
      <c r="S79" s="278"/>
      <c r="T79" s="278"/>
      <c r="U79" s="278"/>
      <c r="V79" s="278"/>
      <c r="W79" s="278"/>
      <c r="X79" s="278"/>
      <c r="Y79" s="278"/>
      <c r="Z79" s="278"/>
      <c r="AA79" s="278"/>
      <c r="AB79" s="278"/>
      <c r="AC79" s="278"/>
      <c r="AD79" s="278"/>
      <c r="AE79" s="278"/>
      <c r="AF79" s="278"/>
      <c r="AG79" s="278"/>
      <c r="AH79" s="278"/>
      <c r="AI79" s="278"/>
      <c r="AJ79" s="278"/>
    </row>
    <row r="80" spans="1:36" ht="12.75" thickBot="1" x14ac:dyDescent="0.25">
      <c r="A80" s="471" t="s">
        <v>702</v>
      </c>
      <c r="B80" s="472">
        <v>2020</v>
      </c>
      <c r="C80" s="472">
        <f>B80+1</f>
        <v>2021</v>
      </c>
      <c r="D80" s="472">
        <f t="shared" ref="D80:I80" si="34">C80+1</f>
        <v>2022</v>
      </c>
      <c r="E80" s="472">
        <f t="shared" si="34"/>
        <v>2023</v>
      </c>
      <c r="F80" s="472">
        <f t="shared" si="34"/>
        <v>2024</v>
      </c>
      <c r="G80" s="472">
        <f t="shared" si="34"/>
        <v>2025</v>
      </c>
      <c r="H80" s="472">
        <f t="shared" si="34"/>
        <v>2026</v>
      </c>
      <c r="I80" s="473">
        <f t="shared" si="34"/>
        <v>2027</v>
      </c>
      <c r="J80" s="474"/>
      <c r="K80" s="315"/>
      <c r="L80" s="263"/>
      <c r="M80" s="263"/>
      <c r="N80" s="263"/>
      <c r="O80" s="263"/>
      <c r="P80" s="263"/>
      <c r="Q80" s="263"/>
      <c r="R80" s="264"/>
      <c r="S80" s="264"/>
      <c r="T80" s="264"/>
      <c r="U80" s="264"/>
      <c r="V80" s="264"/>
      <c r="W80" s="264"/>
      <c r="X80" s="264"/>
      <c r="Y80" s="264"/>
      <c r="Z80" s="264"/>
      <c r="AA80" s="264"/>
      <c r="AB80" s="264"/>
      <c r="AC80" s="264"/>
      <c r="AD80" s="264"/>
      <c r="AE80" s="264"/>
      <c r="AF80" s="264"/>
      <c r="AG80" s="264"/>
      <c r="AH80" s="264"/>
      <c r="AI80" s="264"/>
    </row>
    <row r="81" spans="1:35" x14ac:dyDescent="0.2">
      <c r="A81" s="475" t="s">
        <v>556</v>
      </c>
      <c r="B81" s="417">
        <f>AVERAGE(D74:E74)</f>
        <v>-2.6517150395778399E-2</v>
      </c>
      <c r="C81" s="417">
        <f>AVERAGE(G74:J74)</f>
        <v>3.6325872020329941E-2</v>
      </c>
      <c r="D81" s="417">
        <f>AVERAGE(L74:O74)</f>
        <v>9.5556336016539511E-2</v>
      </c>
      <c r="E81" s="417">
        <f>D81+D82</f>
        <v>0.15478680001274908</v>
      </c>
      <c r="F81" s="417">
        <f t="shared" ref="F81:I81" si="35">E81+E82</f>
        <v>0.21401726400895865</v>
      </c>
      <c r="G81" s="417">
        <f t="shared" si="35"/>
        <v>0.27324772800516822</v>
      </c>
      <c r="H81" s="417">
        <f t="shared" si="35"/>
        <v>0.33247819200137779</v>
      </c>
      <c r="I81" s="418">
        <f t="shared" si="35"/>
        <v>0.39170865599758736</v>
      </c>
    </row>
    <row r="82" spans="1:35" ht="12.75" thickBot="1" x14ac:dyDescent="0.25">
      <c r="A82" s="415" t="s">
        <v>703</v>
      </c>
      <c r="B82" s="381"/>
      <c r="C82" s="381">
        <f>C81-B81</f>
        <v>6.2843022416108341E-2</v>
      </c>
      <c r="D82" s="381">
        <f t="shared" ref="D82" si="36">D81-C81</f>
        <v>5.923046399620957E-2</v>
      </c>
      <c r="E82" s="381">
        <f t="shared" ref="E82" si="37">E81-D81</f>
        <v>5.923046399620957E-2</v>
      </c>
      <c r="F82" s="381">
        <f t="shared" ref="F82" si="38">F81-E81</f>
        <v>5.923046399620957E-2</v>
      </c>
      <c r="G82" s="381">
        <f t="shared" ref="G82" si="39">G81-F81</f>
        <v>5.923046399620957E-2</v>
      </c>
      <c r="H82" s="381">
        <f t="shared" ref="H82" si="40">H81-G81</f>
        <v>5.923046399620957E-2</v>
      </c>
      <c r="I82" s="382">
        <f t="shared" ref="I82" si="41">I81-H81</f>
        <v>5.923046399620957E-2</v>
      </c>
    </row>
    <row r="83" spans="1:35" x14ac:dyDescent="0.2">
      <c r="A83" s="475" t="s">
        <v>558</v>
      </c>
      <c r="B83" s="417">
        <f>AVERAGE(D75:E75)</f>
        <v>-2.9230769230769227E-2</v>
      </c>
      <c r="C83" s="417">
        <f>AVERAGE(G75:J75)</f>
        <v>4.9095609903880538E-2</v>
      </c>
      <c r="D83" s="417">
        <f>AVERAGE(L75:O75)</f>
        <v>0.1290928431769352</v>
      </c>
      <c r="E83" s="417">
        <f>D83+D84</f>
        <v>0.20909007644998986</v>
      </c>
      <c r="F83" s="417">
        <f t="shared" ref="F83:I83" si="42">E83+E84</f>
        <v>0.28908730972304453</v>
      </c>
      <c r="G83" s="417">
        <f t="shared" si="42"/>
        <v>0.36908454299609916</v>
      </c>
      <c r="H83" s="417">
        <f t="shared" si="42"/>
        <v>0.4490817762691538</v>
      </c>
      <c r="I83" s="418">
        <f t="shared" si="42"/>
        <v>0.52907900954220843</v>
      </c>
    </row>
    <row r="84" spans="1:35" ht="12.75" thickBot="1" x14ac:dyDescent="0.25">
      <c r="A84" s="415" t="s">
        <v>703</v>
      </c>
      <c r="B84" s="381"/>
      <c r="C84" s="381">
        <f>C83-B83</f>
        <v>7.8326379134649765E-2</v>
      </c>
      <c r="D84" s="381">
        <f t="shared" ref="D84" si="43">D83-C83</f>
        <v>7.9997233273054663E-2</v>
      </c>
      <c r="E84" s="381">
        <f t="shared" ref="E84" si="44">E83-D83</f>
        <v>7.9997233273054663E-2</v>
      </c>
      <c r="F84" s="381">
        <f t="shared" ref="F84" si="45">F83-E83</f>
        <v>7.9997233273054663E-2</v>
      </c>
      <c r="G84" s="381">
        <f t="shared" ref="G84" si="46">G83-F83</f>
        <v>7.9997233273054635E-2</v>
      </c>
      <c r="H84" s="381">
        <f t="shared" ref="H84" si="47">H83-G83</f>
        <v>7.9997233273054635E-2</v>
      </c>
      <c r="I84" s="382">
        <f t="shared" ref="I84" si="48">I83-H83</f>
        <v>7.9997233273054635E-2</v>
      </c>
    </row>
    <row r="85" spans="1:35" x14ac:dyDescent="0.2">
      <c r="A85" s="475" t="s">
        <v>560</v>
      </c>
      <c r="B85" s="417">
        <f>AVERAGE(D76:E76)</f>
        <v>0.10964912280701755</v>
      </c>
      <c r="C85" s="417">
        <f>AVERAGE(G76:J76)</f>
        <v>0.11870348219032434</v>
      </c>
      <c r="D85" s="417">
        <f>AVERAGE(L76:O76)</f>
        <v>0.1385695727075037</v>
      </c>
      <c r="E85" s="417">
        <f>D85+D86</f>
        <v>0.15843566322468305</v>
      </c>
      <c r="F85" s="417">
        <f t="shared" ref="F85:I85" si="49">E85+E86</f>
        <v>0.17830175374186241</v>
      </c>
      <c r="G85" s="417">
        <f t="shared" si="49"/>
        <v>0.19816784425904177</v>
      </c>
      <c r="H85" s="417">
        <f t="shared" si="49"/>
        <v>0.21803393477622113</v>
      </c>
      <c r="I85" s="418">
        <f t="shared" si="49"/>
        <v>0.23790002529340049</v>
      </c>
    </row>
    <row r="86" spans="1:35" ht="12.75" thickBot="1" x14ac:dyDescent="0.25">
      <c r="A86" s="416" t="s">
        <v>703</v>
      </c>
      <c r="B86" s="383"/>
      <c r="C86" s="383">
        <f>C85-B85</f>
        <v>9.054359383306787E-3</v>
      </c>
      <c r="D86" s="383">
        <f t="shared" ref="D86" si="50">D85-C85</f>
        <v>1.9866090517179358E-2</v>
      </c>
      <c r="E86" s="383">
        <f t="shared" ref="E86" si="51">E85-D85</f>
        <v>1.9866090517179358E-2</v>
      </c>
      <c r="F86" s="383">
        <f t="shared" ref="F86" si="52">F85-E85</f>
        <v>1.9866090517179358E-2</v>
      </c>
      <c r="G86" s="383">
        <f t="shared" ref="G86" si="53">G85-F85</f>
        <v>1.9866090517179358E-2</v>
      </c>
      <c r="H86" s="383">
        <f t="shared" ref="H86" si="54">H85-G85</f>
        <v>1.9866090517179358E-2</v>
      </c>
      <c r="I86" s="384">
        <f t="shared" ref="I86" si="55">I85-H85</f>
        <v>1.9866090517179358E-2</v>
      </c>
      <c r="J86" s="262"/>
      <c r="K86" s="263"/>
      <c r="L86" s="263"/>
      <c r="M86" s="263"/>
      <c r="N86" s="264"/>
      <c r="O86" s="263"/>
      <c r="P86" s="263"/>
      <c r="Q86" s="263"/>
      <c r="R86" s="264"/>
      <c r="S86" s="264"/>
      <c r="T86" s="264"/>
      <c r="U86" s="264"/>
      <c r="V86" s="264"/>
      <c r="W86" s="264"/>
      <c r="X86" s="264"/>
      <c r="Y86" s="264"/>
      <c r="Z86" s="264"/>
      <c r="AA86" s="264"/>
      <c r="AB86" s="264"/>
      <c r="AC86" s="264"/>
      <c r="AD86" s="264"/>
      <c r="AE86" s="264"/>
      <c r="AF86" s="264"/>
      <c r="AG86" s="264"/>
      <c r="AH86" s="264"/>
      <c r="AI86" s="264"/>
    </row>
    <row r="87" spans="1:35" x14ac:dyDescent="0.2">
      <c r="B87" s="262"/>
      <c r="C87" s="262"/>
      <c r="D87" s="262"/>
      <c r="E87" s="219"/>
      <c r="F87" s="262"/>
      <c r="G87" s="262"/>
      <c r="H87" s="262"/>
      <c r="I87" s="262"/>
      <c r="J87" s="262"/>
      <c r="K87" s="263"/>
      <c r="L87" s="263"/>
      <c r="M87" s="263"/>
      <c r="N87" s="264"/>
      <c r="O87" s="263"/>
      <c r="P87" s="263"/>
      <c r="Q87" s="263"/>
      <c r="R87" s="264"/>
      <c r="S87" s="264"/>
      <c r="T87" s="264"/>
      <c r="U87" s="264"/>
      <c r="V87" s="264"/>
      <c r="W87" s="264"/>
      <c r="X87" s="264"/>
      <c r="Y87" s="264"/>
      <c r="Z87" s="264"/>
      <c r="AA87" s="264"/>
      <c r="AB87" s="264"/>
      <c r="AC87" s="264"/>
      <c r="AD87" s="264"/>
      <c r="AE87" s="264"/>
      <c r="AF87" s="264"/>
      <c r="AG87" s="264"/>
      <c r="AH87" s="264"/>
      <c r="AI87" s="264"/>
    </row>
    <row r="88" spans="1:35" x14ac:dyDescent="0.2">
      <c r="B88" s="262"/>
      <c r="C88" s="262"/>
      <c r="D88" s="262"/>
      <c r="E88" s="219"/>
      <c r="F88" s="262"/>
      <c r="G88" s="262"/>
      <c r="H88" s="262"/>
      <c r="I88" s="262"/>
      <c r="J88" s="262"/>
      <c r="K88" s="263"/>
      <c r="L88" s="263"/>
      <c r="M88" s="263"/>
      <c r="N88" s="264"/>
      <c r="O88" s="263"/>
      <c r="P88" s="263"/>
      <c r="Q88" s="263"/>
      <c r="R88" s="264"/>
      <c r="S88" s="264"/>
      <c r="T88" s="264"/>
      <c r="U88" s="264"/>
      <c r="V88" s="264"/>
      <c r="W88" s="264"/>
      <c r="X88" s="264"/>
      <c r="Y88" s="264"/>
      <c r="Z88" s="264"/>
      <c r="AA88" s="264"/>
      <c r="AB88" s="264"/>
      <c r="AC88" s="264"/>
      <c r="AD88" s="264"/>
      <c r="AE88" s="264"/>
      <c r="AF88" s="264"/>
      <c r="AG88" s="264"/>
      <c r="AH88" s="264"/>
      <c r="AI88" s="264"/>
    </row>
    <row r="89" spans="1:35" x14ac:dyDescent="0.2">
      <c r="B89" s="262"/>
      <c r="C89" s="262"/>
      <c r="D89" s="262"/>
      <c r="E89" s="219"/>
      <c r="F89" s="262"/>
      <c r="G89" s="262"/>
      <c r="H89" s="262"/>
      <c r="I89" s="262"/>
      <c r="J89" s="262"/>
      <c r="K89" s="263"/>
      <c r="L89" s="263"/>
      <c r="M89" s="263"/>
      <c r="N89" s="264"/>
      <c r="O89" s="263"/>
      <c r="P89" s="263"/>
      <c r="Q89" s="263"/>
      <c r="R89" s="264"/>
      <c r="S89" s="264"/>
      <c r="T89" s="264"/>
      <c r="U89" s="264"/>
      <c r="V89" s="264"/>
      <c r="W89" s="264"/>
      <c r="X89" s="264"/>
      <c r="Y89" s="264"/>
      <c r="Z89" s="264"/>
      <c r="AA89" s="264"/>
      <c r="AB89" s="264"/>
      <c r="AC89" s="264"/>
      <c r="AD89" s="264"/>
      <c r="AE89" s="264"/>
      <c r="AF89" s="264"/>
      <c r="AG89" s="264"/>
      <c r="AH89" s="264"/>
      <c r="AI89" s="264"/>
    </row>
    <row r="90" spans="1:35" x14ac:dyDescent="0.2">
      <c r="D90" s="318"/>
    </row>
    <row r="92" spans="1:35" x14ac:dyDescent="0.2">
      <c r="A92" s="420"/>
      <c r="B92" s="420" t="s">
        <v>704</v>
      </c>
      <c r="C92" s="420" t="s">
        <v>704</v>
      </c>
      <c r="D92" s="420" t="s">
        <v>704</v>
      </c>
      <c r="E92" s="420" t="s">
        <v>704</v>
      </c>
      <c r="F92" s="420" t="s">
        <v>704</v>
      </c>
    </row>
    <row r="93" spans="1:35" x14ac:dyDescent="0.2">
      <c r="A93" s="420"/>
      <c r="B93" s="421" t="s">
        <v>704</v>
      </c>
      <c r="C93" s="421" t="s">
        <v>704</v>
      </c>
      <c r="D93" s="421" t="s">
        <v>704</v>
      </c>
      <c r="E93" s="421" t="s">
        <v>704</v>
      </c>
      <c r="F93" s="421" t="s">
        <v>704</v>
      </c>
    </row>
    <row r="94" spans="1:35" x14ac:dyDescent="0.2">
      <c r="A94" s="476"/>
      <c r="B94" s="219"/>
    </row>
    <row r="95" spans="1:35" s="358" customFormat="1" ht="12.75" thickBot="1" x14ac:dyDescent="0.25">
      <c r="A95" s="422" t="s">
        <v>705</v>
      </c>
      <c r="B95" s="359" t="s">
        <v>706</v>
      </c>
      <c r="C95" s="359" t="s">
        <v>707</v>
      </c>
      <c r="D95" s="359" t="s">
        <v>708</v>
      </c>
      <c r="E95" s="359" t="s">
        <v>709</v>
      </c>
      <c r="F95" s="357"/>
      <c r="G95" s="359" t="s">
        <v>710</v>
      </c>
      <c r="H95" s="359" t="s">
        <v>711</v>
      </c>
      <c r="I95" s="359" t="s">
        <v>712</v>
      </c>
      <c r="J95" s="359" t="s">
        <v>713</v>
      </c>
      <c r="K95" s="320"/>
      <c r="L95" s="359" t="s">
        <v>714</v>
      </c>
      <c r="M95" s="359" t="s">
        <v>715</v>
      </c>
      <c r="N95" s="359" t="s">
        <v>716</v>
      </c>
      <c r="O95" s="359" t="s">
        <v>717</v>
      </c>
      <c r="P95" s="320"/>
      <c r="Q95" s="359" t="s">
        <v>718</v>
      </c>
      <c r="R95" s="359" t="s">
        <v>719</v>
      </c>
      <c r="S95" s="359" t="s">
        <v>720</v>
      </c>
      <c r="T95" s="359" t="s">
        <v>721</v>
      </c>
      <c r="U95" s="320"/>
      <c r="V95" s="359" t="s">
        <v>722</v>
      </c>
      <c r="W95" s="359" t="s">
        <v>723</v>
      </c>
      <c r="X95" s="359" t="s">
        <v>724</v>
      </c>
      <c r="Y95" s="359" t="s">
        <v>725</v>
      </c>
    </row>
    <row r="96" spans="1:35" ht="12.75" thickTop="1" x14ac:dyDescent="0.2">
      <c r="A96" s="423" t="str">
        <f>"    Actual"</f>
        <v xml:space="preserve">    Actual</v>
      </c>
      <c r="B96" s="332"/>
      <c r="C96" s="321"/>
      <c r="D96" s="321"/>
      <c r="E96" s="321"/>
      <c r="F96" s="321"/>
      <c r="G96" s="321"/>
      <c r="H96" s="424">
        <v>58803</v>
      </c>
      <c r="I96" s="424">
        <v>63595</v>
      </c>
      <c r="J96" s="424">
        <v>73014</v>
      </c>
      <c r="K96" s="227"/>
      <c r="L96" s="424">
        <v>81220</v>
      </c>
      <c r="M96" s="424">
        <v>88386</v>
      </c>
      <c r="N96" s="424">
        <v>96065</v>
      </c>
      <c r="O96" s="424">
        <v>103824</v>
      </c>
      <c r="P96" s="227"/>
      <c r="Q96" s="425" t="s">
        <v>704</v>
      </c>
      <c r="R96" s="425" t="s">
        <v>704</v>
      </c>
      <c r="S96" s="425" t="s">
        <v>704</v>
      </c>
      <c r="T96" s="425" t="s">
        <v>704</v>
      </c>
      <c r="U96" s="227"/>
      <c r="V96" s="425" t="s">
        <v>704</v>
      </c>
      <c r="W96" s="425" t="s">
        <v>704</v>
      </c>
      <c r="X96" s="425" t="s">
        <v>704</v>
      </c>
      <c r="Y96" s="425" t="s">
        <v>704</v>
      </c>
    </row>
    <row r="97" spans="1:25" x14ac:dyDescent="0.2">
      <c r="A97" s="423" t="str">
        <f>"    Median (Pitchbook)"</f>
        <v xml:space="preserve">    Median (Pitchbook)</v>
      </c>
      <c r="B97" s="332"/>
      <c r="C97" s="321"/>
      <c r="D97" s="321"/>
      <c r="E97" s="321"/>
      <c r="F97" s="321"/>
      <c r="G97" s="321"/>
      <c r="H97" s="424">
        <v>58800</v>
      </c>
      <c r="I97" s="424">
        <v>60600</v>
      </c>
      <c r="J97" s="424">
        <v>69000</v>
      </c>
      <c r="K97" s="227"/>
      <c r="L97" s="424">
        <v>77439.067999999999</v>
      </c>
      <c r="M97" s="424">
        <v>85800</v>
      </c>
      <c r="N97" s="424">
        <v>95200</v>
      </c>
      <c r="O97" s="424">
        <v>100000</v>
      </c>
      <c r="P97" s="227"/>
      <c r="Q97" s="424">
        <v>113000</v>
      </c>
      <c r="R97" s="424">
        <v>119000</v>
      </c>
      <c r="S97" s="424">
        <v>125938</v>
      </c>
      <c r="T97" s="424">
        <v>134386</v>
      </c>
      <c r="U97" s="227"/>
      <c r="V97" s="424">
        <v>138017</v>
      </c>
      <c r="W97" s="424">
        <v>146314.5</v>
      </c>
      <c r="X97" s="424">
        <v>154003</v>
      </c>
      <c r="Y97" s="424">
        <v>160887.5</v>
      </c>
    </row>
    <row r="98" spans="1:25" x14ac:dyDescent="0.2">
      <c r="A98" s="423" t="str">
        <f>"    High"</f>
        <v xml:space="preserve">    High</v>
      </c>
      <c r="B98" s="332"/>
      <c r="C98" s="321"/>
      <c r="D98" s="321"/>
      <c r="E98" s="321"/>
      <c r="F98" s="321"/>
      <c r="G98" s="321"/>
      <c r="H98" s="424">
        <v>59000</v>
      </c>
      <c r="I98" s="424">
        <v>61679</v>
      </c>
      <c r="J98" s="424">
        <v>69734.194000000003</v>
      </c>
      <c r="K98" s="227"/>
      <c r="L98" s="424">
        <v>78500</v>
      </c>
      <c r="M98" s="424">
        <v>86600</v>
      </c>
      <c r="N98" s="424">
        <v>97225.266000000003</v>
      </c>
      <c r="O98" s="424">
        <v>101200</v>
      </c>
      <c r="P98" s="227"/>
      <c r="Q98" s="424">
        <v>113650.6</v>
      </c>
      <c r="R98" s="424">
        <v>121900</v>
      </c>
      <c r="S98" s="424">
        <v>128500</v>
      </c>
      <c r="T98" s="424">
        <v>138700</v>
      </c>
      <c r="U98" s="227"/>
      <c r="V98" s="424">
        <v>141934</v>
      </c>
      <c r="W98" s="424">
        <v>150129</v>
      </c>
      <c r="X98" s="424">
        <v>155106</v>
      </c>
      <c r="Y98" s="424">
        <v>162875</v>
      </c>
    </row>
    <row r="99" spans="1:25" x14ac:dyDescent="0.2">
      <c r="A99" s="423" t="str">
        <f>"    Low"</f>
        <v xml:space="preserve">    Low</v>
      </c>
      <c r="B99" s="332"/>
      <c r="C99" s="321"/>
      <c r="D99" s="321"/>
      <c r="E99" s="321"/>
      <c r="F99" s="321"/>
      <c r="G99" s="321"/>
      <c r="H99" s="424">
        <v>58800</v>
      </c>
      <c r="I99" s="424">
        <v>58500</v>
      </c>
      <c r="J99" s="424">
        <v>68000</v>
      </c>
      <c r="K99" s="227"/>
      <c r="L99" s="424">
        <v>77000</v>
      </c>
      <c r="M99" s="424">
        <v>85000</v>
      </c>
      <c r="N99" s="424">
        <v>93200</v>
      </c>
      <c r="O99" s="424">
        <v>98349.9</v>
      </c>
      <c r="P99" s="227"/>
      <c r="Q99" s="424">
        <v>111352.6</v>
      </c>
      <c r="R99" s="424">
        <v>117700</v>
      </c>
      <c r="S99" s="424">
        <v>121800</v>
      </c>
      <c r="T99" s="424">
        <v>131692</v>
      </c>
      <c r="U99" s="227"/>
      <c r="V99" s="424">
        <v>134100</v>
      </c>
      <c r="W99" s="424">
        <v>142500</v>
      </c>
      <c r="X99" s="424">
        <v>152900</v>
      </c>
      <c r="Y99" s="424">
        <v>158900</v>
      </c>
    </row>
    <row r="100" spans="1:25" x14ac:dyDescent="0.2">
      <c r="A100" s="423" t="str">
        <f>"    Mean"</f>
        <v xml:space="preserve">    Mean</v>
      </c>
      <c r="B100" s="332"/>
      <c r="C100" s="321"/>
      <c r="D100" s="321"/>
      <c r="E100" s="321"/>
      <c r="F100" s="321"/>
      <c r="G100" s="321"/>
      <c r="H100" s="424">
        <v>58829</v>
      </c>
      <c r="I100" s="424">
        <v>60464.046999999999</v>
      </c>
      <c r="J100" s="424">
        <v>68989.399000000005</v>
      </c>
      <c r="K100" s="227"/>
      <c r="L100" s="424">
        <v>77559.017000000007</v>
      </c>
      <c r="M100" s="424">
        <v>85703.255000000005</v>
      </c>
      <c r="N100" s="424">
        <v>95309.807000000001</v>
      </c>
      <c r="O100" s="424">
        <v>99892.987999999998</v>
      </c>
      <c r="P100" s="227"/>
      <c r="Q100" s="424">
        <v>112744.57799999999</v>
      </c>
      <c r="R100" s="424">
        <v>119464.482</v>
      </c>
      <c r="S100" s="424">
        <v>126021.228</v>
      </c>
      <c r="T100" s="424">
        <v>134852.353</v>
      </c>
      <c r="U100" s="227"/>
      <c r="V100" s="424">
        <v>138017</v>
      </c>
      <c r="W100" s="424">
        <v>146314.5</v>
      </c>
      <c r="X100" s="424">
        <v>154003</v>
      </c>
      <c r="Y100" s="424">
        <v>160887.5</v>
      </c>
    </row>
    <row r="101" spans="1:25" hidden="1" x14ac:dyDescent="0.2">
      <c r="A101" s="423" t="str">
        <f>"    Standard Deviation"</f>
        <v xml:space="preserve">    Standard Deviation</v>
      </c>
      <c r="B101" s="332"/>
      <c r="C101" s="321"/>
      <c r="D101" s="321"/>
      <c r="E101" s="321"/>
      <c r="F101" s="321"/>
      <c r="G101" s="321"/>
      <c r="H101" s="424">
        <v>75.412000000000006</v>
      </c>
      <c r="I101" s="424">
        <v>954.99900000000002</v>
      </c>
      <c r="J101" s="424">
        <v>583.5</v>
      </c>
      <c r="K101" s="227"/>
      <c r="L101" s="424">
        <v>481.81900000000002</v>
      </c>
      <c r="M101" s="424">
        <v>503.99700000000001</v>
      </c>
      <c r="N101" s="424">
        <v>1277.5609999999999</v>
      </c>
      <c r="O101" s="424">
        <v>889.82500000000005</v>
      </c>
      <c r="P101" s="227"/>
      <c r="Q101" s="424">
        <v>738.23400000000004</v>
      </c>
      <c r="R101" s="424">
        <v>1712.684</v>
      </c>
      <c r="S101" s="424">
        <v>2024.3820000000003</v>
      </c>
      <c r="T101" s="424">
        <v>2042.6090000000002</v>
      </c>
      <c r="U101" s="227"/>
      <c r="V101" s="424">
        <v>5539.4750000000004</v>
      </c>
      <c r="W101" s="424">
        <v>5394.518</v>
      </c>
      <c r="X101" s="424">
        <v>1559.8779999999999</v>
      </c>
      <c r="Y101" s="424">
        <v>2810.7489999999998</v>
      </c>
    </row>
    <row r="102" spans="1:25" x14ac:dyDescent="0.2">
      <c r="A102" s="423" t="str">
        <f>"    Number of Estimates"</f>
        <v xml:space="preserve">    Number of Estimates</v>
      </c>
      <c r="B102" s="332"/>
      <c r="C102" s="321"/>
      <c r="D102" s="321"/>
      <c r="E102" s="321"/>
      <c r="F102" s="321"/>
      <c r="G102" s="321"/>
      <c r="H102" s="424">
        <v>7</v>
      </c>
      <c r="I102" s="424">
        <v>8</v>
      </c>
      <c r="J102" s="424">
        <v>8</v>
      </c>
      <c r="K102" s="227"/>
      <c r="L102" s="424">
        <v>8</v>
      </c>
      <c r="M102" s="424">
        <v>9</v>
      </c>
      <c r="N102" s="424">
        <v>9</v>
      </c>
      <c r="O102" s="424">
        <v>9</v>
      </c>
      <c r="P102" s="227"/>
      <c r="Q102" s="424">
        <v>9</v>
      </c>
      <c r="R102" s="424">
        <v>9</v>
      </c>
      <c r="S102" s="424">
        <v>9</v>
      </c>
      <c r="T102" s="424">
        <v>9</v>
      </c>
      <c r="U102" s="227"/>
      <c r="V102" s="424">
        <v>2</v>
      </c>
      <c r="W102" s="424">
        <v>2</v>
      </c>
      <c r="X102" s="424">
        <v>2</v>
      </c>
      <c r="Y102" s="424">
        <v>2</v>
      </c>
    </row>
    <row r="103" spans="1:25" x14ac:dyDescent="0.2">
      <c r="A103" s="432" t="str">
        <f>A5</f>
        <v xml:space="preserve">Monthly active users (MAUs) </v>
      </c>
      <c r="B103" s="426"/>
      <c r="C103" s="427">
        <f t="shared" ref="C103:J105" si="56">C5</f>
        <v>39072.16494845361</v>
      </c>
      <c r="D103" s="427">
        <f t="shared" si="56"/>
        <v>37000</v>
      </c>
      <c r="E103" s="427">
        <f t="shared" si="56"/>
        <v>37000</v>
      </c>
      <c r="F103" s="427">
        <f t="shared" si="56"/>
        <v>36700</v>
      </c>
      <c r="G103" s="427">
        <f t="shared" si="56"/>
        <v>39900</v>
      </c>
      <c r="H103" s="427">
        <f t="shared" si="56"/>
        <v>37900</v>
      </c>
      <c r="I103" s="427">
        <f t="shared" si="56"/>
        <v>41700</v>
      </c>
      <c r="J103" s="427">
        <f t="shared" si="56"/>
        <v>42400</v>
      </c>
      <c r="K103" s="427"/>
      <c r="L103" s="427">
        <f t="shared" ref="L103:O105" si="57">L5</f>
        <v>49200</v>
      </c>
      <c r="M103" s="427">
        <f t="shared" si="57"/>
        <v>49500</v>
      </c>
      <c r="N103" s="427">
        <f t="shared" si="57"/>
        <v>56500</v>
      </c>
      <c r="O103" s="427">
        <f t="shared" si="57"/>
        <v>60700</v>
      </c>
      <c r="P103" s="477"/>
      <c r="Q103" s="361">
        <f>Q$97*Q108</f>
        <v>69781.407955642077</v>
      </c>
      <c r="R103" s="361">
        <f t="shared" ref="R103:T103" si="58">R$97*R108</f>
        <v>73486.615457711567</v>
      </c>
      <c r="S103" s="361">
        <f t="shared" si="58"/>
        <v>77771.070399271252</v>
      </c>
      <c r="T103" s="361">
        <f t="shared" si="58"/>
        <v>82988.002562185095</v>
      </c>
      <c r="U103" s="362"/>
      <c r="V103" s="361">
        <f t="shared" ref="V103:Y103" si="59">V$97*V108</f>
        <v>85230.270635520807</v>
      </c>
      <c r="W103" s="361">
        <f t="shared" si="59"/>
        <v>90354.263843591078</v>
      </c>
      <c r="X103" s="361">
        <f t="shared" si="59"/>
        <v>95102.178490201288</v>
      </c>
      <c r="Y103" s="361">
        <f t="shared" si="59"/>
        <v>99353.59533153419</v>
      </c>
    </row>
    <row r="104" spans="1:25" x14ac:dyDescent="0.2">
      <c r="A104" s="432" t="str">
        <f>A6</f>
        <v xml:space="preserve">Daily active users (DAUs) </v>
      </c>
      <c r="B104" s="426"/>
      <c r="C104" s="427">
        <f t="shared" si="56"/>
        <v>8921.5686274509808</v>
      </c>
      <c r="D104" s="427">
        <f t="shared" si="56"/>
        <v>8400</v>
      </c>
      <c r="E104" s="427">
        <f t="shared" si="56"/>
        <v>8400</v>
      </c>
      <c r="F104" s="427">
        <f t="shared" si="56"/>
        <v>8200</v>
      </c>
      <c r="G104" s="427">
        <f t="shared" si="56"/>
        <v>9500</v>
      </c>
      <c r="H104" s="427">
        <f t="shared" si="56"/>
        <v>9100</v>
      </c>
      <c r="I104" s="427">
        <f t="shared" si="56"/>
        <v>9800</v>
      </c>
      <c r="J104" s="427">
        <f t="shared" si="56"/>
        <v>10100</v>
      </c>
      <c r="K104" s="427"/>
      <c r="L104" s="427">
        <f t="shared" si="57"/>
        <v>12500</v>
      </c>
      <c r="M104" s="427">
        <f t="shared" si="57"/>
        <v>13200</v>
      </c>
      <c r="N104" s="427">
        <f t="shared" si="57"/>
        <v>14900</v>
      </c>
      <c r="O104" s="427">
        <f t="shared" si="57"/>
        <v>16300</v>
      </c>
      <c r="P104" s="477"/>
      <c r="Q104" s="361">
        <f t="shared" ref="Q104:T105" si="60">Q$97*Q109</f>
        <v>17432.164295647101</v>
      </c>
      <c r="R104" s="361">
        <f t="shared" si="60"/>
        <v>18357.765939663757</v>
      </c>
      <c r="S104" s="361">
        <f t="shared" si="60"/>
        <v>19428.069974028356</v>
      </c>
      <c r="T104" s="361">
        <f t="shared" si="60"/>
        <v>20731.317088803815</v>
      </c>
      <c r="U104" s="362"/>
      <c r="V104" s="361">
        <f t="shared" ref="V104:Y104" si="61">V$97*V109</f>
        <v>21291.460350374564</v>
      </c>
      <c r="W104" s="361">
        <f t="shared" si="61"/>
        <v>22571.49029057927</v>
      </c>
      <c r="X104" s="361">
        <f t="shared" si="61"/>
        <v>23757.571663916286</v>
      </c>
      <c r="Y104" s="361">
        <f t="shared" si="61"/>
        <v>24819.622416955066</v>
      </c>
    </row>
    <row r="105" spans="1:25" x14ac:dyDescent="0.2">
      <c r="A105" s="432" t="str">
        <f>A7</f>
        <v xml:space="preserve">Paid subscribers (at period end) </v>
      </c>
      <c r="B105" s="426"/>
      <c r="C105" s="427">
        <f t="shared" si="56"/>
        <v>1301.3698630136987</v>
      </c>
      <c r="D105" s="427">
        <f t="shared" si="56"/>
        <v>1500</v>
      </c>
      <c r="E105" s="427">
        <f t="shared" si="56"/>
        <v>1600</v>
      </c>
      <c r="F105" s="427">
        <f t="shared" si="56"/>
        <v>1600</v>
      </c>
      <c r="G105" s="427">
        <f t="shared" si="56"/>
        <v>1800</v>
      </c>
      <c r="H105" s="427">
        <f t="shared" si="56"/>
        <v>1900</v>
      </c>
      <c r="I105" s="427">
        <f t="shared" si="56"/>
        <v>2200</v>
      </c>
      <c r="J105" s="427">
        <f t="shared" si="56"/>
        <v>2500</v>
      </c>
      <c r="K105" s="427"/>
      <c r="L105" s="427">
        <f t="shared" si="57"/>
        <v>2900</v>
      </c>
      <c r="M105" s="427">
        <f t="shared" si="57"/>
        <v>3300</v>
      </c>
      <c r="N105" s="427">
        <f t="shared" si="57"/>
        <v>3700</v>
      </c>
      <c r="O105" s="427">
        <f t="shared" si="57"/>
        <v>4200</v>
      </c>
      <c r="P105" s="477"/>
      <c r="Q105" s="361">
        <f t="shared" si="60"/>
        <v>4035.0892401270553</v>
      </c>
      <c r="R105" s="361">
        <f t="shared" si="60"/>
        <v>4249.3417661515005</v>
      </c>
      <c r="S105" s="361">
        <f t="shared" si="60"/>
        <v>4497.0891037444344</v>
      </c>
      <c r="T105" s="361">
        <f t="shared" si="60"/>
        <v>4798.7566603868536</v>
      </c>
      <c r="U105" s="362"/>
      <c r="V105" s="361">
        <f t="shared" ref="V105:Y105" si="62">V$97*V110</f>
        <v>4928.4151473859802</v>
      </c>
      <c r="W105" s="361">
        <f t="shared" si="62"/>
        <v>5224.7085365006196</v>
      </c>
      <c r="X105" s="361">
        <f t="shared" si="62"/>
        <v>5499.255294223778</v>
      </c>
      <c r="Y105" s="361">
        <f t="shared" si="62"/>
        <v>5745.0922134596603</v>
      </c>
    </row>
    <row r="106" spans="1:25" x14ac:dyDescent="0.2">
      <c r="A106" s="428"/>
      <c r="B106" s="428"/>
      <c r="C106" s="428"/>
      <c r="D106" s="428"/>
      <c r="E106" s="428"/>
      <c r="F106" s="428"/>
    </row>
    <row r="107" spans="1:25" ht="12.75" thickBot="1" x14ac:dyDescent="0.25">
      <c r="A107" s="420"/>
      <c r="B107" s="428"/>
      <c r="C107" s="428"/>
      <c r="D107" s="428"/>
      <c r="E107" s="428"/>
      <c r="F107" s="428"/>
      <c r="K107" s="222" t="s">
        <v>726</v>
      </c>
      <c r="P107" s="222" t="s">
        <v>727</v>
      </c>
      <c r="Q107" s="222" t="s">
        <v>728</v>
      </c>
    </row>
    <row r="108" spans="1:25" x14ac:dyDescent="0.2">
      <c r="A108" s="448" t="s">
        <v>696</v>
      </c>
      <c r="B108" s="363"/>
      <c r="C108" s="364"/>
      <c r="D108" s="364"/>
      <c r="E108" s="365"/>
      <c r="F108" s="364"/>
      <c r="G108" s="366">
        <f t="shared" ref="G108:J110" si="63">G70</f>
        <v>0.7207369942196532</v>
      </c>
      <c r="H108" s="366">
        <f t="shared" si="63"/>
        <v>0.64452493920378207</v>
      </c>
      <c r="I108" s="366">
        <f t="shared" si="63"/>
        <v>0.65571192703828918</v>
      </c>
      <c r="J108" s="366">
        <f t="shared" si="63"/>
        <v>0.58071054866190042</v>
      </c>
      <c r="K108" s="367">
        <f>AVERAGE(G108:J108)</f>
        <v>0.65042110228090633</v>
      </c>
      <c r="L108" s="366">
        <f t="shared" ref="L108:O110" si="64">L70</f>
        <v>0.60576212755478942</v>
      </c>
      <c r="M108" s="366">
        <f t="shared" si="64"/>
        <v>0.56004344579458287</v>
      </c>
      <c r="N108" s="366">
        <f t="shared" si="64"/>
        <v>0.58814344454275747</v>
      </c>
      <c r="O108" s="366">
        <f t="shared" si="64"/>
        <v>0.58464324241023269</v>
      </c>
      <c r="P108" s="367">
        <f>AVERAGE(L108:O108)</f>
        <v>0.58464806507559053</v>
      </c>
      <c r="Q108" s="369">
        <f>AVERAGE($P$108,$K$108)</f>
        <v>0.61753458367824843</v>
      </c>
      <c r="R108" s="370">
        <f>Q108</f>
        <v>0.61753458367824843</v>
      </c>
      <c r="S108" s="370">
        <f t="shared" ref="S108:Y108" si="65">R108</f>
        <v>0.61753458367824843</v>
      </c>
      <c r="T108" s="370">
        <f t="shared" si="65"/>
        <v>0.61753458367824843</v>
      </c>
      <c r="U108" s="371"/>
      <c r="V108" s="370">
        <f>Q108</f>
        <v>0.61753458367824843</v>
      </c>
      <c r="W108" s="370">
        <f t="shared" si="65"/>
        <v>0.61753458367824843</v>
      </c>
      <c r="X108" s="370">
        <f t="shared" si="65"/>
        <v>0.61753458367824843</v>
      </c>
      <c r="Y108" s="370">
        <f t="shared" si="65"/>
        <v>0.61753458367824843</v>
      </c>
    </row>
    <row r="109" spans="1:25" x14ac:dyDescent="0.2">
      <c r="A109" s="451" t="s">
        <v>697</v>
      </c>
      <c r="B109" s="364"/>
      <c r="C109" s="364"/>
      <c r="D109" s="364"/>
      <c r="E109" s="365"/>
      <c r="F109" s="364"/>
      <c r="G109" s="366">
        <f t="shared" si="63"/>
        <v>0.17160404624277456</v>
      </c>
      <c r="H109" s="366">
        <f t="shared" si="63"/>
        <v>0.15475400914919307</v>
      </c>
      <c r="I109" s="366">
        <f t="shared" si="63"/>
        <v>0.15410016510731975</v>
      </c>
      <c r="J109" s="366">
        <f t="shared" si="63"/>
        <v>0.13832963541238666</v>
      </c>
      <c r="K109" s="367">
        <f>AVERAGE(G109:J109)</f>
        <v>0.15469696397791849</v>
      </c>
      <c r="L109" s="366">
        <f t="shared" si="64"/>
        <v>0.15390297956168431</v>
      </c>
      <c r="M109" s="366">
        <f t="shared" si="64"/>
        <v>0.14934491887855542</v>
      </c>
      <c r="N109" s="366">
        <f t="shared" si="64"/>
        <v>0.15510331546348827</v>
      </c>
      <c r="O109" s="366">
        <f t="shared" si="64"/>
        <v>0.15699645554014485</v>
      </c>
      <c r="P109" s="367">
        <f>AVERAGE(L109:O109)</f>
        <v>0.15383691736096822</v>
      </c>
      <c r="Q109" s="369">
        <f>AVERAGE($P$109,$K$109)</f>
        <v>0.15426694066944335</v>
      </c>
      <c r="R109" s="370">
        <f>Q109</f>
        <v>0.15426694066944335</v>
      </c>
      <c r="S109" s="370">
        <f t="shared" ref="S109:Y109" si="66">R109</f>
        <v>0.15426694066944335</v>
      </c>
      <c r="T109" s="370">
        <f t="shared" si="66"/>
        <v>0.15426694066944335</v>
      </c>
      <c r="U109" s="371"/>
      <c r="V109" s="370">
        <f t="shared" ref="V109:V110" si="67">Q109</f>
        <v>0.15426694066944335</v>
      </c>
      <c r="W109" s="370">
        <f t="shared" si="66"/>
        <v>0.15426694066944335</v>
      </c>
      <c r="X109" s="370">
        <f t="shared" si="66"/>
        <v>0.15426694066944335</v>
      </c>
      <c r="Y109" s="370">
        <f t="shared" si="66"/>
        <v>0.15426694066944335</v>
      </c>
    </row>
    <row r="110" spans="1:25" ht="12.75" thickBot="1" x14ac:dyDescent="0.25">
      <c r="A110" s="468" t="s">
        <v>698</v>
      </c>
      <c r="B110" s="368"/>
      <c r="C110" s="364"/>
      <c r="D110" s="364"/>
      <c r="E110" s="365"/>
      <c r="F110" s="364"/>
      <c r="G110" s="366">
        <f t="shared" si="63"/>
        <v>3.2514450867052021E-2</v>
      </c>
      <c r="H110" s="366">
        <f t="shared" si="63"/>
        <v>3.2311276635545803E-2</v>
      </c>
      <c r="I110" s="366">
        <f t="shared" si="63"/>
        <v>3.4593914615928922E-2</v>
      </c>
      <c r="J110" s="366">
        <f t="shared" si="63"/>
        <v>3.4240008765442247E-2</v>
      </c>
      <c r="K110" s="367">
        <f>AVERAGE(G110:J110)</f>
        <v>3.341491272099225E-2</v>
      </c>
      <c r="L110" s="366">
        <f t="shared" si="64"/>
        <v>3.5705491258310761E-2</v>
      </c>
      <c r="M110" s="366">
        <f t="shared" si="64"/>
        <v>3.7336229719638854E-2</v>
      </c>
      <c r="N110" s="366">
        <f t="shared" si="64"/>
        <v>3.8515588403685005E-2</v>
      </c>
      <c r="O110" s="366">
        <f t="shared" si="64"/>
        <v>4.0453074433656956E-2</v>
      </c>
      <c r="P110" s="367">
        <f>AVERAGE(L110:O110)</f>
        <v>3.8002595953822896E-2</v>
      </c>
      <c r="Q110" s="369">
        <f>AVERAGE($P$110,$K$110)</f>
        <v>3.5708754337407569E-2</v>
      </c>
      <c r="R110" s="370">
        <f>Q110</f>
        <v>3.5708754337407569E-2</v>
      </c>
      <c r="S110" s="370">
        <f t="shared" ref="S110:Y110" si="68">R110</f>
        <v>3.5708754337407569E-2</v>
      </c>
      <c r="T110" s="370">
        <f t="shared" si="68"/>
        <v>3.5708754337407569E-2</v>
      </c>
      <c r="U110" s="371"/>
      <c r="V110" s="370">
        <f t="shared" si="67"/>
        <v>3.5708754337407569E-2</v>
      </c>
      <c r="W110" s="370">
        <f t="shared" si="68"/>
        <v>3.5708754337407569E-2</v>
      </c>
      <c r="X110" s="370">
        <f t="shared" si="68"/>
        <v>3.5708754337407569E-2</v>
      </c>
      <c r="Y110" s="370">
        <f t="shared" si="68"/>
        <v>3.5708754337407569E-2</v>
      </c>
    </row>
    <row r="111" spans="1:25" ht="12.75" thickBot="1" x14ac:dyDescent="0.25">
      <c r="B111" s="262"/>
      <c r="C111" s="262"/>
      <c r="D111" s="262"/>
      <c r="E111" s="219"/>
      <c r="F111" s="262"/>
      <c r="G111" s="497"/>
      <c r="H111" s="497"/>
      <c r="I111" s="497"/>
      <c r="J111" s="497"/>
      <c r="K111" s="498"/>
      <c r="L111" s="497"/>
      <c r="M111" s="497"/>
      <c r="N111" s="497"/>
      <c r="O111" s="497"/>
      <c r="P111" s="498"/>
      <c r="Q111" s="499"/>
      <c r="R111" s="500"/>
      <c r="S111" s="500"/>
      <c r="T111" s="500"/>
      <c r="U111" s="501"/>
      <c r="V111" s="500"/>
      <c r="W111" s="500"/>
      <c r="X111" s="500"/>
      <c r="Y111" s="500"/>
    </row>
    <row r="112" spans="1:25" x14ac:dyDescent="0.2">
      <c r="A112" s="502" t="s">
        <v>729</v>
      </c>
      <c r="B112" s="291"/>
      <c r="C112" s="291"/>
      <c r="D112" s="291"/>
      <c r="E112" s="271"/>
      <c r="F112" s="262"/>
      <c r="G112" s="497"/>
      <c r="H112" s="497"/>
      <c r="I112" s="497"/>
      <c r="J112" s="497"/>
      <c r="K112" s="498"/>
      <c r="L112" s="497"/>
      <c r="M112" s="497"/>
      <c r="N112" s="497"/>
      <c r="O112" s="497"/>
      <c r="P112" s="498"/>
      <c r="Q112" s="499"/>
      <c r="R112" s="500"/>
      <c r="S112" s="500"/>
      <c r="T112" s="500"/>
      <c r="U112" s="501"/>
      <c r="V112" s="500"/>
      <c r="W112" s="500"/>
      <c r="X112" s="500"/>
      <c r="Y112" s="500"/>
    </row>
    <row r="113" spans="1:25" x14ac:dyDescent="0.2">
      <c r="A113" s="503" t="s">
        <v>730</v>
      </c>
      <c r="B113" s="227"/>
      <c r="C113" s="227"/>
      <c r="D113" s="227"/>
      <c r="E113" s="227"/>
      <c r="F113" s="227"/>
      <c r="G113" s="227"/>
      <c r="H113" s="227"/>
      <c r="I113" s="227"/>
      <c r="J113" s="227"/>
      <c r="K113" s="227"/>
      <c r="L113" s="521" t="s">
        <v>659</v>
      </c>
      <c r="M113" s="521">
        <f>M96/H96-1</f>
        <v>0.50308657721544825</v>
      </c>
      <c r="N113" s="521">
        <f>N96/I96-1</f>
        <v>0.51057473071782367</v>
      </c>
      <c r="O113" s="521">
        <f>O96/J96-1</f>
        <v>0.42197386802531023</v>
      </c>
      <c r="P113" s="521"/>
      <c r="Q113" s="521"/>
      <c r="R113" s="227"/>
    </row>
    <row r="114" spans="1:25" x14ac:dyDescent="0.2">
      <c r="A114" s="503" t="s">
        <v>731</v>
      </c>
      <c r="B114" s="227"/>
      <c r="C114" s="227"/>
      <c r="D114" s="227"/>
      <c r="E114" s="227"/>
      <c r="F114" s="227"/>
      <c r="G114" s="227"/>
      <c r="H114" s="227"/>
      <c r="I114" s="227"/>
      <c r="J114" s="227"/>
      <c r="K114" s="227"/>
      <c r="L114" s="227"/>
      <c r="M114" s="227"/>
      <c r="N114" s="227"/>
      <c r="O114" s="227"/>
      <c r="P114" s="227"/>
      <c r="Q114" s="521">
        <f>Q97/L97-1</f>
        <v>0.45921177667065938</v>
      </c>
      <c r="R114" s="521">
        <f t="shared" ref="R114:T116" si="69">R97/M97-1</f>
        <v>0.38694638694638694</v>
      </c>
      <c r="S114" s="521">
        <f t="shared" si="69"/>
        <v>0.32287815126050412</v>
      </c>
      <c r="T114" s="521">
        <f t="shared" si="69"/>
        <v>0.34386000000000005</v>
      </c>
      <c r="U114" s="521"/>
      <c r="V114" s="521">
        <f>V97/Q97-1</f>
        <v>0.22138938053097346</v>
      </c>
      <c r="W114" s="521">
        <f>W97/R97-1</f>
        <v>0.22953361344537826</v>
      </c>
      <c r="X114" s="521">
        <f>X97/S97-1</f>
        <v>0.22284775048039518</v>
      </c>
      <c r="Y114" s="521">
        <f>Y97/T97-1</f>
        <v>0.19720432187876713</v>
      </c>
    </row>
    <row r="115" spans="1:25" x14ac:dyDescent="0.2">
      <c r="A115" s="503" t="s">
        <v>732</v>
      </c>
      <c r="B115" s="227"/>
      <c r="C115" s="227"/>
      <c r="D115" s="227"/>
      <c r="E115" s="227"/>
      <c r="F115" s="227"/>
      <c r="G115" s="227"/>
      <c r="H115" s="227"/>
      <c r="I115" s="227"/>
      <c r="J115" s="227"/>
      <c r="K115" s="227"/>
      <c r="L115" s="227"/>
      <c r="M115" s="227"/>
      <c r="N115" s="227"/>
      <c r="O115" s="227"/>
      <c r="P115" s="227"/>
      <c r="Q115" s="521">
        <f t="shared" ref="Q115:Q116" si="70">Q98/L98-1</f>
        <v>0.44777834394904459</v>
      </c>
      <c r="R115" s="521">
        <f t="shared" si="69"/>
        <v>0.40762124711316394</v>
      </c>
      <c r="S115" s="521">
        <f t="shared" si="69"/>
        <v>0.32167290753413824</v>
      </c>
      <c r="T115" s="521">
        <f t="shared" si="69"/>
        <v>0.37055335968379444</v>
      </c>
      <c r="U115" s="521"/>
      <c r="V115" s="521">
        <f t="shared" ref="V115:Y115" si="71">V98/Q98-1</f>
        <v>0.24886274247562268</v>
      </c>
      <c r="W115" s="521">
        <f t="shared" si="71"/>
        <v>0.23157506152584095</v>
      </c>
      <c r="X115" s="521">
        <f t="shared" si="71"/>
        <v>0.20705058365758755</v>
      </c>
      <c r="Y115" s="521">
        <f t="shared" si="71"/>
        <v>0.1742970439798126</v>
      </c>
    </row>
    <row r="116" spans="1:25" x14ac:dyDescent="0.2">
      <c r="A116" s="503" t="s">
        <v>733</v>
      </c>
      <c r="B116" s="227"/>
      <c r="C116" s="227"/>
      <c r="D116" s="227"/>
      <c r="E116" s="227"/>
      <c r="F116" s="227"/>
      <c r="G116" s="227"/>
      <c r="H116" s="227"/>
      <c r="I116" s="227"/>
      <c r="J116" s="227"/>
      <c r="K116" s="227"/>
      <c r="L116" s="227"/>
      <c r="M116" s="227"/>
      <c r="N116" s="227"/>
      <c r="O116" s="227"/>
      <c r="P116" s="227"/>
      <c r="Q116" s="521">
        <f t="shared" si="70"/>
        <v>0.4461376623376625</v>
      </c>
      <c r="R116" s="521">
        <f t="shared" si="69"/>
        <v>0.38470588235294123</v>
      </c>
      <c r="S116" s="521">
        <f t="shared" si="69"/>
        <v>0.30686695278969967</v>
      </c>
      <c r="T116" s="521">
        <f t="shared" si="69"/>
        <v>0.3390150879665359</v>
      </c>
      <c r="U116" s="521"/>
      <c r="V116" s="521">
        <f t="shared" ref="V116:Y116" si="72">V99/Q99-1</f>
        <v>0.2042826121707082</v>
      </c>
      <c r="W116" s="521">
        <f t="shared" si="72"/>
        <v>0.21070518266779947</v>
      </c>
      <c r="X116" s="521">
        <f t="shared" si="72"/>
        <v>0.25533661740558289</v>
      </c>
      <c r="Y116" s="521">
        <f t="shared" si="72"/>
        <v>0.20660328645627679</v>
      </c>
    </row>
    <row r="117" spans="1:25" ht="12.75" thickBot="1" x14ac:dyDescent="0.25">
      <c r="A117" s="503"/>
      <c r="B117" s="227"/>
      <c r="C117" s="227"/>
      <c r="D117" s="227"/>
      <c r="E117" s="227"/>
      <c r="F117" s="227"/>
      <c r="G117" s="227"/>
      <c r="H117" s="227"/>
      <c r="I117" s="227"/>
      <c r="J117" s="227"/>
      <c r="K117" s="227"/>
      <c r="L117" s="227"/>
      <c r="M117" s="227"/>
      <c r="N117" s="227"/>
      <c r="O117" s="227"/>
      <c r="P117" s="227"/>
      <c r="Q117" s="278"/>
      <c r="R117" s="278"/>
      <c r="S117" s="278"/>
      <c r="T117" s="278"/>
      <c r="U117" s="278"/>
      <c r="V117" s="278"/>
      <c r="W117" s="278"/>
      <c r="X117" s="278"/>
      <c r="Y117" s="278"/>
    </row>
    <row r="118" spans="1:25" ht="12.75" thickBot="1" x14ac:dyDescent="0.25">
      <c r="A118" s="517"/>
      <c r="B118" s="1468" t="s">
        <v>787</v>
      </c>
      <c r="C118" s="1468"/>
      <c r="D118" s="1468"/>
      <c r="E118" s="1468"/>
      <c r="F118" s="227"/>
      <c r="G118" s="227"/>
      <c r="H118" s="227"/>
      <c r="I118" s="227"/>
      <c r="J118" s="227"/>
      <c r="K118" s="227"/>
      <c r="L118" s="227"/>
      <c r="M118" s="227"/>
      <c r="N118" s="227"/>
      <c r="O118" s="227"/>
      <c r="P118" s="227"/>
      <c r="Q118" s="227"/>
      <c r="R118" s="227"/>
    </row>
    <row r="119" spans="1:25" x14ac:dyDescent="0.2">
      <c r="A119" s="504" t="s">
        <v>737</v>
      </c>
      <c r="B119" s="227" t="s">
        <v>670</v>
      </c>
      <c r="C119" s="227" t="s">
        <v>671</v>
      </c>
      <c r="D119" s="227" t="s">
        <v>672</v>
      </c>
      <c r="E119" s="227" t="s">
        <v>673</v>
      </c>
      <c r="F119" s="227"/>
      <c r="G119" s="227"/>
      <c r="H119" s="227"/>
      <c r="I119" s="227"/>
      <c r="J119" s="227"/>
      <c r="K119" s="227"/>
      <c r="L119" s="227"/>
      <c r="M119" s="227"/>
      <c r="N119" s="227"/>
      <c r="O119" s="227"/>
      <c r="P119" s="227"/>
      <c r="Q119" s="227"/>
      <c r="R119" s="227"/>
    </row>
    <row r="120" spans="1:25" x14ac:dyDescent="0.2">
      <c r="A120" s="503" t="s">
        <v>788</v>
      </c>
      <c r="B120" s="518">
        <f>AVERAGE(L113,Q114,V114)</f>
        <v>0.34030057860081642</v>
      </c>
      <c r="C120" s="518">
        <f>AVERAGE(M113,R114,W114)</f>
        <v>0.37318885920240447</v>
      </c>
      <c r="D120" s="518">
        <f t="shared" ref="D120" si="73">AVERAGE(N113,S114,X114)</f>
        <v>0.35210021081957432</v>
      </c>
      <c r="E120" s="518">
        <f t="shared" ref="E120" si="74">AVERAGE(O113,T114,Y114)</f>
        <v>0.32101272996802582</v>
      </c>
      <c r="F120" s="227"/>
      <c r="G120" s="227"/>
      <c r="H120" s="227"/>
      <c r="I120" s="227"/>
      <c r="J120" s="227"/>
      <c r="K120" s="227"/>
      <c r="L120" s="227"/>
      <c r="M120" s="227"/>
      <c r="N120" s="227"/>
      <c r="O120" s="227"/>
      <c r="P120" s="227"/>
      <c r="Q120" s="227"/>
      <c r="R120" s="227"/>
    </row>
    <row r="121" spans="1:25" x14ac:dyDescent="0.2">
      <c r="A121" s="503"/>
      <c r="B121" s="518"/>
      <c r="C121" s="518"/>
      <c r="D121" s="518"/>
      <c r="E121" s="518"/>
      <c r="F121" s="227"/>
      <c r="G121" s="227"/>
      <c r="H121" s="227"/>
      <c r="I121" s="227"/>
      <c r="J121" s="227"/>
      <c r="K121" s="227"/>
      <c r="L121" s="227"/>
      <c r="M121" s="227"/>
      <c r="N121" s="227"/>
      <c r="O121" s="227"/>
      <c r="P121" s="227"/>
      <c r="Q121" s="227"/>
      <c r="R121" s="227"/>
    </row>
    <row r="122" spans="1:25" x14ac:dyDescent="0.2">
      <c r="A122" s="503" t="s">
        <v>789</v>
      </c>
      <c r="B122" s="470">
        <f>Q114</f>
        <v>0.45921177667065938</v>
      </c>
      <c r="C122" s="470">
        <f t="shared" ref="C122:E122" si="75">R114</f>
        <v>0.38694638694638694</v>
      </c>
      <c r="D122" s="470">
        <f t="shared" si="75"/>
        <v>0.32287815126050412</v>
      </c>
      <c r="E122" s="470">
        <f t="shared" si="75"/>
        <v>0.34386000000000005</v>
      </c>
      <c r="F122" s="227"/>
      <c r="G122" s="227"/>
      <c r="H122" s="227"/>
      <c r="I122" s="227"/>
      <c r="J122" s="227"/>
      <c r="K122" s="227"/>
      <c r="L122" s="227"/>
      <c r="M122" s="227"/>
      <c r="N122" s="227"/>
      <c r="O122" s="227"/>
      <c r="P122" s="227"/>
      <c r="Q122" s="227"/>
      <c r="R122" s="227"/>
    </row>
    <row r="123" spans="1:25" x14ac:dyDescent="0.2">
      <c r="A123" s="503" t="s">
        <v>790</v>
      </c>
      <c r="B123" s="470">
        <f t="shared" ref="B123:B124" si="76">Q115</f>
        <v>0.44777834394904459</v>
      </c>
      <c r="C123" s="470">
        <f t="shared" ref="C123:C124" si="77">R115</f>
        <v>0.40762124711316394</v>
      </c>
      <c r="D123" s="470">
        <f t="shared" ref="D123:D124" si="78">S115</f>
        <v>0.32167290753413824</v>
      </c>
      <c r="E123" s="470">
        <f t="shared" ref="E123:E124" si="79">T115</f>
        <v>0.37055335968379444</v>
      </c>
      <c r="F123" s="227"/>
      <c r="G123" s="227"/>
      <c r="H123" s="227"/>
      <c r="I123" s="227"/>
      <c r="J123" s="227"/>
      <c r="K123" s="227"/>
      <c r="L123" s="227"/>
      <c r="M123" s="227"/>
      <c r="N123" s="227"/>
      <c r="O123" s="227"/>
      <c r="P123" s="227"/>
      <c r="Q123" s="227"/>
      <c r="R123" s="227"/>
    </row>
    <row r="124" spans="1:25" x14ac:dyDescent="0.2">
      <c r="A124" s="503" t="s">
        <v>791</v>
      </c>
      <c r="B124" s="470">
        <f t="shared" si="76"/>
        <v>0.4461376623376625</v>
      </c>
      <c r="C124" s="470">
        <f t="shared" si="77"/>
        <v>0.38470588235294123</v>
      </c>
      <c r="D124" s="470">
        <f t="shared" si="78"/>
        <v>0.30686695278969967</v>
      </c>
      <c r="E124" s="470">
        <f t="shared" si="79"/>
        <v>0.3390150879665359</v>
      </c>
      <c r="F124" s="227"/>
      <c r="G124" s="227"/>
      <c r="H124" s="227"/>
      <c r="I124" s="227"/>
      <c r="J124" s="227"/>
      <c r="K124" s="227"/>
      <c r="L124" s="227"/>
      <c r="M124" s="227"/>
      <c r="N124" s="227"/>
      <c r="O124" s="227"/>
      <c r="P124" s="227"/>
      <c r="Q124" s="227"/>
      <c r="R124" s="227"/>
    </row>
    <row r="125" spans="1:25" x14ac:dyDescent="0.2">
      <c r="A125" s="503"/>
      <c r="B125" s="470"/>
      <c r="C125" s="470"/>
      <c r="D125" s="470"/>
      <c r="E125" s="470"/>
      <c r="F125" s="227"/>
      <c r="G125" s="227"/>
      <c r="H125" s="227"/>
      <c r="I125" s="227"/>
      <c r="J125" s="227"/>
      <c r="K125" s="227"/>
      <c r="L125" s="227"/>
      <c r="M125" s="227"/>
      <c r="N125" s="227"/>
      <c r="O125" s="227"/>
      <c r="P125" s="227"/>
      <c r="Q125" s="227"/>
      <c r="R125" s="227"/>
    </row>
    <row r="126" spans="1:25" x14ac:dyDescent="0.2">
      <c r="A126" s="503" t="s">
        <v>792</v>
      </c>
      <c r="B126" s="470">
        <f t="shared" ref="B126:E128" si="80">AVERAGE(Q114,V114)</f>
        <v>0.34030057860081642</v>
      </c>
      <c r="C126" s="470">
        <f t="shared" si="80"/>
        <v>0.3082400001958826</v>
      </c>
      <c r="D126" s="470">
        <f t="shared" si="80"/>
        <v>0.27286295087044965</v>
      </c>
      <c r="E126" s="470">
        <f t="shared" si="80"/>
        <v>0.27053216093938359</v>
      </c>
      <c r="F126" s="227"/>
      <c r="G126" s="227"/>
      <c r="H126" s="227"/>
      <c r="I126" s="227"/>
      <c r="J126" s="227"/>
      <c r="K126" s="227"/>
      <c r="L126" s="227"/>
      <c r="M126" s="227"/>
      <c r="N126" s="227"/>
      <c r="O126" s="227"/>
      <c r="P126" s="227"/>
      <c r="Q126" s="227"/>
      <c r="R126" s="227"/>
    </row>
    <row r="127" spans="1:25" x14ac:dyDescent="0.2">
      <c r="A127" s="503" t="s">
        <v>793</v>
      </c>
      <c r="B127" s="470">
        <f t="shared" si="80"/>
        <v>0.34832054321233363</v>
      </c>
      <c r="C127" s="470">
        <f t="shared" si="80"/>
        <v>0.31959815431950245</v>
      </c>
      <c r="D127" s="470">
        <f t="shared" si="80"/>
        <v>0.2643617455958629</v>
      </c>
      <c r="E127" s="470">
        <f t="shared" si="80"/>
        <v>0.27242520183180352</v>
      </c>
      <c r="F127" s="227"/>
      <c r="G127" s="227"/>
      <c r="H127" s="227"/>
      <c r="I127" s="227"/>
      <c r="J127" s="227"/>
      <c r="K127" s="227"/>
      <c r="L127" s="227"/>
      <c r="M127" s="227"/>
      <c r="N127" s="227"/>
      <c r="O127" s="227"/>
      <c r="P127" s="227"/>
      <c r="Q127" s="227"/>
      <c r="R127" s="227"/>
    </row>
    <row r="128" spans="1:25" x14ac:dyDescent="0.2">
      <c r="A128" s="503" t="s">
        <v>794</v>
      </c>
      <c r="B128" s="470">
        <f t="shared" si="80"/>
        <v>0.32521013725418535</v>
      </c>
      <c r="C128" s="470">
        <f t="shared" si="80"/>
        <v>0.29770553251037035</v>
      </c>
      <c r="D128" s="470">
        <f t="shared" si="80"/>
        <v>0.28110178509764128</v>
      </c>
      <c r="E128" s="470">
        <f t="shared" si="80"/>
        <v>0.27280918721140635</v>
      </c>
      <c r="F128" s="227"/>
      <c r="G128" s="227"/>
      <c r="H128" s="227"/>
      <c r="I128" s="227"/>
      <c r="J128" s="227"/>
      <c r="K128" s="227"/>
      <c r="L128" s="227"/>
      <c r="M128" s="227"/>
      <c r="N128" s="227"/>
      <c r="O128" s="227"/>
      <c r="P128" s="227"/>
      <c r="Q128" s="227"/>
      <c r="R128" s="227"/>
    </row>
    <row r="129" spans="1:18" x14ac:dyDescent="0.2">
      <c r="A129" s="519" t="s">
        <v>795</v>
      </c>
      <c r="B129" s="520">
        <f>AVERAGE(Q116,V116)+B130</f>
        <v>0.22521013725418534</v>
      </c>
      <c r="C129" s="520">
        <f>AVERAGE(R116,W116)+C130</f>
        <v>0.21770553251037034</v>
      </c>
      <c r="D129" s="520">
        <f>AVERAGE(S116,X116)+D130</f>
        <v>0.26110178509764126</v>
      </c>
      <c r="E129" s="520">
        <f>AVERAGE(T116,Y116)+E130</f>
        <v>0.21280918721140635</v>
      </c>
      <c r="F129" s="227"/>
      <c r="G129" s="227"/>
      <c r="H129" s="227"/>
      <c r="I129" s="227"/>
      <c r="J129" s="227"/>
      <c r="K129" s="227"/>
      <c r="L129" s="227"/>
      <c r="M129" s="227"/>
      <c r="N129" s="227"/>
      <c r="O129" s="227"/>
      <c r="P129" s="227"/>
      <c r="Q129" s="227"/>
      <c r="R129" s="227"/>
    </row>
    <row r="130" spans="1:18" x14ac:dyDescent="0.2">
      <c r="A130" s="519" t="s">
        <v>796</v>
      </c>
      <c r="B130" s="520">
        <v>-0.1</v>
      </c>
      <c r="C130" s="520">
        <v>-0.08</v>
      </c>
      <c r="D130" s="520">
        <v>-0.02</v>
      </c>
      <c r="E130" s="520">
        <v>-0.06</v>
      </c>
      <c r="F130" s="227"/>
      <c r="G130" s="227"/>
      <c r="H130" s="227"/>
      <c r="I130" s="227"/>
      <c r="J130" s="227"/>
      <c r="K130" s="227"/>
      <c r="L130" s="227"/>
      <c r="M130" s="227"/>
      <c r="N130" s="227"/>
      <c r="O130" s="227"/>
      <c r="P130" s="227"/>
      <c r="Q130" s="227"/>
      <c r="R130" s="227"/>
    </row>
    <row r="131" spans="1:18" x14ac:dyDescent="0.2">
      <c r="A131" s="420"/>
      <c r="B131" s="470"/>
      <c r="C131" s="470"/>
      <c r="D131" s="470"/>
      <c r="E131" s="470"/>
      <c r="F131" s="227"/>
      <c r="G131" s="227"/>
      <c r="H131" s="227"/>
      <c r="I131" s="227"/>
      <c r="J131" s="227"/>
      <c r="K131" s="227"/>
      <c r="L131" s="227"/>
      <c r="M131" s="227"/>
      <c r="N131" s="227"/>
      <c r="O131" s="227"/>
      <c r="P131" s="227"/>
      <c r="Q131" s="227"/>
      <c r="R131" s="227"/>
    </row>
    <row r="132" spans="1:18" x14ac:dyDescent="0.2">
      <c r="A132" s="420"/>
      <c r="B132" s="470"/>
      <c r="C132" s="470"/>
      <c r="D132" s="470"/>
      <c r="E132" s="470"/>
      <c r="F132" s="227"/>
      <c r="G132" s="227"/>
      <c r="H132" s="227"/>
      <c r="I132" s="227"/>
      <c r="J132" s="227"/>
      <c r="K132" s="227"/>
      <c r="L132" s="227"/>
      <c r="M132" s="227"/>
      <c r="N132" s="227"/>
      <c r="O132" s="227"/>
      <c r="P132" s="227"/>
      <c r="Q132" s="227"/>
      <c r="R132" s="227"/>
    </row>
    <row r="133" spans="1:18" x14ac:dyDescent="0.2">
      <c r="A133" s="420"/>
      <c r="B133" s="470"/>
      <c r="C133" s="470"/>
      <c r="D133" s="470"/>
      <c r="E133" s="470"/>
      <c r="F133" s="227"/>
      <c r="G133" s="227"/>
      <c r="H133" s="227"/>
      <c r="I133" s="227"/>
      <c r="J133" s="227"/>
      <c r="K133" s="227"/>
      <c r="L133" s="227"/>
      <c r="M133" s="227"/>
      <c r="N133" s="227"/>
      <c r="O133" s="227"/>
      <c r="P133" s="227"/>
      <c r="Q133" s="227"/>
      <c r="R133" s="227"/>
    </row>
    <row r="134" spans="1:18" x14ac:dyDescent="0.2">
      <c r="A134" s="420"/>
      <c r="B134" s="470"/>
      <c r="C134" s="470"/>
      <c r="D134" s="470"/>
      <c r="E134" s="470"/>
      <c r="F134" s="227"/>
      <c r="G134" s="227"/>
      <c r="H134" s="227"/>
      <c r="I134" s="227"/>
      <c r="J134" s="227"/>
      <c r="K134" s="227"/>
      <c r="L134" s="227"/>
      <c r="M134" s="227"/>
      <c r="N134" s="227"/>
      <c r="O134" s="227"/>
      <c r="P134" s="227"/>
      <c r="Q134" s="227"/>
      <c r="R134" s="227"/>
    </row>
    <row r="135" spans="1:18" x14ac:dyDescent="0.2">
      <c r="A135" s="420"/>
      <c r="B135" s="470"/>
      <c r="C135" s="470"/>
      <c r="D135" s="470"/>
      <c r="E135" s="470"/>
      <c r="F135" s="227"/>
      <c r="G135" s="227"/>
      <c r="H135" s="227"/>
      <c r="I135" s="227"/>
      <c r="J135" s="227"/>
      <c r="K135" s="227"/>
      <c r="L135" s="227"/>
      <c r="M135" s="227"/>
      <c r="N135" s="227"/>
      <c r="O135" s="227"/>
      <c r="P135" s="227"/>
      <c r="Q135" s="227"/>
      <c r="R135" s="227"/>
    </row>
    <row r="136" spans="1:18" x14ac:dyDescent="0.2">
      <c r="A136" s="420"/>
      <c r="B136" s="470"/>
      <c r="C136" s="470"/>
      <c r="D136" s="470"/>
      <c r="E136" s="470"/>
      <c r="F136" s="227"/>
      <c r="G136" s="227"/>
      <c r="H136" s="227"/>
      <c r="I136" s="227"/>
      <c r="J136" s="227"/>
      <c r="K136" s="227"/>
      <c r="L136" s="227"/>
      <c r="M136" s="227"/>
      <c r="N136" s="227"/>
      <c r="O136" s="227"/>
      <c r="P136" s="227"/>
      <c r="Q136" s="227"/>
      <c r="R136" s="227"/>
    </row>
    <row r="137" spans="1:18" x14ac:dyDescent="0.2">
      <c r="A137" s="420"/>
      <c r="B137" s="470"/>
      <c r="C137" s="470"/>
      <c r="D137" s="470"/>
      <c r="E137" s="470"/>
      <c r="F137" s="227"/>
      <c r="G137" s="227"/>
      <c r="H137" s="227"/>
      <c r="I137" s="227"/>
      <c r="J137" s="227"/>
      <c r="K137" s="227"/>
      <c r="L137" s="227"/>
      <c r="M137" s="227"/>
      <c r="N137" s="227"/>
      <c r="O137" s="227"/>
      <c r="P137" s="227"/>
      <c r="Q137" s="227"/>
      <c r="R137" s="227"/>
    </row>
    <row r="138" spans="1:18" x14ac:dyDescent="0.2">
      <c r="A138" s="420"/>
      <c r="B138" s="470"/>
      <c r="C138" s="470"/>
      <c r="D138" s="470"/>
      <c r="E138" s="470"/>
      <c r="F138" s="227"/>
      <c r="G138" s="227"/>
      <c r="H138" s="227"/>
      <c r="I138" s="227"/>
      <c r="J138" s="227"/>
      <c r="K138" s="227"/>
      <c r="L138" s="227"/>
      <c r="M138" s="227"/>
      <c r="N138" s="227"/>
      <c r="O138" s="227"/>
      <c r="P138" s="227"/>
      <c r="Q138" s="227"/>
      <c r="R138" s="227"/>
    </row>
    <row r="139" spans="1:18" x14ac:dyDescent="0.2">
      <c r="A139" s="420"/>
      <c r="B139" s="470"/>
      <c r="C139" s="470"/>
      <c r="D139" s="470"/>
      <c r="E139" s="470"/>
      <c r="F139" s="227"/>
      <c r="G139" s="227"/>
      <c r="H139" s="227"/>
      <c r="I139" s="227"/>
      <c r="J139" s="227"/>
      <c r="K139" s="227"/>
      <c r="L139" s="227"/>
      <c r="M139" s="227"/>
      <c r="N139" s="227"/>
      <c r="O139" s="227"/>
      <c r="P139" s="227"/>
      <c r="Q139" s="227"/>
      <c r="R139" s="227"/>
    </row>
    <row r="140" spans="1:18" x14ac:dyDescent="0.2">
      <c r="A140" s="420"/>
      <c r="B140" s="470"/>
      <c r="C140" s="470"/>
      <c r="D140" s="470"/>
      <c r="E140" s="470"/>
      <c r="F140" s="227"/>
      <c r="G140" s="227"/>
      <c r="H140" s="227"/>
      <c r="I140" s="227"/>
      <c r="J140" s="227"/>
      <c r="K140" s="227"/>
      <c r="L140" s="227"/>
      <c r="M140" s="227"/>
      <c r="N140" s="227"/>
      <c r="O140" s="227"/>
      <c r="P140" s="227"/>
      <c r="Q140" s="227"/>
      <c r="R140" s="227"/>
    </row>
    <row r="141" spans="1:18" x14ac:dyDescent="0.2">
      <c r="A141" s="420"/>
      <c r="B141" s="470"/>
      <c r="C141" s="470"/>
      <c r="D141" s="470"/>
      <c r="E141" s="470"/>
      <c r="F141" s="227"/>
      <c r="G141" s="227"/>
      <c r="H141" s="227"/>
      <c r="I141" s="227"/>
      <c r="J141" s="227"/>
      <c r="K141" s="227"/>
      <c r="L141" s="227"/>
      <c r="M141" s="227"/>
      <c r="N141" s="227"/>
      <c r="O141" s="227"/>
      <c r="P141" s="227"/>
      <c r="Q141" s="227"/>
      <c r="R141" s="227"/>
    </row>
    <row r="142" spans="1:18" ht="12.75" thickBot="1" x14ac:dyDescent="0.25">
      <c r="A142" s="420"/>
      <c r="B142" s="227"/>
      <c r="C142" s="227"/>
      <c r="D142" s="227"/>
      <c r="E142" s="227"/>
      <c r="F142" s="227"/>
      <c r="G142" s="227"/>
      <c r="H142" s="227"/>
      <c r="I142" s="227"/>
      <c r="J142" s="227"/>
      <c r="K142" s="227"/>
      <c r="L142" s="227"/>
      <c r="M142" s="227"/>
      <c r="N142" s="227"/>
      <c r="O142" s="227"/>
      <c r="P142" s="227"/>
      <c r="Q142" s="227"/>
      <c r="R142" s="227"/>
    </row>
    <row r="143" spans="1:18" ht="12.75" thickBot="1" x14ac:dyDescent="0.25">
      <c r="A143" s="496"/>
      <c r="B143" s="1463" t="s">
        <v>771</v>
      </c>
      <c r="C143" s="1463"/>
      <c r="D143" s="1463"/>
      <c r="E143" s="1464"/>
      <c r="F143" s="428"/>
      <c r="G143" s="227"/>
      <c r="H143" s="227"/>
      <c r="I143" s="227"/>
      <c r="J143" s="227"/>
      <c r="K143" s="227"/>
      <c r="L143" s="227"/>
      <c r="M143" s="227"/>
      <c r="N143" s="227"/>
      <c r="O143" s="227"/>
      <c r="P143" s="227"/>
      <c r="Q143" s="227"/>
      <c r="R143" s="227"/>
    </row>
    <row r="144" spans="1:18" ht="12.75" thickBot="1" x14ac:dyDescent="0.25">
      <c r="A144" s="492"/>
      <c r="B144" s="478" t="s">
        <v>713</v>
      </c>
      <c r="C144" s="478" t="s">
        <v>713</v>
      </c>
      <c r="D144" s="478" t="s">
        <v>713</v>
      </c>
      <c r="E144" s="493" t="s">
        <v>713</v>
      </c>
      <c r="F144" s="428"/>
      <c r="G144" s="227"/>
      <c r="H144" s="227"/>
      <c r="I144" s="227"/>
      <c r="J144" s="227"/>
      <c r="K144" s="227"/>
      <c r="L144" s="227"/>
      <c r="M144" s="227"/>
      <c r="N144" s="227"/>
      <c r="O144" s="227"/>
      <c r="P144" s="227"/>
      <c r="Q144" s="227"/>
      <c r="R144" s="227"/>
    </row>
    <row r="145" spans="1:25" x14ac:dyDescent="0.2">
      <c r="A145" s="337" t="s">
        <v>772</v>
      </c>
      <c r="B145" s="222" t="s">
        <v>659</v>
      </c>
      <c r="E145" s="494"/>
      <c r="F145" s="428"/>
      <c r="G145" s="227"/>
      <c r="H145" s="227"/>
      <c r="I145" s="227"/>
      <c r="J145" s="227"/>
      <c r="K145" s="227"/>
      <c r="L145" s="227"/>
      <c r="M145" s="227"/>
      <c r="N145" s="227"/>
      <c r="O145" s="227"/>
      <c r="P145" s="227"/>
      <c r="Q145" s="227"/>
      <c r="R145" s="227"/>
    </row>
    <row r="146" spans="1:25" x14ac:dyDescent="0.2">
      <c r="A146" s="292" t="s">
        <v>773</v>
      </c>
      <c r="B146" s="222" t="s">
        <v>659</v>
      </c>
      <c r="E146" s="494"/>
      <c r="F146" s="428"/>
      <c r="G146" s="227"/>
      <c r="H146" s="227"/>
      <c r="I146" s="227"/>
      <c r="J146" s="227"/>
      <c r="K146" s="227"/>
      <c r="L146" s="227"/>
      <c r="M146" s="227"/>
      <c r="N146" s="227"/>
      <c r="O146" s="227"/>
      <c r="P146" s="227"/>
      <c r="Q146" s="227"/>
      <c r="R146" s="227"/>
    </row>
    <row r="147" spans="1:25" ht="12.75" thickBot="1" x14ac:dyDescent="0.25">
      <c r="A147" s="495" t="s">
        <v>560</v>
      </c>
      <c r="B147" s="255" t="s">
        <v>659</v>
      </c>
      <c r="C147" s="255"/>
      <c r="D147" s="255"/>
      <c r="E147" s="447"/>
      <c r="F147" s="428"/>
      <c r="G147" s="227"/>
      <c r="H147" s="227"/>
      <c r="I147" s="227"/>
      <c r="J147" s="227"/>
      <c r="K147" s="227"/>
      <c r="L147" s="227"/>
      <c r="M147" s="227"/>
      <c r="N147" s="227"/>
      <c r="O147" s="227"/>
      <c r="P147" s="227"/>
      <c r="Q147" s="227"/>
      <c r="R147" s="227"/>
    </row>
    <row r="148" spans="1:25" ht="12.75" thickBot="1" x14ac:dyDescent="0.25">
      <c r="A148" s="334"/>
      <c r="F148" s="428"/>
    </row>
    <row r="149" spans="1:25" ht="12.75" thickBot="1" x14ac:dyDescent="0.25">
      <c r="A149" s="496"/>
      <c r="B149" s="1463" t="s">
        <v>774</v>
      </c>
      <c r="C149" s="1463"/>
      <c r="D149" s="1463"/>
      <c r="E149" s="1464"/>
      <c r="F149" s="428"/>
      <c r="J149" s="223"/>
    </row>
    <row r="150" spans="1:25" ht="12.75" thickBot="1" x14ac:dyDescent="0.25">
      <c r="A150" s="492"/>
      <c r="B150" s="222" t="s">
        <v>670</v>
      </c>
      <c r="C150" s="222" t="s">
        <v>671</v>
      </c>
      <c r="D150" s="222" t="s">
        <v>672</v>
      </c>
      <c r="E150" s="494" t="s">
        <v>673</v>
      </c>
      <c r="F150" s="428"/>
    </row>
    <row r="151" spans="1:25" x14ac:dyDescent="0.2">
      <c r="A151" s="337" t="s">
        <v>772</v>
      </c>
      <c r="E151" s="494"/>
      <c r="F151" s="428"/>
    </row>
    <row r="152" spans="1:25" x14ac:dyDescent="0.2">
      <c r="A152" s="292" t="s">
        <v>773</v>
      </c>
      <c r="E152" s="494"/>
      <c r="F152" s="428"/>
    </row>
    <row r="153" spans="1:25" ht="12.75" thickBot="1" x14ac:dyDescent="0.25">
      <c r="A153" s="495" t="s">
        <v>560</v>
      </c>
      <c r="B153" s="255"/>
      <c r="C153" s="255"/>
      <c r="D153" s="255"/>
      <c r="E153" s="447"/>
      <c r="F153" s="428"/>
    </row>
    <row r="154" spans="1:25" x14ac:dyDescent="0.2">
      <c r="A154" s="219"/>
      <c r="B154" s="219"/>
      <c r="C154" s="219"/>
      <c r="D154" s="219"/>
      <c r="E154" s="219"/>
      <c r="F154" s="219"/>
      <c r="G154" s="219"/>
      <c r="H154" s="219"/>
      <c r="I154" s="219"/>
      <c r="J154" s="219"/>
      <c r="K154" s="219"/>
    </row>
    <row r="155" spans="1:25" x14ac:dyDescent="0.2">
      <c r="A155" s="219" t="s">
        <v>775</v>
      </c>
      <c r="B155" s="219"/>
      <c r="C155" s="219"/>
      <c r="D155" s="219"/>
      <c r="E155" s="219"/>
      <c r="F155" s="219"/>
      <c r="G155" s="219"/>
      <c r="H155" s="219"/>
      <c r="I155" s="219"/>
      <c r="J155" s="219"/>
      <c r="K155" s="219"/>
    </row>
    <row r="156" spans="1:25" ht="12.75" thickBot="1" x14ac:dyDescent="0.25">
      <c r="A156" s="478"/>
      <c r="J156" s="478" t="str">
        <f>J95</f>
        <v>4Q21</v>
      </c>
      <c r="K156" s="478"/>
      <c r="L156" s="478" t="str">
        <f>L95</f>
        <v>1Q22</v>
      </c>
      <c r="M156" s="478" t="str">
        <f>M95</f>
        <v>2Q22</v>
      </c>
      <c r="N156" s="478" t="str">
        <f>N95</f>
        <v>3Q22</v>
      </c>
      <c r="O156" s="478" t="str">
        <f>O95</f>
        <v>4Q22</v>
      </c>
      <c r="P156" s="478"/>
      <c r="Q156" s="478" t="str">
        <f>Q95</f>
        <v>1Q23</v>
      </c>
      <c r="R156" s="478" t="str">
        <f>R95</f>
        <v>2Q23</v>
      </c>
      <c r="S156" s="478" t="str">
        <f>S95</f>
        <v>3Q23</v>
      </c>
      <c r="T156" s="478" t="str">
        <f>T95</f>
        <v>4Q23</v>
      </c>
      <c r="U156" s="478"/>
      <c r="V156" s="478" t="str">
        <f>V95</f>
        <v>1Q24</v>
      </c>
      <c r="W156" s="478" t="str">
        <f>W95</f>
        <v>2Q24</v>
      </c>
      <c r="X156" s="478" t="str">
        <f>X95</f>
        <v>3Q24</v>
      </c>
      <c r="Y156" s="478" t="str">
        <f>Y95</f>
        <v>4Q24</v>
      </c>
    </row>
    <row r="157" spans="1:25" x14ac:dyDescent="0.2">
      <c r="A157" s="337" t="s">
        <v>772</v>
      </c>
      <c r="B157" s="257"/>
      <c r="C157" s="257"/>
      <c r="D157" s="257"/>
      <c r="E157" s="257"/>
      <c r="F157" s="257"/>
      <c r="G157" s="257"/>
      <c r="H157" s="257"/>
      <c r="I157" s="257"/>
      <c r="J157" s="274">
        <v>42400</v>
      </c>
      <c r="K157" s="274"/>
      <c r="L157" s="274">
        <v>49200</v>
      </c>
      <c r="M157" s="274">
        <v>49500</v>
      </c>
      <c r="N157" s="274">
        <v>56500</v>
      </c>
      <c r="O157" s="274">
        <v>60700</v>
      </c>
      <c r="P157" s="274"/>
      <c r="Q157" s="274">
        <v>63600</v>
      </c>
      <c r="R157" s="274">
        <v>62400</v>
      </c>
      <c r="S157" s="274">
        <v>67200</v>
      </c>
      <c r="T157" s="274">
        <v>71900</v>
      </c>
      <c r="U157" s="274"/>
      <c r="V157" s="338" t="s">
        <v>659</v>
      </c>
    </row>
    <row r="158" spans="1:25" x14ac:dyDescent="0.2">
      <c r="A158" s="292" t="s">
        <v>773</v>
      </c>
      <c r="J158" s="279">
        <v>10100</v>
      </c>
      <c r="K158" s="279"/>
      <c r="L158" s="279">
        <v>12500</v>
      </c>
      <c r="M158" s="279">
        <v>13200</v>
      </c>
      <c r="N158" s="279">
        <v>14900</v>
      </c>
      <c r="O158" s="279">
        <v>16300</v>
      </c>
      <c r="P158" s="279"/>
      <c r="Q158" s="279">
        <v>16850</v>
      </c>
      <c r="R158" s="279">
        <v>18200</v>
      </c>
      <c r="S158" s="279">
        <v>19100</v>
      </c>
      <c r="T158" s="279">
        <v>20100</v>
      </c>
      <c r="U158" s="279"/>
      <c r="V158" s="339" t="s">
        <v>659</v>
      </c>
    </row>
    <row r="159" spans="1:25" x14ac:dyDescent="0.2">
      <c r="A159" s="292" t="s">
        <v>560</v>
      </c>
      <c r="J159" s="340">
        <v>2512.4499999999998</v>
      </c>
      <c r="L159" s="340">
        <v>2912.55</v>
      </c>
      <c r="M159" s="340">
        <v>3300.6</v>
      </c>
      <c r="N159" s="340">
        <v>3677.65</v>
      </c>
      <c r="O159" s="340">
        <v>4208.3</v>
      </c>
      <c r="Q159" s="340">
        <v>4392.6499999999996</v>
      </c>
      <c r="R159" s="340">
        <v>4572.1000000000004</v>
      </c>
      <c r="S159" s="340">
        <v>4934.6000000000004</v>
      </c>
      <c r="T159" s="340">
        <v>5565.9</v>
      </c>
      <c r="V159" s="341" t="s">
        <v>659</v>
      </c>
    </row>
    <row r="160" spans="1:25" s="335" customFormat="1" x14ac:dyDescent="0.2">
      <c r="A160" s="342" t="s">
        <v>776</v>
      </c>
      <c r="B160" s="343"/>
      <c r="C160" s="343"/>
      <c r="D160" s="343"/>
      <c r="E160" s="343"/>
      <c r="F160" s="343"/>
      <c r="G160" s="343"/>
      <c r="H160" s="343"/>
      <c r="I160" s="343"/>
      <c r="J160" s="344">
        <v>90.8</v>
      </c>
      <c r="K160" s="343"/>
      <c r="L160" s="344">
        <v>102.054</v>
      </c>
      <c r="M160" s="344">
        <v>97.466999999999999</v>
      </c>
      <c r="N160" s="344">
        <v>102.738</v>
      </c>
      <c r="O160" s="344">
        <v>126.38800000000001</v>
      </c>
      <c r="P160" s="343"/>
      <c r="Q160" s="344">
        <v>128</v>
      </c>
      <c r="R160" s="344">
        <v>124.5</v>
      </c>
      <c r="S160" s="344">
        <v>128.35</v>
      </c>
      <c r="T160" s="344">
        <v>154.80000000000001</v>
      </c>
      <c r="V160" s="345" t="s">
        <v>659</v>
      </c>
    </row>
    <row r="161" spans="1:22" s="336" customFormat="1" x14ac:dyDescent="0.2">
      <c r="A161" s="346" t="s">
        <v>777</v>
      </c>
      <c r="B161" s="347"/>
      <c r="C161" s="347"/>
      <c r="D161" s="347"/>
      <c r="E161" s="347"/>
      <c r="F161" s="347"/>
      <c r="G161" s="347"/>
      <c r="H161" s="347"/>
      <c r="I161" s="347"/>
      <c r="J161" s="348">
        <v>79</v>
      </c>
      <c r="K161" s="347"/>
      <c r="L161" s="348">
        <v>92</v>
      </c>
      <c r="M161" s="348">
        <v>86</v>
      </c>
      <c r="N161" s="348">
        <v>94</v>
      </c>
      <c r="O161" s="348">
        <v>112</v>
      </c>
      <c r="P161" s="347"/>
      <c r="Q161" s="348">
        <v>127.5</v>
      </c>
      <c r="R161" s="349" t="s">
        <v>659</v>
      </c>
      <c r="S161" s="349" t="s">
        <v>659</v>
      </c>
      <c r="T161" s="349" t="s">
        <v>659</v>
      </c>
      <c r="V161" s="350" t="s">
        <v>659</v>
      </c>
    </row>
    <row r="162" spans="1:22" s="336" customFormat="1" x14ac:dyDescent="0.2">
      <c r="A162" s="346" t="s">
        <v>778</v>
      </c>
      <c r="B162" s="347"/>
      <c r="C162" s="347"/>
      <c r="D162" s="347"/>
      <c r="E162" s="347"/>
      <c r="F162" s="347"/>
      <c r="G162" s="347"/>
      <c r="H162" s="347"/>
      <c r="I162" s="347"/>
      <c r="J162" s="348">
        <v>82</v>
      </c>
      <c r="K162" s="347"/>
      <c r="L162" s="348">
        <v>95</v>
      </c>
      <c r="M162" s="348">
        <v>89</v>
      </c>
      <c r="N162" s="348">
        <v>97</v>
      </c>
      <c r="O162" s="348">
        <v>115</v>
      </c>
      <c r="P162" s="347"/>
      <c r="Q162" s="348">
        <v>130.5</v>
      </c>
      <c r="R162" s="349" t="s">
        <v>659</v>
      </c>
      <c r="S162" s="349" t="s">
        <v>659</v>
      </c>
      <c r="T162" s="349" t="s">
        <v>659</v>
      </c>
      <c r="V162" s="350" t="s">
        <v>659</v>
      </c>
    </row>
    <row r="163" spans="1:22" s="335" customFormat="1" ht="12.75" thickBot="1" x14ac:dyDescent="0.25">
      <c r="A163" s="351" t="s">
        <v>779</v>
      </c>
      <c r="B163" s="352"/>
      <c r="C163" s="352"/>
      <c r="D163" s="352"/>
      <c r="E163" s="352"/>
      <c r="F163" s="352"/>
      <c r="G163" s="352"/>
      <c r="H163" s="352"/>
      <c r="I163" s="352"/>
      <c r="J163" s="353" t="s">
        <v>659</v>
      </c>
      <c r="K163" s="352"/>
      <c r="L163" s="353" t="s">
        <v>659</v>
      </c>
      <c r="M163" s="353" t="s">
        <v>659</v>
      </c>
      <c r="N163" s="354">
        <v>6.92</v>
      </c>
      <c r="O163" s="354">
        <v>6.62</v>
      </c>
      <c r="P163" s="352"/>
      <c r="Q163" s="354">
        <v>6.84</v>
      </c>
      <c r="R163" s="354">
        <v>6.89</v>
      </c>
      <c r="S163" s="354">
        <v>6.54</v>
      </c>
      <c r="T163" s="354">
        <v>6.85</v>
      </c>
      <c r="U163" s="355"/>
      <c r="V163" s="356" t="s">
        <v>659</v>
      </c>
    </row>
    <row r="164" spans="1:22" s="335" customFormat="1" x14ac:dyDescent="0.2">
      <c r="A164" s="490"/>
      <c r="B164" s="343"/>
      <c r="C164" s="343"/>
      <c r="D164" s="343"/>
      <c r="E164" s="343"/>
      <c r="F164" s="343"/>
      <c r="G164" s="343"/>
      <c r="H164" s="343"/>
      <c r="I164" s="343"/>
      <c r="J164" s="490"/>
      <c r="K164" s="343"/>
      <c r="L164" s="490"/>
      <c r="M164" s="490"/>
      <c r="N164" s="491"/>
      <c r="O164" s="491"/>
      <c r="P164" s="343"/>
      <c r="Q164" s="491"/>
      <c r="R164" s="491"/>
      <c r="S164" s="491"/>
      <c r="T164" s="491"/>
      <c r="V164" s="490"/>
    </row>
    <row r="166" spans="1:22" x14ac:dyDescent="0.2">
      <c r="A166" s="219"/>
      <c r="B166" s="219"/>
      <c r="C166" s="219"/>
      <c r="D166" s="219"/>
      <c r="E166" s="219"/>
    </row>
    <row r="167" spans="1:22" x14ac:dyDescent="0.2">
      <c r="A167" s="219"/>
      <c r="B167" s="219"/>
      <c r="C167" s="219"/>
      <c r="D167" s="219"/>
      <c r="E167" s="219"/>
    </row>
    <row r="168" spans="1:22" x14ac:dyDescent="0.2">
      <c r="A168" s="219"/>
      <c r="B168" s="219"/>
      <c r="C168" s="219"/>
      <c r="D168" s="219"/>
      <c r="E168" s="219"/>
    </row>
    <row r="169" spans="1:22" x14ac:dyDescent="0.2">
      <c r="A169" s="219"/>
      <c r="B169" s="219"/>
      <c r="C169" s="219"/>
      <c r="D169" s="219"/>
      <c r="E169" s="219"/>
    </row>
    <row r="170" spans="1:22" x14ac:dyDescent="0.2">
      <c r="A170" s="219"/>
      <c r="B170" s="219"/>
      <c r="C170" s="219"/>
      <c r="D170" s="219"/>
      <c r="E170" s="219"/>
    </row>
    <row r="171" spans="1:22" x14ac:dyDescent="0.2">
      <c r="A171" s="219"/>
      <c r="B171" s="219"/>
      <c r="C171" s="219"/>
      <c r="D171" s="219"/>
      <c r="E171" s="219"/>
    </row>
    <row r="172" spans="1:22" x14ac:dyDescent="0.2">
      <c r="A172" s="219"/>
      <c r="B172" s="219"/>
      <c r="C172" s="219"/>
      <c r="D172" s="219"/>
      <c r="E172" s="219"/>
    </row>
    <row r="173" spans="1:22" x14ac:dyDescent="0.2">
      <c r="A173" s="219"/>
      <c r="B173" s="219"/>
      <c r="C173" s="219"/>
      <c r="D173" s="219"/>
      <c r="E173" s="219"/>
    </row>
    <row r="174" spans="1:22" x14ac:dyDescent="0.2">
      <c r="A174" s="219"/>
      <c r="B174" s="219"/>
      <c r="C174" s="219"/>
      <c r="D174" s="219"/>
      <c r="E174" s="219"/>
    </row>
    <row r="175" spans="1:22" x14ac:dyDescent="0.2">
      <c r="A175" s="219"/>
      <c r="B175" s="219"/>
      <c r="C175" s="219"/>
      <c r="D175" s="219"/>
      <c r="E175" s="219"/>
    </row>
    <row r="176" spans="1:22" x14ac:dyDescent="0.2">
      <c r="A176" s="219"/>
      <c r="B176" s="219"/>
      <c r="C176" s="219"/>
      <c r="D176" s="219"/>
      <c r="E176" s="219"/>
    </row>
    <row r="186" spans="1:19" x14ac:dyDescent="0.2">
      <c r="A186" s="429" t="s">
        <v>797</v>
      </c>
      <c r="B186" s="219"/>
      <c r="C186" s="219"/>
      <c r="D186" s="219"/>
      <c r="E186" s="219"/>
      <c r="F186" s="219"/>
      <c r="G186" s="219"/>
      <c r="H186" s="219"/>
      <c r="I186" s="219"/>
      <c r="J186" s="219"/>
      <c r="K186" s="219"/>
      <c r="L186" s="219"/>
      <c r="M186" s="219"/>
      <c r="N186" s="219"/>
      <c r="O186" s="219"/>
      <c r="P186" s="219"/>
      <c r="Q186" s="219"/>
      <c r="R186" s="219"/>
    </row>
    <row r="187" spans="1:19" x14ac:dyDescent="0.2">
      <c r="A187" s="219"/>
      <c r="B187" s="219"/>
      <c r="C187" s="219"/>
      <c r="D187" s="219"/>
      <c r="E187" s="219"/>
      <c r="F187" s="219"/>
      <c r="G187" s="219"/>
      <c r="H187" s="219"/>
      <c r="I187" s="219"/>
      <c r="J187" s="219"/>
      <c r="K187" s="219"/>
      <c r="L187" s="219"/>
      <c r="M187" s="219"/>
      <c r="N187" s="219"/>
      <c r="O187" s="219"/>
      <c r="P187" s="219"/>
      <c r="Q187" s="219"/>
      <c r="R187" s="219"/>
    </row>
    <row r="188" spans="1:19" x14ac:dyDescent="0.2">
      <c r="A188" s="261" t="s">
        <v>798</v>
      </c>
      <c r="B188" s="261"/>
      <c r="C188" s="261"/>
      <c r="D188" s="261"/>
      <c r="E188" s="261"/>
      <c r="F188" s="261"/>
      <c r="G188" s="261"/>
      <c r="H188" s="261"/>
      <c r="I188" s="261"/>
      <c r="J188" s="261"/>
      <c r="K188" s="261"/>
      <c r="L188" s="261"/>
      <c r="M188" s="261"/>
      <c r="N188" s="261"/>
      <c r="O188" s="261"/>
      <c r="P188" s="261"/>
      <c r="Q188" s="261"/>
      <c r="R188" s="261"/>
      <c r="S188" s="261"/>
    </row>
    <row r="189" spans="1:19" x14ac:dyDescent="0.2">
      <c r="A189" s="261" t="s">
        <v>799</v>
      </c>
      <c r="B189" s="261"/>
      <c r="C189" s="261"/>
      <c r="D189" s="261"/>
      <c r="E189" s="261"/>
      <c r="F189" s="261"/>
      <c r="G189" s="261"/>
      <c r="H189" s="261"/>
      <c r="I189" s="261"/>
      <c r="J189" s="261"/>
      <c r="K189" s="261"/>
      <c r="L189" s="261"/>
      <c r="M189" s="261"/>
      <c r="N189" s="261"/>
      <c r="O189" s="261"/>
      <c r="P189" s="261"/>
      <c r="Q189" s="261"/>
      <c r="R189" s="261"/>
      <c r="S189" s="261"/>
    </row>
    <row r="190" spans="1:19" x14ac:dyDescent="0.2">
      <c r="A190" s="261"/>
      <c r="B190" s="261"/>
      <c r="C190" s="261"/>
      <c r="D190" s="261"/>
      <c r="E190" s="261"/>
      <c r="F190" s="261"/>
      <c r="G190" s="261"/>
      <c r="H190" s="261"/>
      <c r="I190" s="261"/>
      <c r="J190" s="261"/>
      <c r="K190" s="261"/>
      <c r="L190" s="261"/>
      <c r="M190" s="261"/>
      <c r="N190" s="261"/>
      <c r="O190" s="261"/>
      <c r="P190" s="261"/>
      <c r="Q190" s="261"/>
      <c r="R190" s="261"/>
      <c r="S190" s="261"/>
    </row>
    <row r="191" spans="1:19" x14ac:dyDescent="0.2">
      <c r="A191" s="219" t="s">
        <v>800</v>
      </c>
      <c r="B191" s="219"/>
      <c r="C191" s="219"/>
      <c r="D191" s="219"/>
      <c r="E191" s="219"/>
      <c r="F191" s="219"/>
      <c r="G191" s="219"/>
      <c r="H191" s="219"/>
      <c r="I191" s="219"/>
      <c r="J191" s="219"/>
      <c r="K191" s="219"/>
      <c r="L191" s="219"/>
      <c r="M191" s="219"/>
      <c r="N191" s="219"/>
      <c r="O191" s="219"/>
      <c r="P191" s="219"/>
      <c r="Q191" s="219"/>
      <c r="R191" s="219"/>
    </row>
    <row r="192" spans="1:19" x14ac:dyDescent="0.2">
      <c r="A192" s="429" t="s">
        <v>801</v>
      </c>
      <c r="B192" s="219"/>
      <c r="C192" s="219"/>
      <c r="D192" s="219"/>
      <c r="E192" s="219"/>
      <c r="F192" s="219"/>
      <c r="G192" s="219"/>
      <c r="H192" s="219"/>
      <c r="I192" s="219"/>
      <c r="J192" s="219"/>
      <c r="K192" s="219"/>
      <c r="L192" s="219"/>
      <c r="M192" s="219"/>
      <c r="N192" s="219"/>
      <c r="O192" s="219"/>
      <c r="P192" s="219"/>
      <c r="Q192" s="219"/>
      <c r="R192" s="219"/>
    </row>
    <row r="193" spans="1:18" x14ac:dyDescent="0.2">
      <c r="A193" s="376" t="s">
        <v>802</v>
      </c>
      <c r="B193" s="219"/>
      <c r="C193" s="219"/>
      <c r="D193" s="219"/>
      <c r="E193" s="219"/>
      <c r="F193" s="219"/>
      <c r="G193" s="219"/>
      <c r="H193" s="219"/>
      <c r="I193" s="219"/>
      <c r="J193" s="219"/>
      <c r="K193" s="219"/>
      <c r="L193" s="219"/>
      <c r="M193" s="219"/>
      <c r="N193" s="219"/>
      <c r="O193" s="219"/>
      <c r="P193" s="219"/>
      <c r="Q193" s="219"/>
      <c r="R193" s="219"/>
    </row>
    <row r="194" spans="1:18" x14ac:dyDescent="0.2">
      <c r="A194" s="376" t="s">
        <v>803</v>
      </c>
      <c r="B194" s="219"/>
      <c r="C194" s="219"/>
      <c r="D194" s="219"/>
      <c r="E194" s="219"/>
      <c r="F194" s="219"/>
      <c r="G194" s="219"/>
      <c r="H194" s="219"/>
      <c r="I194" s="219"/>
      <c r="J194" s="219"/>
      <c r="K194" s="219"/>
      <c r="L194" s="219"/>
      <c r="M194" s="219"/>
      <c r="N194" s="219"/>
      <c r="O194" s="219"/>
      <c r="P194" s="219"/>
      <c r="Q194" s="219"/>
      <c r="R194" s="219"/>
    </row>
    <row r="195" spans="1:18" x14ac:dyDescent="0.2">
      <c r="A195" s="219" t="s">
        <v>804</v>
      </c>
      <c r="B195" s="219"/>
      <c r="C195" s="219"/>
      <c r="D195" s="219"/>
      <c r="E195" s="219"/>
      <c r="F195" s="219"/>
      <c r="G195" s="219"/>
      <c r="H195" s="219"/>
      <c r="I195" s="219"/>
      <c r="J195" s="219"/>
      <c r="K195" s="219"/>
      <c r="L195" s="219"/>
      <c r="M195" s="219"/>
      <c r="N195" s="219"/>
      <c r="O195" s="219"/>
      <c r="P195" s="219"/>
      <c r="Q195" s="219"/>
      <c r="R195" s="279"/>
    </row>
    <row r="197" spans="1:18" x14ac:dyDescent="0.2">
      <c r="A197" s="319"/>
      <c r="B197" s="314"/>
      <c r="C197" s="314"/>
      <c r="D197" s="479" t="s">
        <v>805</v>
      </c>
      <c r="E197" s="314"/>
      <c r="F197" s="314"/>
      <c r="G197" s="314"/>
      <c r="H197" s="314"/>
    </row>
    <row r="199" spans="1:18" ht="12.75" thickBot="1" x14ac:dyDescent="0.25">
      <c r="A199" s="1462" t="s">
        <v>806</v>
      </c>
      <c r="B199" s="1462"/>
      <c r="C199" s="1462"/>
      <c r="D199" s="1462"/>
      <c r="E199" s="1462"/>
      <c r="F199" s="1462"/>
      <c r="G199" s="1462"/>
      <c r="H199" s="1462"/>
    </row>
    <row r="200" spans="1:18" ht="12.75" thickBot="1" x14ac:dyDescent="0.25">
      <c r="A200" s="480">
        <v>2021</v>
      </c>
      <c r="B200" s="481">
        <v>2022</v>
      </c>
      <c r="C200" s="481"/>
      <c r="D200" s="481">
        <v>2021</v>
      </c>
      <c r="E200" s="481">
        <v>2022</v>
      </c>
      <c r="F200" s="481"/>
      <c r="G200" s="481">
        <v>2021</v>
      </c>
      <c r="H200" s="482">
        <v>2022</v>
      </c>
    </row>
    <row r="201" spans="1:18" x14ac:dyDescent="0.2">
      <c r="A201" s="483" t="s">
        <v>807</v>
      </c>
      <c r="B201" s="484" t="s">
        <v>807</v>
      </c>
      <c r="C201" s="485" t="s">
        <v>808</v>
      </c>
      <c r="D201" s="483" t="s">
        <v>809</v>
      </c>
      <c r="E201" s="484" t="s">
        <v>809</v>
      </c>
      <c r="F201" s="485" t="s">
        <v>810</v>
      </c>
      <c r="G201" s="486" t="s">
        <v>811</v>
      </c>
      <c r="H201" s="487" t="s">
        <v>811</v>
      </c>
    </row>
    <row r="202" spans="1:18" x14ac:dyDescent="0.2">
      <c r="A202" s="231">
        <f>I5/D5-1</f>
        <v>0.12702702702702706</v>
      </c>
      <c r="B202" s="232">
        <f>N5/I5-1</f>
        <v>0.35491606714628299</v>
      </c>
      <c r="C202" s="233">
        <f>B202-A202</f>
        <v>0.22788904011925593</v>
      </c>
      <c r="D202" s="488">
        <f>J5/E5-1</f>
        <v>0.14594594594594601</v>
      </c>
      <c r="E202" s="234">
        <f>O5/J5-1</f>
        <v>0.43160377358490565</v>
      </c>
      <c r="F202" s="235">
        <f>E202-D202</f>
        <v>0.28565782763895964</v>
      </c>
      <c r="G202" s="488">
        <f>K5/F5-1</f>
        <v>0.10354223433242504</v>
      </c>
      <c r="H202" s="236" t="s">
        <v>659</v>
      </c>
    </row>
    <row r="203" spans="1:18" x14ac:dyDescent="0.2">
      <c r="A203" s="231">
        <f>I6/D6-1</f>
        <v>0.16666666666666674</v>
      </c>
      <c r="B203" s="232">
        <f>N6/I6-1</f>
        <v>0.52040816326530615</v>
      </c>
      <c r="C203" s="233">
        <f>B203-A203</f>
        <v>0.3537414965986394</v>
      </c>
      <c r="D203" s="488">
        <f>J6/E6-1</f>
        <v>0.20238095238095233</v>
      </c>
      <c r="E203" s="234">
        <f>O6/J6-1</f>
        <v>0.61386138613861396</v>
      </c>
      <c r="F203" s="235">
        <f>E203-D203</f>
        <v>0.41148043375766163</v>
      </c>
      <c r="G203" s="488">
        <f>K6/F6-1</f>
        <v>0.1707317073170731</v>
      </c>
      <c r="H203" s="236" t="s">
        <v>659</v>
      </c>
    </row>
    <row r="204" spans="1:18" x14ac:dyDescent="0.2">
      <c r="A204" s="231">
        <f>I7/D7-1</f>
        <v>0.46666666666666656</v>
      </c>
      <c r="B204" s="232">
        <f>N7/I7-1</f>
        <v>0.68181818181818188</v>
      </c>
      <c r="C204" s="233">
        <f>B204-A204</f>
        <v>0.21515151515151532</v>
      </c>
      <c r="D204" s="488">
        <f>J7/E7-1</f>
        <v>0.5625</v>
      </c>
      <c r="E204" s="234">
        <f>O7/J7-1</f>
        <v>0.67999999999999994</v>
      </c>
      <c r="F204" s="235">
        <f>E204-D204</f>
        <v>0.11749999999999994</v>
      </c>
      <c r="G204" s="488">
        <f>K7/F7-1</f>
        <v>0.5625</v>
      </c>
      <c r="H204" s="236" t="s">
        <v>659</v>
      </c>
    </row>
    <row r="205" spans="1:18" x14ac:dyDescent="0.2">
      <c r="A205" s="231">
        <f>I8/D8-1</f>
        <v>0.56551738916150596</v>
      </c>
      <c r="B205" s="232">
        <f>N8/I8-1</f>
        <v>0.40625256645405017</v>
      </c>
      <c r="C205" s="239">
        <f>B205-A205</f>
        <v>-0.15926482270745579</v>
      </c>
      <c r="D205" s="488">
        <f>J8/E8-1</f>
        <v>0.59156385812421131</v>
      </c>
      <c r="E205" s="240">
        <f>O8/J8-1</f>
        <v>0.39161647636559827</v>
      </c>
      <c r="F205" s="240">
        <f>E205-D205</f>
        <v>-0.19994738175861304</v>
      </c>
      <c r="G205" s="488">
        <f>K8/F8-1</f>
        <v>0.54719451469915503</v>
      </c>
      <c r="H205" s="240">
        <f>P8/K8-1</f>
        <v>0.4567591173401937</v>
      </c>
    </row>
    <row r="206" spans="1:18" x14ac:dyDescent="0.2">
      <c r="A206" s="241"/>
      <c r="B206" s="243"/>
      <c r="C206" s="242"/>
      <c r="D206" s="241"/>
      <c r="E206" s="243"/>
      <c r="F206" s="242"/>
      <c r="G206" s="241"/>
      <c r="H206" s="243"/>
    </row>
    <row r="207" spans="1:18" x14ac:dyDescent="0.2">
      <c r="A207" s="488">
        <f>I10/D10-1</f>
        <v>0.424327753194913</v>
      </c>
      <c r="B207" s="234">
        <f>N10/I10-1</f>
        <v>0.56793395611557673</v>
      </c>
      <c r="C207" s="235">
        <f>B207-A207</f>
        <v>0.14360620292066373</v>
      </c>
      <c r="D207" s="244" t="s">
        <v>659</v>
      </c>
      <c r="E207" s="245">
        <f>O10/J10-1</f>
        <v>0.52865332315939817</v>
      </c>
      <c r="G207" s="246"/>
      <c r="H207" s="247"/>
    </row>
    <row r="208" spans="1:18" x14ac:dyDescent="0.2">
      <c r="A208" s="488">
        <f>I11/D11-1</f>
        <v>0.34360119047619042</v>
      </c>
      <c r="B208" s="240">
        <f>N11/I11-1</f>
        <v>0.17609923579576914</v>
      </c>
      <c r="C208" s="240">
        <f>B208-A208</f>
        <v>-0.16750195468042128</v>
      </c>
      <c r="D208" s="244" t="s">
        <v>659</v>
      </c>
      <c r="E208" s="245">
        <f>O11/J11-1</f>
        <v>4.4879274750919684E-4</v>
      </c>
      <c r="G208" s="246"/>
      <c r="H208" s="247"/>
    </row>
    <row r="209" spans="1:8" x14ac:dyDescent="0.2">
      <c r="A209" s="488">
        <f>I12/D12-1</f>
        <v>0.19404316033529523</v>
      </c>
      <c r="B209" s="234">
        <f>N12/I12-1</f>
        <v>0.22359970126960427</v>
      </c>
      <c r="C209" s="235">
        <f>B209-A209</f>
        <v>2.9556540934309039E-2</v>
      </c>
      <c r="D209" s="244" t="s">
        <v>659</v>
      </c>
      <c r="E209" s="245">
        <f>O12/J12-1</f>
        <v>3.8912909203211887E-2</v>
      </c>
      <c r="G209" s="246"/>
      <c r="H209" s="247"/>
    </row>
    <row r="210" spans="1:8" x14ac:dyDescent="0.2">
      <c r="A210" s="488">
        <f>I13/D13-1</f>
        <v>1.7851739788199699</v>
      </c>
      <c r="B210" s="240">
        <f>N13/I13-1</f>
        <v>1.7604562737642584</v>
      </c>
      <c r="C210" s="240">
        <f>B210-A210</f>
        <v>-2.471770505571147E-2</v>
      </c>
      <c r="D210" s="244" t="s">
        <v>659</v>
      </c>
      <c r="E210" s="245">
        <f>O13/J13-1</f>
        <v>1.30108736407949</v>
      </c>
      <c r="G210" s="246"/>
      <c r="H210" s="247"/>
    </row>
    <row r="211" spans="1:8" x14ac:dyDescent="0.2">
      <c r="A211" s="488">
        <f>I14/D14-1</f>
        <v>0.40370819997792728</v>
      </c>
      <c r="B211" s="234">
        <f>N14/I14-1</f>
        <v>0.51057473071782367</v>
      </c>
      <c r="C211" s="235">
        <f>B211-A211</f>
        <v>0.10686653073989638</v>
      </c>
      <c r="D211" s="244" t="s">
        <v>659</v>
      </c>
      <c r="E211" s="245">
        <f>O14/J14-1</f>
        <v>0.42197386802531023</v>
      </c>
      <c r="G211" s="246"/>
      <c r="H211" s="247"/>
    </row>
    <row r="212" spans="1:8" x14ac:dyDescent="0.2">
      <c r="A212" s="241"/>
      <c r="B212" s="243"/>
      <c r="C212" s="242"/>
      <c r="D212" s="241"/>
      <c r="E212" s="243"/>
      <c r="F212" s="242"/>
      <c r="G212" s="241"/>
      <c r="H212" s="243"/>
    </row>
    <row r="213" spans="1:8" x14ac:dyDescent="0.2">
      <c r="A213" s="248"/>
      <c r="B213" s="249"/>
      <c r="C213" s="219"/>
      <c r="D213" s="488">
        <f>J16/E16-1</f>
        <v>0.61149616486461511</v>
      </c>
      <c r="E213" s="240">
        <f>O16/J16-1</f>
        <v>0.43770787934396149</v>
      </c>
      <c r="F213" s="239"/>
      <c r="G213" s="488">
        <f>K16/F16-1</f>
        <v>0.55507379882115826</v>
      </c>
      <c r="H213" s="240">
        <f>P16/K16-1</f>
        <v>0.47783270978086589</v>
      </c>
    </row>
    <row r="214" spans="1:8" x14ac:dyDescent="0.2">
      <c r="A214" s="248"/>
      <c r="B214" s="249"/>
      <c r="C214" s="219"/>
      <c r="D214" s="248"/>
      <c r="E214" s="234" t="s">
        <v>659</v>
      </c>
      <c r="F214" s="235"/>
      <c r="G214" s="248"/>
      <c r="H214" s="249"/>
    </row>
    <row r="215" spans="1:8" x14ac:dyDescent="0.2">
      <c r="A215" s="241"/>
      <c r="B215" s="243"/>
      <c r="C215" s="242"/>
      <c r="D215" s="241"/>
      <c r="E215" s="243"/>
      <c r="F215" s="242"/>
      <c r="G215" s="241"/>
      <c r="H215" s="243"/>
    </row>
  </sheetData>
  <mergeCells count="11">
    <mergeCell ref="L3:O3"/>
    <mergeCell ref="B3:E3"/>
    <mergeCell ref="B24:E24"/>
    <mergeCell ref="L24:O24"/>
    <mergeCell ref="G24:J24"/>
    <mergeCell ref="A199:H199"/>
    <mergeCell ref="B149:E149"/>
    <mergeCell ref="B143:E143"/>
    <mergeCell ref="E34:F34"/>
    <mergeCell ref="H3:J3"/>
    <mergeCell ref="B118:E118"/>
  </mergeCells>
  <phoneticPr fontId="56" type="noConversion"/>
  <conditionalFormatting sqref="H102:J102 L102:O102 Q102:T102 V102:Y102">
    <cfRule type="expression" dxfId="19" priority="2">
      <formula>NOT(SUBTOTAL(109,$A107)=$A107)</formula>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E50"/>
  <sheetViews>
    <sheetView showGridLines="0" workbookViewId="0">
      <pane xSplit="3" ySplit="6" topLeftCell="D7" activePane="bottomRight" state="frozen"/>
      <selection pane="topRight" activeCell="D1" sqref="D1"/>
      <selection pane="bottomLeft" activeCell="A7" sqref="A7"/>
      <selection pane="bottomRight" activeCell="D10" sqref="D10"/>
    </sheetView>
  </sheetViews>
  <sheetFormatPr defaultRowHeight="15" x14ac:dyDescent="0.25"/>
  <cols>
    <col min="3" max="3" width="31.5703125" bestFit="1" customWidth="1"/>
    <col min="4" max="4" width="10.5703125" bestFit="1" customWidth="1"/>
    <col min="5" max="6" width="9.7109375" bestFit="1" customWidth="1"/>
    <col min="7" max="7" width="10.7109375" bestFit="1" customWidth="1"/>
    <col min="8" max="10" width="9.7109375" bestFit="1" customWidth="1"/>
    <col min="11" max="11" width="10.7109375" bestFit="1" customWidth="1"/>
    <col min="12" max="14" width="10" bestFit="1" customWidth="1"/>
    <col min="15" max="15" width="10.7109375" bestFit="1" customWidth="1"/>
    <col min="16" max="18" width="10" bestFit="1" customWidth="1"/>
    <col min="19" max="19" width="10.7109375" bestFit="1" customWidth="1"/>
    <col min="20" max="22" width="10" bestFit="1" customWidth="1"/>
    <col min="23" max="23" width="10.7109375" bestFit="1" customWidth="1"/>
    <col min="24" max="26" width="10" bestFit="1" customWidth="1"/>
    <col min="27" max="27" width="10.7109375" bestFit="1" customWidth="1"/>
    <col min="28" max="30" width="10" bestFit="1" customWidth="1"/>
    <col min="31" max="31" width="10.7109375" bestFit="1" customWidth="1"/>
  </cols>
  <sheetData>
    <row r="3" spans="2:31" x14ac:dyDescent="0.25">
      <c r="C3" t="s">
        <v>1017</v>
      </c>
      <c r="D3" t="str">
        <f>+'[5]Transaction Structure'!U5</f>
        <v>Best case</v>
      </c>
    </row>
    <row r="4" spans="2:31" x14ac:dyDescent="0.25">
      <c r="C4" s="1479" t="s">
        <v>1018</v>
      </c>
      <c r="D4" s="148" t="str">
        <f>IF(D6=Closing_Date,"Closing",IF(D6&lt;='[5]Transaction Structure'!$K$23,"Actual","Forecast"))</f>
        <v>Actual</v>
      </c>
      <c r="E4" s="148" t="str">
        <f>IF(E6=Closing_Date,"Closing",IF(E6&lt;='[5]Transaction Structure'!$K$23,"Actual","Forecast"))</f>
        <v>Actual</v>
      </c>
      <c r="F4" s="148" t="str">
        <f>IF(F6=Closing_Date,"Closing",IF(F6&lt;='[5]Transaction Structure'!$K$23,"Actual","Forecast"))</f>
        <v>Actual</v>
      </c>
      <c r="G4" s="148" t="str">
        <f>IF(G6=Closing_Date,"Closing",IF(G6&lt;='[5]Transaction Structure'!$K$23,"Actual","Forecast"))</f>
        <v>Actual</v>
      </c>
      <c r="H4" s="148" t="str">
        <f>IF(H6=Closing_Date,"Closing",IF(H6&lt;='[5]Transaction Structure'!$K$23,"Actual","Forecast"))</f>
        <v>Actual</v>
      </c>
      <c r="I4" s="148" t="str">
        <f>IF(I6=Closing_Date,"Closing",IF(I6&lt;='[5]Transaction Structure'!$K$23,"Actual","Forecast"))</f>
        <v>Actual</v>
      </c>
      <c r="J4" s="148" t="str">
        <f>IF(J6=Closing_Date,"Closing",IF(J6&lt;='[5]Transaction Structure'!$K$23,"Actual","Forecast"))</f>
        <v>Actual</v>
      </c>
      <c r="K4" s="148" t="str">
        <f>IF(K6=Closing_Date,"Closing",IF(K6&lt;='[5]Transaction Structure'!$K$23,"Actual","Forecast"))</f>
        <v>Actual</v>
      </c>
      <c r="L4" s="148" t="str">
        <f>IF(L6=Closing_Date,"Closing",IF(L6&lt;='[5]Transaction Structure'!$K$23,"Actual","Forecast"))</f>
        <v>Forecast</v>
      </c>
      <c r="M4" s="148" t="str">
        <f>IF(M6=Closing_Date,"Closing",IF(M6&lt;='[5]Transaction Structure'!$K$23,"Actual","Forecast"))</f>
        <v>Forecast</v>
      </c>
      <c r="N4" s="148" t="str">
        <f>IF(N6=Closing_Date,"Closing",IF(N6&lt;='[5]Transaction Structure'!$K$23,"Actual","Forecast"))</f>
        <v>Closing</v>
      </c>
      <c r="O4" s="148" t="str">
        <f>IF(O6=Closing_Date,"Closing",IF(O6&lt;='[5]Transaction Structure'!$K$23,"Actual","Forecast"))</f>
        <v>Forecast</v>
      </c>
      <c r="P4" s="148" t="str">
        <f>IF(P6=Closing_Date,"Closing",IF(P6&lt;='[5]Transaction Structure'!$K$23,"Actual","Forecast"))</f>
        <v>Forecast</v>
      </c>
      <c r="Q4" s="148" t="str">
        <f>IF(Q6=Closing_Date,"Closing",IF(Q6&lt;='[5]Transaction Structure'!$K$23,"Actual","Forecast"))</f>
        <v>Forecast</v>
      </c>
      <c r="R4" s="148" t="str">
        <f>IF(R6=Closing_Date,"Closing",IF(R6&lt;='[5]Transaction Structure'!$K$23,"Actual","Forecast"))</f>
        <v>Forecast</v>
      </c>
      <c r="S4" s="148" t="str">
        <f>IF(S6=Closing_Date,"Closing",IF(S6&lt;='[5]Transaction Structure'!$K$23,"Actual","Forecast"))</f>
        <v>Forecast</v>
      </c>
      <c r="T4" s="148" t="str">
        <f>IF(T6=Closing_Date,"Closing",IF(T6&lt;='[5]Transaction Structure'!$K$23,"Actual","Forecast"))</f>
        <v>Forecast</v>
      </c>
      <c r="U4" s="148" t="str">
        <f>IF(U6=Closing_Date,"Closing",IF(U6&lt;='[5]Transaction Structure'!$K$23,"Actual","Forecast"))</f>
        <v>Forecast</v>
      </c>
      <c r="V4" s="148" t="str">
        <f>IF(V6=Closing_Date,"Closing",IF(V6&lt;='[5]Transaction Structure'!$K$23,"Actual","Forecast"))</f>
        <v>Forecast</v>
      </c>
      <c r="W4" s="148" t="str">
        <f>IF(W6=Closing_Date,"Closing",IF(W6&lt;='[5]Transaction Structure'!$K$23,"Actual","Forecast"))</f>
        <v>Forecast</v>
      </c>
      <c r="X4" s="148" t="str">
        <f>IF(X6=Closing_Date,"Closing",IF(X6&lt;='[5]Transaction Structure'!$K$23,"Actual","Forecast"))</f>
        <v>Forecast</v>
      </c>
      <c r="Y4" s="148" t="str">
        <f>IF(Y6=Closing_Date,"Closing",IF(Y6&lt;='[5]Transaction Structure'!$K$23,"Actual","Forecast"))</f>
        <v>Forecast</v>
      </c>
      <c r="Z4" s="148" t="str">
        <f>IF(Z6=Closing_Date,"Closing",IF(Z6&lt;='[5]Transaction Structure'!$K$23,"Actual","Forecast"))</f>
        <v>Forecast</v>
      </c>
      <c r="AA4" s="148" t="str">
        <f>IF(AA6=Closing_Date,"Closing",IF(AA6&lt;='[5]Transaction Structure'!$K$23,"Actual","Forecast"))</f>
        <v>Forecast</v>
      </c>
      <c r="AB4" s="148" t="str">
        <f>IF(AB6=Closing_Date,"Closing",IF(AB6&lt;='[5]Transaction Structure'!$K$23,"Actual","Forecast"))</f>
        <v>Forecast</v>
      </c>
      <c r="AC4" s="148" t="str">
        <f>IF(AC6=Closing_Date,"Closing",IF(AC6&lt;='[5]Transaction Structure'!$K$23,"Actual","Forecast"))</f>
        <v>Forecast</v>
      </c>
      <c r="AD4" s="148" t="str">
        <f>IF(AD6=Closing_Date,"Closing",IF(AD6&lt;='[5]Transaction Structure'!$K$23,"Actual","Forecast"))</f>
        <v>Forecast</v>
      </c>
      <c r="AE4" s="148" t="str">
        <f>IF(AE6=Closing_Date,"Closing",IF(AE6&lt;='[5]Transaction Structure'!$K$23,"Actual","Forecast"))</f>
        <v>Forecast</v>
      </c>
    </row>
    <row r="5" spans="2:31" x14ac:dyDescent="0.25">
      <c r="D5" s="1446">
        <f>'[5]Operating Model'!K4</f>
        <v>2021</v>
      </c>
      <c r="E5" s="1446">
        <f>'[5]Operating Model'!L4</f>
        <v>2021</v>
      </c>
      <c r="F5" s="1446">
        <f>'[5]Operating Model'!M4</f>
        <v>2021</v>
      </c>
      <c r="G5" s="1446">
        <f>'[5]Operating Model'!N4</f>
        <v>2021</v>
      </c>
      <c r="H5" s="1446">
        <f>'[5]Operating Model'!O4</f>
        <v>2022</v>
      </c>
      <c r="I5" s="1446">
        <f>'[5]Operating Model'!P4</f>
        <v>2022</v>
      </c>
      <c r="J5" s="1446">
        <f>'[5]Operating Model'!Q4</f>
        <v>2022</v>
      </c>
      <c r="K5" s="1446">
        <f>'[5]Operating Model'!R4</f>
        <v>2022</v>
      </c>
      <c r="L5" s="1446">
        <f>'[5]Operating Model'!S4</f>
        <v>2023</v>
      </c>
      <c r="M5" s="1446">
        <f>'[5]Operating Model'!T4</f>
        <v>2023</v>
      </c>
      <c r="N5" s="1446">
        <f>'[5]Operating Model'!U4</f>
        <v>2023</v>
      </c>
      <c r="O5" s="1446">
        <f>'[5]Operating Model'!V4</f>
        <v>2023</v>
      </c>
      <c r="P5" s="1446">
        <f>'[5]Operating Model'!W4</f>
        <v>2024</v>
      </c>
      <c r="Q5" s="1446">
        <f>'[5]Operating Model'!X4</f>
        <v>2024</v>
      </c>
      <c r="R5" s="1446">
        <f>'[5]Operating Model'!Y4</f>
        <v>2024</v>
      </c>
      <c r="S5" s="1446">
        <f>'[5]Operating Model'!Z4</f>
        <v>2024</v>
      </c>
      <c r="T5" s="1446">
        <f>'[5]Operating Model'!AA4</f>
        <v>2025</v>
      </c>
      <c r="U5" s="1446">
        <f>'[5]Operating Model'!AB4</f>
        <v>2025</v>
      </c>
      <c r="V5" s="1446">
        <f>'[5]Operating Model'!AC4</f>
        <v>2025</v>
      </c>
      <c r="W5" s="1446">
        <f>'[5]Operating Model'!AD4</f>
        <v>2025</v>
      </c>
      <c r="X5" s="1446">
        <f>'[5]Operating Model'!AE4</f>
        <v>2026</v>
      </c>
      <c r="Y5" s="1446">
        <f>'[5]Operating Model'!AF4</f>
        <v>2026</v>
      </c>
      <c r="Z5" s="1446">
        <f>'[5]Operating Model'!AG4</f>
        <v>2026</v>
      </c>
      <c r="AA5" s="1446">
        <f>'[5]Operating Model'!AH4</f>
        <v>2026</v>
      </c>
      <c r="AB5" s="1446">
        <f>'[5]Operating Model'!AI4</f>
        <v>2027</v>
      </c>
      <c r="AC5" s="1446">
        <f>'[5]Operating Model'!AJ4</f>
        <v>2027</v>
      </c>
      <c r="AD5" s="1446">
        <f>'[5]Operating Model'!AK4</f>
        <v>2027</v>
      </c>
      <c r="AE5" s="1446">
        <f>'[5]Operating Model'!AL4</f>
        <v>2027</v>
      </c>
    </row>
    <row r="6" spans="2:31" x14ac:dyDescent="0.25">
      <c r="B6">
        <v>1000</v>
      </c>
      <c r="D6" s="1480">
        <f>'[5]Operating Model'!K5</f>
        <v>44286</v>
      </c>
      <c r="E6" s="1480">
        <f>'[5]Operating Model'!L5</f>
        <v>44377</v>
      </c>
      <c r="F6" s="1480">
        <f>'[5]Operating Model'!M5</f>
        <v>44469</v>
      </c>
      <c r="G6" s="1480">
        <f>'[5]Operating Model'!N5</f>
        <v>44561</v>
      </c>
      <c r="H6" s="1480">
        <f>'[5]Operating Model'!O5</f>
        <v>44651</v>
      </c>
      <c r="I6" s="1480">
        <f>'[5]Operating Model'!P5</f>
        <v>44742</v>
      </c>
      <c r="J6" s="1480">
        <f>'[5]Operating Model'!Q5</f>
        <v>44834</v>
      </c>
      <c r="K6" s="1480">
        <f>'[5]Operating Model'!R5</f>
        <v>44926</v>
      </c>
      <c r="L6" s="1480">
        <f>'[5]Operating Model'!S5</f>
        <v>45016</v>
      </c>
      <c r="M6" s="1480">
        <f>'[5]Operating Model'!T5</f>
        <v>45107</v>
      </c>
      <c r="N6" s="1480">
        <f>'[5]Operating Model'!U5</f>
        <v>45199</v>
      </c>
      <c r="O6" s="1480">
        <f>'[5]Operating Model'!V5</f>
        <v>45291</v>
      </c>
      <c r="P6" s="1480">
        <f>'[5]Operating Model'!W5</f>
        <v>45382</v>
      </c>
      <c r="Q6" s="1480">
        <f>'[5]Operating Model'!X5</f>
        <v>45473</v>
      </c>
      <c r="R6" s="1480">
        <f>'[5]Operating Model'!Y5</f>
        <v>45565</v>
      </c>
      <c r="S6" s="1480">
        <f>'[5]Operating Model'!Z5</f>
        <v>45657</v>
      </c>
      <c r="T6" s="1480">
        <f>'[5]Operating Model'!AA5</f>
        <v>45747</v>
      </c>
      <c r="U6" s="1480">
        <f>'[5]Operating Model'!AB5</f>
        <v>45838</v>
      </c>
      <c r="V6" s="1480">
        <f>'[5]Operating Model'!AC5</f>
        <v>45930</v>
      </c>
      <c r="W6" s="1480">
        <f>'[5]Operating Model'!AD5</f>
        <v>46022</v>
      </c>
      <c r="X6" s="1480">
        <f>'[5]Operating Model'!AE5</f>
        <v>46112</v>
      </c>
      <c r="Y6" s="1480">
        <f>'[5]Operating Model'!AF5</f>
        <v>46203</v>
      </c>
      <c r="Z6" s="1480">
        <f>'[5]Operating Model'!AG5</f>
        <v>46295</v>
      </c>
      <c r="AA6" s="1480">
        <f>'[5]Operating Model'!AH5</f>
        <v>46387</v>
      </c>
      <c r="AB6" s="1480">
        <f>'[5]Operating Model'!AI5</f>
        <v>46477</v>
      </c>
      <c r="AC6" s="1480">
        <f>'[5]Operating Model'!AJ5</f>
        <v>46568</v>
      </c>
      <c r="AD6" s="1480">
        <f>'[5]Operating Model'!AK5</f>
        <v>46660</v>
      </c>
      <c r="AE6" s="1480">
        <f>'[5]Operating Model'!AL5</f>
        <v>46752</v>
      </c>
    </row>
    <row r="7" spans="2:31" x14ac:dyDescent="0.25">
      <c r="D7" s="1480"/>
      <c r="E7" s="1480"/>
      <c r="F7" s="1480"/>
      <c r="G7" s="1480"/>
      <c r="H7" s="1480"/>
      <c r="I7" s="1480"/>
      <c r="J7" s="1480"/>
      <c r="K7" s="1480"/>
      <c r="L7" s="1480"/>
      <c r="M7" s="1480"/>
      <c r="N7" s="1480"/>
      <c r="O7" s="1480"/>
      <c r="P7" s="1480"/>
      <c r="Q7" s="1480"/>
      <c r="R7" s="1480"/>
      <c r="S7" s="1480"/>
      <c r="T7" s="1480"/>
      <c r="U7" s="1480"/>
      <c r="V7" s="1480"/>
      <c r="W7" s="1480"/>
      <c r="X7" s="1480"/>
      <c r="Y7" s="1480"/>
      <c r="Z7" s="1480"/>
      <c r="AA7" s="1480"/>
      <c r="AB7" s="1480"/>
      <c r="AC7" s="1480"/>
      <c r="AD7" s="1480"/>
      <c r="AE7" s="1480"/>
    </row>
    <row r="8" spans="2:31" x14ac:dyDescent="0.25">
      <c r="C8" t="s">
        <v>6</v>
      </c>
      <c r="D8" s="1481">
        <f t="array" ref="D8">+'Operating Model'!K7</f>
        <v>55360</v>
      </c>
      <c r="E8" s="1481">
        <f t="array" ref="E8">+'Operating Model'!L7</f>
        <v>58803</v>
      </c>
      <c r="F8" s="1481">
        <f t="array" ref="F8">+'Operating Model'!M7</f>
        <v>63595</v>
      </c>
      <c r="G8" s="1481">
        <f t="array" ref="G8">+'Operating Model'!N7</f>
        <v>73014</v>
      </c>
      <c r="H8" s="1481">
        <f t="array" ref="H8">+'Operating Model'!O7</f>
        <v>81220</v>
      </c>
      <c r="I8" s="1481">
        <f t="array" ref="I8">+'Operating Model'!P7</f>
        <v>88386</v>
      </c>
      <c r="J8" s="1481">
        <f t="array" ref="J8">+'Operating Model'!Q7</f>
        <v>96065</v>
      </c>
      <c r="K8" s="1481">
        <f t="array" ref="K8">+'Operating Model'!R7</f>
        <v>103824</v>
      </c>
      <c r="L8" s="1481">
        <f t="array" aca="1" ref="L8" ca="1">+'Operating Model'!S7</f>
        <v>117455.30093506495</v>
      </c>
      <c r="M8" s="1481">
        <f t="array" aca="1" ref="M8" ca="1">+'Operating Model'!T7</f>
        <v>122388.61411764707</v>
      </c>
      <c r="N8" s="1481">
        <f t="array" aca="1" ref="N8" ca="1">+'Operating Model'!U7</f>
        <v>125544.1738197425</v>
      </c>
      <c r="O8" s="1481">
        <f t="array" aca="1" ref="O8" ca="1">+'Operating Model'!V7</f>
        <v>139021.90249303763</v>
      </c>
      <c r="P8" s="1481">
        <f t="array" aca="1" ref="P8" ca="1">+'Operating Model'!W7</f>
        <v>141449.37662337665</v>
      </c>
      <c r="Q8" s="1481">
        <f t="array" aca="1" ref="Q8" ca="1">+'Operating Model'!X7</f>
        <v>148176.52941176473</v>
      </c>
      <c r="R8" s="1481">
        <f t="array" aca="1" ref="R8" ca="1">+'Operating Model'!Y7</f>
        <v>157600.19849785409</v>
      </c>
      <c r="S8" s="1481">
        <f t="array" aca="1" ref="S8" ca="1">+'Operating Model'!Z7</f>
        <v>167744.28443750326</v>
      </c>
      <c r="T8" s="1481">
        <f t="array" aca="1" ref="T8" ca="1">+'Operating Model'!AA7</f>
        <v>163121.11273328293</v>
      </c>
      <c r="U8" s="1481">
        <f t="array" aca="1" ref="U8" ca="1">+'Operating Model'!AB7</f>
        <v>171592.70143435456</v>
      </c>
      <c r="V8" s="1481">
        <f t="array" aca="1" ref="V8" ca="1">+'Operating Model'!AC7</f>
        <v>187781.02468802198</v>
      </c>
      <c r="W8" s="1481">
        <f t="array" aca="1" ref="W8" ca="1">+'Operating Model'!AD7</f>
        <v>193736.67477428674</v>
      </c>
      <c r="X8" s="1481">
        <f t="array" aca="1" ref="X8" ca="1">+'Operating Model'!AE7</f>
        <v>178116.37588748935</v>
      </c>
      <c r="Y8" s="1481">
        <f t="array" aca="1" ref="Y8" ca="1">+'Operating Model'!AF7</f>
        <v>187862.66360943863</v>
      </c>
      <c r="Z8" s="1481">
        <f t="array" aca="1" ref="Z8" ca="1">+'Operating Model'!AG7</f>
        <v>209357.34193357918</v>
      </c>
      <c r="AA8" s="1481">
        <f t="array" aca="1" ref="AA8" ca="1">+'Operating Model'!AH7</f>
        <v>211748.6599462521</v>
      </c>
      <c r="AB8" s="1481">
        <f t="array" aca="1" ref="AB8" ca="1">+'Operating Model'!AI7</f>
        <v>186303.24355824146</v>
      </c>
      <c r="AC8" s="1481">
        <f t="array" aca="1" ref="AC8" ca="1">+'Operating Model'!AJ7</f>
        <v>196768.98190120302</v>
      </c>
      <c r="AD8" s="1481">
        <f t="array" aca="1" ref="AD8" ca="1">+'Operating Model'!AK7</f>
        <v>221385.07592520662</v>
      </c>
      <c r="AE8" s="1481">
        <f t="array" aca="1" ref="AE8" ca="1">+'Operating Model'!AL7</f>
        <v>221591.95298196396</v>
      </c>
    </row>
    <row r="9" spans="2:31" x14ac:dyDescent="0.25">
      <c r="C9" s="1482" t="s">
        <v>1019</v>
      </c>
      <c r="D9" s="1483"/>
      <c r="E9" s="1484">
        <f>+E8/D8-1</f>
        <v>6.2192919075144459E-2</v>
      </c>
      <c r="F9" s="1484">
        <f t="shared" ref="F9:AE9" si="0">+F8/E8-1</f>
        <v>8.1492440861860693E-2</v>
      </c>
      <c r="G9" s="1484">
        <f t="shared" si="0"/>
        <v>0.14810912807610666</v>
      </c>
      <c r="H9" s="1484">
        <f t="shared" si="0"/>
        <v>0.11238940477168757</v>
      </c>
      <c r="I9" s="1484">
        <f t="shared" si="0"/>
        <v>8.8229500123122362E-2</v>
      </c>
      <c r="J9" s="1484">
        <f t="shared" si="0"/>
        <v>8.6880275156699049E-2</v>
      </c>
      <c r="K9" s="1484">
        <f t="shared" si="0"/>
        <v>8.0768229844376149E-2</v>
      </c>
      <c r="L9" s="1484">
        <f t="shared" ca="1" si="0"/>
        <v>0.13129238841756186</v>
      </c>
      <c r="M9" s="1484">
        <f t="shared" ca="1" si="0"/>
        <v>4.2001622262323401E-2</v>
      </c>
      <c r="N9" s="1484">
        <f t="shared" ca="1" si="0"/>
        <v>2.5783114915102434E-2</v>
      </c>
      <c r="O9" s="1484">
        <f t="shared" ca="1" si="0"/>
        <v>0.10735447343535487</v>
      </c>
      <c r="P9" s="1484">
        <f t="shared" ca="1" si="0"/>
        <v>1.7461091287112707E-2</v>
      </c>
      <c r="Q9" s="1484">
        <f t="shared" ca="1" si="0"/>
        <v>4.7558730543576733E-2</v>
      </c>
      <c r="R9" s="1484">
        <f t="shared" ca="1" si="0"/>
        <v>6.3597582717719758E-2</v>
      </c>
      <c r="S9" s="1484">
        <f t="shared" ca="1" si="0"/>
        <v>6.4365946466668378E-2</v>
      </c>
      <c r="T9" s="1484">
        <f t="shared" ca="1" si="0"/>
        <v>-2.7560829984301427E-2</v>
      </c>
      <c r="U9" s="1484">
        <f t="shared" ca="1" si="0"/>
        <v>5.1934348406042385E-2</v>
      </c>
      <c r="V9" s="1484">
        <f t="shared" ca="1" si="0"/>
        <v>9.4341560674481961E-2</v>
      </c>
      <c r="W9" s="1484">
        <f t="shared" ca="1" si="0"/>
        <v>3.1715931341622206E-2</v>
      </c>
      <c r="X9" s="1484">
        <f t="shared" ca="1" si="0"/>
        <v>-8.06264425927401E-2</v>
      </c>
      <c r="Y9" s="1484">
        <f t="shared" ca="1" si="0"/>
        <v>5.4718650508057243E-2</v>
      </c>
      <c r="Z9" s="1484">
        <f t="shared" ca="1" si="0"/>
        <v>0.11441697839879139</v>
      </c>
      <c r="AA9" s="1484">
        <f t="shared" ca="1" si="0"/>
        <v>1.1422183672123554E-2</v>
      </c>
      <c r="AB9" s="1484">
        <f t="shared" ca="1" si="0"/>
        <v>-0.12016801614928474</v>
      </c>
      <c r="AC9" s="1484">
        <f t="shared" ca="1" si="0"/>
        <v>5.617582465594495E-2</v>
      </c>
      <c r="AD9" s="1484">
        <f t="shared" ca="1" si="0"/>
        <v>0.12510149611061783</v>
      </c>
      <c r="AE9" s="1484">
        <f t="shared" ca="1" si="0"/>
        <v>9.3446704071076248E-4</v>
      </c>
    </row>
    <row r="10" spans="2:31" s="1" customFormat="1" x14ac:dyDescent="0.25">
      <c r="C10" s="2" t="s">
        <v>1020</v>
      </c>
      <c r="D10" s="1485">
        <v>39900</v>
      </c>
      <c r="E10" s="1485">
        <v>37900</v>
      </c>
      <c r="F10" s="1485">
        <v>41700</v>
      </c>
      <c r="G10" s="1485">
        <v>42400</v>
      </c>
      <c r="H10" s="1485">
        <v>49200</v>
      </c>
      <c r="I10" s="1485">
        <v>49500</v>
      </c>
      <c r="J10" s="1485">
        <v>56500</v>
      </c>
      <c r="K10" s="1485">
        <v>60700</v>
      </c>
      <c r="L10" s="207">
        <f ca="1">+K10*(1+L46)</f>
        <v>66554.461296919661</v>
      </c>
      <c r="M10" s="207">
        <f t="shared" ref="M10:AE10" ca="1" si="1">+L10*(1+M46)</f>
        <v>69349.856640185302</v>
      </c>
      <c r="N10" s="207">
        <f t="shared" ca="1" si="1"/>
        <v>71137.911963285078</v>
      </c>
      <c r="O10" s="207">
        <f t="shared" ca="1" si="1"/>
        <v>78774.885043394199</v>
      </c>
      <c r="P10" s="207">
        <f t="shared" ca="1" si="1"/>
        <v>80150.380502268716</v>
      </c>
      <c r="Q10" s="207">
        <f t="shared" ca="1" si="1"/>
        <v>83962.230851541259</v>
      </c>
      <c r="R10" s="207">
        <f t="shared" ca="1" si="1"/>
        <v>89302.025773286456</v>
      </c>
      <c r="S10" s="207">
        <f t="shared" ca="1" si="1"/>
        <v>95050.03518357483</v>
      </c>
      <c r="T10" s="207">
        <f t="shared" ca="1" si="1"/>
        <v>92430.377323878463</v>
      </c>
      <c r="U10" s="207">
        <f t="shared" ca="1" si="1"/>
        <v>97230.688743118706</v>
      </c>
      <c r="V10" s="207">
        <f t="shared" ca="1" si="1"/>
        <v>106403.58366459931</v>
      </c>
      <c r="W10" s="207">
        <f t="shared" ca="1" si="1"/>
        <v>109778.27241860829</v>
      </c>
      <c r="X10" s="207">
        <f t="shared" ca="1" si="1"/>
        <v>100927.24083951919</v>
      </c>
      <c r="Y10" s="207">
        <f t="shared" ca="1" si="1"/>
        <v>106449.84325775936</v>
      </c>
      <c r="Z10" s="207">
        <f t="shared" ca="1" si="1"/>
        <v>118629.51267433715</v>
      </c>
      <c r="AA10" s="207">
        <f t="shared" ca="1" si="1"/>
        <v>119984.52075703794</v>
      </c>
      <c r="AB10" s="207">
        <f t="shared" ca="1" si="1"/>
        <v>105566.21892904202</v>
      </c>
      <c r="AC10" s="207">
        <f t="shared" ca="1" si="1"/>
        <v>111496.48833319097</v>
      </c>
      <c r="AD10" s="207">
        <f t="shared" ca="1" si="1"/>
        <v>125444.86583475323</v>
      </c>
      <c r="AE10" s="207">
        <f t="shared" ca="1" si="1"/>
        <v>125562.08992730216</v>
      </c>
    </row>
    <row r="11" spans="2:31" x14ac:dyDescent="0.25">
      <c r="C11" s="1486" t="s">
        <v>1021</v>
      </c>
      <c r="D11" s="1483"/>
      <c r="E11" s="1484">
        <f>+E10/D10-1</f>
        <v>-5.0125313283208017E-2</v>
      </c>
      <c r="F11" s="1484">
        <f t="shared" ref="F11:I11" si="2">+F10/E10-1</f>
        <v>0.10026385224274414</v>
      </c>
      <c r="G11" s="1484">
        <f t="shared" si="2"/>
        <v>1.6786570743405171E-2</v>
      </c>
      <c r="H11" s="1484">
        <f t="shared" si="2"/>
        <v>0.16037735849056611</v>
      </c>
      <c r="I11" s="1484">
        <f t="shared" si="2"/>
        <v>6.0975609756097615E-3</v>
      </c>
      <c r="J11" s="1484">
        <f>+J10/I10-1</f>
        <v>0.14141414141414144</v>
      </c>
      <c r="K11" s="1484">
        <f t="shared" ref="K11:AE11" si="3">+K10/J10-1</f>
        <v>7.4336283185840735E-2</v>
      </c>
      <c r="L11" s="1484">
        <f t="shared" ca="1" si="3"/>
        <v>9.6449115270505148E-2</v>
      </c>
      <c r="M11" s="1484">
        <f t="shared" ca="1" si="3"/>
        <v>4.2001622262323401E-2</v>
      </c>
      <c r="N11" s="1484">
        <f t="shared" ca="1" si="3"/>
        <v>2.5783114915102434E-2</v>
      </c>
      <c r="O11" s="1484">
        <f t="shared" ca="1" si="3"/>
        <v>0.10735447343535509</v>
      </c>
      <c r="P11" s="1484">
        <f t="shared" ca="1" si="3"/>
        <v>1.7461091287112707E-2</v>
      </c>
      <c r="Q11" s="1484">
        <f t="shared" ca="1" si="3"/>
        <v>4.7558730543576733E-2</v>
      </c>
      <c r="R11" s="1484">
        <f t="shared" ca="1" si="3"/>
        <v>6.359758271771998E-2</v>
      </c>
      <c r="S11" s="1484">
        <f t="shared" ca="1" si="3"/>
        <v>6.4365946466668156E-2</v>
      </c>
      <c r="T11" s="1484">
        <f t="shared" ca="1" si="3"/>
        <v>-2.7560829984301316E-2</v>
      </c>
      <c r="U11" s="1484">
        <f t="shared" ca="1" si="3"/>
        <v>5.1934348406042163E-2</v>
      </c>
      <c r="V11" s="1484">
        <f t="shared" ca="1" si="3"/>
        <v>9.4341560674481961E-2</v>
      </c>
      <c r="W11" s="1484">
        <f t="shared" ca="1" si="3"/>
        <v>3.1715931341622206E-2</v>
      </c>
      <c r="X11" s="1484">
        <f t="shared" ca="1" si="3"/>
        <v>-8.06264425927401E-2</v>
      </c>
      <c r="Y11" s="1484">
        <f t="shared" ca="1" si="3"/>
        <v>5.4718650508057243E-2</v>
      </c>
      <c r="Z11" s="1484">
        <f t="shared" ca="1" si="3"/>
        <v>0.11441697839879139</v>
      </c>
      <c r="AA11" s="1484">
        <f t="shared" ca="1" si="3"/>
        <v>1.1422183672123554E-2</v>
      </c>
      <c r="AB11" s="1484">
        <f t="shared" ca="1" si="3"/>
        <v>-0.12016801614928474</v>
      </c>
      <c r="AC11" s="1484">
        <f t="shared" ca="1" si="3"/>
        <v>5.6175824655944728E-2</v>
      </c>
      <c r="AD11" s="1484">
        <f t="shared" ca="1" si="3"/>
        <v>0.12510149611061805</v>
      </c>
      <c r="AE11" s="1484">
        <f t="shared" ca="1" si="3"/>
        <v>9.3446704071054043E-4</v>
      </c>
    </row>
    <row r="12" spans="2:31" x14ac:dyDescent="0.25">
      <c r="C12" s="1486" t="s">
        <v>1022</v>
      </c>
      <c r="D12" s="1483"/>
      <c r="E12" s="1483"/>
      <c r="F12" s="1483"/>
      <c r="G12" s="1483"/>
      <c r="H12" s="1484">
        <f>+AVERAGE($E11:H11)</f>
        <v>5.6825617048376853E-2</v>
      </c>
      <c r="I12" s="1484">
        <f>+AVERAGE($E11:I11)</f>
        <v>4.6680005833823437E-2</v>
      </c>
      <c r="J12" s="1484">
        <f>+AVERAGE($E11:J11)</f>
        <v>6.2469028430543104E-2</v>
      </c>
      <c r="K12" s="1484">
        <f>+AVERAGE($E11:K11)</f>
        <v>6.4164350538442758E-2</v>
      </c>
      <c r="L12" s="1484">
        <f ca="1">+AVERAGE($E11:L11)</f>
        <v>6.8199946129950562E-2</v>
      </c>
      <c r="M12" s="1484">
        <f ca="1">+AVERAGE($E11:M11)</f>
        <v>6.5289021255769769E-2</v>
      </c>
      <c r="N12" s="1484">
        <f ca="1">+AVERAGE($E11:N11)</f>
        <v>6.1338430621703036E-2</v>
      </c>
      <c r="O12" s="1484">
        <f ca="1">+AVERAGE($E11:O11)</f>
        <v>6.5521707241125951E-2</v>
      </c>
      <c r="P12" s="1484">
        <f ca="1">+AVERAGE($E11:P11)</f>
        <v>6.1516655911624842E-2</v>
      </c>
      <c r="Q12" s="1484">
        <f ca="1">+AVERAGE($E11:Q11)</f>
        <v>6.044296934485191E-2</v>
      </c>
      <c r="R12" s="1484">
        <f ca="1">+AVERAGE($E11:R11)</f>
        <v>6.0668298871485345E-2</v>
      </c>
      <c r="S12" s="1484">
        <f ca="1">+AVERAGE($E11:S11)</f>
        <v>6.0914808711164198E-2</v>
      </c>
      <c r="T12" s="1484">
        <f ca="1">+AVERAGE($E11:T11)</f>
        <v>5.5385081292697605E-2</v>
      </c>
      <c r="U12" s="1484">
        <f ca="1">+AVERAGE($E11:U11)</f>
        <v>5.5182097005247288E-2</v>
      </c>
      <c r="V12" s="1484">
        <f ca="1">+AVERAGE($E11:V11)</f>
        <v>5.7357622764649209E-2</v>
      </c>
      <c r="W12" s="1484">
        <f ca="1">+AVERAGE($E11:W11)</f>
        <v>5.6008060058174103E-2</v>
      </c>
      <c r="X12" s="1484">
        <f ca="1">+AVERAGE($E11:X11)</f>
        <v>4.9176334925628395E-2</v>
      </c>
      <c r="Y12" s="1484">
        <f ca="1">+AVERAGE($E11:Y11)</f>
        <v>4.9440254715267862E-2</v>
      </c>
      <c r="Z12" s="1484">
        <f ca="1">+AVERAGE($E11:Z11)</f>
        <v>5.2393742155428025E-2</v>
      </c>
      <c r="AA12" s="1484">
        <f ca="1">+AVERAGE($E11:AA11)</f>
        <v>5.0612370047458263E-2</v>
      </c>
      <c r="AB12" s="1484">
        <f ca="1">+AVERAGE($E11:AB11)</f>
        <v>4.349652062259398E-2</v>
      </c>
      <c r="AC12" s="1484">
        <f ca="1">+AVERAGE($E11:AC11)</f>
        <v>4.400369278392801E-2</v>
      </c>
      <c r="AD12" s="1484">
        <f ca="1">+AVERAGE($E11:AD11)</f>
        <v>4.712283906572378E-2</v>
      </c>
      <c r="AE12" s="1484">
        <f ca="1">+AVERAGE($E11:AE11)</f>
        <v>4.5412158620352916E-2</v>
      </c>
    </row>
    <row r="13" spans="2:31" x14ac:dyDescent="0.25">
      <c r="C13" s="1486" t="s">
        <v>1023</v>
      </c>
      <c r="D13" s="1483"/>
      <c r="E13" s="1483"/>
      <c r="F13" s="1483"/>
      <c r="G13" s="1483"/>
      <c r="H13" s="1484">
        <f>+H10/D10-1</f>
        <v>0.23308270676691722</v>
      </c>
      <c r="I13" s="1484">
        <f>+I10/E10-1</f>
        <v>0.30606860158311355</v>
      </c>
      <c r="J13" s="1484">
        <f>+J10/F10-1</f>
        <v>0.35491606714628299</v>
      </c>
      <c r="K13" s="1484">
        <f>+K10/G10-1</f>
        <v>0.43160377358490565</v>
      </c>
      <c r="L13" s="1484">
        <f ca="1">+L10/H10-1</f>
        <v>0.3527329531894241</v>
      </c>
      <c r="M13" s="1484">
        <f t="shared" ref="M13:AE13" ca="1" si="4">+M10/I10-1</f>
        <v>0.4010072048522284</v>
      </c>
      <c r="N13" s="1484">
        <f t="shared" ca="1" si="4"/>
        <v>0.2590780878457537</v>
      </c>
      <c r="O13" s="1484">
        <f t="shared" ca="1" si="4"/>
        <v>0.29777405343318275</v>
      </c>
      <c r="P13" s="1484">
        <f t="shared" ca="1" si="4"/>
        <v>0.2042826121707082</v>
      </c>
      <c r="Q13" s="1484">
        <f t="shared" ca="1" si="4"/>
        <v>0.21070518266779947</v>
      </c>
      <c r="R13" s="1484">
        <f t="shared" ca="1" si="4"/>
        <v>0.25533661740558311</v>
      </c>
      <c r="S13" s="1484">
        <f t="shared" ca="1" si="4"/>
        <v>0.20660328645627657</v>
      </c>
      <c r="T13" s="1484">
        <f t="shared" ca="1" si="4"/>
        <v>0.15321195912803121</v>
      </c>
      <c r="U13" s="1484">
        <f t="shared" ca="1" si="4"/>
        <v>0.15802888700084949</v>
      </c>
      <c r="V13" s="1484">
        <f t="shared" ca="1" si="4"/>
        <v>0.19150246305418706</v>
      </c>
      <c r="W13" s="1484">
        <f t="shared" ca="1" si="4"/>
        <v>0.15495246484220737</v>
      </c>
      <c r="X13" s="1484">
        <f t="shared" ca="1" si="4"/>
        <v>9.1927175476818501E-2</v>
      </c>
      <c r="Y13" s="1484">
        <f t="shared" ca="1" si="4"/>
        <v>9.4817332200509918E-2</v>
      </c>
      <c r="Z13" s="1484">
        <f t="shared" ca="1" si="4"/>
        <v>0.11490147783251237</v>
      </c>
      <c r="AA13" s="1484">
        <f t="shared" ca="1" si="4"/>
        <v>9.2971478905324867E-2</v>
      </c>
      <c r="AB13" s="1484">
        <f t="shared" ca="1" si="4"/>
        <v>4.5963587738409473E-2</v>
      </c>
      <c r="AC13" s="1484">
        <f t="shared" ca="1" si="4"/>
        <v>4.740866610025507E-2</v>
      </c>
      <c r="AD13" s="1484">
        <f t="shared" ca="1" si="4"/>
        <v>5.7450738916256405E-2</v>
      </c>
      <c r="AE13" s="1484">
        <f t="shared" ca="1" si="4"/>
        <v>4.6485739452662322E-2</v>
      </c>
    </row>
    <row r="14" spans="2:31" x14ac:dyDescent="0.25">
      <c r="C14" s="1486" t="s">
        <v>1024</v>
      </c>
      <c r="D14" s="1483"/>
      <c r="E14" s="1483"/>
      <c r="F14" s="1483"/>
      <c r="G14" s="1483"/>
      <c r="H14" s="1484"/>
      <c r="I14" s="1484"/>
      <c r="J14" s="1484"/>
      <c r="K14" s="1484"/>
      <c r="L14" s="1484">
        <f ca="1">+AVERAGE(L11,H11)</f>
        <v>0.12841323688053563</v>
      </c>
      <c r="M14" s="1484">
        <f t="shared" ref="M14:AE14" ca="1" si="5">+AVERAGE(M11,I11)</f>
        <v>2.4049591618966581E-2</v>
      </c>
      <c r="N14" s="1484">
        <f t="shared" ca="1" si="5"/>
        <v>8.3598628164621935E-2</v>
      </c>
      <c r="O14" s="1484">
        <f t="shared" ca="1" si="5"/>
        <v>9.0845378310597913E-2</v>
      </c>
      <c r="P14" s="1484">
        <f t="shared" ca="1" si="5"/>
        <v>5.6955103278808927E-2</v>
      </c>
      <c r="Q14" s="1484">
        <f t="shared" ca="1" si="5"/>
        <v>4.4780176402950067E-2</v>
      </c>
      <c r="R14" s="1484">
        <f t="shared" ca="1" si="5"/>
        <v>4.4690348816411207E-2</v>
      </c>
      <c r="S14" s="1484">
        <f t="shared" ca="1" si="5"/>
        <v>8.5860209951011623E-2</v>
      </c>
      <c r="T14" s="1484">
        <f t="shared" ca="1" si="5"/>
        <v>-5.0498693485943047E-3</v>
      </c>
      <c r="U14" s="1484">
        <f t="shared" ca="1" si="5"/>
        <v>4.9746539474809448E-2</v>
      </c>
      <c r="V14" s="1484">
        <f t="shared" ca="1" si="5"/>
        <v>7.8969571696100971E-2</v>
      </c>
      <c r="W14" s="1484">
        <f t="shared" ca="1" si="5"/>
        <v>4.8040938904145181E-2</v>
      </c>
      <c r="X14" s="1484">
        <f t="shared" ca="1" si="5"/>
        <v>-5.4093636288520708E-2</v>
      </c>
      <c r="Y14" s="1484">
        <f t="shared" ca="1" si="5"/>
        <v>5.3326499457049703E-2</v>
      </c>
      <c r="Z14" s="1484">
        <f t="shared" ca="1" si="5"/>
        <v>0.10437926953663668</v>
      </c>
      <c r="AA14" s="1484">
        <f t="shared" ca="1" si="5"/>
        <v>2.156905750687288E-2</v>
      </c>
      <c r="AB14" s="1484">
        <f t="shared" ca="1" si="5"/>
        <v>-0.10039722937101242</v>
      </c>
      <c r="AC14" s="1484">
        <f t="shared" ca="1" si="5"/>
        <v>5.5447237582000986E-2</v>
      </c>
      <c r="AD14" s="1484">
        <f t="shared" ca="1" si="5"/>
        <v>0.11975923725470472</v>
      </c>
      <c r="AE14" s="1484">
        <f t="shared" ca="1" si="5"/>
        <v>6.1783253564170471E-3</v>
      </c>
    </row>
    <row r="15" spans="2:31" x14ac:dyDescent="0.25">
      <c r="C15" s="1486"/>
      <c r="D15" s="1481"/>
      <c r="E15" s="1484"/>
      <c r="F15" s="1484"/>
      <c r="G15" s="1484"/>
      <c r="H15" s="1484"/>
      <c r="I15" s="1484"/>
      <c r="J15" s="1484"/>
      <c r="K15" s="1484"/>
      <c r="L15" s="1484"/>
      <c r="M15" s="1484"/>
      <c r="N15" s="1484"/>
      <c r="O15" s="1484"/>
      <c r="P15" s="1484"/>
      <c r="Q15" s="1484"/>
      <c r="R15" s="1484"/>
      <c r="S15" s="1484"/>
      <c r="T15" s="1484"/>
      <c r="U15" s="1484"/>
      <c r="V15" s="1484"/>
      <c r="W15" s="1484"/>
      <c r="X15" s="1484"/>
      <c r="Y15" s="1484"/>
      <c r="Z15" s="1484"/>
      <c r="AA15" s="1484"/>
      <c r="AB15" s="1484"/>
      <c r="AC15" s="1484"/>
      <c r="AD15" s="1484"/>
      <c r="AE15" s="1484"/>
    </row>
    <row r="16" spans="2:31" s="1" customFormat="1" x14ac:dyDescent="0.25">
      <c r="C16" s="2" t="s">
        <v>1025</v>
      </c>
      <c r="D16" s="1485">
        <v>9500</v>
      </c>
      <c r="E16" s="1485">
        <v>9100</v>
      </c>
      <c r="F16" s="1485">
        <v>9800</v>
      </c>
      <c r="G16" s="1485">
        <v>10100</v>
      </c>
      <c r="H16" s="1485">
        <v>12500</v>
      </c>
      <c r="I16" s="1485">
        <v>13200</v>
      </c>
      <c r="J16" s="1485">
        <v>14900</v>
      </c>
      <c r="K16" s="1485">
        <v>16300</v>
      </c>
      <c r="L16" s="207">
        <f ca="1">+K16*(1+L46)</f>
        <v>17872.120578909235</v>
      </c>
      <c r="M16" s="207">
        <f t="shared" ref="M16:AE16" ca="1" si="6">+L16*(1+M46)</f>
        <v>18622.778636491275</v>
      </c>
      <c r="N16" s="207">
        <f t="shared" ca="1" si="6"/>
        <v>19102.931878114443</v>
      </c>
      <c r="O16" s="207">
        <f t="shared" ca="1" si="6"/>
        <v>21153.717070960876</v>
      </c>
      <c r="P16" s="207">
        <f t="shared" ca="1" si="6"/>
        <v>21523.084055798678</v>
      </c>
      <c r="Q16" s="207">
        <f t="shared" ca="1" si="6"/>
        <v>22546.694610875158</v>
      </c>
      <c r="R16" s="207">
        <f t="shared" ca="1" si="6"/>
        <v>23980.609886401464</v>
      </c>
      <c r="S16" s="207">
        <f t="shared" ca="1" si="6"/>
        <v>25524.144538587632</v>
      </c>
      <c r="T16" s="207">
        <f t="shared" ca="1" si="6"/>
        <v>24820.677930464884</v>
      </c>
      <c r="U16" s="207">
        <f t="shared" ca="1" si="6"/>
        <v>26109.723665779809</v>
      </c>
      <c r="V16" s="207">
        <f t="shared" ca="1" si="6"/>
        <v>28572.955745188934</v>
      </c>
      <c r="W16" s="207">
        <f t="shared" ca="1" si="6"/>
        <v>29479.173647830557</v>
      </c>
      <c r="X16" s="207">
        <f t="shared" ca="1" si="6"/>
        <v>27102.372746032332</v>
      </c>
      <c r="Y16" s="207">
        <f t="shared" ca="1" si="6"/>
        <v>28585.37800826157</v>
      </c>
      <c r="Z16" s="207">
        <f t="shared" ca="1" si="6"/>
        <v>31856.030586354122</v>
      </c>
      <c r="AA16" s="207">
        <f t="shared" ca="1" si="6"/>
        <v>32219.896018776246</v>
      </c>
      <c r="AB16" s="207">
        <f t="shared" ca="1" si="6"/>
        <v>28348.095033663667</v>
      </c>
      <c r="AC16" s="207">
        <f t="shared" ca="1" si="6"/>
        <v>29940.572649604816</v>
      </c>
      <c r="AD16" s="207">
        <f t="shared" ca="1" si="6"/>
        <v>33686.18308247903</v>
      </c>
      <c r="AE16" s="207">
        <f t="shared" ca="1" si="6"/>
        <v>33717.661710296947</v>
      </c>
    </row>
    <row r="17" spans="3:31" x14ac:dyDescent="0.25">
      <c r="C17" s="1486" t="s">
        <v>1021</v>
      </c>
      <c r="D17" s="1483"/>
      <c r="E17" s="1484">
        <f>+E16/D16-1</f>
        <v>-4.2105263157894757E-2</v>
      </c>
      <c r="F17" s="1484">
        <f t="shared" ref="F17:I17" si="7">+F16/E16-1</f>
        <v>7.6923076923076872E-2</v>
      </c>
      <c r="G17" s="1484">
        <f t="shared" si="7"/>
        <v>3.0612244897959107E-2</v>
      </c>
      <c r="H17" s="1484">
        <f t="shared" si="7"/>
        <v>0.23762376237623761</v>
      </c>
      <c r="I17" s="1484">
        <f t="shared" si="7"/>
        <v>5.600000000000005E-2</v>
      </c>
      <c r="J17" s="1484">
        <f>+J16/I16-1</f>
        <v>0.1287878787878789</v>
      </c>
      <c r="K17" s="1484">
        <f t="shared" ref="K17" si="8">+K16/J16-1</f>
        <v>9.3959731543624248E-2</v>
      </c>
      <c r="L17" s="1484">
        <f ca="1">+L16/K16-1</f>
        <v>9.6449115270505148E-2</v>
      </c>
      <c r="M17" s="1484">
        <f t="shared" ref="M17:AE17" ca="1" si="9">+M16/L16-1</f>
        <v>4.2001622262323401E-2</v>
      </c>
      <c r="N17" s="1484">
        <f t="shared" ca="1" si="9"/>
        <v>2.5783114915102434E-2</v>
      </c>
      <c r="O17" s="1484">
        <f t="shared" ca="1" si="9"/>
        <v>0.10735447343535509</v>
      </c>
      <c r="P17" s="1484">
        <f t="shared" ca="1" si="9"/>
        <v>1.7461091287112707E-2</v>
      </c>
      <c r="Q17" s="1484">
        <f t="shared" ca="1" si="9"/>
        <v>4.7558730543576733E-2</v>
      </c>
      <c r="R17" s="1484">
        <f t="shared" ca="1" si="9"/>
        <v>6.359758271771998E-2</v>
      </c>
      <c r="S17" s="1484">
        <f t="shared" ca="1" si="9"/>
        <v>6.4365946466668156E-2</v>
      </c>
      <c r="T17" s="1484">
        <f t="shared" ca="1" si="9"/>
        <v>-2.7560829984301316E-2</v>
      </c>
      <c r="U17" s="1484">
        <f t="shared" ca="1" si="9"/>
        <v>5.1934348406042163E-2</v>
      </c>
      <c r="V17" s="1484">
        <f t="shared" ca="1" si="9"/>
        <v>9.4341560674481961E-2</v>
      </c>
      <c r="W17" s="1484">
        <f t="shared" ca="1" si="9"/>
        <v>3.1715931341622206E-2</v>
      </c>
      <c r="X17" s="1484">
        <f t="shared" ca="1" si="9"/>
        <v>-8.06264425927401E-2</v>
      </c>
      <c r="Y17" s="1484">
        <f t="shared" ca="1" si="9"/>
        <v>5.4718650508057243E-2</v>
      </c>
      <c r="Z17" s="1484">
        <f t="shared" ca="1" si="9"/>
        <v>0.11441697839879139</v>
      </c>
      <c r="AA17" s="1484">
        <f t="shared" ca="1" si="9"/>
        <v>1.1422183672123554E-2</v>
      </c>
      <c r="AB17" s="1484">
        <f t="shared" ca="1" si="9"/>
        <v>-0.12016801614928474</v>
      </c>
      <c r="AC17" s="1484">
        <f t="shared" ca="1" si="9"/>
        <v>5.6175824655944728E-2</v>
      </c>
      <c r="AD17" s="1484">
        <f t="shared" ca="1" si="9"/>
        <v>0.12510149611061805</v>
      </c>
      <c r="AE17" s="1484">
        <f t="shared" ca="1" si="9"/>
        <v>9.3446704071054043E-4</v>
      </c>
    </row>
    <row r="18" spans="3:31" x14ac:dyDescent="0.25">
      <c r="C18" s="1486" t="s">
        <v>1022</v>
      </c>
      <c r="D18" s="1483"/>
      <c r="E18" s="1483"/>
      <c r="F18" s="1483"/>
      <c r="G18" s="1483"/>
      <c r="H18" s="1484">
        <f>+AVERAGE($E17:H17)</f>
        <v>7.5763455259844709E-2</v>
      </c>
      <c r="I18" s="1484">
        <f>+AVERAGE($E17:I17)</f>
        <v>7.1810764207875771E-2</v>
      </c>
      <c r="J18" s="1484">
        <f>+AVERAGE($E17:J17)</f>
        <v>8.130694997120963E-2</v>
      </c>
      <c r="K18" s="1484">
        <f>+AVERAGE($E17:K17)</f>
        <v>8.3114490195840288E-2</v>
      </c>
      <c r="L18" s="1484">
        <f ca="1">+AVERAGE($E17:L17)</f>
        <v>8.4781318330173397E-2</v>
      </c>
      <c r="M18" s="1484">
        <f ca="1">+AVERAGE($E17:M17)</f>
        <v>8.0028018767078948E-2</v>
      </c>
      <c r="N18" s="1484">
        <f ca="1">+AVERAGE($E17:N17)</f>
        <v>7.4603528381881307E-2</v>
      </c>
      <c r="O18" s="1484">
        <f ca="1">+AVERAGE($E17:O17)</f>
        <v>7.7580887023106185E-2</v>
      </c>
      <c r="P18" s="1484">
        <f ca="1">+AVERAGE($E17:P17)</f>
        <v>7.2570904045106729E-2</v>
      </c>
      <c r="Q18" s="1484">
        <f ca="1">+AVERAGE($E17:Q17)</f>
        <v>7.0646890698835202E-2</v>
      </c>
      <c r="R18" s="1484">
        <f ca="1">+AVERAGE($E17:R17)</f>
        <v>7.0143368700184103E-2</v>
      </c>
      <c r="S18" s="1484">
        <f ca="1">+AVERAGE($E17:S17)</f>
        <v>6.9758207217949703E-2</v>
      </c>
      <c r="T18" s="1484">
        <f ca="1">+AVERAGE($E17:T17)</f>
        <v>6.3675767392809016E-2</v>
      </c>
      <c r="U18" s="1484">
        <f ca="1">+AVERAGE($E17:U17)</f>
        <v>6.2985095687705078E-2</v>
      </c>
      <c r="V18" s="1484">
        <f ca="1">+AVERAGE($E17:V17)</f>
        <v>6.4727121520303799E-2</v>
      </c>
      <c r="W18" s="1484">
        <f ca="1">+AVERAGE($E17:W17)</f>
        <v>6.2989690458267925E-2</v>
      </c>
      <c r="X18" s="1484">
        <f ca="1">+AVERAGE($E17:X17)</f>
        <v>5.5808883805717524E-2</v>
      </c>
      <c r="Y18" s="1484">
        <f ca="1">+AVERAGE($E17:Y17)</f>
        <v>5.5756967934400367E-2</v>
      </c>
      <c r="Z18" s="1484">
        <f ca="1">+AVERAGE($E17:Z17)</f>
        <v>5.8423332046418142E-2</v>
      </c>
      <c r="AA18" s="1484">
        <f ca="1">+AVERAGE($E17:AA17)</f>
        <v>5.6379803856231418E-2</v>
      </c>
      <c r="AB18" s="1484">
        <f ca="1">+AVERAGE($E17:AB17)</f>
        <v>4.9023644689334921E-2</v>
      </c>
      <c r="AC18" s="1484">
        <f ca="1">+AVERAGE($E17:AC17)</f>
        <v>4.9309731887999309E-2</v>
      </c>
      <c r="AD18" s="1484">
        <f ca="1">+AVERAGE($E17:AD17)</f>
        <v>5.2224799742715419E-2</v>
      </c>
      <c r="AE18" s="1484">
        <f ca="1">+AVERAGE($E17:AE17)</f>
        <v>5.0325157790789311E-2</v>
      </c>
    </row>
    <row r="19" spans="3:31" x14ac:dyDescent="0.25">
      <c r="C19" s="1486" t="s">
        <v>1023</v>
      </c>
      <c r="D19" s="1483"/>
      <c r="E19" s="1483"/>
      <c r="F19" s="1483"/>
      <c r="G19" s="1483"/>
      <c r="H19" s="1484">
        <f>+H16/D16-1</f>
        <v>0.31578947368421062</v>
      </c>
      <c r="I19" s="1484">
        <f t="shared" ref="I19:K19" si="10">+I16/E16-1</f>
        <v>0.4505494505494505</v>
      </c>
      <c r="J19" s="1484">
        <f t="shared" si="10"/>
        <v>0.52040816326530615</v>
      </c>
      <c r="K19" s="1484">
        <f t="shared" si="10"/>
        <v>0.61386138613861396</v>
      </c>
      <c r="L19" s="1484">
        <f ca="1">+L16/H16-1</f>
        <v>0.42976964631273873</v>
      </c>
      <c r="M19" s="1484">
        <f t="shared" ref="M19:AE19" ca="1" si="11">+M16/I16-1</f>
        <v>0.41081656337055117</v>
      </c>
      <c r="N19" s="1484">
        <f t="shared" ca="1" si="11"/>
        <v>0.28207596497412379</v>
      </c>
      <c r="O19" s="1484">
        <f t="shared" ca="1" si="11"/>
        <v>0.29777405343318253</v>
      </c>
      <c r="P19" s="1484">
        <f t="shared" ca="1" si="11"/>
        <v>0.20428261217070798</v>
      </c>
      <c r="Q19" s="1484">
        <f t="shared" ca="1" si="11"/>
        <v>0.21070518266779925</v>
      </c>
      <c r="R19" s="1484">
        <f t="shared" ca="1" si="11"/>
        <v>0.25533661740558289</v>
      </c>
      <c r="S19" s="1484">
        <f t="shared" ca="1" si="11"/>
        <v>0.20660328645627657</v>
      </c>
      <c r="T19" s="1484">
        <f t="shared" ca="1" si="11"/>
        <v>0.15321195912803121</v>
      </c>
      <c r="U19" s="1484">
        <f t="shared" ca="1" si="11"/>
        <v>0.15802888700084949</v>
      </c>
      <c r="V19" s="1484">
        <f t="shared" ca="1" si="11"/>
        <v>0.19150246305418706</v>
      </c>
      <c r="W19" s="1484">
        <f t="shared" ca="1" si="11"/>
        <v>0.15495246484220759</v>
      </c>
      <c r="X19" s="1484">
        <f t="shared" ca="1" si="11"/>
        <v>9.1927175476818723E-2</v>
      </c>
      <c r="Y19" s="1484">
        <f t="shared" ca="1" si="11"/>
        <v>9.4817332200509918E-2</v>
      </c>
      <c r="Z19" s="1484">
        <f t="shared" ca="1" si="11"/>
        <v>0.11490147783251259</v>
      </c>
      <c r="AA19" s="1484">
        <f t="shared" ca="1" si="11"/>
        <v>9.2971478905324867E-2</v>
      </c>
      <c r="AB19" s="1484">
        <f t="shared" ca="1" si="11"/>
        <v>4.5963587738409473E-2</v>
      </c>
      <c r="AC19" s="1484">
        <f t="shared" ca="1" si="11"/>
        <v>4.740866610025507E-2</v>
      </c>
      <c r="AD19" s="1484">
        <f t="shared" ca="1" si="11"/>
        <v>5.7450738916256405E-2</v>
      </c>
      <c r="AE19" s="1484">
        <f t="shared" ca="1" si="11"/>
        <v>4.64857394526621E-2</v>
      </c>
    </row>
    <row r="20" spans="3:31" x14ac:dyDescent="0.25">
      <c r="C20" s="1486" t="s">
        <v>1024</v>
      </c>
      <c r="D20" s="1483"/>
      <c r="E20" s="1483"/>
      <c r="F20" s="1483"/>
      <c r="G20" s="1483"/>
      <c r="H20" s="1484"/>
      <c r="I20" s="1484"/>
      <c r="J20" s="1484"/>
      <c r="K20" s="1484"/>
      <c r="L20" s="1484">
        <f ca="1">+AVERAGE(L17,H17)</f>
        <v>0.16703643882337138</v>
      </c>
      <c r="M20" s="1484">
        <f t="shared" ref="M20:AE20" ca="1" si="12">+AVERAGE(M17,I17)</f>
        <v>4.9000811131161726E-2</v>
      </c>
      <c r="N20" s="1484">
        <f t="shared" ca="1" si="12"/>
        <v>7.7285496851490665E-2</v>
      </c>
      <c r="O20" s="1484">
        <f t="shared" ca="1" si="12"/>
        <v>0.10065710248948967</v>
      </c>
      <c r="P20" s="1484">
        <f t="shared" ca="1" si="12"/>
        <v>5.6955103278808927E-2</v>
      </c>
      <c r="Q20" s="1484">
        <f t="shared" ca="1" si="12"/>
        <v>4.4780176402950067E-2</v>
      </c>
      <c r="R20" s="1484">
        <f t="shared" ca="1" si="12"/>
        <v>4.4690348816411207E-2</v>
      </c>
      <c r="S20" s="1484">
        <f t="shared" ca="1" si="12"/>
        <v>8.5860209951011623E-2</v>
      </c>
      <c r="T20" s="1484">
        <f t="shared" ca="1" si="12"/>
        <v>-5.0498693485943047E-3</v>
      </c>
      <c r="U20" s="1484">
        <f t="shared" ca="1" si="12"/>
        <v>4.9746539474809448E-2</v>
      </c>
      <c r="V20" s="1484">
        <f t="shared" ca="1" si="12"/>
        <v>7.8969571696100971E-2</v>
      </c>
      <c r="W20" s="1484">
        <f t="shared" ca="1" si="12"/>
        <v>4.8040938904145181E-2</v>
      </c>
      <c r="X20" s="1484">
        <f t="shared" ca="1" si="12"/>
        <v>-5.4093636288520708E-2</v>
      </c>
      <c r="Y20" s="1484">
        <f t="shared" ca="1" si="12"/>
        <v>5.3326499457049703E-2</v>
      </c>
      <c r="Z20" s="1484">
        <f t="shared" ca="1" si="12"/>
        <v>0.10437926953663668</v>
      </c>
      <c r="AA20" s="1484">
        <f t="shared" ca="1" si="12"/>
        <v>2.156905750687288E-2</v>
      </c>
      <c r="AB20" s="1484">
        <f t="shared" ca="1" si="12"/>
        <v>-0.10039722937101242</v>
      </c>
      <c r="AC20" s="1484">
        <f t="shared" ca="1" si="12"/>
        <v>5.5447237582000986E-2</v>
      </c>
      <c r="AD20" s="1484">
        <f t="shared" ca="1" si="12"/>
        <v>0.11975923725470472</v>
      </c>
      <c r="AE20" s="1484">
        <f t="shared" ca="1" si="12"/>
        <v>6.1783253564170471E-3</v>
      </c>
    </row>
    <row r="21" spans="3:31" x14ac:dyDescent="0.25">
      <c r="C21" s="1486"/>
      <c r="D21" s="1481"/>
      <c r="E21" s="1484"/>
      <c r="F21" s="1484"/>
      <c r="G21" s="1484"/>
      <c r="H21" s="1484"/>
      <c r="I21" s="1484"/>
      <c r="J21" s="1484"/>
      <c r="K21" s="1484"/>
      <c r="L21" s="1484"/>
      <c r="M21" s="1484"/>
      <c r="N21" s="1484"/>
      <c r="O21" s="1484"/>
      <c r="P21" s="1484"/>
      <c r="Q21" s="1484"/>
      <c r="R21" s="1484"/>
      <c r="S21" s="1484"/>
      <c r="T21" s="1484"/>
      <c r="U21" s="1484"/>
      <c r="V21" s="1484"/>
      <c r="W21" s="1484"/>
      <c r="X21" s="1484"/>
      <c r="Y21" s="1484"/>
      <c r="Z21" s="1484"/>
      <c r="AA21" s="1484"/>
      <c r="AB21" s="1484"/>
      <c r="AC21" s="1484"/>
      <c r="AD21" s="1484"/>
      <c r="AE21" s="1484"/>
    </row>
    <row r="22" spans="3:31" s="1" customFormat="1" x14ac:dyDescent="0.25">
      <c r="C22" s="2" t="s">
        <v>1026</v>
      </c>
      <c r="D22" s="1485">
        <v>1800</v>
      </c>
      <c r="E22" s="1485">
        <v>1900</v>
      </c>
      <c r="F22" s="1485">
        <v>2200</v>
      </c>
      <c r="G22" s="1485">
        <v>2500</v>
      </c>
      <c r="H22" s="1485">
        <v>2900</v>
      </c>
      <c r="I22" s="1485">
        <v>3300</v>
      </c>
      <c r="J22" s="1485">
        <v>3700</v>
      </c>
      <c r="K22" s="1485">
        <v>4200</v>
      </c>
      <c r="L22" s="207">
        <f ca="1">+K22*(1+L46)</f>
        <v>4605.0862841361213</v>
      </c>
      <c r="M22" s="207">
        <f t="shared" ref="M22:AE22" ca="1" si="13">+L22*(1+M46)</f>
        <v>4798.5073787278134</v>
      </c>
      <c r="N22" s="207">
        <f t="shared" ca="1" si="13"/>
        <v>4922.2278458945193</v>
      </c>
      <c r="O22" s="207">
        <f t="shared" ca="1" si="13"/>
        <v>5450.6510244193678</v>
      </c>
      <c r="P22" s="207">
        <f t="shared" ca="1" si="13"/>
        <v>5545.8253395309484</v>
      </c>
      <c r="Q22" s="207">
        <f t="shared" ca="1" si="13"/>
        <v>5809.577752495441</v>
      </c>
      <c r="R22" s="207">
        <f t="shared" ca="1" si="13"/>
        <v>6179.0528541647955</v>
      </c>
      <c r="S22" s="207">
        <f t="shared" ca="1" si="13"/>
        <v>6576.7734393906794</v>
      </c>
      <c r="T22" s="207">
        <f t="shared" ca="1" si="13"/>
        <v>6395.5121047823641</v>
      </c>
      <c r="U22" s="207">
        <f t="shared" ca="1" si="13"/>
        <v>6727.6588586671915</v>
      </c>
      <c r="V22" s="207">
        <f t="shared" ca="1" si="13"/>
        <v>7362.3566950793584</v>
      </c>
      <c r="W22" s="207">
        <f t="shared" ca="1" si="13"/>
        <v>7595.8606945330275</v>
      </c>
      <c r="X22" s="207">
        <f t="shared" ca="1" si="13"/>
        <v>6983.4334683028092</v>
      </c>
      <c r="Y22" s="207">
        <f t="shared" ca="1" si="13"/>
        <v>7365.5575236011409</v>
      </c>
      <c r="Z22" s="207">
        <f t="shared" ca="1" si="13"/>
        <v>8208.3023596740677</v>
      </c>
      <c r="AA22" s="207">
        <f t="shared" ca="1" si="13"/>
        <v>8302.0590968625893</v>
      </c>
      <c r="AB22" s="207">
        <f t="shared" ca="1" si="13"/>
        <v>7304.4171252384895</v>
      </c>
      <c r="AC22" s="207">
        <f t="shared" ca="1" si="13"/>
        <v>7714.7487808797669</v>
      </c>
      <c r="AD22" s="207">
        <f t="shared" ca="1" si="13"/>
        <v>8679.8753954853928</v>
      </c>
      <c r="AE22" s="207">
        <f t="shared" ca="1" si="13"/>
        <v>8687.986452959949</v>
      </c>
    </row>
    <row r="23" spans="3:31" x14ac:dyDescent="0.25">
      <c r="C23" s="1486" t="s">
        <v>1021</v>
      </c>
      <c r="D23" s="1483"/>
      <c r="E23" s="1484">
        <f>+E22/D22-1</f>
        <v>5.555555555555558E-2</v>
      </c>
      <c r="F23" s="1484">
        <f t="shared" ref="F23:I23" si="14">+F22/E22-1</f>
        <v>0.15789473684210531</v>
      </c>
      <c r="G23" s="1484">
        <f t="shared" si="14"/>
        <v>0.13636363636363646</v>
      </c>
      <c r="H23" s="1484">
        <f t="shared" si="14"/>
        <v>0.15999999999999992</v>
      </c>
      <c r="I23" s="1484">
        <f t="shared" si="14"/>
        <v>0.13793103448275867</v>
      </c>
      <c r="J23" s="1484">
        <f>+J22/I22-1</f>
        <v>0.1212121212121211</v>
      </c>
      <c r="K23" s="1484">
        <f t="shared" ref="K23" si="15">+K22/J22-1</f>
        <v>0.13513513513513509</v>
      </c>
      <c r="L23" s="1484">
        <f ca="1">+L22/K22-1</f>
        <v>9.6449115270505148E-2</v>
      </c>
      <c r="M23" s="1484">
        <f t="shared" ref="M23:AE23" ca="1" si="16">+M22/L22-1</f>
        <v>4.2001622262323401E-2</v>
      </c>
      <c r="N23" s="1484">
        <f t="shared" ca="1" si="16"/>
        <v>2.5783114915102434E-2</v>
      </c>
      <c r="O23" s="1484">
        <f t="shared" ca="1" si="16"/>
        <v>0.10735447343535509</v>
      </c>
      <c r="P23" s="1484">
        <f t="shared" ca="1" si="16"/>
        <v>1.7461091287112707E-2</v>
      </c>
      <c r="Q23" s="1484">
        <f t="shared" ca="1" si="16"/>
        <v>4.7558730543576733E-2</v>
      </c>
      <c r="R23" s="1484">
        <f t="shared" ca="1" si="16"/>
        <v>6.359758271771998E-2</v>
      </c>
      <c r="S23" s="1484">
        <f t="shared" ca="1" si="16"/>
        <v>6.4365946466668156E-2</v>
      </c>
      <c r="T23" s="1484">
        <f t="shared" ca="1" si="16"/>
        <v>-2.7560829984301316E-2</v>
      </c>
      <c r="U23" s="1484">
        <f t="shared" ca="1" si="16"/>
        <v>5.1934348406042163E-2</v>
      </c>
      <c r="V23" s="1484">
        <f t="shared" ca="1" si="16"/>
        <v>9.4341560674481961E-2</v>
      </c>
      <c r="W23" s="1484">
        <f t="shared" ca="1" si="16"/>
        <v>3.1715931341622206E-2</v>
      </c>
      <c r="X23" s="1484">
        <f t="shared" ca="1" si="16"/>
        <v>-8.06264425927401E-2</v>
      </c>
      <c r="Y23" s="1484">
        <f t="shared" ca="1" si="16"/>
        <v>5.4718650508057243E-2</v>
      </c>
      <c r="Z23" s="1484">
        <f t="shared" ca="1" si="16"/>
        <v>0.11441697839879139</v>
      </c>
      <c r="AA23" s="1484">
        <f t="shared" ca="1" si="16"/>
        <v>1.1422183672123554E-2</v>
      </c>
      <c r="AB23" s="1484">
        <f t="shared" ca="1" si="16"/>
        <v>-0.12016801614928474</v>
      </c>
      <c r="AC23" s="1484">
        <f t="shared" ca="1" si="16"/>
        <v>5.6175824655944728E-2</v>
      </c>
      <c r="AD23" s="1484">
        <f t="shared" ca="1" si="16"/>
        <v>0.12510149611061805</v>
      </c>
      <c r="AE23" s="1484">
        <f t="shared" ca="1" si="16"/>
        <v>9.3446704071054043E-4</v>
      </c>
    </row>
    <row r="24" spans="3:31" x14ac:dyDescent="0.25">
      <c r="C24" s="1486" t="s">
        <v>1022</v>
      </c>
      <c r="D24" s="1483"/>
      <c r="E24" s="1483"/>
      <c r="F24" s="1483"/>
      <c r="G24" s="1483"/>
      <c r="H24" s="1484">
        <f>+AVERAGE($E23:H23)</f>
        <v>0.12745348219032432</v>
      </c>
      <c r="I24" s="1484">
        <f>+AVERAGE($E23:I23)</f>
        <v>0.1295489926488112</v>
      </c>
      <c r="J24" s="1484">
        <f>+AVERAGE($E23:J23)</f>
        <v>0.12815951407602952</v>
      </c>
      <c r="K24" s="1484">
        <f>+AVERAGE($E23:K23)</f>
        <v>0.12915603137018744</v>
      </c>
      <c r="L24" s="1484">
        <f ca="1">+AVERAGE($E23:L23)</f>
        <v>0.12506766685772716</v>
      </c>
      <c r="M24" s="1484">
        <f ca="1">+AVERAGE($E23:M23)</f>
        <v>0.11583810634712674</v>
      </c>
      <c r="N24" s="1484">
        <f ca="1">+AVERAGE($E23:N23)</f>
        <v>0.10683260720392432</v>
      </c>
      <c r="O24" s="1484">
        <f ca="1">+AVERAGE($E23:O23)</f>
        <v>0.10688004958859984</v>
      </c>
      <c r="P24" s="1484">
        <f ca="1">+AVERAGE($E23:P23)</f>
        <v>9.9428469730142577E-2</v>
      </c>
      <c r="Q24" s="1484">
        <f ca="1">+AVERAGE($E23:Q23)</f>
        <v>9.5438489792714437E-2</v>
      </c>
      <c r="R24" s="1484">
        <f ca="1">+AVERAGE($E23:R23)</f>
        <v>9.3164139287357686E-2</v>
      </c>
      <c r="S24" s="1484">
        <f ca="1">+AVERAGE($E23:S23)</f>
        <v>9.1244259765978386E-2</v>
      </c>
      <c r="T24" s="1484">
        <f ca="1">+AVERAGE($E23:T23)</f>
        <v>8.3818941656585905E-2</v>
      </c>
      <c r="U24" s="1484">
        <f ca="1">+AVERAGE($E23:U23)</f>
        <v>8.1943377347730384E-2</v>
      </c>
      <c r="V24" s="1484">
        <f ca="1">+AVERAGE($E23:V23)</f>
        <v>8.2632165310327702E-2</v>
      </c>
      <c r="W24" s="1484">
        <f ca="1">+AVERAGE($E23:W23)</f>
        <v>7.9952363522501096E-2</v>
      </c>
      <c r="X24" s="1484">
        <f ca="1">+AVERAGE($E23:X23)</f>
        <v>7.192342321673903E-2</v>
      </c>
      <c r="Y24" s="1484">
        <f ca="1">+AVERAGE($E23:Y23)</f>
        <v>7.1104148325849423E-2</v>
      </c>
      <c r="Z24" s="1484">
        <f ca="1">+AVERAGE($E23:Z23)</f>
        <v>7.3072913329164976E-2</v>
      </c>
      <c r="AA24" s="1484">
        <f ca="1">+AVERAGE($E23:AA23)</f>
        <v>7.0392446822337085E-2</v>
      </c>
      <c r="AB24" s="1484">
        <f ca="1">+AVERAGE($E23:AB23)</f>
        <v>6.2452427531852837E-2</v>
      </c>
      <c r="AC24" s="1484">
        <f ca="1">+AVERAGE($E23:AC23)</f>
        <v>6.2201363416816507E-2</v>
      </c>
      <c r="AD24" s="1484">
        <f ca="1">+AVERAGE($E23:AD23)</f>
        <v>6.4620599289655037E-2</v>
      </c>
      <c r="AE24" s="1484">
        <f ca="1">+AVERAGE($E23:AE23)</f>
        <v>6.2261853650805235E-2</v>
      </c>
    </row>
    <row r="25" spans="3:31" x14ac:dyDescent="0.25">
      <c r="C25" s="1486" t="s">
        <v>1023</v>
      </c>
      <c r="D25" s="1483"/>
      <c r="E25" s="1483"/>
      <c r="F25" s="1483"/>
      <c r="G25" s="1483"/>
      <c r="H25" s="1484">
        <f>+H22/D22-1</f>
        <v>0.61111111111111116</v>
      </c>
      <c r="I25" s="1484">
        <f t="shared" ref="I25:K25" si="17">+I22/E22-1</f>
        <v>0.73684210526315796</v>
      </c>
      <c r="J25" s="1484">
        <f t="shared" si="17"/>
        <v>0.68181818181818188</v>
      </c>
      <c r="K25" s="1484">
        <f t="shared" si="17"/>
        <v>0.67999999999999994</v>
      </c>
      <c r="L25" s="1484">
        <f ca="1">+L22/H22-1</f>
        <v>0.58796078763314519</v>
      </c>
      <c r="M25" s="1484">
        <f t="shared" ref="M25:AE25" ca="1" si="18">+M22/I22-1</f>
        <v>0.45409314506903442</v>
      </c>
      <c r="N25" s="1484">
        <f t="shared" ca="1" si="18"/>
        <v>0.33033185024176204</v>
      </c>
      <c r="O25" s="1484">
        <f t="shared" ca="1" si="18"/>
        <v>0.29777405343318275</v>
      </c>
      <c r="P25" s="1484">
        <f t="shared" ca="1" si="18"/>
        <v>0.2042826121707082</v>
      </c>
      <c r="Q25" s="1484">
        <f t="shared" ca="1" si="18"/>
        <v>0.21070518266779947</v>
      </c>
      <c r="R25" s="1484">
        <f t="shared" ca="1" si="18"/>
        <v>0.25533661740558311</v>
      </c>
      <c r="S25" s="1484">
        <f t="shared" ca="1" si="18"/>
        <v>0.20660328645627657</v>
      </c>
      <c r="T25" s="1484">
        <f t="shared" ca="1" si="18"/>
        <v>0.15321195912803121</v>
      </c>
      <c r="U25" s="1484">
        <f t="shared" ca="1" si="18"/>
        <v>0.15802888700084927</v>
      </c>
      <c r="V25" s="1484">
        <f t="shared" ca="1" si="18"/>
        <v>0.19150246305418706</v>
      </c>
      <c r="W25" s="1484">
        <f t="shared" ca="1" si="18"/>
        <v>0.15495246484220737</v>
      </c>
      <c r="X25" s="1484">
        <f t="shared" ca="1" si="18"/>
        <v>9.1927175476818501E-2</v>
      </c>
      <c r="Y25" s="1484">
        <f t="shared" ca="1" si="18"/>
        <v>9.4817332200509696E-2</v>
      </c>
      <c r="Z25" s="1484">
        <f t="shared" ca="1" si="18"/>
        <v>0.11490147783251237</v>
      </c>
      <c r="AA25" s="1484">
        <f t="shared" ca="1" si="18"/>
        <v>9.2971478905324645E-2</v>
      </c>
      <c r="AB25" s="1484">
        <f t="shared" ca="1" si="18"/>
        <v>4.5963587738409251E-2</v>
      </c>
      <c r="AC25" s="1484">
        <f t="shared" ca="1" si="18"/>
        <v>4.7408666100254848E-2</v>
      </c>
      <c r="AD25" s="1484">
        <f t="shared" ca="1" si="18"/>
        <v>5.7450738916256183E-2</v>
      </c>
      <c r="AE25" s="1484">
        <f t="shared" ca="1" si="18"/>
        <v>4.6485739452662322E-2</v>
      </c>
    </row>
    <row r="26" spans="3:31" x14ac:dyDescent="0.25">
      <c r="C26" s="1486" t="s">
        <v>1024</v>
      </c>
      <c r="D26" s="1483"/>
      <c r="E26" s="1483"/>
      <c r="F26" s="1483"/>
      <c r="G26" s="1483"/>
      <c r="H26" s="1484"/>
      <c r="I26" s="1484"/>
      <c r="J26" s="1484"/>
      <c r="K26" s="1484"/>
      <c r="L26" s="1484">
        <f ca="1">+AVERAGE(L23,H23)</f>
        <v>0.12822455763525253</v>
      </c>
      <c r="M26" s="1484">
        <f t="shared" ref="M26:AE26" ca="1" si="19">+AVERAGE(M23,I23)</f>
        <v>8.9966328372541038E-2</v>
      </c>
      <c r="N26" s="1484">
        <f t="shared" ca="1" si="19"/>
        <v>7.3497618063611769E-2</v>
      </c>
      <c r="O26" s="1484">
        <f t="shared" ca="1" si="19"/>
        <v>0.12124480428524509</v>
      </c>
      <c r="P26" s="1484">
        <f t="shared" ca="1" si="19"/>
        <v>5.6955103278808927E-2</v>
      </c>
      <c r="Q26" s="1484">
        <f t="shared" ca="1" si="19"/>
        <v>4.4780176402950067E-2</v>
      </c>
      <c r="R26" s="1484">
        <f t="shared" ca="1" si="19"/>
        <v>4.4690348816411207E-2</v>
      </c>
      <c r="S26" s="1484">
        <f t="shared" ca="1" si="19"/>
        <v>8.5860209951011623E-2</v>
      </c>
      <c r="T26" s="1484">
        <f t="shared" ca="1" si="19"/>
        <v>-5.0498693485943047E-3</v>
      </c>
      <c r="U26" s="1484">
        <f t="shared" ca="1" si="19"/>
        <v>4.9746539474809448E-2</v>
      </c>
      <c r="V26" s="1484">
        <f t="shared" ca="1" si="19"/>
        <v>7.8969571696100971E-2</v>
      </c>
      <c r="W26" s="1484">
        <f t="shared" ca="1" si="19"/>
        <v>4.8040938904145181E-2</v>
      </c>
      <c r="X26" s="1484">
        <f t="shared" ca="1" si="19"/>
        <v>-5.4093636288520708E-2</v>
      </c>
      <c r="Y26" s="1484">
        <f t="shared" ca="1" si="19"/>
        <v>5.3326499457049703E-2</v>
      </c>
      <c r="Z26" s="1484">
        <f t="shared" ca="1" si="19"/>
        <v>0.10437926953663668</v>
      </c>
      <c r="AA26" s="1484">
        <f t="shared" ca="1" si="19"/>
        <v>2.156905750687288E-2</v>
      </c>
      <c r="AB26" s="1484">
        <f t="shared" ca="1" si="19"/>
        <v>-0.10039722937101242</v>
      </c>
      <c r="AC26" s="1484">
        <f t="shared" ca="1" si="19"/>
        <v>5.5447237582000986E-2</v>
      </c>
      <c r="AD26" s="1484">
        <f t="shared" ca="1" si="19"/>
        <v>0.11975923725470472</v>
      </c>
      <c r="AE26" s="1484">
        <f t="shared" ca="1" si="19"/>
        <v>6.1783253564170471E-3</v>
      </c>
    </row>
    <row r="27" spans="3:31" x14ac:dyDescent="0.25">
      <c r="C27" s="1486"/>
      <c r="D27" s="1483"/>
      <c r="E27" s="1483"/>
      <c r="F27" s="1483"/>
      <c r="G27" s="1483"/>
      <c r="H27" s="1484"/>
      <c r="I27" s="1484"/>
      <c r="J27" s="1484"/>
      <c r="K27" s="1484">
        <f>+K22/K10</f>
        <v>6.919275123558484E-2</v>
      </c>
      <c r="L27" s="1484">
        <f t="shared" ref="L27:AE27" ca="1" si="20">+L22/L10</f>
        <v>6.919275123558484E-2</v>
      </c>
      <c r="M27" s="1484">
        <f t="shared" ca="1" si="20"/>
        <v>6.919275123558484E-2</v>
      </c>
      <c r="N27" s="1484">
        <f t="shared" ca="1" si="20"/>
        <v>6.919275123558484E-2</v>
      </c>
      <c r="O27" s="1484">
        <f t="shared" ca="1" si="20"/>
        <v>6.919275123558484E-2</v>
      </c>
      <c r="P27" s="1484">
        <f t="shared" ca="1" si="20"/>
        <v>6.919275123558484E-2</v>
      </c>
      <c r="Q27" s="1484">
        <f t="shared" ca="1" si="20"/>
        <v>6.919275123558484E-2</v>
      </c>
      <c r="R27" s="1484">
        <f t="shared" ca="1" si="20"/>
        <v>6.919275123558484E-2</v>
      </c>
      <c r="S27" s="1484">
        <f t="shared" ca="1" si="20"/>
        <v>6.919275123558484E-2</v>
      </c>
      <c r="T27" s="1484">
        <f t="shared" ca="1" si="20"/>
        <v>6.919275123558484E-2</v>
      </c>
      <c r="U27" s="1484">
        <f t="shared" ca="1" si="20"/>
        <v>6.919275123558484E-2</v>
      </c>
      <c r="V27" s="1484">
        <f t="shared" ca="1" si="20"/>
        <v>6.919275123558484E-2</v>
      </c>
      <c r="W27" s="1484">
        <f t="shared" ca="1" si="20"/>
        <v>6.919275123558484E-2</v>
      </c>
      <c r="X27" s="1484">
        <f t="shared" ca="1" si="20"/>
        <v>6.9192751235584826E-2</v>
      </c>
      <c r="Y27" s="1484">
        <f t="shared" ca="1" si="20"/>
        <v>6.9192751235584826E-2</v>
      </c>
      <c r="Z27" s="1484">
        <f t="shared" ca="1" si="20"/>
        <v>6.9192751235584826E-2</v>
      </c>
      <c r="AA27" s="1484">
        <f t="shared" ca="1" si="20"/>
        <v>6.9192751235584812E-2</v>
      </c>
      <c r="AB27" s="1484">
        <f t="shared" ca="1" si="20"/>
        <v>6.9192751235584812E-2</v>
      </c>
      <c r="AC27" s="1484">
        <f t="shared" ca="1" si="20"/>
        <v>6.9192751235584812E-2</v>
      </c>
      <c r="AD27" s="1484">
        <f t="shared" ca="1" si="20"/>
        <v>6.9192751235584812E-2</v>
      </c>
      <c r="AE27" s="1484">
        <f t="shared" ca="1" si="20"/>
        <v>6.9192751235584826E-2</v>
      </c>
    </row>
    <row r="28" spans="3:31" x14ac:dyDescent="0.25">
      <c r="C28" s="3"/>
      <c r="D28" s="1481"/>
      <c r="E28" s="1484"/>
      <c r="F28" s="1484"/>
      <c r="G28" s="1484"/>
      <c r="H28" s="1484"/>
      <c r="I28" s="1484"/>
      <c r="J28" s="1484"/>
      <c r="K28" s="1484"/>
      <c r="L28" s="1484"/>
      <c r="M28" s="1484"/>
    </row>
    <row r="29" spans="3:31" x14ac:dyDescent="0.25">
      <c r="C29" s="191" t="s">
        <v>1027</v>
      </c>
    </row>
    <row r="30" spans="3:31" x14ac:dyDescent="0.25">
      <c r="C30" s="3" t="s">
        <v>588</v>
      </c>
      <c r="D30" s="1487">
        <v>40055</v>
      </c>
      <c r="E30" s="1487">
        <v>43502</v>
      </c>
      <c r="F30" s="1487">
        <v>46030</v>
      </c>
      <c r="G30" s="1487">
        <v>51111</v>
      </c>
      <c r="H30" s="1487">
        <v>58010</v>
      </c>
      <c r="I30" s="1487">
        <v>65194</v>
      </c>
      <c r="J30" s="1487">
        <v>72172</v>
      </c>
      <c r="K30" s="1487">
        <v>78131</v>
      </c>
      <c r="L30" s="1488">
        <f t="shared" ref="L30:AE33" ca="1" si="21">+L39*L$8</f>
        <v>85666.665825199845</v>
      </c>
      <c r="M30" s="1488">
        <f t="shared" ca="1" si="21"/>
        <v>89264.804763662571</v>
      </c>
      <c r="N30" s="1488">
        <f t="shared" ca="1" si="21"/>
        <v>91566.329482758272</v>
      </c>
      <c r="O30" s="1488">
        <f t="shared" ca="1" si="21"/>
        <v>101396.38456878801</v>
      </c>
      <c r="P30" s="1488">
        <f t="shared" ca="1" si="21"/>
        <v>103166.87609592681</v>
      </c>
      <c r="Q30" s="1488">
        <f t="shared" ca="1" si="21"/>
        <v>108073.36175719555</v>
      </c>
      <c r="R30" s="1488">
        <f t="shared" ca="1" si="21"/>
        <v>114946.56632113087</v>
      </c>
      <c r="S30" s="1488">
        <f t="shared" ca="1" si="21"/>
        <v>122345.21085548411</v>
      </c>
      <c r="T30" s="1488">
        <f t="shared" ca="1" si="21"/>
        <v>118973.27529970261</v>
      </c>
      <c r="U30" s="1488">
        <f t="shared" ca="1" si="21"/>
        <v>125152.07483012535</v>
      </c>
      <c r="V30" s="1488">
        <f t="shared" ca="1" si="21"/>
        <v>136959.11689124894</v>
      </c>
      <c r="W30" s="1488">
        <f t="shared" ca="1" si="21"/>
        <v>141302.90283918098</v>
      </c>
      <c r="X30" s="1488">
        <f t="shared" ca="1" si="21"/>
        <v>129910.15245523023</v>
      </c>
      <c r="Y30" s="1488">
        <f t="shared" ca="1" si="21"/>
        <v>137018.66068487641</v>
      </c>
      <c r="Z30" s="1488">
        <f t="shared" ca="1" si="21"/>
        <v>152695.92182468923</v>
      </c>
      <c r="AA30" s="1488">
        <f t="shared" ca="1" si="21"/>
        <v>154440.04268975504</v>
      </c>
      <c r="AB30" s="1488">
        <f t="shared" ca="1" si="21"/>
        <v>135881.28914571632</v>
      </c>
      <c r="AC30" s="1488">
        <f t="shared" ca="1" si="21"/>
        <v>143514.53261878982</v>
      </c>
      <c r="AD30" s="1488">
        <f t="shared" ca="1" si="21"/>
        <v>161468.41536301651</v>
      </c>
      <c r="AE30" s="1488">
        <f t="shared" ca="1" si="21"/>
        <v>161619.30227528902</v>
      </c>
    </row>
    <row r="31" spans="3:31" x14ac:dyDescent="0.25">
      <c r="C31" s="3" t="s">
        <v>1028</v>
      </c>
      <c r="D31" s="1487">
        <v>9275</v>
      </c>
      <c r="E31" s="1487">
        <v>9056</v>
      </c>
      <c r="F31" s="1487">
        <v>9029</v>
      </c>
      <c r="G31" s="1487">
        <v>11141</v>
      </c>
      <c r="H31" s="1487">
        <v>11748</v>
      </c>
      <c r="I31" s="1487">
        <v>11218</v>
      </c>
      <c r="J31" s="1487">
        <v>10619</v>
      </c>
      <c r="K31" s="1487">
        <v>11146</v>
      </c>
      <c r="L31" s="1488">
        <f t="shared" ca="1" si="21"/>
        <v>14372.395061439174</v>
      </c>
      <c r="M31" s="1488">
        <f t="shared" ca="1" si="21"/>
        <v>14976.058969814625</v>
      </c>
      <c r="N31" s="1488">
        <f t="shared" ca="1" si="21"/>
        <v>15362.188419208707</v>
      </c>
      <c r="O31" s="1488">
        <f t="shared" ca="1" si="21"/>
        <v>17011.388067767566</v>
      </c>
      <c r="P31" s="1488">
        <f t="shared" ca="1" si="21"/>
        <v>17308.425467739355</v>
      </c>
      <c r="Q31" s="1488">
        <f t="shared" ca="1" si="21"/>
        <v>18131.592210693154</v>
      </c>
      <c r="R31" s="1488">
        <f t="shared" ca="1" si="21"/>
        <v>19284.717646116678</v>
      </c>
      <c r="S31" s="1488">
        <f t="shared" ca="1" si="21"/>
        <v>20525.996749751437</v>
      </c>
      <c r="T31" s="1488">
        <f t="shared" ca="1" si="21"/>
        <v>19960.283243073212</v>
      </c>
      <c r="U31" s="1488">
        <f t="shared" ca="1" si="21"/>
        <v>20996.907547302268</v>
      </c>
      <c r="V31" s="1488">
        <f t="shared" ca="1" si="21"/>
        <v>22977.788574652572</v>
      </c>
      <c r="W31" s="1488">
        <f t="shared" ca="1" si="21"/>
        <v>23706.550539468561</v>
      </c>
      <c r="X31" s="1488">
        <f t="shared" ca="1" si="21"/>
        <v>21795.175703326207</v>
      </c>
      <c r="Y31" s="1488">
        <f t="shared" ca="1" si="21"/>
        <v>22987.778305398217</v>
      </c>
      <c r="Z31" s="1488">
        <f t="shared" ca="1" si="21"/>
        <v>25617.970439203167</v>
      </c>
      <c r="AA31" s="1488">
        <f t="shared" ca="1" si="21"/>
        <v>25910.583602866776</v>
      </c>
      <c r="AB31" s="1488">
        <f t="shared" ca="1" si="21"/>
        <v>22796.96017404009</v>
      </c>
      <c r="AC31" s="1488">
        <f t="shared" ca="1" si="21"/>
        <v>24077.598211465523</v>
      </c>
      <c r="AD31" s="1488">
        <f t="shared" ca="1" si="21"/>
        <v>27089.741770470198</v>
      </c>
      <c r="AE31" s="1488">
        <f t="shared" ca="1" si="21"/>
        <v>27115.056241296064</v>
      </c>
    </row>
    <row r="32" spans="3:31" x14ac:dyDescent="0.25">
      <c r="C32" s="3" t="s">
        <v>624</v>
      </c>
      <c r="D32" s="1487">
        <v>5035</v>
      </c>
      <c r="E32" s="1487">
        <v>4833</v>
      </c>
      <c r="F32" s="1487">
        <v>6695</v>
      </c>
      <c r="G32" s="1487">
        <v>8095</v>
      </c>
      <c r="H32" s="1487">
        <v>8080</v>
      </c>
      <c r="I32" s="1487">
        <v>8036</v>
      </c>
      <c r="J32" s="1487">
        <v>8192</v>
      </c>
      <c r="K32" s="1487">
        <v>8410</v>
      </c>
      <c r="L32" s="1488">
        <f t="shared" ca="1" si="21"/>
        <v>10473.498660707366</v>
      </c>
      <c r="M32" s="1488">
        <f t="shared" ca="1" si="21"/>
        <v>10913.402595219348</v>
      </c>
      <c r="N32" s="1488">
        <f t="shared" ca="1" si="21"/>
        <v>11194.784108446665</v>
      </c>
      <c r="O32" s="1488">
        <f t="shared" ca="1" si="21"/>
        <v>12396.594261631437</v>
      </c>
      <c r="P32" s="1488">
        <f t="shared" ca="1" si="21"/>
        <v>12613.052325683082</v>
      </c>
      <c r="Q32" s="1488">
        <f t="shared" ca="1" si="21"/>
        <v>13212.913082572277</v>
      </c>
      <c r="R32" s="1488">
        <f t="shared" ca="1" si="21"/>
        <v>14053.222415283211</v>
      </c>
      <c r="S32" s="1488">
        <f t="shared" ca="1" si="21"/>
        <v>14957.771376949513</v>
      </c>
      <c r="T32" s="1488">
        <f t="shared" ca="1" si="21"/>
        <v>14545.522783085358</v>
      </c>
      <c r="U32" s="1488">
        <f t="shared" ca="1" si="21"/>
        <v>15300.93503105014</v>
      </c>
      <c r="V32" s="1488">
        <f t="shared" ca="1" si="21"/>
        <v>16744.449121658261</v>
      </c>
      <c r="W32" s="1488">
        <f t="shared" ca="1" si="21"/>
        <v>17275.51492035406</v>
      </c>
      <c r="X32" s="1488">
        <f t="shared" ca="1" si="21"/>
        <v>15882.651608368109</v>
      </c>
      <c r="Y32" s="1488">
        <f t="shared" ca="1" si="21"/>
        <v>16751.728870867635</v>
      </c>
      <c r="Z32" s="1488">
        <f t="shared" ca="1" si="21"/>
        <v>18668.411071228107</v>
      </c>
      <c r="AA32" s="1488">
        <f t="shared" ca="1" si="21"/>
        <v>18881.64509135038</v>
      </c>
      <c r="AB32" s="1488">
        <f t="shared" ca="1" si="21"/>
        <v>16612.675259087922</v>
      </c>
      <c r="AC32" s="1488">
        <f t="shared" ca="1" si="21"/>
        <v>17545.9059915086</v>
      </c>
      <c r="AD32" s="1488">
        <f t="shared" ca="1" si="21"/>
        <v>19740.925081662583</v>
      </c>
      <c r="AE32" s="1488">
        <f t="shared" ca="1" si="21"/>
        <v>19759.372325504533</v>
      </c>
    </row>
    <row r="33" spans="3:31" x14ac:dyDescent="0.25">
      <c r="C33" s="3" t="s">
        <v>591</v>
      </c>
      <c r="D33" s="1487">
        <v>995</v>
      </c>
      <c r="E33" s="1487">
        <v>1412</v>
      </c>
      <c r="F33" s="1487">
        <v>1841</v>
      </c>
      <c r="G33" s="1487">
        <v>2667</v>
      </c>
      <c r="H33" s="1487">
        <v>3382</v>
      </c>
      <c r="I33" s="1487">
        <v>3938</v>
      </c>
      <c r="J33" s="1487">
        <v>5082</v>
      </c>
      <c r="K33" s="1487">
        <v>6137</v>
      </c>
      <c r="L33" s="1488">
        <f t="shared" ca="1" si="21"/>
        <v>6942.7413877185782</v>
      </c>
      <c r="M33" s="1488">
        <f t="shared" ca="1" si="21"/>
        <v>7234.347788950533</v>
      </c>
      <c r="N33" s="1488">
        <f t="shared" ca="1" si="21"/>
        <v>7420.8718093288617</v>
      </c>
      <c r="O33" s="1488">
        <f t="shared" ca="1" si="21"/>
        <v>8217.5355948506312</v>
      </c>
      <c r="P33" s="1488">
        <f t="shared" ca="1" si="21"/>
        <v>8361.0227340274178</v>
      </c>
      <c r="Q33" s="1488">
        <f t="shared" ca="1" si="21"/>
        <v>8758.6623613037464</v>
      </c>
      <c r="R33" s="1488">
        <f t="shared" ca="1" si="21"/>
        <v>9315.6921153233416</v>
      </c>
      <c r="S33" s="1488">
        <f t="shared" ca="1" si="21"/>
        <v>9915.3054553182064</v>
      </c>
      <c r="T33" s="1488">
        <f t="shared" ca="1" si="21"/>
        <v>9642.0314074217658</v>
      </c>
      <c r="U33" s="1488">
        <f t="shared" ca="1" si="21"/>
        <v>10142.78402587681</v>
      </c>
      <c r="V33" s="1488">
        <f t="shared" ca="1" si="21"/>
        <v>11099.670100462234</v>
      </c>
      <c r="W33" s="1488">
        <f t="shared" ca="1" si="21"/>
        <v>11451.70647528315</v>
      </c>
      <c r="X33" s="1488">
        <f t="shared" ca="1" si="21"/>
        <v>10528.396120564823</v>
      </c>
      <c r="Y33" s="1488">
        <f t="shared" ca="1" si="21"/>
        <v>11104.495748296395</v>
      </c>
      <c r="Z33" s="1488">
        <f t="shared" ca="1" si="21"/>
        <v>12375.038598458694</v>
      </c>
      <c r="AA33" s="1488">
        <f t="shared" ca="1" si="21"/>
        <v>12516.388562279908</v>
      </c>
      <c r="AB33" s="1488">
        <f t="shared" ca="1" si="21"/>
        <v>11012.318979397132</v>
      </c>
      <c r="AC33" s="1488">
        <f t="shared" ca="1" si="21"/>
        <v>11630.94507943908</v>
      </c>
      <c r="AD33" s="1488">
        <f t="shared" ca="1" si="21"/>
        <v>13085.993710057339</v>
      </c>
      <c r="AE33" s="1488">
        <f t="shared" ca="1" si="21"/>
        <v>13098.222139874333</v>
      </c>
    </row>
    <row r="34" spans="3:31" x14ac:dyDescent="0.25">
      <c r="C34" t="s">
        <v>1029</v>
      </c>
      <c r="D34" s="1489">
        <f>SUM(D30:D33)</f>
        <v>55360</v>
      </c>
      <c r="E34" s="1489">
        <f>SUM(E30:E33)</f>
        <v>58803</v>
      </c>
      <c r="F34" s="1489">
        <f t="shared" ref="F34:AE34" si="22">SUM(F30:F33)</f>
        <v>63595</v>
      </c>
      <c r="G34" s="1489">
        <f t="shared" si="22"/>
        <v>73014</v>
      </c>
      <c r="H34" s="1489">
        <f t="shared" si="22"/>
        <v>81220</v>
      </c>
      <c r="I34" s="1489">
        <f t="shared" si="22"/>
        <v>88386</v>
      </c>
      <c r="J34" s="1489">
        <f t="shared" si="22"/>
        <v>96065</v>
      </c>
      <c r="K34" s="1489">
        <f t="shared" si="22"/>
        <v>103824</v>
      </c>
      <c r="L34" s="1489">
        <f t="shared" ca="1" si="22"/>
        <v>117455.30093506497</v>
      </c>
      <c r="M34" s="1489">
        <f t="shared" ca="1" si="22"/>
        <v>122388.61411764707</v>
      </c>
      <c r="N34" s="1489">
        <f t="shared" ca="1" si="22"/>
        <v>125544.1738197425</v>
      </c>
      <c r="O34" s="1489">
        <f t="shared" ca="1" si="22"/>
        <v>139021.90249303763</v>
      </c>
      <c r="P34" s="1489">
        <f t="shared" ca="1" si="22"/>
        <v>141449.37662337668</v>
      </c>
      <c r="Q34" s="1489">
        <f t="shared" ca="1" si="22"/>
        <v>148176.52941176473</v>
      </c>
      <c r="R34" s="1489">
        <f t="shared" ca="1" si="22"/>
        <v>157600.19849785411</v>
      </c>
      <c r="S34" s="1489">
        <f t="shared" ca="1" si="22"/>
        <v>167744.28443750326</v>
      </c>
      <c r="T34" s="1489">
        <f t="shared" ca="1" si="22"/>
        <v>163121.11273328296</v>
      </c>
      <c r="U34" s="1489">
        <f t="shared" ca="1" si="22"/>
        <v>171592.70143435459</v>
      </c>
      <c r="V34" s="1489">
        <f t="shared" ca="1" si="22"/>
        <v>187781.02468802201</v>
      </c>
      <c r="W34" s="1489">
        <f t="shared" ca="1" si="22"/>
        <v>193736.67477428674</v>
      </c>
      <c r="X34" s="1489">
        <f t="shared" ca="1" si="22"/>
        <v>178116.37588748935</v>
      </c>
      <c r="Y34" s="1489">
        <f t="shared" ca="1" si="22"/>
        <v>187862.66360943863</v>
      </c>
      <c r="Z34" s="1489">
        <f t="shared" ca="1" si="22"/>
        <v>209357.34193357918</v>
      </c>
      <c r="AA34" s="1489">
        <f t="shared" ca="1" si="22"/>
        <v>211748.6599462521</v>
      </c>
      <c r="AB34" s="1489">
        <f t="shared" ca="1" si="22"/>
        <v>186303.24355824146</v>
      </c>
      <c r="AC34" s="1489">
        <f t="shared" ca="1" si="22"/>
        <v>196768.98190120302</v>
      </c>
      <c r="AD34" s="1489">
        <f t="shared" ca="1" si="22"/>
        <v>221385.07592520662</v>
      </c>
      <c r="AE34" s="1489">
        <f t="shared" ca="1" si="22"/>
        <v>221591.95298196396</v>
      </c>
    </row>
    <row r="35" spans="3:31" x14ac:dyDescent="0.25">
      <c r="C35" t="s">
        <v>26</v>
      </c>
      <c r="D35" s="1490">
        <f t="shared" ref="D35:AE35" si="23">+D8-D34</f>
        <v>0</v>
      </c>
      <c r="E35" s="1490">
        <f t="shared" si="23"/>
        <v>0</v>
      </c>
      <c r="F35" s="1490">
        <f t="shared" si="23"/>
        <v>0</v>
      </c>
      <c r="G35" s="1490">
        <f t="shared" si="23"/>
        <v>0</v>
      </c>
      <c r="H35" s="1490">
        <f t="shared" si="23"/>
        <v>0</v>
      </c>
      <c r="I35" s="1490">
        <f t="shared" si="23"/>
        <v>0</v>
      </c>
      <c r="J35" s="1490">
        <f t="shared" si="23"/>
        <v>0</v>
      </c>
      <c r="K35" s="1490">
        <f t="shared" si="23"/>
        <v>0</v>
      </c>
      <c r="L35" s="1490">
        <f t="shared" ca="1" si="23"/>
        <v>0</v>
      </c>
      <c r="M35" s="1490">
        <f t="shared" ca="1" si="23"/>
        <v>0</v>
      </c>
      <c r="N35" s="1490">
        <f t="shared" ca="1" si="23"/>
        <v>0</v>
      </c>
      <c r="O35" s="1490">
        <f t="shared" ca="1" si="23"/>
        <v>0</v>
      </c>
      <c r="P35" s="1490">
        <f t="shared" ca="1" si="23"/>
        <v>0</v>
      </c>
      <c r="Q35" s="1490">
        <f t="shared" ca="1" si="23"/>
        <v>0</v>
      </c>
      <c r="R35" s="1490">
        <f t="shared" ca="1" si="23"/>
        <v>0</v>
      </c>
      <c r="S35" s="1490">
        <f t="shared" ca="1" si="23"/>
        <v>0</v>
      </c>
      <c r="T35" s="1490">
        <f t="shared" ca="1" si="23"/>
        <v>0</v>
      </c>
      <c r="U35" s="1490">
        <f t="shared" ca="1" si="23"/>
        <v>0</v>
      </c>
      <c r="V35" s="1490">
        <f t="shared" ca="1" si="23"/>
        <v>0</v>
      </c>
      <c r="W35" s="1490">
        <f t="shared" ca="1" si="23"/>
        <v>0</v>
      </c>
      <c r="X35" s="1490">
        <f t="shared" ca="1" si="23"/>
        <v>0</v>
      </c>
      <c r="Y35" s="1490">
        <f t="shared" ca="1" si="23"/>
        <v>0</v>
      </c>
      <c r="Z35" s="1490">
        <f t="shared" ca="1" si="23"/>
        <v>0</v>
      </c>
      <c r="AA35" s="1490">
        <f t="shared" ca="1" si="23"/>
        <v>0</v>
      </c>
      <c r="AB35" s="1490">
        <f t="shared" ca="1" si="23"/>
        <v>0</v>
      </c>
      <c r="AC35" s="1490">
        <f t="shared" ca="1" si="23"/>
        <v>0</v>
      </c>
      <c r="AD35" s="1490">
        <f t="shared" ca="1" si="23"/>
        <v>0</v>
      </c>
      <c r="AE35" s="1490">
        <f t="shared" ca="1" si="23"/>
        <v>0</v>
      </c>
    </row>
    <row r="36" spans="3:31" x14ac:dyDescent="0.25">
      <c r="C36" t="s">
        <v>1030</v>
      </c>
      <c r="D36" s="1491">
        <f t="shared" ref="D36:AE36" si="24">+D30/D22</f>
        <v>22.252777777777776</v>
      </c>
      <c r="E36" s="1491">
        <f t="shared" si="24"/>
        <v>22.895789473684211</v>
      </c>
      <c r="F36" s="1491">
        <f t="shared" si="24"/>
        <v>20.922727272727272</v>
      </c>
      <c r="G36" s="1491">
        <f t="shared" si="24"/>
        <v>20.444400000000002</v>
      </c>
      <c r="H36" s="1491">
        <f t="shared" si="24"/>
        <v>20.00344827586207</v>
      </c>
      <c r="I36" s="1491">
        <f t="shared" si="24"/>
        <v>19.755757575757574</v>
      </c>
      <c r="J36" s="1491">
        <f t="shared" si="24"/>
        <v>19.505945945945946</v>
      </c>
      <c r="K36" s="1491">
        <f t="shared" si="24"/>
        <v>18.602619047619047</v>
      </c>
      <c r="L36" s="1491">
        <f t="shared" ca="1" si="24"/>
        <v>18.602619047619051</v>
      </c>
      <c r="M36" s="1491">
        <f t="shared" ca="1" si="24"/>
        <v>18.602619047619047</v>
      </c>
      <c r="N36" s="1491">
        <f t="shared" ca="1" si="24"/>
        <v>18.602619047619051</v>
      </c>
      <c r="O36" s="1491">
        <f t="shared" ca="1" si="24"/>
        <v>18.602619047619047</v>
      </c>
      <c r="P36" s="1491">
        <f t="shared" ca="1" si="24"/>
        <v>18.602619047619051</v>
      </c>
      <c r="Q36" s="1491">
        <f t="shared" ca="1" si="24"/>
        <v>18.602619047619047</v>
      </c>
      <c r="R36" s="1491">
        <f t="shared" ca="1" si="24"/>
        <v>18.602619047619047</v>
      </c>
      <c r="S36" s="1491">
        <f t="shared" ca="1" si="24"/>
        <v>18.602619047619051</v>
      </c>
      <c r="T36" s="1491">
        <f t="shared" ca="1" si="24"/>
        <v>18.602619047619051</v>
      </c>
      <c r="U36" s="1491">
        <f t="shared" ca="1" si="24"/>
        <v>18.602619047619051</v>
      </c>
      <c r="V36" s="1491">
        <f t="shared" ca="1" si="24"/>
        <v>18.602619047619054</v>
      </c>
      <c r="W36" s="1491">
        <f t="shared" ca="1" si="24"/>
        <v>18.602619047619054</v>
      </c>
      <c r="X36" s="1491">
        <f t="shared" ca="1" si="24"/>
        <v>18.602619047619054</v>
      </c>
      <c r="Y36" s="1491">
        <f t="shared" ca="1" si="24"/>
        <v>18.602619047619054</v>
      </c>
      <c r="Z36" s="1491">
        <f t="shared" ca="1" si="24"/>
        <v>18.602619047619054</v>
      </c>
      <c r="AA36" s="1491">
        <f t="shared" ca="1" si="24"/>
        <v>18.602619047619054</v>
      </c>
      <c r="AB36" s="1491">
        <f t="shared" ca="1" si="24"/>
        <v>18.602619047619051</v>
      </c>
      <c r="AC36" s="1491">
        <f t="shared" ca="1" si="24"/>
        <v>18.602619047619054</v>
      </c>
      <c r="AD36" s="1491">
        <f t="shared" ca="1" si="24"/>
        <v>18.602619047619051</v>
      </c>
      <c r="AE36" s="1491">
        <f t="shared" ca="1" si="24"/>
        <v>18.602619047619051</v>
      </c>
    </row>
    <row r="37" spans="3:31" x14ac:dyDescent="0.25">
      <c r="K37" s="1491">
        <f>AVERAGE(D36:K36)</f>
        <v>20.547933171171735</v>
      </c>
    </row>
    <row r="38" spans="3:31" x14ac:dyDescent="0.25">
      <c r="C38" t="s">
        <v>1031</v>
      </c>
    </row>
    <row r="39" spans="3:31" x14ac:dyDescent="0.25">
      <c r="C39" s="1492" t="s">
        <v>588</v>
      </c>
      <c r="D39" s="1493">
        <f>+D30/D$34</f>
        <v>0.72353684971098264</v>
      </c>
      <c r="E39" s="1493">
        <f t="shared" ref="E39:K39" si="25">+E30/E$34</f>
        <v>0.73979218747342823</v>
      </c>
      <c r="F39" s="1493">
        <f t="shared" si="25"/>
        <v>0.72379904080509472</v>
      </c>
      <c r="G39" s="1493">
        <f t="shared" si="25"/>
        <v>0.70001643520420742</v>
      </c>
      <c r="H39" s="1493">
        <f t="shared" si="25"/>
        <v>0.71423294754986455</v>
      </c>
      <c r="I39" s="1493">
        <f t="shared" si="25"/>
        <v>0.73760550313398054</v>
      </c>
      <c r="J39" s="1493">
        <f t="shared" si="25"/>
        <v>0.75128298547858219</v>
      </c>
      <c r="K39" s="1493">
        <f t="shared" si="25"/>
        <v>0.75253313299429803</v>
      </c>
      <c r="L39" s="1494">
        <f>+L45-L44</f>
        <v>0.72935546666012607</v>
      </c>
      <c r="M39" s="1494">
        <f>+L39</f>
        <v>0.72935546666012607</v>
      </c>
      <c r="N39" s="1494">
        <f t="shared" ref="N39:AE42" si="26">+M39</f>
        <v>0.72935546666012607</v>
      </c>
      <c r="O39" s="1494">
        <f t="shared" si="26"/>
        <v>0.72935546666012607</v>
      </c>
      <c r="P39" s="1494">
        <f t="shared" si="26"/>
        <v>0.72935546666012607</v>
      </c>
      <c r="Q39" s="1494">
        <f t="shared" si="26"/>
        <v>0.72935546666012607</v>
      </c>
      <c r="R39" s="1494">
        <f t="shared" si="26"/>
        <v>0.72935546666012607</v>
      </c>
      <c r="S39" s="1494">
        <f t="shared" si="26"/>
        <v>0.72935546666012607</v>
      </c>
      <c r="T39" s="1494">
        <f t="shared" si="26"/>
        <v>0.72935546666012607</v>
      </c>
      <c r="U39" s="1494">
        <f t="shared" si="26"/>
        <v>0.72935546666012607</v>
      </c>
      <c r="V39" s="1494">
        <f t="shared" si="26"/>
        <v>0.72935546666012607</v>
      </c>
      <c r="W39" s="1494">
        <f t="shared" si="26"/>
        <v>0.72935546666012607</v>
      </c>
      <c r="X39" s="1494">
        <f t="shared" si="26"/>
        <v>0.72935546666012607</v>
      </c>
      <c r="Y39" s="1494">
        <f t="shared" si="26"/>
        <v>0.72935546666012607</v>
      </c>
      <c r="Z39" s="1494">
        <f t="shared" si="26"/>
        <v>0.72935546666012607</v>
      </c>
      <c r="AA39" s="1494">
        <f t="shared" si="26"/>
        <v>0.72935546666012607</v>
      </c>
      <c r="AB39" s="1494">
        <f t="shared" si="26"/>
        <v>0.72935546666012607</v>
      </c>
      <c r="AC39" s="1494">
        <f t="shared" si="26"/>
        <v>0.72935546666012607</v>
      </c>
      <c r="AD39" s="1494">
        <f t="shared" si="26"/>
        <v>0.72935546666012607</v>
      </c>
      <c r="AE39" s="1494">
        <f t="shared" si="26"/>
        <v>0.72935546666012607</v>
      </c>
    </row>
    <row r="40" spans="3:31" x14ac:dyDescent="0.25">
      <c r="C40" s="3" t="s">
        <v>1028</v>
      </c>
      <c r="D40" s="1493">
        <f t="shared" ref="D40:K42" si="27">+D31/D$34</f>
        <v>0.16753973988439305</v>
      </c>
      <c r="E40" s="1493">
        <f t="shared" si="27"/>
        <v>0.1540057480060541</v>
      </c>
      <c r="F40" s="1493">
        <f t="shared" si="27"/>
        <v>0.14197657048510104</v>
      </c>
      <c r="G40" s="1493">
        <f t="shared" si="27"/>
        <v>0.15258717506231681</v>
      </c>
      <c r="H40" s="1493">
        <f t="shared" si="27"/>
        <v>0.1446441763112534</v>
      </c>
      <c r="I40" s="1493">
        <f t="shared" si="27"/>
        <v>0.12692055302876021</v>
      </c>
      <c r="J40" s="1493">
        <f t="shared" si="27"/>
        <v>0.11053973871857596</v>
      </c>
      <c r="K40" s="1493">
        <f t="shared" si="27"/>
        <v>0.1073547541994144</v>
      </c>
      <c r="L40" s="1494">
        <f>+AVERAGE(H40:K40)</f>
        <v>0.12236480556450099</v>
      </c>
      <c r="M40" s="1494">
        <f t="shared" ref="M40:M42" si="28">+L40</f>
        <v>0.12236480556450099</v>
      </c>
      <c r="N40" s="1494">
        <f t="shared" si="26"/>
        <v>0.12236480556450099</v>
      </c>
      <c r="O40" s="1494">
        <f t="shared" si="26"/>
        <v>0.12236480556450099</v>
      </c>
      <c r="P40" s="1494">
        <f t="shared" si="26"/>
        <v>0.12236480556450099</v>
      </c>
      <c r="Q40" s="1494">
        <f t="shared" si="26"/>
        <v>0.12236480556450099</v>
      </c>
      <c r="R40" s="1494">
        <f t="shared" si="26"/>
        <v>0.12236480556450099</v>
      </c>
      <c r="S40" s="1494">
        <f t="shared" si="26"/>
        <v>0.12236480556450099</v>
      </c>
      <c r="T40" s="1494">
        <f t="shared" si="26"/>
        <v>0.12236480556450099</v>
      </c>
      <c r="U40" s="1494">
        <f t="shared" si="26"/>
        <v>0.12236480556450099</v>
      </c>
      <c r="V40" s="1494">
        <f t="shared" si="26"/>
        <v>0.12236480556450099</v>
      </c>
      <c r="W40" s="1494">
        <f t="shared" si="26"/>
        <v>0.12236480556450099</v>
      </c>
      <c r="X40" s="1494">
        <f t="shared" si="26"/>
        <v>0.12236480556450099</v>
      </c>
      <c r="Y40" s="1494">
        <f t="shared" si="26"/>
        <v>0.12236480556450099</v>
      </c>
      <c r="Z40" s="1494">
        <f t="shared" si="26"/>
        <v>0.12236480556450099</v>
      </c>
      <c r="AA40" s="1494">
        <f t="shared" si="26"/>
        <v>0.12236480556450099</v>
      </c>
      <c r="AB40" s="1494">
        <f t="shared" si="26"/>
        <v>0.12236480556450099</v>
      </c>
      <c r="AC40" s="1494">
        <f t="shared" si="26"/>
        <v>0.12236480556450099</v>
      </c>
      <c r="AD40" s="1494">
        <f t="shared" si="26"/>
        <v>0.12236480556450099</v>
      </c>
      <c r="AE40" s="1494">
        <f t="shared" si="26"/>
        <v>0.12236480556450099</v>
      </c>
    </row>
    <row r="41" spans="3:31" x14ac:dyDescent="0.25">
      <c r="C41" s="3" t="s">
        <v>624</v>
      </c>
      <c r="D41" s="1493">
        <f t="shared" si="27"/>
        <v>9.0950144508670519E-2</v>
      </c>
      <c r="E41" s="1493">
        <f t="shared" si="27"/>
        <v>8.2189684199785729E-2</v>
      </c>
      <c r="F41" s="1493">
        <f t="shared" si="27"/>
        <v>0.10527557197892916</v>
      </c>
      <c r="G41" s="1493">
        <f t="shared" si="27"/>
        <v>0.11086914838250199</v>
      </c>
      <c r="H41" s="1493">
        <f t="shared" si="27"/>
        <v>9.9482885988672734E-2</v>
      </c>
      <c r="I41" s="1493">
        <f t="shared" si="27"/>
        <v>9.0919376371823596E-2</v>
      </c>
      <c r="J41" s="1493">
        <f t="shared" si="27"/>
        <v>8.5275594649456096E-2</v>
      </c>
      <c r="K41" s="1493">
        <f t="shared" si="27"/>
        <v>8.1002465711203578E-2</v>
      </c>
      <c r="L41" s="1494">
        <f>+AVERAGE(H41:K41)</f>
        <v>8.9170080680289004E-2</v>
      </c>
      <c r="M41" s="1494">
        <f t="shared" si="28"/>
        <v>8.9170080680289004E-2</v>
      </c>
      <c r="N41" s="1494">
        <f t="shared" si="26"/>
        <v>8.9170080680289004E-2</v>
      </c>
      <c r="O41" s="1494">
        <f t="shared" si="26"/>
        <v>8.9170080680289004E-2</v>
      </c>
      <c r="P41" s="1494">
        <f t="shared" si="26"/>
        <v>8.9170080680289004E-2</v>
      </c>
      <c r="Q41" s="1494">
        <f t="shared" si="26"/>
        <v>8.9170080680289004E-2</v>
      </c>
      <c r="R41" s="1494">
        <f t="shared" si="26"/>
        <v>8.9170080680289004E-2</v>
      </c>
      <c r="S41" s="1494">
        <f t="shared" si="26"/>
        <v>8.9170080680289004E-2</v>
      </c>
      <c r="T41" s="1494">
        <f t="shared" si="26"/>
        <v>8.9170080680289004E-2</v>
      </c>
      <c r="U41" s="1494">
        <f t="shared" si="26"/>
        <v>8.9170080680289004E-2</v>
      </c>
      <c r="V41" s="1494">
        <f t="shared" si="26"/>
        <v>8.9170080680289004E-2</v>
      </c>
      <c r="W41" s="1494">
        <f t="shared" si="26"/>
        <v>8.9170080680289004E-2</v>
      </c>
      <c r="X41" s="1494">
        <f t="shared" si="26"/>
        <v>8.9170080680289004E-2</v>
      </c>
      <c r="Y41" s="1494">
        <f t="shared" si="26"/>
        <v>8.9170080680289004E-2</v>
      </c>
      <c r="Z41" s="1494">
        <f t="shared" si="26"/>
        <v>8.9170080680289004E-2</v>
      </c>
      <c r="AA41" s="1494">
        <f t="shared" si="26"/>
        <v>8.9170080680289004E-2</v>
      </c>
      <c r="AB41" s="1494">
        <f t="shared" si="26"/>
        <v>8.9170080680289004E-2</v>
      </c>
      <c r="AC41" s="1494">
        <f t="shared" si="26"/>
        <v>8.9170080680289004E-2</v>
      </c>
      <c r="AD41" s="1494">
        <f t="shared" si="26"/>
        <v>8.9170080680289004E-2</v>
      </c>
      <c r="AE41" s="1494">
        <f t="shared" si="26"/>
        <v>8.9170080680289004E-2</v>
      </c>
    </row>
    <row r="42" spans="3:31" x14ac:dyDescent="0.25">
      <c r="C42" s="3" t="s">
        <v>591</v>
      </c>
      <c r="D42" s="1493">
        <f t="shared" si="27"/>
        <v>1.7973265895953758E-2</v>
      </c>
      <c r="E42" s="1493">
        <f t="shared" si="27"/>
        <v>2.4012380320731934E-2</v>
      </c>
      <c r="F42" s="1493">
        <f t="shared" si="27"/>
        <v>2.8948816730875068E-2</v>
      </c>
      <c r="G42" s="1493">
        <f t="shared" si="27"/>
        <v>3.6527241350973787E-2</v>
      </c>
      <c r="H42" s="1493">
        <f t="shared" si="27"/>
        <v>4.1639990150209305E-2</v>
      </c>
      <c r="I42" s="1493">
        <f t="shared" si="27"/>
        <v>4.45545674654357E-2</v>
      </c>
      <c r="J42" s="1493">
        <f t="shared" si="27"/>
        <v>5.2901681153385727E-2</v>
      </c>
      <c r="K42" s="1493">
        <f t="shared" si="27"/>
        <v>5.9109647095083991E-2</v>
      </c>
      <c r="L42" s="1494">
        <f>+K42</f>
        <v>5.9109647095083991E-2</v>
      </c>
      <c r="M42" s="1494">
        <f t="shared" si="28"/>
        <v>5.9109647095083991E-2</v>
      </c>
      <c r="N42" s="1494">
        <f t="shared" si="26"/>
        <v>5.9109647095083991E-2</v>
      </c>
      <c r="O42" s="1494">
        <f t="shared" si="26"/>
        <v>5.9109647095083991E-2</v>
      </c>
      <c r="P42" s="1494">
        <f t="shared" si="26"/>
        <v>5.9109647095083991E-2</v>
      </c>
      <c r="Q42" s="1494">
        <f t="shared" si="26"/>
        <v>5.9109647095083991E-2</v>
      </c>
      <c r="R42" s="1494">
        <f t="shared" si="26"/>
        <v>5.9109647095083991E-2</v>
      </c>
      <c r="S42" s="1494">
        <f t="shared" si="26"/>
        <v>5.9109647095083991E-2</v>
      </c>
      <c r="T42" s="1494">
        <f t="shared" si="26"/>
        <v>5.9109647095083991E-2</v>
      </c>
      <c r="U42" s="1494">
        <f t="shared" si="26"/>
        <v>5.9109647095083991E-2</v>
      </c>
      <c r="V42" s="1494">
        <f t="shared" si="26"/>
        <v>5.9109647095083991E-2</v>
      </c>
      <c r="W42" s="1494">
        <f t="shared" si="26"/>
        <v>5.9109647095083991E-2</v>
      </c>
      <c r="X42" s="1494">
        <f t="shared" si="26"/>
        <v>5.9109647095083991E-2</v>
      </c>
      <c r="Y42" s="1494">
        <f t="shared" si="26"/>
        <v>5.9109647095083991E-2</v>
      </c>
      <c r="Z42" s="1494">
        <f t="shared" si="26"/>
        <v>5.9109647095083991E-2</v>
      </c>
      <c r="AA42" s="1494">
        <f t="shared" si="26"/>
        <v>5.9109647095083991E-2</v>
      </c>
      <c r="AB42" s="1494">
        <f t="shared" si="26"/>
        <v>5.9109647095083991E-2</v>
      </c>
      <c r="AC42" s="1494">
        <f t="shared" si="26"/>
        <v>5.9109647095083991E-2</v>
      </c>
      <c r="AD42" s="1494">
        <f t="shared" si="26"/>
        <v>5.9109647095083991E-2</v>
      </c>
      <c r="AE42" s="1494">
        <f t="shared" si="26"/>
        <v>5.9109647095083991E-2</v>
      </c>
    </row>
    <row r="43" spans="3:31" x14ac:dyDescent="0.25">
      <c r="C43" s="1495" t="s">
        <v>155</v>
      </c>
      <c r="D43" s="1496">
        <f>SUM(D39:D42)</f>
        <v>1</v>
      </c>
      <c r="E43" s="1496">
        <f t="shared" ref="E43:AE43" si="29">SUM(E39:E42)</f>
        <v>1</v>
      </c>
      <c r="F43" s="1496">
        <f t="shared" si="29"/>
        <v>0.99999999999999989</v>
      </c>
      <c r="G43" s="1496">
        <f t="shared" si="29"/>
        <v>0.99999999999999989</v>
      </c>
      <c r="H43" s="1496">
        <f t="shared" si="29"/>
        <v>1</v>
      </c>
      <c r="I43" s="1496">
        <f t="shared" si="29"/>
        <v>1</v>
      </c>
      <c r="J43" s="1496">
        <f t="shared" si="29"/>
        <v>1</v>
      </c>
      <c r="K43" s="1496">
        <f t="shared" si="29"/>
        <v>1</v>
      </c>
      <c r="L43" s="1496">
        <f t="shared" si="29"/>
        <v>1</v>
      </c>
      <c r="M43" s="1496">
        <f t="shared" si="29"/>
        <v>1</v>
      </c>
      <c r="N43" s="1496">
        <f t="shared" si="29"/>
        <v>1</v>
      </c>
      <c r="O43" s="1496">
        <f t="shared" si="29"/>
        <v>1</v>
      </c>
      <c r="P43" s="1496">
        <f t="shared" si="29"/>
        <v>1</v>
      </c>
      <c r="Q43" s="1496">
        <f t="shared" si="29"/>
        <v>1</v>
      </c>
      <c r="R43" s="1496">
        <f t="shared" si="29"/>
        <v>1</v>
      </c>
      <c r="S43" s="1496">
        <f t="shared" si="29"/>
        <v>1</v>
      </c>
      <c r="T43" s="1496">
        <f t="shared" si="29"/>
        <v>1</v>
      </c>
      <c r="U43" s="1496">
        <f t="shared" si="29"/>
        <v>1</v>
      </c>
      <c r="V43" s="1496">
        <f t="shared" si="29"/>
        <v>1</v>
      </c>
      <c r="W43" s="1496">
        <f t="shared" si="29"/>
        <v>1</v>
      </c>
      <c r="X43" s="1496">
        <f t="shared" si="29"/>
        <v>1</v>
      </c>
      <c r="Y43" s="1496">
        <f t="shared" si="29"/>
        <v>1</v>
      </c>
      <c r="Z43" s="1496">
        <f t="shared" si="29"/>
        <v>1</v>
      </c>
      <c r="AA43" s="1496">
        <f t="shared" si="29"/>
        <v>1</v>
      </c>
      <c r="AB43" s="1496">
        <f t="shared" si="29"/>
        <v>1</v>
      </c>
      <c r="AC43" s="1496">
        <f t="shared" si="29"/>
        <v>1</v>
      </c>
      <c r="AD43" s="1496">
        <f t="shared" si="29"/>
        <v>1</v>
      </c>
      <c r="AE43" s="1496">
        <f t="shared" si="29"/>
        <v>1</v>
      </c>
    </row>
    <row r="44" spans="3:31" x14ac:dyDescent="0.25">
      <c r="L44" s="1493">
        <f>SUM(L40:L42)</f>
        <v>0.27064453333987398</v>
      </c>
    </row>
    <row r="45" spans="3:31" x14ac:dyDescent="0.25">
      <c r="C45" s="191" t="s">
        <v>1032</v>
      </c>
      <c r="L45" s="6">
        <v>1</v>
      </c>
    </row>
    <row r="46" spans="3:31" x14ac:dyDescent="0.25">
      <c r="C46" s="3" t="s">
        <v>588</v>
      </c>
      <c r="D46" s="1497"/>
      <c r="E46" s="1493">
        <f>+E30/D30-1</f>
        <v>8.6056672075895735E-2</v>
      </c>
      <c r="F46" s="1493">
        <f t="shared" ref="F46:AE49" si="30">+F30/E30-1</f>
        <v>5.8112270700197755E-2</v>
      </c>
      <c r="G46" s="1493">
        <f t="shared" si="30"/>
        <v>0.11038453182706931</v>
      </c>
      <c r="H46" s="1493">
        <f t="shared" si="30"/>
        <v>0.13498072821897433</v>
      </c>
      <c r="I46" s="1493">
        <f t="shared" si="30"/>
        <v>0.12384071711773825</v>
      </c>
      <c r="J46" s="1493">
        <f t="shared" si="30"/>
        <v>0.1070343896677608</v>
      </c>
      <c r="K46" s="1493">
        <f t="shared" si="30"/>
        <v>8.2566646344842898E-2</v>
      </c>
      <c r="L46" s="1498">
        <f t="shared" ca="1" si="30"/>
        <v>9.6449115270505148E-2</v>
      </c>
      <c r="M46" s="1498">
        <f t="shared" ca="1" si="30"/>
        <v>4.2001622262323401E-2</v>
      </c>
      <c r="N46" s="1498">
        <f t="shared" ca="1" si="30"/>
        <v>2.5783114915102434E-2</v>
      </c>
      <c r="O46" s="1498">
        <f t="shared" ca="1" si="30"/>
        <v>0.10735447343535509</v>
      </c>
      <c r="P46" s="1498">
        <f t="shared" ca="1" si="30"/>
        <v>1.7461091287112707E-2</v>
      </c>
      <c r="Q46" s="1498">
        <f t="shared" ca="1" si="30"/>
        <v>4.7558730543576733E-2</v>
      </c>
      <c r="R46" s="1498">
        <f t="shared" ca="1" si="30"/>
        <v>6.359758271771998E-2</v>
      </c>
      <c r="S46" s="1498">
        <f t="shared" ca="1" si="30"/>
        <v>6.4365946466668156E-2</v>
      </c>
      <c r="T46" s="1498">
        <f t="shared" ca="1" si="30"/>
        <v>-2.7560829984301316E-2</v>
      </c>
      <c r="U46" s="1498">
        <f t="shared" ca="1" si="30"/>
        <v>5.1934348406042163E-2</v>
      </c>
      <c r="V46" s="1498">
        <f t="shared" ca="1" si="30"/>
        <v>9.4341560674481961E-2</v>
      </c>
      <c r="W46" s="1498">
        <f t="shared" ca="1" si="30"/>
        <v>3.1715931341622206E-2</v>
      </c>
      <c r="X46" s="1498">
        <f t="shared" ca="1" si="30"/>
        <v>-8.06264425927401E-2</v>
      </c>
      <c r="Y46" s="1498">
        <f t="shared" ca="1" si="30"/>
        <v>5.4718650508057243E-2</v>
      </c>
      <c r="Z46" s="1498">
        <f t="shared" ca="1" si="30"/>
        <v>0.11441697839879139</v>
      </c>
      <c r="AA46" s="1498">
        <f t="shared" ca="1" si="30"/>
        <v>1.1422183672123554E-2</v>
      </c>
      <c r="AB46" s="1498">
        <f t="shared" ca="1" si="30"/>
        <v>-0.12016801614928474</v>
      </c>
      <c r="AC46" s="1498">
        <f t="shared" ca="1" si="30"/>
        <v>5.6175824655944728E-2</v>
      </c>
      <c r="AD46" s="1498">
        <f t="shared" ca="1" si="30"/>
        <v>0.12510149611061805</v>
      </c>
      <c r="AE46" s="1498">
        <f t="shared" ca="1" si="30"/>
        <v>9.3446704071054043E-4</v>
      </c>
    </row>
    <row r="47" spans="3:31" x14ac:dyDescent="0.25">
      <c r="C47" s="3" t="s">
        <v>1028</v>
      </c>
      <c r="D47" s="1497"/>
      <c r="E47" s="1493">
        <f t="shared" ref="E47:T49" si="31">+E31/D31-1</f>
        <v>-2.3611859838274962E-2</v>
      </c>
      <c r="F47" s="1493">
        <f t="shared" si="31"/>
        <v>-2.9814487632509046E-3</v>
      </c>
      <c r="G47" s="1493">
        <f t="shared" si="31"/>
        <v>0.23391294717022926</v>
      </c>
      <c r="H47" s="1493">
        <f t="shared" si="31"/>
        <v>5.4483439547616808E-2</v>
      </c>
      <c r="I47" s="1493">
        <f t="shared" si="31"/>
        <v>-4.5114061967994501E-2</v>
      </c>
      <c r="J47" s="1493">
        <f t="shared" si="31"/>
        <v>-5.3396327331075022E-2</v>
      </c>
      <c r="K47" s="1493">
        <f>+K31/J31-1</f>
        <v>4.9628025237781426E-2</v>
      </c>
      <c r="L47" s="1498">
        <f ca="1">+L31/K31-1</f>
        <v>0.28946663031035125</v>
      </c>
      <c r="M47" s="1498">
        <f t="shared" ca="1" si="30"/>
        <v>4.2001622262323401E-2</v>
      </c>
      <c r="N47" s="1498">
        <f t="shared" ca="1" si="30"/>
        <v>2.5783114915102434E-2</v>
      </c>
      <c r="O47" s="1498">
        <f t="shared" ca="1" si="30"/>
        <v>0.10735447343535487</v>
      </c>
      <c r="P47" s="1498">
        <f t="shared" ca="1" si="30"/>
        <v>1.7461091287112707E-2</v>
      </c>
      <c r="Q47" s="1498">
        <f t="shared" ca="1" si="30"/>
        <v>4.7558730543576955E-2</v>
      </c>
      <c r="R47" s="1498">
        <f t="shared" ca="1" si="30"/>
        <v>6.359758271771998E-2</v>
      </c>
      <c r="S47" s="1498">
        <f t="shared" ca="1" si="30"/>
        <v>6.4365946466668156E-2</v>
      </c>
      <c r="T47" s="1498">
        <f t="shared" ca="1" si="30"/>
        <v>-2.7560829984301538E-2</v>
      </c>
      <c r="U47" s="1498">
        <f t="shared" ca="1" si="30"/>
        <v>5.1934348406042385E-2</v>
      </c>
      <c r="V47" s="1498">
        <f t="shared" ca="1" si="30"/>
        <v>9.4341560674481961E-2</v>
      </c>
      <c r="W47" s="1498">
        <f t="shared" ca="1" si="30"/>
        <v>3.1715931341621983E-2</v>
      </c>
      <c r="X47" s="1498">
        <f t="shared" ca="1" si="30"/>
        <v>-8.06264425927401E-2</v>
      </c>
      <c r="Y47" s="1498">
        <f t="shared" ca="1" si="30"/>
        <v>5.4718650508057243E-2</v>
      </c>
      <c r="Z47" s="1498">
        <f t="shared" ca="1" si="30"/>
        <v>0.11441697839879117</v>
      </c>
      <c r="AA47" s="1498">
        <f t="shared" ca="1" si="30"/>
        <v>1.1422183672123554E-2</v>
      </c>
      <c r="AB47" s="1498">
        <f t="shared" ca="1" si="30"/>
        <v>-0.12016801614928474</v>
      </c>
      <c r="AC47" s="1498">
        <f t="shared" ca="1" si="30"/>
        <v>5.6175824655944728E-2</v>
      </c>
      <c r="AD47" s="1498">
        <f t="shared" ca="1" si="30"/>
        <v>0.12510149611061783</v>
      </c>
      <c r="AE47" s="1498">
        <f t="shared" ca="1" si="30"/>
        <v>9.3446704071054043E-4</v>
      </c>
    </row>
    <row r="48" spans="3:31" x14ac:dyDescent="0.25">
      <c r="C48" s="3" t="s">
        <v>624</v>
      </c>
      <c r="D48" s="1497"/>
      <c r="E48" s="1493">
        <f t="shared" si="31"/>
        <v>-4.0119165839126114E-2</v>
      </c>
      <c r="F48" s="1493">
        <f t="shared" si="31"/>
        <v>0.38526794951375964</v>
      </c>
      <c r="G48" s="1493">
        <f t="shared" si="31"/>
        <v>0.20911127707244215</v>
      </c>
      <c r="H48" s="1493">
        <f t="shared" si="31"/>
        <v>-1.8529956763434496E-3</v>
      </c>
      <c r="I48" s="1493">
        <f t="shared" si="31"/>
        <v>-5.4455445544554504E-3</v>
      </c>
      <c r="J48" s="1493">
        <f t="shared" si="31"/>
        <v>1.9412643106022864E-2</v>
      </c>
      <c r="K48" s="1493">
        <f t="shared" si="31"/>
        <v>2.6611328125E-2</v>
      </c>
      <c r="L48" s="1498">
        <f t="shared" ca="1" si="31"/>
        <v>0.24536250424582229</v>
      </c>
      <c r="M48" s="1498">
        <f t="shared" ca="1" si="31"/>
        <v>4.2001622262323401E-2</v>
      </c>
      <c r="N48" s="1498">
        <f t="shared" ca="1" si="31"/>
        <v>2.5783114915102434E-2</v>
      </c>
      <c r="O48" s="1498">
        <f t="shared" ca="1" si="31"/>
        <v>0.10735447343535487</v>
      </c>
      <c r="P48" s="1498">
        <f t="shared" ca="1" si="31"/>
        <v>1.7461091287112707E-2</v>
      </c>
      <c r="Q48" s="1498">
        <f t="shared" ca="1" si="31"/>
        <v>4.7558730543576733E-2</v>
      </c>
      <c r="R48" s="1498">
        <f t="shared" ca="1" si="31"/>
        <v>6.359758271771998E-2</v>
      </c>
      <c r="S48" s="1498">
        <f t="shared" ca="1" si="31"/>
        <v>6.4365946466668156E-2</v>
      </c>
      <c r="T48" s="1498">
        <f t="shared" ca="1" si="31"/>
        <v>-2.7560829984301316E-2</v>
      </c>
      <c r="U48" s="1498">
        <f t="shared" ca="1" si="30"/>
        <v>5.1934348406042385E-2</v>
      </c>
      <c r="V48" s="1498">
        <f t="shared" ca="1" si="30"/>
        <v>9.4341560674481739E-2</v>
      </c>
      <c r="W48" s="1498">
        <f t="shared" ca="1" si="30"/>
        <v>3.1715931341622206E-2</v>
      </c>
      <c r="X48" s="1498">
        <f t="shared" ca="1" si="30"/>
        <v>-8.06264425927401E-2</v>
      </c>
      <c r="Y48" s="1498">
        <f t="shared" ca="1" si="30"/>
        <v>5.4718650508057243E-2</v>
      </c>
      <c r="Z48" s="1498">
        <f t="shared" ca="1" si="30"/>
        <v>0.11441697839879139</v>
      </c>
      <c r="AA48" s="1498">
        <f t="shared" ca="1" si="30"/>
        <v>1.1422183672123554E-2</v>
      </c>
      <c r="AB48" s="1498">
        <f t="shared" ca="1" si="30"/>
        <v>-0.12016801614928485</v>
      </c>
      <c r="AC48" s="1498">
        <f t="shared" ca="1" si="30"/>
        <v>5.617582465594495E-2</v>
      </c>
      <c r="AD48" s="1498">
        <f t="shared" ca="1" si="30"/>
        <v>0.12510149611061805</v>
      </c>
      <c r="AE48" s="1498">
        <f t="shared" ca="1" si="30"/>
        <v>9.3446704071054043E-4</v>
      </c>
    </row>
    <row r="49" spans="3:31" x14ac:dyDescent="0.25">
      <c r="C49" s="3" t="s">
        <v>591</v>
      </c>
      <c r="D49" s="1497"/>
      <c r="E49" s="1493">
        <f t="shared" si="31"/>
        <v>0.41909547738693465</v>
      </c>
      <c r="F49" s="1493">
        <f t="shared" si="31"/>
        <v>0.30382436260623225</v>
      </c>
      <c r="G49" s="1493">
        <f t="shared" si="31"/>
        <v>0.44866920152091261</v>
      </c>
      <c r="H49" s="1493">
        <f t="shared" si="31"/>
        <v>0.26809148856392961</v>
      </c>
      <c r="I49" s="1493">
        <f t="shared" si="31"/>
        <v>0.16439976345357787</v>
      </c>
      <c r="J49" s="1493">
        <f t="shared" si="31"/>
        <v>0.2905027932960893</v>
      </c>
      <c r="K49" s="1493">
        <f t="shared" si="31"/>
        <v>0.20759543486816212</v>
      </c>
      <c r="L49" s="1498">
        <f t="shared" ca="1" si="31"/>
        <v>0.13129238841756208</v>
      </c>
      <c r="M49" s="1498">
        <f t="shared" ca="1" si="31"/>
        <v>4.2001622262323401E-2</v>
      </c>
      <c r="N49" s="1498">
        <f t="shared" ca="1" si="31"/>
        <v>2.5783114915102434E-2</v>
      </c>
      <c r="O49" s="1498">
        <f t="shared" ca="1" si="31"/>
        <v>0.10735447343535487</v>
      </c>
      <c r="P49" s="1498">
        <f t="shared" ca="1" si="31"/>
        <v>1.7461091287112929E-2</v>
      </c>
      <c r="Q49" s="1498">
        <f t="shared" ca="1" si="31"/>
        <v>4.7558730543576733E-2</v>
      </c>
      <c r="R49" s="1498">
        <f t="shared" ca="1" si="31"/>
        <v>6.359758271771998E-2</v>
      </c>
      <c r="S49" s="1498">
        <f t="shared" ca="1" si="31"/>
        <v>6.4365946466668156E-2</v>
      </c>
      <c r="T49" s="1498">
        <f t="shared" ca="1" si="31"/>
        <v>-2.7560829984301316E-2</v>
      </c>
      <c r="U49" s="1498">
        <f t="shared" ca="1" si="30"/>
        <v>5.1934348406042385E-2</v>
      </c>
      <c r="V49" s="1498">
        <f t="shared" ca="1" si="30"/>
        <v>9.4341560674481961E-2</v>
      </c>
      <c r="W49" s="1498">
        <f t="shared" ca="1" si="30"/>
        <v>3.1715931341622206E-2</v>
      </c>
      <c r="X49" s="1498">
        <f t="shared" ca="1" si="30"/>
        <v>-8.06264425927401E-2</v>
      </c>
      <c r="Y49" s="1498">
        <f t="shared" ca="1" si="30"/>
        <v>5.4718650508057243E-2</v>
      </c>
      <c r="Z49" s="1498">
        <f t="shared" ca="1" si="30"/>
        <v>0.11441697839879139</v>
      </c>
      <c r="AA49" s="1498">
        <f t="shared" ca="1" si="30"/>
        <v>1.1422183672123554E-2</v>
      </c>
      <c r="AB49" s="1498">
        <f t="shared" ca="1" si="30"/>
        <v>-0.12016801614928485</v>
      </c>
      <c r="AC49" s="1498">
        <f t="shared" ca="1" si="30"/>
        <v>5.617582465594495E-2</v>
      </c>
      <c r="AD49" s="1498">
        <f t="shared" ca="1" si="30"/>
        <v>0.12510149611061805</v>
      </c>
      <c r="AE49" s="1498">
        <f t="shared" ca="1" si="30"/>
        <v>9.3446704071054043E-4</v>
      </c>
    </row>
    <row r="50" spans="3:31" x14ac:dyDescent="0.25">
      <c r="C50" s="1499" t="s">
        <v>1029</v>
      </c>
      <c r="D50" s="1499"/>
      <c r="E50" s="1500"/>
      <c r="F50" s="1500"/>
      <c r="G50" s="1500"/>
      <c r="H50" s="1500"/>
      <c r="I50" s="1500"/>
      <c r="J50" s="1500"/>
      <c r="K50" s="1500"/>
      <c r="L50" s="1320"/>
      <c r="M50" s="1320"/>
      <c r="N50" s="1320"/>
      <c r="O50" s="1320"/>
      <c r="P50" s="1320"/>
      <c r="Q50" s="1320"/>
      <c r="R50" s="1320"/>
      <c r="S50" s="1320"/>
      <c r="T50" s="1320"/>
      <c r="U50" s="1320"/>
      <c r="V50" s="1320"/>
      <c r="W50" s="1320"/>
      <c r="X50" s="1320"/>
      <c r="Y50" s="1320"/>
      <c r="Z50" s="1320"/>
      <c r="AA50" s="1320"/>
      <c r="AB50" s="1320"/>
      <c r="AC50" s="1320"/>
      <c r="AD50" s="1320"/>
      <c r="AE50" s="1320"/>
    </row>
  </sheetData>
  <conditionalFormatting sqref="D4:AE4">
    <cfRule type="cellIs" dxfId="4" priority="1" operator="equal">
      <formula>"Forecast"</formula>
    </cfRule>
    <cfRule type="cellIs" dxfId="3" priority="2" operator="equal">
      <formula>"Closing"</formula>
    </cfRule>
    <cfRule type="cellIs" dxfId="2" priority="3" operator="equal">
      <formula>"Actual"</formula>
    </cfRule>
    <cfRule type="cellIs" dxfId="1" priority="4" operator="equal">
      <formula>"""Actual"""</formula>
    </cfRule>
    <cfRule type="cellIs" dxfId="0" priority="5" operator="equal">
      <formula>"""Forecast"""</formula>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autoPageBreaks="0"/>
  </sheetPr>
  <dimension ref="A1:AN43"/>
  <sheetViews>
    <sheetView showGridLines="0" topLeftCell="A13" zoomScaleNormal="100" workbookViewId="0">
      <selection activeCell="B23" sqref="B23"/>
    </sheetView>
  </sheetViews>
  <sheetFormatPr defaultRowHeight="15.75" outlineLevelCol="1" x14ac:dyDescent="0.25"/>
  <cols>
    <col min="1" max="1" width="2.5703125" style="69" customWidth="1"/>
    <col min="2" max="2" width="30.42578125" style="69" bestFit="1" customWidth="1"/>
    <col min="3" max="3" width="10.140625" style="69" hidden="1" customWidth="1" outlineLevel="1"/>
    <col min="4" max="5" width="12.7109375" style="69" hidden="1" customWidth="1" outlineLevel="1"/>
    <col min="6" max="6" width="14.5703125" style="69" bestFit="1" customWidth="1" collapsed="1"/>
    <col min="7" max="10" width="12.7109375" style="69" hidden="1" customWidth="1" outlineLevel="1"/>
    <col min="11" max="11" width="12.7109375" style="69" customWidth="1" collapsed="1"/>
    <col min="12" max="17" width="12.7109375" style="69" customWidth="1"/>
    <col min="18" max="20" width="12.7109375" style="69" hidden="1" customWidth="1" outlineLevel="1"/>
    <col min="21" max="21" width="12.7109375" style="69" customWidth="1" collapsed="1"/>
    <col min="22" max="25" width="12.7109375" style="69" customWidth="1"/>
    <col min="26" max="26" width="2.5703125" style="69" customWidth="1"/>
    <col min="27" max="27" width="2.7109375" style="69" customWidth="1"/>
    <col min="28" max="36" width="12.28515625" style="69" customWidth="1"/>
    <col min="37" max="16384" width="9.140625" style="69"/>
  </cols>
  <sheetData>
    <row r="1" spans="1:40" x14ac:dyDescent="0.25">
      <c r="A1" s="1240"/>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row>
    <row r="2" spans="1:40" ht="17.850000000000001" customHeight="1" x14ac:dyDescent="0.3">
      <c r="A2" s="1240"/>
      <c r="B2" s="1241" t="s">
        <v>866</v>
      </c>
      <c r="C2" s="1242"/>
      <c r="D2" s="1242"/>
      <c r="E2" s="1242"/>
      <c r="F2" s="1240"/>
      <c r="G2" s="1240"/>
      <c r="H2" s="1240"/>
      <c r="I2" s="1240"/>
      <c r="J2" s="1240"/>
      <c r="K2" s="1240"/>
      <c r="L2" s="1240"/>
      <c r="M2" s="1240"/>
      <c r="N2" s="1240"/>
      <c r="O2" s="1240"/>
      <c r="P2" s="1240"/>
      <c r="Q2" s="1240"/>
      <c r="R2" s="1240"/>
      <c r="S2" s="1240"/>
      <c r="T2" s="1240"/>
      <c r="U2" s="1240"/>
      <c r="V2" s="1240"/>
      <c r="W2" s="1240"/>
      <c r="X2" s="1240"/>
      <c r="Y2" s="1240"/>
    </row>
    <row r="3" spans="1:40" x14ac:dyDescent="0.25">
      <c r="A3" s="1240"/>
      <c r="B3" s="1240" t="s">
        <v>867</v>
      </c>
      <c r="C3" s="1240"/>
      <c r="D3" s="1242"/>
      <c r="E3" s="1242"/>
      <c r="F3" s="1240"/>
      <c r="G3" s="1240"/>
      <c r="H3" s="1240"/>
      <c r="I3" s="1240"/>
      <c r="J3" s="1240"/>
      <c r="K3" s="1240"/>
      <c r="L3" s="1240"/>
      <c r="M3" s="1240"/>
      <c r="N3" s="1240"/>
      <c r="O3" s="1240"/>
      <c r="P3" s="1240"/>
      <c r="Q3" s="1240"/>
      <c r="R3" s="1240"/>
      <c r="S3" s="1240"/>
      <c r="T3" s="1240"/>
      <c r="U3" s="1240"/>
      <c r="V3" s="1240"/>
      <c r="W3" s="1240"/>
      <c r="X3" s="1240"/>
      <c r="Y3" s="1240"/>
    </row>
    <row r="4" spans="1:40" ht="4.5" customHeight="1" x14ac:dyDescent="0.25">
      <c r="A4" s="1240"/>
      <c r="B4" s="1243"/>
      <c r="C4" s="1240"/>
      <c r="D4" s="1243"/>
      <c r="E4" s="1243"/>
      <c r="F4" s="1243"/>
      <c r="G4" s="1243"/>
      <c r="H4" s="1243"/>
      <c r="I4" s="1243"/>
      <c r="J4" s="1243"/>
      <c r="K4" s="1243"/>
      <c r="L4" s="1243"/>
      <c r="M4" s="1243"/>
      <c r="N4" s="1243"/>
      <c r="O4" s="1243"/>
      <c r="P4" s="1243"/>
      <c r="Q4" s="1243"/>
      <c r="R4" s="1243"/>
      <c r="S4" s="1243"/>
      <c r="T4" s="1243"/>
      <c r="U4" s="1240"/>
      <c r="V4" s="1240"/>
      <c r="W4" s="1240"/>
      <c r="X4" s="1240"/>
      <c r="Y4" s="1240"/>
    </row>
    <row r="5" spans="1:40" x14ac:dyDescent="0.25">
      <c r="A5" s="1240"/>
      <c r="B5" s="1345" t="s">
        <v>868</v>
      </c>
      <c r="C5" s="1346"/>
      <c r="D5" s="1346"/>
      <c r="E5" s="1346"/>
      <c r="F5" s="1347" t="s">
        <v>869</v>
      </c>
      <c r="G5" s="1347"/>
      <c r="H5" s="1347"/>
      <c r="I5" s="1347"/>
      <c r="J5" s="1347"/>
      <c r="K5" s="1348"/>
      <c r="L5" s="1349"/>
      <c r="M5" s="1349"/>
      <c r="N5" s="1349"/>
      <c r="O5" s="1349"/>
      <c r="P5" s="1349"/>
      <c r="Q5" s="1349"/>
      <c r="R5" s="1349"/>
      <c r="S5" s="1349"/>
      <c r="T5" s="1349"/>
      <c r="U5" s="1350" t="s">
        <v>870</v>
      </c>
      <c r="V5" s="1350" t="s">
        <v>870</v>
      </c>
      <c r="W5" s="1347"/>
      <c r="X5" s="1347"/>
      <c r="Y5" s="1351"/>
    </row>
    <row r="6" spans="1:40" x14ac:dyDescent="0.25">
      <c r="A6" s="1240"/>
      <c r="B6" s="1349"/>
      <c r="C6" s="1349"/>
      <c r="D6" s="1350" t="s">
        <v>871</v>
      </c>
      <c r="E6" s="1350" t="s">
        <v>872</v>
      </c>
      <c r="F6" s="1350" t="s">
        <v>168</v>
      </c>
      <c r="G6" s="1350"/>
      <c r="H6" s="1350"/>
      <c r="I6" s="1350" t="s">
        <v>873</v>
      </c>
      <c r="J6" s="1350" t="s">
        <v>874</v>
      </c>
      <c r="K6" s="1350" t="s">
        <v>875</v>
      </c>
      <c r="L6" s="1347" t="s">
        <v>6</v>
      </c>
      <c r="M6" s="1347"/>
      <c r="N6" s="1347"/>
      <c r="O6" s="1347" t="s">
        <v>12</v>
      </c>
      <c r="P6" s="1347"/>
      <c r="Q6" s="1347"/>
      <c r="R6" s="1347" t="s">
        <v>876</v>
      </c>
      <c r="S6" s="1347"/>
      <c r="T6" s="1347"/>
      <c r="U6" s="1350" t="s">
        <v>6</v>
      </c>
      <c r="V6" s="1350" t="s">
        <v>264</v>
      </c>
      <c r="W6" s="1347" t="s">
        <v>848</v>
      </c>
      <c r="X6" s="1347"/>
      <c r="Y6" s="1347"/>
    </row>
    <row r="7" spans="1:40" x14ac:dyDescent="0.25">
      <c r="A7" s="1240"/>
      <c r="B7" s="1352" t="s">
        <v>56</v>
      </c>
      <c r="C7" s="1352" t="s">
        <v>877</v>
      </c>
      <c r="D7" s="1353" t="s">
        <v>878</v>
      </c>
      <c r="E7" s="1353" t="s">
        <v>879</v>
      </c>
      <c r="F7" s="1353" t="s">
        <v>880</v>
      </c>
      <c r="G7" s="1353" t="s">
        <v>15</v>
      </c>
      <c r="H7" s="1353" t="s">
        <v>169</v>
      </c>
      <c r="I7" s="1353" t="s">
        <v>881</v>
      </c>
      <c r="J7" s="1353" t="s">
        <v>882</v>
      </c>
      <c r="K7" s="1353" t="s">
        <v>880</v>
      </c>
      <c r="L7" s="1354" t="s">
        <v>883</v>
      </c>
      <c r="M7" s="1355">
        <f>EOMONTH("12/31/2022",12)</f>
        <v>45291</v>
      </c>
      <c r="N7" s="1355">
        <f>EOMONTH(M7,12)</f>
        <v>45657</v>
      </c>
      <c r="O7" s="1354" t="str">
        <f>$L$7</f>
        <v>LTM</v>
      </c>
      <c r="P7" s="1355">
        <f>+$M$7</f>
        <v>45291</v>
      </c>
      <c r="Q7" s="1355">
        <f>+$N$7</f>
        <v>45657</v>
      </c>
      <c r="R7" s="1354" t="str">
        <f>$L$7</f>
        <v>LTM</v>
      </c>
      <c r="S7" s="1355">
        <f>+$M$7</f>
        <v>45291</v>
      </c>
      <c r="T7" s="1355">
        <f>+$N$7</f>
        <v>45657</v>
      </c>
      <c r="U7" s="1353" t="s">
        <v>771</v>
      </c>
      <c r="V7" s="1353" t="s">
        <v>771</v>
      </c>
      <c r="W7" s="1354" t="str">
        <f>$L$7</f>
        <v>LTM</v>
      </c>
      <c r="X7" s="1355">
        <f>+$M$7</f>
        <v>45291</v>
      </c>
      <c r="Y7" s="1355">
        <f>+$N$7</f>
        <v>45657</v>
      </c>
    </row>
    <row r="8" spans="1:40" x14ac:dyDescent="0.25">
      <c r="A8" s="1240"/>
      <c r="B8" s="1240" t="s">
        <v>884</v>
      </c>
      <c r="C8" s="1240" t="s">
        <v>885</v>
      </c>
      <c r="D8" s="1248">
        <v>15.89</v>
      </c>
      <c r="E8" s="1249">
        <f>INDEX('Public - Dil.Shares'!$F$45:F45,MATCH('Public-Comps'!$B8,'Public - Dil.Shares'!$F$4:F4,0))</f>
        <v>126.73400636312145</v>
      </c>
      <c r="F8" s="1250">
        <f>+D8*E8</f>
        <v>2013.80336111</v>
      </c>
      <c r="G8" s="1251">
        <v>-1057.6500000000001</v>
      </c>
      <c r="H8" s="1251">
        <v>1188.5930000000001</v>
      </c>
      <c r="I8" s="1251">
        <v>0</v>
      </c>
      <c r="J8" s="1251"/>
      <c r="K8" s="1250">
        <f t="shared" ref="K8:K13" si="0">+F8+G8+H8+I8+J8</f>
        <v>2144.7463611100002</v>
      </c>
      <c r="L8" s="1251">
        <v>766.89700000000005</v>
      </c>
      <c r="M8" s="1252">
        <v>751.92200000000003</v>
      </c>
      <c r="N8" s="1252">
        <v>807.05600000000004</v>
      </c>
      <c r="O8" s="1252">
        <v>254.52500000000001</v>
      </c>
      <c r="P8" s="1252">
        <v>244.572</v>
      </c>
      <c r="Q8" s="1252">
        <v>269.69299999999998</v>
      </c>
      <c r="R8" s="1251">
        <v>-1692</v>
      </c>
      <c r="S8" s="1251">
        <v>-74.89</v>
      </c>
      <c r="T8" s="1251">
        <v>333.75</v>
      </c>
      <c r="U8" s="1253">
        <f t="shared" ref="U8:U13" si="1">IFERROR(+N8/M8-1,"N/A")</f>
        <v>7.3324094786427318E-2</v>
      </c>
      <c r="V8" s="1253">
        <f t="shared" ref="V8:V13" si="2">IFERROR(+Q8/P8-1,"N/A")</f>
        <v>0.10271412917259526</v>
      </c>
      <c r="W8" s="1253">
        <f t="shared" ref="W8:Y13" si="3">O8/L8</f>
        <v>0.33188941930924232</v>
      </c>
      <c r="X8" s="1253">
        <f t="shared" si="3"/>
        <v>0.32526246073395909</v>
      </c>
      <c r="Y8" s="1253">
        <f t="shared" si="3"/>
        <v>0.33416888047421739</v>
      </c>
      <c r="AN8" s="1240"/>
    </row>
    <row r="9" spans="1:40" x14ac:dyDescent="0.25">
      <c r="A9" s="1240"/>
      <c r="B9" s="1240" t="s">
        <v>886</v>
      </c>
      <c r="C9" s="1240" t="s">
        <v>887</v>
      </c>
      <c r="D9" s="1254">
        <v>40.090000000000003</v>
      </c>
      <c r="E9" s="1249">
        <f>INDEX('Public - Dil.Shares'!$F$45:G45,MATCH('Public-Comps'!$B9,'Public - Dil.Shares'!$F$4:G4,0))</f>
        <v>43.536045789473683</v>
      </c>
      <c r="F9" s="1255">
        <f t="shared" ref="F9:F13" si="4">+D9*E9</f>
        <v>1745.3600757000002</v>
      </c>
      <c r="G9" s="1256">
        <v>-389.39800000000002</v>
      </c>
      <c r="H9" s="1256">
        <v>564.66999999999996</v>
      </c>
      <c r="I9" s="1256">
        <v>0</v>
      </c>
      <c r="J9" s="1256"/>
      <c r="K9" s="1255">
        <f t="shared" si="0"/>
        <v>1920.6320757000003</v>
      </c>
      <c r="L9" s="1256">
        <v>1686.6659999999999</v>
      </c>
      <c r="M9" s="1257">
        <v>1928.2940000000001</v>
      </c>
      <c r="N9" s="1257">
        <v>2161.1799999999998</v>
      </c>
      <c r="O9" s="1257">
        <v>279.21600000000001</v>
      </c>
      <c r="P9" s="1257">
        <v>282.80599999999998</v>
      </c>
      <c r="Q9" s="1257">
        <v>305.94499999999999</v>
      </c>
      <c r="R9" s="1256">
        <v>469.6</v>
      </c>
      <c r="S9" s="1256">
        <v>818.31</v>
      </c>
      <c r="T9" s="1256">
        <v>1000.96</v>
      </c>
      <c r="U9" s="1253">
        <f t="shared" si="1"/>
        <v>0.12077307713450325</v>
      </c>
      <c r="V9" s="1253">
        <f t="shared" si="2"/>
        <v>8.1819339052212614E-2</v>
      </c>
      <c r="W9" s="1253">
        <f t="shared" si="3"/>
        <v>0.16554314843602705</v>
      </c>
      <c r="X9" s="1253">
        <f t="shared" si="3"/>
        <v>0.14666124563992833</v>
      </c>
      <c r="Y9" s="1253">
        <f t="shared" si="3"/>
        <v>0.14156386788698766</v>
      </c>
      <c r="AN9" s="1240"/>
    </row>
    <row r="10" spans="1:40" x14ac:dyDescent="0.25">
      <c r="A10" s="1240"/>
      <c r="B10" s="1240" t="s">
        <v>888</v>
      </c>
      <c r="C10" s="1240" t="s">
        <v>889</v>
      </c>
      <c r="D10" s="1254">
        <v>10.17</v>
      </c>
      <c r="E10" s="1249">
        <f>INDEX('Public - Dil.Shares'!$F$45:L45,MATCH('Public-Comps'!$B10,'Public - Dil.Shares'!$F$4:$L$4,0))</f>
        <v>716.11638200000004</v>
      </c>
      <c r="F10" s="1255">
        <f t="shared" si="4"/>
        <v>7282.9036049400002</v>
      </c>
      <c r="G10" s="1256">
        <v>-657.13800000000003</v>
      </c>
      <c r="H10" s="1256">
        <v>1470.3920000000001</v>
      </c>
      <c r="I10" s="1256">
        <v>0</v>
      </c>
      <c r="J10" s="1256">
        <v>15.733000000000001</v>
      </c>
      <c r="K10" s="1255">
        <f t="shared" si="0"/>
        <v>8111.8906049400002</v>
      </c>
      <c r="L10" s="1256">
        <v>4733.91</v>
      </c>
      <c r="M10" s="1257">
        <v>4693.2219999999998</v>
      </c>
      <c r="N10" s="1257">
        <v>4877.6139999999996</v>
      </c>
      <c r="O10" s="1257">
        <v>822.05600000000004</v>
      </c>
      <c r="P10" s="1257">
        <v>990.37199999999996</v>
      </c>
      <c r="Q10" s="1257">
        <v>1031.9100000000001</v>
      </c>
      <c r="R10" s="1256">
        <v>129.4</v>
      </c>
      <c r="S10" s="1256">
        <v>127.40666666666665</v>
      </c>
      <c r="T10" s="1256">
        <v>171.48666666666665</v>
      </c>
      <c r="U10" s="1253">
        <f t="shared" si="1"/>
        <v>3.9289000179407729E-2</v>
      </c>
      <c r="V10" s="1253">
        <f t="shared" si="2"/>
        <v>4.1941815802547078E-2</v>
      </c>
      <c r="W10" s="1253">
        <f t="shared" si="3"/>
        <v>0.17365264654376616</v>
      </c>
      <c r="X10" s="1253">
        <f t="shared" si="3"/>
        <v>0.21102176713566928</v>
      </c>
      <c r="Y10" s="1253">
        <f t="shared" si="3"/>
        <v>0.2115604063790206</v>
      </c>
      <c r="AN10" s="1240"/>
    </row>
    <row r="11" spans="1:40" x14ac:dyDescent="0.25">
      <c r="A11" s="1240"/>
      <c r="B11" s="1240" t="s">
        <v>890</v>
      </c>
      <c r="C11" s="1240" t="s">
        <v>891</v>
      </c>
      <c r="D11" s="1254">
        <v>11.33</v>
      </c>
      <c r="E11" s="1249">
        <f>+INDEX('Public - Dil.Shares'!$F$45:$M$45,MATCH('Public-Comps'!$B11,'Public - Dil.Shares'!$F$4:$L$4,0))</f>
        <v>158.07759788437775</v>
      </c>
      <c r="F11" s="1255">
        <f t="shared" si="4"/>
        <v>1791.0191840299999</v>
      </c>
      <c r="G11" s="1256">
        <v>-780.471</v>
      </c>
      <c r="H11" s="1256">
        <v>14.449</v>
      </c>
      <c r="I11" s="1256">
        <v>0</v>
      </c>
      <c r="J11" s="1256"/>
      <c r="K11" s="1255">
        <f t="shared" si="0"/>
        <v>1024.99718403</v>
      </c>
      <c r="L11" s="1256">
        <v>523.75599999999997</v>
      </c>
      <c r="M11" s="1257">
        <v>600.93799999999999</v>
      </c>
      <c r="N11" s="1257">
        <v>699.24800000000005</v>
      </c>
      <c r="O11" s="1257">
        <v>-36.945</v>
      </c>
      <c r="P11" s="1257">
        <v>-30.652000000000001</v>
      </c>
      <c r="Q11" s="1257">
        <v>3.8690000000000002</v>
      </c>
      <c r="R11" s="1256">
        <v>-135</v>
      </c>
      <c r="S11" s="1256">
        <v>57.29</v>
      </c>
      <c r="T11" s="1256">
        <v>128.85</v>
      </c>
      <c r="U11" s="1253">
        <f t="shared" si="1"/>
        <v>0.16359424765949249</v>
      </c>
      <c r="V11" s="1253">
        <f>IFERROR(+(-Q11/P11)-1,"N/A")</f>
        <v>-0.87377658880334075</v>
      </c>
      <c r="W11" s="1253">
        <f t="shared" si="3"/>
        <v>-7.0538571395840813E-2</v>
      </c>
      <c r="X11" s="1253">
        <f t="shared" si="3"/>
        <v>-5.1006925839271272E-2</v>
      </c>
      <c r="Y11" s="1253">
        <f t="shared" si="3"/>
        <v>5.533086973434318E-3</v>
      </c>
      <c r="AN11" s="1240"/>
    </row>
    <row r="12" spans="1:40" x14ac:dyDescent="0.25">
      <c r="A12" s="1240"/>
      <c r="B12" s="1240" t="s">
        <v>892</v>
      </c>
      <c r="C12" s="1240" t="s">
        <v>893</v>
      </c>
      <c r="D12" s="1254">
        <v>8.1</v>
      </c>
      <c r="E12" s="1249">
        <f>+INDEX('Public - Dil.Shares'!$F$45:$M$45,MATCH('Public-Comps'!$B12,'Public - Dil.Shares'!$F$4:$L$4,0))</f>
        <v>79.274085999999997</v>
      </c>
      <c r="F12" s="1255">
        <f t="shared" si="4"/>
        <v>642.1200965999999</v>
      </c>
      <c r="G12" s="1256">
        <v>-167.518</v>
      </c>
      <c r="H12" s="1256">
        <v>1038.682</v>
      </c>
      <c r="I12" s="1256">
        <v>0</v>
      </c>
      <c r="J12" s="1256"/>
      <c r="K12" s="1255">
        <f t="shared" si="0"/>
        <v>1513.2840965999999</v>
      </c>
      <c r="L12" s="1256">
        <v>961.63400000000001</v>
      </c>
      <c r="M12" s="1257">
        <v>988.44200000000001</v>
      </c>
      <c r="N12" s="1257">
        <v>1065.2819999999999</v>
      </c>
      <c r="O12" s="1257">
        <v>116.80200000000001</v>
      </c>
      <c r="P12" s="1257">
        <v>156.648</v>
      </c>
      <c r="Q12" s="1257">
        <v>184.85900000000001</v>
      </c>
      <c r="R12" s="1256">
        <v>143.69999999999999</v>
      </c>
      <c r="S12" s="1256">
        <v>177.35250000000002</v>
      </c>
      <c r="T12" s="1256">
        <v>220.33083333333335</v>
      </c>
      <c r="U12" s="1253">
        <f t="shared" si="1"/>
        <v>7.773850160151019E-2</v>
      </c>
      <c r="V12" s="1253">
        <f t="shared" si="2"/>
        <v>0.18009167049691044</v>
      </c>
      <c r="W12" s="1253">
        <f t="shared" si="3"/>
        <v>0.12146201153453394</v>
      </c>
      <c r="X12" s="1253">
        <f t="shared" si="3"/>
        <v>0.15847970847050205</v>
      </c>
      <c r="Y12" s="1253">
        <f t="shared" si="3"/>
        <v>0.17353057688011253</v>
      </c>
      <c r="AN12" s="1240"/>
    </row>
    <row r="13" spans="1:40" x14ac:dyDescent="0.25">
      <c r="A13" s="1240"/>
      <c r="B13" s="1240" t="s">
        <v>894</v>
      </c>
      <c r="C13" s="1240" t="s">
        <v>895</v>
      </c>
      <c r="D13" s="1254">
        <v>9.33</v>
      </c>
      <c r="E13" s="1249">
        <f>+INDEX('Public - Dil.Shares'!$F$45:$M$45,MATCH('Public-Comps'!$B13,'Public - Dil.Shares'!$F$4:$L$4,0))</f>
        <v>150.45869159657022</v>
      </c>
      <c r="F13" s="1255">
        <f t="shared" si="4"/>
        <v>1403.7795925960002</v>
      </c>
      <c r="G13" s="1256">
        <v>-465.553</v>
      </c>
      <c r="H13" s="1256">
        <v>13.547000000000001</v>
      </c>
      <c r="I13" s="1256">
        <v>0</v>
      </c>
      <c r="J13" s="1256"/>
      <c r="K13" s="1255">
        <f t="shared" si="0"/>
        <v>951.77359259600019</v>
      </c>
      <c r="L13" s="1256">
        <v>629.428</v>
      </c>
      <c r="M13" s="1257">
        <v>724.85500000000002</v>
      </c>
      <c r="N13" s="1257">
        <v>885.06100000000004</v>
      </c>
      <c r="O13" s="1257">
        <v>-55.768000000000001</v>
      </c>
      <c r="P13" s="1257">
        <v>-17.850999999999999</v>
      </c>
      <c r="Q13" s="1257">
        <v>15.547000000000001</v>
      </c>
      <c r="R13" s="1256">
        <v>313.10000000000002</v>
      </c>
      <c r="S13" s="1256">
        <v>390.23</v>
      </c>
      <c r="T13" s="1256">
        <v>441.55</v>
      </c>
      <c r="U13" s="1253">
        <f t="shared" si="1"/>
        <v>0.22101799670278877</v>
      </c>
      <c r="V13" s="1253">
        <f t="shared" si="2"/>
        <v>-1.8709316004705618</v>
      </c>
      <c r="W13" s="1253">
        <f t="shared" si="3"/>
        <v>-8.8601079074969655E-2</v>
      </c>
      <c r="X13" s="1253">
        <f t="shared" si="3"/>
        <v>-2.4626994364390118E-2</v>
      </c>
      <c r="Y13" s="1253">
        <f t="shared" si="3"/>
        <v>1.7566020873137557E-2</v>
      </c>
      <c r="AN13" s="1240"/>
    </row>
    <row r="14" spans="1:40" x14ac:dyDescent="0.25">
      <c r="A14" s="1240"/>
      <c r="B14" s="1240"/>
      <c r="C14" s="1240"/>
      <c r="D14" s="1240"/>
      <c r="E14" s="1240"/>
      <c r="F14" s="1240"/>
      <c r="G14" s="1240"/>
      <c r="H14" s="1240"/>
      <c r="I14" s="1240"/>
      <c r="J14" s="1240"/>
      <c r="K14" s="1240"/>
      <c r="L14" s="1240"/>
      <c r="M14" s="1258"/>
      <c r="N14" s="1258"/>
      <c r="O14" s="1258"/>
      <c r="P14" s="1258"/>
      <c r="Q14" s="1258"/>
      <c r="R14" s="1240"/>
      <c r="S14" s="1240"/>
      <c r="T14" s="1240"/>
      <c r="U14" s="1240"/>
      <c r="V14" s="1240"/>
      <c r="W14" s="1240"/>
      <c r="X14" s="1240"/>
      <c r="Y14" s="1240"/>
      <c r="AN14" s="1240"/>
    </row>
    <row r="15" spans="1:40" x14ac:dyDescent="0.25">
      <c r="A15" s="1240"/>
      <c r="B15" s="1259" t="s">
        <v>896</v>
      </c>
      <c r="C15" s="1260"/>
      <c r="D15" s="1261">
        <f>MAX(D8:D13)</f>
        <v>40.090000000000003</v>
      </c>
      <c r="E15" s="1261"/>
      <c r="F15" s="1262">
        <f>MAX(F8:F13)</f>
        <v>7282.9036049400002</v>
      </c>
      <c r="G15" s="1262"/>
      <c r="H15" s="1262"/>
      <c r="I15" s="1262"/>
      <c r="J15" s="1262"/>
      <c r="K15" s="1262">
        <f t="shared" ref="K15:Y15" si="5">MAX(K8:K13)</f>
        <v>8111.8906049400002</v>
      </c>
      <c r="L15" s="1262">
        <f t="shared" si="5"/>
        <v>4733.91</v>
      </c>
      <c r="M15" s="1262">
        <f t="shared" si="5"/>
        <v>4693.2219999999998</v>
      </c>
      <c r="N15" s="1262">
        <f t="shared" si="5"/>
        <v>4877.6139999999996</v>
      </c>
      <c r="O15" s="1262">
        <f t="shared" si="5"/>
        <v>822.05600000000004</v>
      </c>
      <c r="P15" s="1262">
        <f t="shared" si="5"/>
        <v>990.37199999999996</v>
      </c>
      <c r="Q15" s="1262">
        <f t="shared" si="5"/>
        <v>1031.9100000000001</v>
      </c>
      <c r="R15" s="1262">
        <f t="shared" si="5"/>
        <v>469.6</v>
      </c>
      <c r="S15" s="1262">
        <f t="shared" si="5"/>
        <v>818.31</v>
      </c>
      <c r="T15" s="1262">
        <f t="shared" si="5"/>
        <v>1000.96</v>
      </c>
      <c r="U15" s="1263">
        <f t="shared" si="5"/>
        <v>0.22101799670278877</v>
      </c>
      <c r="V15" s="1263">
        <f t="shared" si="5"/>
        <v>0.18009167049691044</v>
      </c>
      <c r="W15" s="1263">
        <f t="shared" si="5"/>
        <v>0.33188941930924232</v>
      </c>
      <c r="X15" s="1263">
        <f t="shared" si="5"/>
        <v>0.32526246073395909</v>
      </c>
      <c r="Y15" s="1264">
        <f t="shared" si="5"/>
        <v>0.33416888047421739</v>
      </c>
      <c r="AN15" s="1240"/>
    </row>
    <row r="16" spans="1:40" x14ac:dyDescent="0.25">
      <c r="A16" s="1240"/>
      <c r="B16" s="1265" t="s">
        <v>897</v>
      </c>
      <c r="C16" s="1240"/>
      <c r="D16" s="1266">
        <f>QUARTILE(D8:D13,3)</f>
        <v>14.75</v>
      </c>
      <c r="E16" s="1266"/>
      <c r="F16" s="1267">
        <f>QUARTILE(F8:F13,3)</f>
        <v>1958.1073168399998</v>
      </c>
      <c r="G16" s="1267"/>
      <c r="H16" s="1267"/>
      <c r="I16" s="1267"/>
      <c r="J16" s="1267"/>
      <c r="K16" s="1267">
        <f t="shared" ref="K16:Y16" si="6">QUARTILE(K8:K13,3)</f>
        <v>2088.7177897575002</v>
      </c>
      <c r="L16" s="1267">
        <f t="shared" si="6"/>
        <v>1505.4079999999999</v>
      </c>
      <c r="M16" s="1267">
        <f t="shared" si="6"/>
        <v>1693.3310000000001</v>
      </c>
      <c r="N16" s="1267">
        <f t="shared" si="6"/>
        <v>1887.2054999999998</v>
      </c>
      <c r="O16" s="1267">
        <f t="shared" si="6"/>
        <v>273.04325</v>
      </c>
      <c r="P16" s="1267">
        <f t="shared" si="6"/>
        <v>273.2475</v>
      </c>
      <c r="Q16" s="1267">
        <f t="shared" si="6"/>
        <v>296.88200000000001</v>
      </c>
      <c r="R16" s="1267">
        <f t="shared" si="6"/>
        <v>270.75</v>
      </c>
      <c r="S16" s="1267">
        <f t="shared" si="6"/>
        <v>337.010625</v>
      </c>
      <c r="T16" s="1267">
        <f t="shared" si="6"/>
        <v>414.6</v>
      </c>
      <c r="U16" s="1253">
        <f t="shared" si="6"/>
        <v>0.15288895502824518</v>
      </c>
      <c r="V16" s="1253">
        <f t="shared" si="6"/>
        <v>9.7490431642499598E-2</v>
      </c>
      <c r="W16" s="1253">
        <f t="shared" si="6"/>
        <v>0.17162527201683139</v>
      </c>
      <c r="X16" s="1253">
        <f t="shared" si="6"/>
        <v>0.19788625246937747</v>
      </c>
      <c r="Y16" s="1268">
        <f t="shared" si="6"/>
        <v>0.20205294900429357</v>
      </c>
      <c r="AN16" s="1240"/>
    </row>
    <row r="17" spans="1:40" x14ac:dyDescent="0.25">
      <c r="A17" s="1240"/>
      <c r="B17" s="1269" t="s">
        <v>898</v>
      </c>
      <c r="C17" s="1270"/>
      <c r="D17" s="1271">
        <f>MEDIAN(D8:D13)</f>
        <v>10.75</v>
      </c>
      <c r="E17" s="1271"/>
      <c r="F17" s="1272">
        <f>MEDIAN(F8:F13)</f>
        <v>1768.1896298649999</v>
      </c>
      <c r="G17" s="1272"/>
      <c r="H17" s="1272"/>
      <c r="I17" s="1272"/>
      <c r="J17" s="1272"/>
      <c r="K17" s="1272">
        <f t="shared" ref="K17:Y17" si="7">MEDIAN(K8:K13)</f>
        <v>1716.9580861500001</v>
      </c>
      <c r="L17" s="1272">
        <f t="shared" si="7"/>
        <v>864.26549999999997</v>
      </c>
      <c r="M17" s="1272">
        <f t="shared" si="7"/>
        <v>870.18200000000002</v>
      </c>
      <c r="N17" s="1272">
        <f t="shared" si="7"/>
        <v>975.17149999999992</v>
      </c>
      <c r="O17" s="1272">
        <f t="shared" si="7"/>
        <v>185.6635</v>
      </c>
      <c r="P17" s="1272">
        <f t="shared" si="7"/>
        <v>200.61</v>
      </c>
      <c r="Q17" s="1272">
        <f t="shared" si="7"/>
        <v>227.27600000000001</v>
      </c>
      <c r="R17" s="1272">
        <f t="shared" si="7"/>
        <v>136.55000000000001</v>
      </c>
      <c r="S17" s="1272">
        <f t="shared" si="7"/>
        <v>152.37958333333333</v>
      </c>
      <c r="T17" s="1272">
        <f t="shared" si="7"/>
        <v>277.04041666666666</v>
      </c>
      <c r="U17" s="1273">
        <f t="shared" si="7"/>
        <v>9.9255789368006719E-2</v>
      </c>
      <c r="V17" s="1273">
        <f t="shared" si="7"/>
        <v>6.1880577427379846E-2</v>
      </c>
      <c r="W17" s="1273">
        <f t="shared" si="7"/>
        <v>0.14350257998528049</v>
      </c>
      <c r="X17" s="1273">
        <f t="shared" si="7"/>
        <v>0.1525704770552152</v>
      </c>
      <c r="Y17" s="1274">
        <f t="shared" si="7"/>
        <v>0.1575472223835501</v>
      </c>
      <c r="AN17" s="1240"/>
    </row>
    <row r="18" spans="1:40" x14ac:dyDescent="0.25">
      <c r="A18" s="1240"/>
      <c r="B18" s="1265" t="s">
        <v>899</v>
      </c>
      <c r="C18" s="1242"/>
      <c r="D18" s="1266">
        <f>QUARTILE(D8:D13,1)</f>
        <v>9.5399999999999991</v>
      </c>
      <c r="E18" s="1266"/>
      <c r="F18" s="1267">
        <f>QUARTILE(F8:F13,1)</f>
        <v>1489.174713372</v>
      </c>
      <c r="G18" s="1267"/>
      <c r="H18" s="1267"/>
      <c r="I18" s="1267"/>
      <c r="J18" s="1267"/>
      <c r="K18" s="1267">
        <f t="shared" ref="K18:Y18" si="8">QUARTILE(K8:K13,1)</f>
        <v>1147.0689121724999</v>
      </c>
      <c r="L18" s="1267">
        <f t="shared" si="8"/>
        <v>663.79525000000001</v>
      </c>
      <c r="M18" s="1267">
        <f t="shared" si="8"/>
        <v>731.62175000000002</v>
      </c>
      <c r="N18" s="1267">
        <f t="shared" si="8"/>
        <v>826.55725000000007</v>
      </c>
      <c r="O18" s="1267">
        <f t="shared" si="8"/>
        <v>1.4917500000000032</v>
      </c>
      <c r="P18" s="1267">
        <f t="shared" si="8"/>
        <v>25.77375</v>
      </c>
      <c r="Q18" s="1267">
        <f t="shared" si="8"/>
        <v>57.875</v>
      </c>
      <c r="R18" s="1267">
        <f t="shared" si="8"/>
        <v>-68.900000000000006</v>
      </c>
      <c r="S18" s="1267">
        <f t="shared" si="8"/>
        <v>74.819166666666661</v>
      </c>
      <c r="T18" s="1267">
        <f t="shared" si="8"/>
        <v>183.69770833333331</v>
      </c>
      <c r="U18" s="1253">
        <f t="shared" si="8"/>
        <v>7.4427696490198036E-2</v>
      </c>
      <c r="V18" s="1253">
        <f t="shared" si="8"/>
        <v>-0.64484698765186876</v>
      </c>
      <c r="W18" s="1253">
        <f t="shared" si="8"/>
        <v>-2.2538425663247125E-2</v>
      </c>
      <c r="X18" s="1253">
        <f t="shared" si="8"/>
        <v>1.8195065636689493E-2</v>
      </c>
      <c r="Y18" s="1268">
        <f t="shared" si="8"/>
        <v>4.8565482626600084E-2</v>
      </c>
      <c r="AN18" s="1240"/>
    </row>
    <row r="19" spans="1:40" x14ac:dyDescent="0.25">
      <c r="A19" s="1240"/>
      <c r="B19" s="1275" t="s">
        <v>900</v>
      </c>
      <c r="C19" s="1276"/>
      <c r="D19" s="1277">
        <f>MIN(D8:D13)</f>
        <v>8.1</v>
      </c>
      <c r="E19" s="1277"/>
      <c r="F19" s="1278">
        <f>MIN(F8:F13)</f>
        <v>642.1200965999999</v>
      </c>
      <c r="G19" s="1278"/>
      <c r="H19" s="1278"/>
      <c r="I19" s="1278"/>
      <c r="J19" s="1278"/>
      <c r="K19" s="1278">
        <f t="shared" ref="K19:Y19" si="9">MIN(K8:K13)</f>
        <v>951.77359259600019</v>
      </c>
      <c r="L19" s="1278">
        <f t="shared" si="9"/>
        <v>523.75599999999997</v>
      </c>
      <c r="M19" s="1278">
        <f t="shared" si="9"/>
        <v>600.93799999999999</v>
      </c>
      <c r="N19" s="1278">
        <f t="shared" si="9"/>
        <v>699.24800000000005</v>
      </c>
      <c r="O19" s="1278">
        <f t="shared" si="9"/>
        <v>-55.768000000000001</v>
      </c>
      <c r="P19" s="1278">
        <f t="shared" si="9"/>
        <v>-30.652000000000001</v>
      </c>
      <c r="Q19" s="1278">
        <f t="shared" si="9"/>
        <v>3.8690000000000002</v>
      </c>
      <c r="R19" s="1278">
        <f t="shared" si="9"/>
        <v>-1692</v>
      </c>
      <c r="S19" s="1278">
        <f t="shared" si="9"/>
        <v>-74.89</v>
      </c>
      <c r="T19" s="1278">
        <f t="shared" si="9"/>
        <v>128.85</v>
      </c>
      <c r="U19" s="1279">
        <f t="shared" si="9"/>
        <v>3.9289000179407729E-2</v>
      </c>
      <c r="V19" s="1279">
        <f t="shared" si="9"/>
        <v>-1.8709316004705618</v>
      </c>
      <c r="W19" s="1279">
        <f t="shared" si="9"/>
        <v>-8.8601079074969655E-2</v>
      </c>
      <c r="X19" s="1279">
        <f t="shared" si="9"/>
        <v>-5.1006925839271272E-2</v>
      </c>
      <c r="Y19" s="1280">
        <f t="shared" si="9"/>
        <v>5.533086973434318E-3</v>
      </c>
      <c r="AN19" s="1240"/>
    </row>
    <row r="20" spans="1:40" x14ac:dyDescent="0.25">
      <c r="A20" s="1240"/>
      <c r="B20" s="1240"/>
      <c r="C20" s="1240"/>
      <c r="D20" s="1240"/>
      <c r="E20" s="1240"/>
      <c r="F20" s="1240"/>
      <c r="G20" s="1240"/>
      <c r="H20" s="1240"/>
      <c r="I20" s="1240"/>
      <c r="J20" s="1240"/>
      <c r="K20" s="1240"/>
      <c r="L20" s="1240"/>
      <c r="M20" s="1240"/>
      <c r="N20" s="1240"/>
      <c r="O20" s="1240"/>
      <c r="P20" s="1240"/>
      <c r="Q20" s="1240"/>
      <c r="R20" s="1240"/>
      <c r="S20" s="1240"/>
      <c r="T20" s="1240"/>
      <c r="U20" s="1240"/>
      <c r="V20" s="1240"/>
      <c r="W20" s="1240"/>
      <c r="X20" s="1240"/>
      <c r="Y20" s="1240"/>
      <c r="AN20" s="1240"/>
    </row>
    <row r="21" spans="1:40" x14ac:dyDescent="0.25">
      <c r="A21" s="1240"/>
      <c r="B21" s="1356" t="s">
        <v>901</v>
      </c>
      <c r="C21" s="1357" t="s">
        <v>61</v>
      </c>
      <c r="D21" s="1358">
        <v>117.78</v>
      </c>
      <c r="E21" s="1359">
        <v>46.561999999999998</v>
      </c>
      <c r="F21" s="1360">
        <f t="shared" ref="F21" si="10">+D21*E21</f>
        <v>5484.0723600000001</v>
      </c>
      <c r="G21" s="1360">
        <f>-ValSum!E23-ValSum!E24-ValSum!E25-ValSum!E26</f>
        <v>-636.5859999999999</v>
      </c>
      <c r="H21" s="1360">
        <f>-ValSum!E27</f>
        <v>0</v>
      </c>
      <c r="I21" s="1360">
        <f>-ValSum!E28</f>
        <v>0</v>
      </c>
      <c r="J21" s="1360">
        <f>-ValSum!E29-ValSum!E30-ValSum!E31-ValSum!E32</f>
        <v>0</v>
      </c>
      <c r="K21" s="1360">
        <f t="shared" ref="K21" si="11">+F21+G21+H21+I21+J21</f>
        <v>4847.4863599999999</v>
      </c>
      <c r="L21" s="1360">
        <v>369.495</v>
      </c>
      <c r="M21" s="1360">
        <v>493.02699999999999</v>
      </c>
      <c r="N21" s="1360">
        <v>609.38199999999995</v>
      </c>
      <c r="O21" s="1360">
        <v>15.457000000000001</v>
      </c>
      <c r="P21" s="1360">
        <v>53.03</v>
      </c>
      <c r="Q21" s="1360">
        <v>88.150999999999996</v>
      </c>
      <c r="R21" s="1360">
        <v>12.1</v>
      </c>
      <c r="S21" s="1360">
        <v>170.74786394803417</v>
      </c>
      <c r="T21" s="1360">
        <v>205.77268399210544</v>
      </c>
      <c r="U21" s="1361">
        <f>IFERROR(+N21/M21-1,"N/A")</f>
        <v>0.23600127376391145</v>
      </c>
      <c r="V21" s="1361">
        <f>IFERROR(+Q21/P21-1,"N/A")</f>
        <v>0.66228549877427856</v>
      </c>
      <c r="W21" s="1361">
        <f>O21/L21</f>
        <v>4.1832771756045412E-2</v>
      </c>
      <c r="X21" s="1361">
        <f>P21/M21</f>
        <v>0.10756003220918936</v>
      </c>
      <c r="Y21" s="1361">
        <f>Q21/N21</f>
        <v>0.14465638958814012</v>
      </c>
      <c r="AN21" s="1240"/>
    </row>
    <row r="22" spans="1:40" x14ac:dyDescent="0.25">
      <c r="A22" s="1240"/>
      <c r="B22" s="1240"/>
      <c r="C22" s="1240"/>
      <c r="D22" s="1240"/>
      <c r="E22" s="1240"/>
      <c r="F22" s="1240"/>
      <c r="G22" s="1240"/>
      <c r="H22" s="1240"/>
      <c r="I22" s="1240"/>
      <c r="J22" s="1240"/>
      <c r="K22" s="1240"/>
      <c r="L22" s="1240"/>
      <c r="M22" s="1240"/>
      <c r="N22" s="1240"/>
      <c r="O22" s="1240"/>
      <c r="P22" s="1240"/>
      <c r="Q22" s="1240"/>
      <c r="R22" s="1240"/>
      <c r="S22" s="1240"/>
      <c r="T22" s="1240"/>
      <c r="U22" s="1240"/>
      <c r="V22" s="1240"/>
      <c r="W22" s="1240"/>
      <c r="X22" s="1240"/>
      <c r="Y22" s="1240"/>
      <c r="AN22" s="1240"/>
    </row>
    <row r="23" spans="1:40" x14ac:dyDescent="0.25">
      <c r="A23" s="1240"/>
      <c r="B23" s="1367" t="s">
        <v>902</v>
      </c>
      <c r="C23" s="1367"/>
      <c r="D23" s="1367"/>
      <c r="E23" s="1367"/>
      <c r="F23" s="1368" t="s">
        <v>869</v>
      </c>
      <c r="G23" s="1368"/>
      <c r="H23" s="1368"/>
      <c r="I23" s="1368"/>
      <c r="J23" s="1368"/>
      <c r="K23" s="1369"/>
      <c r="L23" s="1368" t="s">
        <v>903</v>
      </c>
      <c r="M23" s="1369"/>
      <c r="N23" s="1369"/>
      <c r="O23" s="1368" t="s">
        <v>903</v>
      </c>
      <c r="P23" s="1369"/>
      <c r="Q23" s="1369"/>
      <c r="R23" s="1245"/>
      <c r="S23" s="1245"/>
      <c r="T23" s="1245"/>
      <c r="U23" s="1240"/>
      <c r="V23" s="1240"/>
      <c r="W23" s="1240"/>
      <c r="X23" s="1240"/>
      <c r="Y23" s="1240"/>
      <c r="AN23" s="1240"/>
    </row>
    <row r="24" spans="1:40" x14ac:dyDescent="0.25">
      <c r="A24" s="1240"/>
      <c r="B24" s="1370"/>
      <c r="C24" s="1370"/>
      <c r="D24" s="1371"/>
      <c r="E24" s="1371"/>
      <c r="F24" s="1371" t="s">
        <v>168</v>
      </c>
      <c r="G24" s="1371"/>
      <c r="H24" s="1371"/>
      <c r="I24" s="1371"/>
      <c r="J24" s="1371"/>
      <c r="K24" s="1371" t="s">
        <v>875</v>
      </c>
      <c r="L24" s="1368" t="s">
        <v>6</v>
      </c>
      <c r="M24" s="1369"/>
      <c r="N24" s="1369"/>
      <c r="O24" s="1368" t="s">
        <v>264</v>
      </c>
      <c r="P24" s="1372"/>
      <c r="Q24" s="1372"/>
      <c r="R24" s="1244" t="s">
        <v>904</v>
      </c>
      <c r="S24" s="1244"/>
      <c r="T24" s="1244"/>
      <c r="U24" s="1281"/>
      <c r="V24" s="1281"/>
      <c r="W24" s="1281"/>
      <c r="X24" s="1281"/>
      <c r="Y24" s="1240"/>
      <c r="AN24" s="1240"/>
    </row>
    <row r="25" spans="1:40" x14ac:dyDescent="0.25">
      <c r="A25" s="1240"/>
      <c r="B25" s="1373" t="s">
        <v>56</v>
      </c>
      <c r="C25" s="1373"/>
      <c r="D25" s="1374"/>
      <c r="E25" s="1374"/>
      <c r="F25" s="1374" t="s">
        <v>880</v>
      </c>
      <c r="G25" s="1374"/>
      <c r="H25" s="1374"/>
      <c r="I25" s="1374"/>
      <c r="J25" s="1374"/>
      <c r="K25" s="1374" t="s">
        <v>880</v>
      </c>
      <c r="L25" s="1375" t="str">
        <f>$L$7</f>
        <v>LTM</v>
      </c>
      <c r="M25" s="1355">
        <f>+$M$7</f>
        <v>45291</v>
      </c>
      <c r="N25" s="1355">
        <f>+$N$7</f>
        <v>45657</v>
      </c>
      <c r="O25" s="1375" t="str">
        <f>$L$7</f>
        <v>LTM</v>
      </c>
      <c r="P25" s="1355">
        <f>+$M$7</f>
        <v>45291</v>
      </c>
      <c r="Q25" s="1355">
        <f>+$N$7</f>
        <v>45657</v>
      </c>
      <c r="R25" s="1246" t="str">
        <f>$L$7</f>
        <v>LTM</v>
      </c>
      <c r="S25" s="1247">
        <f>+$M$7</f>
        <v>45291</v>
      </c>
      <c r="T25" s="1247">
        <f>+$N$7</f>
        <v>45657</v>
      </c>
      <c r="U25" s="1282"/>
      <c r="V25" s="1282"/>
      <c r="W25" s="1283"/>
      <c r="X25" s="1282"/>
      <c r="Y25" s="1240"/>
      <c r="AN25" s="1240"/>
    </row>
    <row r="26" spans="1:40" x14ac:dyDescent="0.25">
      <c r="A26" s="1240"/>
      <c r="B26" s="1240" t="str">
        <f t="shared" ref="B26:C31" si="12">+B8</f>
        <v xml:space="preserve">Chegg, Inc. </v>
      </c>
      <c r="C26" s="1240" t="str">
        <f t="shared" si="12"/>
        <v>CHGG</v>
      </c>
      <c r="D26" s="1248"/>
      <c r="E26" s="1256"/>
      <c r="F26" s="1250">
        <f t="shared" ref="F26:F31" si="13">+F8</f>
        <v>2013.80336111</v>
      </c>
      <c r="G26" s="1251"/>
      <c r="H26" s="1251"/>
      <c r="I26" s="1251"/>
      <c r="J26" s="1251"/>
      <c r="K26" s="1250">
        <f t="shared" ref="K26:K31" si="14">+K8</f>
        <v>2144.7463611100002</v>
      </c>
      <c r="L26" s="1284">
        <f t="shared" ref="L26:Q31" si="15">IFERROR(IF(OR(+$K8/L8&lt;0,+$K8/L8&gt;=100),"NM",+$K8/L8),"N/A")</f>
        <v>2.7966550411724129</v>
      </c>
      <c r="M26" s="1284">
        <f t="shared" si="15"/>
        <v>2.8523521869422628</v>
      </c>
      <c r="N26" s="1284">
        <f t="shared" si="15"/>
        <v>2.657493855581273</v>
      </c>
      <c r="O26" s="1284">
        <f t="shared" si="15"/>
        <v>8.4264664025537765</v>
      </c>
      <c r="P26" s="1284">
        <f t="shared" si="15"/>
        <v>8.769386361112474</v>
      </c>
      <c r="Q26" s="1284">
        <f t="shared" si="15"/>
        <v>7.9525473820603434</v>
      </c>
      <c r="R26" s="1284" t="str">
        <f t="shared" ref="R26:T31" si="16">IFERROR(IF(OR(+$F8/R8&lt;0,+$F8/R8&gt;=100),"NM",+$F8/R8),"N/A")</f>
        <v>NM</v>
      </c>
      <c r="S26" s="1284" t="str">
        <f t="shared" si="16"/>
        <v>NM</v>
      </c>
      <c r="T26" s="1284">
        <f t="shared" si="16"/>
        <v>6.0338677486441945</v>
      </c>
      <c r="U26" s="1240"/>
      <c r="V26" s="1240"/>
      <c r="W26" s="1240"/>
      <c r="X26" s="1240"/>
      <c r="Y26" s="1240"/>
      <c r="AN26" s="1240"/>
    </row>
    <row r="27" spans="1:40" x14ac:dyDescent="0.25">
      <c r="A27" s="1240"/>
      <c r="B27" s="1240" t="str">
        <f t="shared" si="12"/>
        <v xml:space="preserve">Stride, Inc. </v>
      </c>
      <c r="C27" s="1240" t="str">
        <f t="shared" si="12"/>
        <v>LRN</v>
      </c>
      <c r="D27" s="1254"/>
      <c r="E27" s="1256"/>
      <c r="F27" s="1255">
        <f t="shared" si="13"/>
        <v>1745.3600757000002</v>
      </c>
      <c r="G27" s="1256"/>
      <c r="H27" s="1256"/>
      <c r="I27" s="1256"/>
      <c r="J27" s="1256"/>
      <c r="K27" s="1255">
        <f t="shared" si="14"/>
        <v>1920.6320757000003</v>
      </c>
      <c r="L27" s="1284">
        <f t="shared" si="15"/>
        <v>1.1387151194723795</v>
      </c>
      <c r="M27" s="1284">
        <f t="shared" si="15"/>
        <v>0.99602657877896228</v>
      </c>
      <c r="N27" s="1284">
        <f t="shared" si="15"/>
        <v>0.88869602518068858</v>
      </c>
      <c r="O27" s="1284">
        <f t="shared" si="15"/>
        <v>6.8786605198126187</v>
      </c>
      <c r="P27" s="1284">
        <f>IFERROR(IF(OR(+$K9/P9&lt;0,+$K9/P9&gt;=100),"NM",+$K9/P9),"N/A")</f>
        <v>6.7913413283310833</v>
      </c>
      <c r="Q27" s="1284">
        <f t="shared" si="15"/>
        <v>6.2777037562306965</v>
      </c>
      <c r="R27" s="1284">
        <f t="shared" si="16"/>
        <v>3.7166952208262352</v>
      </c>
      <c r="S27" s="1284">
        <f t="shared" si="16"/>
        <v>2.1328837185174327</v>
      </c>
      <c r="T27" s="1284">
        <f t="shared" si="16"/>
        <v>1.743686137008472</v>
      </c>
      <c r="U27" s="1240"/>
      <c r="V27" s="1240"/>
      <c r="W27" s="1240"/>
      <c r="X27" s="1240"/>
      <c r="Y27" s="1240"/>
      <c r="AN27" s="1240"/>
    </row>
    <row r="28" spans="1:40" x14ac:dyDescent="0.25">
      <c r="A28" s="1240"/>
      <c r="B28" s="1240" t="str">
        <f t="shared" si="12"/>
        <v>Peason, PLC</v>
      </c>
      <c r="C28" s="1240" t="str">
        <f t="shared" si="12"/>
        <v>LON:PSON</v>
      </c>
      <c r="D28" s="1254"/>
      <c r="E28" s="1256"/>
      <c r="F28" s="1255">
        <f t="shared" si="13"/>
        <v>7282.9036049400002</v>
      </c>
      <c r="G28" s="1256"/>
      <c r="H28" s="1256"/>
      <c r="I28" s="1256"/>
      <c r="J28" s="1256"/>
      <c r="K28" s="1255">
        <f t="shared" si="14"/>
        <v>8111.8906049400002</v>
      </c>
      <c r="L28" s="1284">
        <f t="shared" si="15"/>
        <v>1.7135709392320515</v>
      </c>
      <c r="M28" s="1284">
        <f t="shared" si="15"/>
        <v>1.7284267833356275</v>
      </c>
      <c r="N28" s="1284">
        <f t="shared" si="15"/>
        <v>1.6630858048504864</v>
      </c>
      <c r="O28" s="1284">
        <f t="shared" si="15"/>
        <v>9.8678077952596901</v>
      </c>
      <c r="P28" s="1284">
        <f t="shared" si="15"/>
        <v>8.1907511570803706</v>
      </c>
      <c r="Q28" s="1284">
        <f t="shared" si="15"/>
        <v>7.8610446695351337</v>
      </c>
      <c r="R28" s="1284">
        <f t="shared" si="16"/>
        <v>56.282098956259659</v>
      </c>
      <c r="S28" s="1284">
        <f t="shared" si="16"/>
        <v>57.162657147245049</v>
      </c>
      <c r="T28" s="1284">
        <f t="shared" si="16"/>
        <v>42.469212018077215</v>
      </c>
      <c r="U28" s="1240"/>
      <c r="V28" s="1240"/>
      <c r="W28" s="1240"/>
      <c r="X28" s="1240"/>
      <c r="Y28" s="1240"/>
      <c r="AN28" s="1240"/>
    </row>
    <row r="29" spans="1:40" x14ac:dyDescent="0.25">
      <c r="A29" s="1240"/>
      <c r="B29" s="1240" t="str">
        <f t="shared" si="12"/>
        <v>Coursera, Inc.</v>
      </c>
      <c r="C29" s="1240" t="str">
        <f t="shared" si="12"/>
        <v>COUR</v>
      </c>
      <c r="D29" s="1254"/>
      <c r="E29" s="1256"/>
      <c r="F29" s="1255">
        <f t="shared" si="13"/>
        <v>1791.0191840299999</v>
      </c>
      <c r="G29" s="1256"/>
      <c r="H29" s="1256"/>
      <c r="I29" s="1256"/>
      <c r="J29" s="1256"/>
      <c r="K29" s="1255">
        <f t="shared" si="14"/>
        <v>1024.99718403</v>
      </c>
      <c r="L29" s="1284">
        <f t="shared" si="15"/>
        <v>1.9570127769992134</v>
      </c>
      <c r="M29" s="1284">
        <f t="shared" si="15"/>
        <v>1.7056621215998988</v>
      </c>
      <c r="N29" s="1284">
        <f t="shared" si="15"/>
        <v>1.4658564401042262</v>
      </c>
      <c r="O29" s="1285" t="str">
        <f t="shared" si="15"/>
        <v>NM</v>
      </c>
      <c r="P29" s="1285" t="str">
        <f t="shared" si="15"/>
        <v>NM</v>
      </c>
      <c r="Q29" s="1285" t="str">
        <f t="shared" si="15"/>
        <v>NM</v>
      </c>
      <c r="R29" s="1284" t="str">
        <f t="shared" si="16"/>
        <v>NM</v>
      </c>
      <c r="S29" s="1284">
        <f t="shared" si="16"/>
        <v>31.262335207366032</v>
      </c>
      <c r="T29" s="1284">
        <f t="shared" si="16"/>
        <v>13.90003247209934</v>
      </c>
      <c r="U29" s="1240"/>
      <c r="V29" s="1240"/>
      <c r="W29" s="1240"/>
      <c r="X29" s="1240"/>
      <c r="Y29" s="1240"/>
      <c r="AN29" s="1240"/>
    </row>
    <row r="30" spans="1:40" x14ac:dyDescent="0.25">
      <c r="A30" s="1240"/>
      <c r="B30" s="1240" t="str">
        <f t="shared" si="12"/>
        <v xml:space="preserve">2U, Inc. </v>
      </c>
      <c r="C30" s="1240" t="str">
        <f t="shared" si="12"/>
        <v>TWOU</v>
      </c>
      <c r="D30" s="1254"/>
      <c r="E30" s="1256"/>
      <c r="F30" s="1255">
        <f t="shared" si="13"/>
        <v>642.1200965999999</v>
      </c>
      <c r="G30" s="1256"/>
      <c r="H30" s="1256"/>
      <c r="I30" s="1256"/>
      <c r="J30" s="1256"/>
      <c r="K30" s="1255">
        <f t="shared" si="14"/>
        <v>1513.2840965999999</v>
      </c>
      <c r="L30" s="1284">
        <f t="shared" si="15"/>
        <v>1.5736591016956554</v>
      </c>
      <c r="M30" s="1284">
        <f t="shared" si="15"/>
        <v>1.5309791536579789</v>
      </c>
      <c r="N30" s="1284">
        <f t="shared" si="15"/>
        <v>1.4205478892912862</v>
      </c>
      <c r="O30" s="1284">
        <f t="shared" si="15"/>
        <v>12.955977608260131</v>
      </c>
      <c r="P30" s="1284">
        <f t="shared" si="15"/>
        <v>9.6604112187835138</v>
      </c>
      <c r="Q30" s="1284">
        <f t="shared" si="15"/>
        <v>8.1861532119074525</v>
      </c>
      <c r="R30" s="1284">
        <f t="shared" si="16"/>
        <v>4.4684766638830897</v>
      </c>
      <c r="S30" s="1284">
        <f t="shared" si="16"/>
        <v>3.6205866655389678</v>
      </c>
      <c r="T30" s="1284">
        <f t="shared" si="16"/>
        <v>2.9143451548996389</v>
      </c>
      <c r="U30" s="1240"/>
      <c r="V30" s="1240"/>
      <c r="W30" s="1240"/>
      <c r="X30" s="1240"/>
      <c r="Y30" s="1240"/>
      <c r="AN30" s="1240"/>
    </row>
    <row r="31" spans="1:40" x14ac:dyDescent="0.25">
      <c r="A31" s="1240"/>
      <c r="B31" s="1240" t="str">
        <f t="shared" si="12"/>
        <v>Udemy</v>
      </c>
      <c r="C31" s="1240" t="str">
        <f t="shared" si="12"/>
        <v>UDMY</v>
      </c>
      <c r="D31" s="1254"/>
      <c r="E31" s="1256"/>
      <c r="F31" s="1255">
        <f t="shared" si="13"/>
        <v>1403.7795925960002</v>
      </c>
      <c r="G31" s="1256"/>
      <c r="H31" s="1256"/>
      <c r="I31" s="1256"/>
      <c r="J31" s="1256"/>
      <c r="K31" s="1255">
        <f t="shared" si="14"/>
        <v>951.77359259600019</v>
      </c>
      <c r="L31" s="1284">
        <f t="shared" si="15"/>
        <v>1.512124647451337</v>
      </c>
      <c r="M31" s="1284">
        <f t="shared" si="15"/>
        <v>1.3130537729559708</v>
      </c>
      <c r="N31" s="1284">
        <f t="shared" si="15"/>
        <v>1.0753762651342678</v>
      </c>
      <c r="O31" s="1285" t="str">
        <f t="shared" si="15"/>
        <v>NM</v>
      </c>
      <c r="P31" s="1285" t="str">
        <f t="shared" si="15"/>
        <v>NM</v>
      </c>
      <c r="Q31" s="1285">
        <f t="shared" si="15"/>
        <v>61.219115751977881</v>
      </c>
      <c r="R31" s="1284">
        <f t="shared" si="16"/>
        <v>4.483486402414564</v>
      </c>
      <c r="S31" s="1284">
        <f t="shared" si="16"/>
        <v>3.5973133603157117</v>
      </c>
      <c r="T31" s="1284">
        <f t="shared" si="16"/>
        <v>3.179208679868645</v>
      </c>
      <c r="U31" s="1240"/>
      <c r="V31" s="1240"/>
      <c r="W31" s="1240"/>
      <c r="X31" s="1240"/>
      <c r="Y31" s="1240"/>
      <c r="AN31" s="1240"/>
    </row>
    <row r="32" spans="1:40" x14ac:dyDescent="0.25">
      <c r="A32" s="1240"/>
      <c r="B32" s="1240"/>
      <c r="C32" s="1240"/>
      <c r="D32" s="1240"/>
      <c r="E32" s="1240"/>
      <c r="F32" s="1240"/>
      <c r="G32" s="1240"/>
      <c r="H32" s="1240"/>
      <c r="I32" s="1240"/>
      <c r="J32" s="1240"/>
      <c r="K32" s="1240"/>
      <c r="L32" s="1240"/>
      <c r="M32" s="1240"/>
      <c r="N32" s="1240"/>
      <c r="O32" s="1240"/>
      <c r="P32" s="1240"/>
      <c r="Q32" s="1240"/>
      <c r="R32" s="1240"/>
      <c r="S32" s="1240"/>
      <c r="T32" s="1240"/>
      <c r="U32" s="1240"/>
      <c r="V32" s="1240"/>
      <c r="W32" s="1240"/>
      <c r="X32" s="1240"/>
      <c r="Y32" s="1240"/>
      <c r="AN32" s="1240"/>
    </row>
    <row r="33" spans="1:40" x14ac:dyDescent="0.25">
      <c r="A33" s="1240"/>
      <c r="B33" s="1259" t="s">
        <v>896</v>
      </c>
      <c r="C33" s="1260"/>
      <c r="D33" s="1261"/>
      <c r="E33" s="1261"/>
      <c r="F33" s="1262">
        <f>MAX(F26:F31)</f>
        <v>7282.9036049400002</v>
      </c>
      <c r="G33" s="1262"/>
      <c r="H33" s="1262"/>
      <c r="I33" s="1262"/>
      <c r="J33" s="1262"/>
      <c r="K33" s="1262">
        <f t="shared" ref="K33:T33" si="17">MAX(K26:K31)</f>
        <v>8111.8906049400002</v>
      </c>
      <c r="L33" s="1286">
        <f t="shared" si="17"/>
        <v>2.7966550411724129</v>
      </c>
      <c r="M33" s="1286">
        <f t="shared" si="17"/>
        <v>2.8523521869422628</v>
      </c>
      <c r="N33" s="1286">
        <f t="shared" si="17"/>
        <v>2.657493855581273</v>
      </c>
      <c r="O33" s="1286">
        <f t="shared" si="17"/>
        <v>12.955977608260131</v>
      </c>
      <c r="P33" s="1286">
        <f t="shared" si="17"/>
        <v>9.6604112187835138</v>
      </c>
      <c r="Q33" s="1286">
        <f t="shared" si="17"/>
        <v>61.219115751977881</v>
      </c>
      <c r="R33" s="1286">
        <f t="shared" si="17"/>
        <v>56.282098956259659</v>
      </c>
      <c r="S33" s="1286">
        <f t="shared" si="17"/>
        <v>57.162657147245049</v>
      </c>
      <c r="T33" s="1287">
        <f t="shared" si="17"/>
        <v>42.469212018077215</v>
      </c>
      <c r="U33" s="1240"/>
      <c r="V33" s="1240"/>
      <c r="W33" s="1240"/>
      <c r="X33" s="1240"/>
      <c r="Y33" s="1240"/>
      <c r="AN33" s="1240"/>
    </row>
    <row r="34" spans="1:40" ht="16.5" thickBot="1" x14ac:dyDescent="0.3">
      <c r="A34" s="1240"/>
      <c r="B34" s="1265" t="s">
        <v>897</v>
      </c>
      <c r="C34" s="1240"/>
      <c r="D34" s="1266"/>
      <c r="E34" s="1266"/>
      <c r="F34" s="1267">
        <f>QUARTILE(F26:F31,3)</f>
        <v>1958.1073168399998</v>
      </c>
      <c r="G34" s="1267"/>
      <c r="H34" s="1267"/>
      <c r="I34" s="1267"/>
      <c r="J34" s="1267"/>
      <c r="K34" s="1267">
        <f t="shared" ref="K34:T34" si="18">QUARTILE(K26:K31,3)</f>
        <v>2088.7177897575002</v>
      </c>
      <c r="L34" s="1284">
        <f t="shared" si="18"/>
        <v>1.8961523175574229</v>
      </c>
      <c r="M34" s="1284">
        <f t="shared" si="18"/>
        <v>1.7227356179016953</v>
      </c>
      <c r="N34" s="1284">
        <f t="shared" si="18"/>
        <v>1.6137784636639214</v>
      </c>
      <c r="O34" s="1284">
        <f t="shared" si="18"/>
        <v>10.6398502485098</v>
      </c>
      <c r="P34" s="1284">
        <f t="shared" si="18"/>
        <v>8.9921425755302344</v>
      </c>
      <c r="Q34" s="1284">
        <f t="shared" si="18"/>
        <v>8.1861532119074525</v>
      </c>
      <c r="R34" s="1284">
        <f t="shared" si="18"/>
        <v>17.433139540875839</v>
      </c>
      <c r="S34" s="1284">
        <f t="shared" si="18"/>
        <v>31.262335207366032</v>
      </c>
      <c r="T34" s="1288">
        <f t="shared" si="18"/>
        <v>11.933491291235555</v>
      </c>
      <c r="U34" s="1240"/>
      <c r="V34" s="1240"/>
      <c r="W34" s="1240"/>
      <c r="X34" s="1240"/>
      <c r="Y34" s="1240"/>
      <c r="AN34" s="1240"/>
    </row>
    <row r="35" spans="1:40" ht="16.5" thickBot="1" x14ac:dyDescent="0.3">
      <c r="A35" s="1240"/>
      <c r="B35" s="1269" t="s">
        <v>898</v>
      </c>
      <c r="C35" s="1270"/>
      <c r="D35" s="1271"/>
      <c r="E35" s="1271"/>
      <c r="F35" s="1272">
        <f>MEDIAN(F26:F31)</f>
        <v>1768.1896298649999</v>
      </c>
      <c r="G35" s="1272"/>
      <c r="H35" s="1272"/>
      <c r="I35" s="1272"/>
      <c r="J35" s="1272"/>
      <c r="K35" s="1272">
        <f t="shared" ref="K35:T35" si="19">MEDIAN(K26:K31)</f>
        <v>1716.9580861500001</v>
      </c>
      <c r="L35" s="1289">
        <f t="shared" si="19"/>
        <v>1.6436150204638533</v>
      </c>
      <c r="M35" s="1289">
        <f t="shared" si="19"/>
        <v>1.6183206376289387</v>
      </c>
      <c r="N35" s="1289">
        <f t="shared" si="19"/>
        <v>1.4432021646977562</v>
      </c>
      <c r="O35" s="1404">
        <f t="shared" si="19"/>
        <v>9.1471370989067324</v>
      </c>
      <c r="P35" s="1289">
        <f t="shared" si="19"/>
        <v>8.4800687590964223</v>
      </c>
      <c r="Q35" s="1289">
        <f t="shared" si="19"/>
        <v>7.9525473820603434</v>
      </c>
      <c r="R35" s="1289">
        <f t="shared" si="19"/>
        <v>4.4759815331488273</v>
      </c>
      <c r="S35" s="1289">
        <f t="shared" si="19"/>
        <v>3.6205866655389678</v>
      </c>
      <c r="T35" s="1290">
        <f t="shared" si="19"/>
        <v>4.6065382142564193</v>
      </c>
      <c r="U35" s="1240"/>
      <c r="V35" s="1240"/>
      <c r="W35" s="1240"/>
      <c r="X35" s="1240"/>
      <c r="Y35" s="1240"/>
      <c r="AN35" s="1240"/>
    </row>
    <row r="36" spans="1:40" x14ac:dyDescent="0.25">
      <c r="A36" s="1240"/>
      <c r="B36" s="1265" t="s">
        <v>899</v>
      </c>
      <c r="C36" s="1242"/>
      <c r="D36" s="1266"/>
      <c r="E36" s="1266"/>
      <c r="F36" s="1267">
        <f>QUARTILE(F26:F31,1)</f>
        <v>1489.174713372</v>
      </c>
      <c r="G36" s="1267"/>
      <c r="H36" s="1267"/>
      <c r="I36" s="1267"/>
      <c r="J36" s="1267"/>
      <c r="K36" s="1267">
        <f t="shared" ref="K36:T36" si="20">QUARTILE(K26:K31,1)</f>
        <v>1147.0689121724999</v>
      </c>
      <c r="L36" s="1284">
        <f t="shared" si="20"/>
        <v>1.5275082610124167</v>
      </c>
      <c r="M36" s="1284">
        <f t="shared" si="20"/>
        <v>1.3675351181314728</v>
      </c>
      <c r="N36" s="1284">
        <f t="shared" si="20"/>
        <v>1.1616691711735223</v>
      </c>
      <c r="O36" s="1284">
        <f t="shared" si="20"/>
        <v>8.0395149318684869</v>
      </c>
      <c r="P36" s="1284">
        <f t="shared" si="20"/>
        <v>7.8408986998930486</v>
      </c>
      <c r="Q36" s="1284">
        <f t="shared" si="20"/>
        <v>7.8610446695351337</v>
      </c>
      <c r="R36" s="1284">
        <f t="shared" si="20"/>
        <v>4.2805313031188756</v>
      </c>
      <c r="S36" s="1284">
        <f t="shared" si="20"/>
        <v>3.5973133603157117</v>
      </c>
      <c r="T36" s="1288">
        <f t="shared" si="20"/>
        <v>2.9805610361418902</v>
      </c>
      <c r="U36" s="1240"/>
      <c r="V36" s="1240"/>
      <c r="W36" s="1240"/>
      <c r="X36" s="1240"/>
      <c r="Y36" s="1240"/>
      <c r="AN36" s="1240"/>
    </row>
    <row r="37" spans="1:40" x14ac:dyDescent="0.25">
      <c r="A37" s="1240"/>
      <c r="B37" s="1275" t="s">
        <v>900</v>
      </c>
      <c r="C37" s="1276"/>
      <c r="D37" s="1277"/>
      <c r="E37" s="1277"/>
      <c r="F37" s="1278">
        <f>MIN(F26:F31)</f>
        <v>642.1200965999999</v>
      </c>
      <c r="G37" s="1278"/>
      <c r="H37" s="1278"/>
      <c r="I37" s="1278"/>
      <c r="J37" s="1278"/>
      <c r="K37" s="1278">
        <f t="shared" ref="K37:T37" si="21">MIN(K26:K31)</f>
        <v>951.77359259600019</v>
      </c>
      <c r="L37" s="1291">
        <f t="shared" si="21"/>
        <v>1.1387151194723795</v>
      </c>
      <c r="M37" s="1291">
        <f t="shared" si="21"/>
        <v>0.99602657877896228</v>
      </c>
      <c r="N37" s="1291">
        <f t="shared" si="21"/>
        <v>0.88869602518068858</v>
      </c>
      <c r="O37" s="1291">
        <f t="shared" si="21"/>
        <v>6.8786605198126187</v>
      </c>
      <c r="P37" s="1291">
        <f t="shared" si="21"/>
        <v>6.7913413283310833</v>
      </c>
      <c r="Q37" s="1291">
        <f t="shared" si="21"/>
        <v>6.2777037562306965</v>
      </c>
      <c r="R37" s="1291">
        <f t="shared" si="21"/>
        <v>3.7166952208262352</v>
      </c>
      <c r="S37" s="1291">
        <f t="shared" si="21"/>
        <v>2.1328837185174327</v>
      </c>
      <c r="T37" s="1292">
        <f t="shared" si="21"/>
        <v>1.743686137008472</v>
      </c>
      <c r="U37" s="1240"/>
      <c r="V37" s="1240"/>
      <c r="W37" s="1240"/>
      <c r="X37" s="1240"/>
      <c r="Y37" s="1240"/>
      <c r="AN37" s="1240"/>
    </row>
    <row r="38" spans="1:40" x14ac:dyDescent="0.25">
      <c r="A38" s="1240"/>
      <c r="B38" s="1240"/>
      <c r="C38" s="1240"/>
      <c r="D38" s="1240"/>
      <c r="E38" s="1240"/>
      <c r="F38" s="1240"/>
      <c r="G38" s="1240"/>
      <c r="H38" s="1240"/>
      <c r="I38" s="1240"/>
      <c r="J38" s="1240"/>
      <c r="K38" s="1240"/>
      <c r="L38" s="1240"/>
      <c r="M38" s="1240"/>
      <c r="N38" s="1240"/>
      <c r="O38" s="1240"/>
      <c r="P38" s="1240"/>
      <c r="Q38" s="1240"/>
      <c r="R38" s="1240"/>
      <c r="S38" s="1240"/>
      <c r="T38" s="1240"/>
      <c r="U38" s="1240"/>
      <c r="V38" s="1240"/>
      <c r="W38" s="1240"/>
      <c r="X38" s="1240"/>
      <c r="Y38" s="1240"/>
      <c r="AN38" s="1240"/>
    </row>
    <row r="39" spans="1:40" ht="14.45" customHeight="1" x14ac:dyDescent="0.25">
      <c r="A39" s="1240"/>
      <c r="B39" s="1356" t="str">
        <f>B21</f>
        <v>Duolingo</v>
      </c>
      <c r="C39" s="1357" t="str">
        <f>C21</f>
        <v>DUOL</v>
      </c>
      <c r="D39" s="1358"/>
      <c r="E39" s="1358"/>
      <c r="F39" s="1362">
        <f>+F21</f>
        <v>5484.0723600000001</v>
      </c>
      <c r="G39" s="1363"/>
      <c r="H39" s="1363"/>
      <c r="I39" s="1363"/>
      <c r="J39" s="1363"/>
      <c r="K39" s="1362">
        <f>+K21</f>
        <v>4847.4863599999999</v>
      </c>
      <c r="L39" s="1364">
        <f t="shared" ref="L39:Q39" si="22">IFERROR(IF(OR(+$K21/L21&lt;0,+$K21/L21&gt;=100),"NM",+$K21/L21),"N/A")</f>
        <v>13.11922044953247</v>
      </c>
      <c r="M39" s="1364">
        <f t="shared" si="22"/>
        <v>9.8320910619499546</v>
      </c>
      <c r="N39" s="1365">
        <f t="shared" si="22"/>
        <v>7.9547580335487433</v>
      </c>
      <c r="O39" s="1366" t="str">
        <f t="shared" si="22"/>
        <v>NM</v>
      </c>
      <c r="P39" s="1366">
        <f t="shared" si="22"/>
        <v>91.410265132943607</v>
      </c>
      <c r="Q39" s="1366">
        <f t="shared" si="22"/>
        <v>54.990713208018057</v>
      </c>
      <c r="R39" s="1293" t="str">
        <f>IFERROR(IF(OR(+$F21/R21&lt;0,+$F21/R21&gt;=100),"NM",+$F21/R21),"N/A")</f>
        <v>NM</v>
      </c>
      <c r="S39" s="1293">
        <f>IFERROR(IF(OR(+$F21/S21&lt;0,+$F21/S21&gt;=100),"NM",+$F21/S21),"N/A")</f>
        <v>32.117955874804011</v>
      </c>
      <c r="T39" s="1293">
        <f>IFERROR(IF(OR(+$F21/T21&lt;0,+$F21/T21&gt;=100),"NM",+$F21/T21),"N/A")</f>
        <v>26.65111934978891</v>
      </c>
      <c r="U39" s="1240"/>
      <c r="V39" s="1240"/>
      <c r="W39" s="1240"/>
      <c r="X39" s="1240"/>
      <c r="Y39" s="1240"/>
      <c r="AN39" s="1240"/>
    </row>
    <row r="40" spans="1:40" x14ac:dyDescent="0.25">
      <c r="A40" s="1240"/>
      <c r="B40" s="1240"/>
      <c r="C40" s="1240"/>
      <c r="D40" s="1240"/>
      <c r="E40" s="1240"/>
      <c r="F40" s="1240"/>
      <c r="G40" s="1240"/>
      <c r="H40" s="1240"/>
      <c r="I40" s="1240"/>
      <c r="J40" s="1240"/>
      <c r="K40" s="1240"/>
      <c r="L40" s="1240"/>
      <c r="M40" s="1240"/>
      <c r="N40" s="1240"/>
      <c r="O40" s="1240"/>
      <c r="P40" s="1240"/>
      <c r="Q40" s="1240"/>
      <c r="R40" s="1294"/>
      <c r="S40" s="1240"/>
      <c r="T40" s="1240"/>
      <c r="U40" s="1240"/>
      <c r="V40" s="1240"/>
      <c r="W40" s="1240"/>
      <c r="X40" s="1240"/>
      <c r="Y40" s="1240"/>
      <c r="AN40" s="1240"/>
    </row>
    <row r="41" spans="1:40" x14ac:dyDescent="0.25">
      <c r="A41" s="1240"/>
      <c r="B41" s="1240"/>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AN41" s="1240"/>
    </row>
    <row r="42" spans="1:40" x14ac:dyDescent="0.25">
      <c r="AN42" s="1240"/>
    </row>
    <row r="43" spans="1:40" x14ac:dyDescent="0.25">
      <c r="AN43" s="1240"/>
    </row>
  </sheetData>
  <pageMargins left="0.7" right="0.7" top="0.75" bottom="0.75" header="0.3" footer="0.3"/>
  <pageSetup scale="37" orientation="portrait" horizontalDpi="1200" verticalDpi="1200" r:id="rId1"/>
  <ignoredErrors>
    <ignoredError sqref="V11" 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D3:K45"/>
  <sheetViews>
    <sheetView showGridLines="0" topLeftCell="E10" workbookViewId="0">
      <selection activeCell="D35" sqref="D35"/>
    </sheetView>
  </sheetViews>
  <sheetFormatPr defaultRowHeight="15" x14ac:dyDescent="0.25"/>
  <cols>
    <col min="3" max="3" width="11.85546875" bestFit="1" customWidth="1"/>
    <col min="4" max="4" width="39.140625" bestFit="1" customWidth="1"/>
    <col min="5" max="5" width="17" bestFit="1" customWidth="1"/>
    <col min="6" max="6" width="13.85546875" bestFit="1" customWidth="1"/>
    <col min="7" max="7" width="13.28515625" bestFit="1" customWidth="1"/>
    <col min="8" max="8" width="18.28515625" bestFit="1" customWidth="1"/>
  </cols>
  <sheetData>
    <row r="3" spans="4:11" x14ac:dyDescent="0.25">
      <c r="F3" s="7"/>
      <c r="G3" s="25"/>
      <c r="H3" s="7"/>
    </row>
    <row r="4" spans="4:11" ht="15.75" x14ac:dyDescent="0.25">
      <c r="D4" s="1320" t="s">
        <v>905</v>
      </c>
      <c r="E4" s="1321"/>
      <c r="F4" s="1322" t="s">
        <v>884</v>
      </c>
      <c r="G4" s="1322" t="s">
        <v>886</v>
      </c>
      <c r="H4" s="1323" t="s">
        <v>888</v>
      </c>
      <c r="I4" s="1322" t="s">
        <v>890</v>
      </c>
      <c r="J4" s="1322" t="s">
        <v>892</v>
      </c>
      <c r="K4" s="1322" t="s">
        <v>894</v>
      </c>
    </row>
    <row r="5" spans="4:11" x14ac:dyDescent="0.25">
      <c r="D5" t="s">
        <v>906</v>
      </c>
      <c r="F5">
        <f>INDEX('Public-Comps'!$D$8:$D$13,MATCH('Public - Dil.Shares'!F$4,'Public-Comps'!$B$8:$B$13,0))</f>
        <v>15.89</v>
      </c>
      <c r="G5">
        <f>INDEX('Public-Comps'!$D$8:$D$13,MATCH('Public - Dil.Shares'!G$4,'Public-Comps'!$B$8:$B$13,0))</f>
        <v>40.090000000000003</v>
      </c>
      <c r="H5">
        <f>INDEX('Public-Comps'!$D$8:$D$13,MATCH('Public - Dil.Shares'!H$4,'Public-Comps'!$B$8:$B$13,0))</f>
        <v>10.17</v>
      </c>
      <c r="I5">
        <f>INDEX('Public-Comps'!$D$8:$D$13,MATCH('Public - Dil.Shares'!I$4,'Public-Comps'!$B$8:$B$13,0))</f>
        <v>11.33</v>
      </c>
      <c r="J5">
        <f>INDEX('Public-Comps'!$D$8:$D$13,MATCH('Public - Dil.Shares'!J$4,'Public-Comps'!$B$8:$B$13,0))</f>
        <v>8.1</v>
      </c>
      <c r="K5">
        <f>INDEX('Public-Comps'!$D$8:$D$13,MATCH('Public - Dil.Shares'!K$4,'Public-Comps'!$B$8:$B$13,0))</f>
        <v>9.33</v>
      </c>
    </row>
    <row r="7" spans="4:11" x14ac:dyDescent="0.25">
      <c r="D7" s="12" t="s">
        <v>907</v>
      </c>
    </row>
    <row r="8" spans="4:11" ht="15.75" x14ac:dyDescent="0.25">
      <c r="D8" s="1324" t="s">
        <v>908</v>
      </c>
      <c r="E8" s="1325"/>
      <c r="F8" s="1325"/>
      <c r="G8" s="1325"/>
      <c r="H8" s="1325"/>
      <c r="I8" s="1325"/>
      <c r="J8" s="1325"/>
      <c r="K8" s="1325"/>
    </row>
    <row r="9" spans="4:11" x14ac:dyDescent="0.25">
      <c r="D9" t="s">
        <v>909</v>
      </c>
      <c r="F9" s="1326">
        <f>126551885/1000000</f>
        <v>126.551885</v>
      </c>
      <c r="G9" s="1326">
        <v>43.109729999999999</v>
      </c>
      <c r="H9" s="1326">
        <v>716.11638200000004</v>
      </c>
      <c r="I9" s="1326">
        <v>149.649901</v>
      </c>
      <c r="J9" s="1326">
        <v>79.274085999999997</v>
      </c>
      <c r="K9" s="1326">
        <v>145.35988800000001</v>
      </c>
    </row>
    <row r="10" spans="4:11" x14ac:dyDescent="0.25">
      <c r="D10" s="2" t="s">
        <v>910</v>
      </c>
      <c r="F10" s="1327"/>
      <c r="G10" s="1327"/>
      <c r="H10" s="1327"/>
      <c r="I10" s="1327"/>
      <c r="J10" s="1327"/>
      <c r="K10" s="1327"/>
    </row>
    <row r="11" spans="4:11" x14ac:dyDescent="0.25">
      <c r="D11" s="1328">
        <v>1</v>
      </c>
      <c r="F11" s="1326">
        <f>326258/1000000</f>
        <v>0.32625799999999999</v>
      </c>
      <c r="G11" s="1326">
        <v>0.67500000000000004</v>
      </c>
      <c r="H11" s="1326">
        <v>0</v>
      </c>
      <c r="I11" s="1326">
        <v>18.153195</v>
      </c>
      <c r="J11" s="1326">
        <v>3.1957680000000002</v>
      </c>
      <c r="K11" s="1326">
        <v>8.7770918000000009</v>
      </c>
    </row>
    <row r="12" spans="4:11" x14ac:dyDescent="0.25">
      <c r="D12" s="1328">
        <f>D11+1</f>
        <v>2</v>
      </c>
      <c r="F12" s="1326"/>
      <c r="G12" s="1326"/>
      <c r="H12" s="1326"/>
      <c r="I12" s="1326"/>
      <c r="J12" s="1326"/>
      <c r="K12" s="1326"/>
    </row>
    <row r="13" spans="4:11" x14ac:dyDescent="0.25">
      <c r="D13" s="1328">
        <f t="shared" ref="D13:D24" si="0">D12+1</f>
        <v>3</v>
      </c>
      <c r="F13" s="1326"/>
      <c r="G13" s="1326"/>
      <c r="H13" s="1326"/>
      <c r="I13" s="1326"/>
      <c r="J13" s="1326"/>
      <c r="K13" s="1326"/>
    </row>
    <row r="14" spans="4:11" x14ac:dyDescent="0.25">
      <c r="D14" s="1328">
        <f t="shared" si="0"/>
        <v>4</v>
      </c>
      <c r="F14" s="1326"/>
      <c r="G14" s="1326"/>
      <c r="H14" s="1326"/>
      <c r="I14" s="1326"/>
      <c r="J14" s="1326"/>
      <c r="K14" s="1326"/>
    </row>
    <row r="15" spans="4:11" x14ac:dyDescent="0.25">
      <c r="D15" s="1328">
        <f t="shared" si="0"/>
        <v>5</v>
      </c>
      <c r="F15" s="1326"/>
      <c r="G15" s="1326"/>
      <c r="H15" s="1326"/>
      <c r="I15" s="1326"/>
      <c r="J15" s="1326"/>
      <c r="K15" s="1326"/>
    </row>
    <row r="16" spans="4:11" x14ac:dyDescent="0.25">
      <c r="D16" s="1328">
        <f t="shared" si="0"/>
        <v>6</v>
      </c>
      <c r="F16" s="1326"/>
      <c r="G16" s="1326"/>
      <c r="H16" s="1326"/>
      <c r="I16" s="1326"/>
      <c r="J16" s="1326"/>
      <c r="K16" s="1326"/>
    </row>
    <row r="17" spans="4:11" x14ac:dyDescent="0.25">
      <c r="D17" s="1328">
        <f t="shared" si="0"/>
        <v>7</v>
      </c>
      <c r="F17" s="1326"/>
      <c r="G17" s="1326"/>
      <c r="H17" s="1326"/>
      <c r="I17" s="1326"/>
      <c r="J17" s="1326"/>
      <c r="K17" s="1326"/>
    </row>
    <row r="18" spans="4:11" x14ac:dyDescent="0.25">
      <c r="D18" s="1328">
        <f t="shared" si="0"/>
        <v>8</v>
      </c>
      <c r="F18" s="1326"/>
      <c r="G18" s="1326"/>
      <c r="H18" s="1326"/>
      <c r="I18" s="1326"/>
      <c r="J18" s="1326"/>
      <c r="K18" s="1326"/>
    </row>
    <row r="19" spans="4:11" x14ac:dyDescent="0.25">
      <c r="D19" s="1328">
        <f t="shared" si="0"/>
        <v>9</v>
      </c>
      <c r="F19" s="1326"/>
      <c r="G19" s="1326"/>
      <c r="H19" s="1326"/>
      <c r="I19" s="1326"/>
      <c r="J19" s="1326"/>
      <c r="K19" s="1326"/>
    </row>
    <row r="20" spans="4:11" x14ac:dyDescent="0.25">
      <c r="D20" s="1328">
        <f t="shared" si="0"/>
        <v>10</v>
      </c>
      <c r="F20" s="1326"/>
      <c r="G20" s="1326"/>
      <c r="H20" s="1326"/>
      <c r="I20" s="1326"/>
      <c r="J20" s="1326"/>
      <c r="K20" s="1326"/>
    </row>
    <row r="21" spans="4:11" x14ac:dyDescent="0.25">
      <c r="D21" s="1328">
        <f t="shared" si="0"/>
        <v>11</v>
      </c>
      <c r="F21" s="1326"/>
      <c r="G21" s="1326"/>
      <c r="H21" s="1326"/>
      <c r="I21" s="1326"/>
      <c r="J21" s="1326"/>
      <c r="K21" s="1326"/>
    </row>
    <row r="22" spans="4:11" x14ac:dyDescent="0.25">
      <c r="D22" s="1328">
        <f t="shared" si="0"/>
        <v>12</v>
      </c>
      <c r="F22" s="1326"/>
      <c r="G22" s="1326"/>
      <c r="H22" s="1326"/>
      <c r="I22" s="1326"/>
      <c r="J22" s="1326"/>
      <c r="K22" s="1326"/>
    </row>
    <row r="23" spans="4:11" x14ac:dyDescent="0.25">
      <c r="D23" s="1328">
        <f t="shared" si="0"/>
        <v>13</v>
      </c>
      <c r="F23" s="1326"/>
      <c r="G23" s="1326"/>
      <c r="H23" s="1326"/>
      <c r="I23" s="1326"/>
      <c r="J23" s="1326"/>
      <c r="K23" s="1326"/>
    </row>
    <row r="24" spans="4:11" x14ac:dyDescent="0.25">
      <c r="D24" s="1328">
        <f t="shared" si="0"/>
        <v>14</v>
      </c>
      <c r="F24" s="1329"/>
      <c r="G24" s="1329"/>
      <c r="H24" s="1329"/>
      <c r="I24" s="1329"/>
      <c r="J24" s="1329"/>
      <c r="K24" s="1329"/>
    </row>
    <row r="25" spans="4:11" x14ac:dyDescent="0.25">
      <c r="D25" s="3"/>
      <c r="F25" s="1330">
        <f t="shared" ref="F25:K25" si="1">SUM(F11:F24)</f>
        <v>0.32625799999999999</v>
      </c>
      <c r="G25" s="1330">
        <f t="shared" si="1"/>
        <v>0.67500000000000004</v>
      </c>
      <c r="H25" s="1330">
        <f t="shared" si="1"/>
        <v>0</v>
      </c>
      <c r="I25" s="1330">
        <f t="shared" si="1"/>
        <v>18.153195</v>
      </c>
      <c r="J25" s="1330">
        <f t="shared" si="1"/>
        <v>3.1957680000000002</v>
      </c>
      <c r="K25" s="1330">
        <f t="shared" si="1"/>
        <v>8.7770918000000009</v>
      </c>
    </row>
    <row r="26" spans="4:11" x14ac:dyDescent="0.25">
      <c r="D26" s="2" t="s">
        <v>911</v>
      </c>
      <c r="F26" s="1330"/>
      <c r="G26" s="1330"/>
      <c r="H26" s="1330"/>
      <c r="I26" s="1330"/>
      <c r="J26" s="1330"/>
      <c r="K26" s="1330"/>
    </row>
    <row r="27" spans="4:11" x14ac:dyDescent="0.25">
      <c r="D27" s="1328">
        <v>1</v>
      </c>
      <c r="F27" s="1331">
        <v>7.02</v>
      </c>
      <c r="G27" s="1331">
        <v>14.77</v>
      </c>
      <c r="H27" s="1331">
        <v>0</v>
      </c>
      <c r="I27" s="1331">
        <v>6.07</v>
      </c>
      <c r="J27" s="1331">
        <v>32.340000000000003</v>
      </c>
      <c r="K27" s="1331">
        <v>3.91</v>
      </c>
    </row>
    <row r="28" spans="4:11" x14ac:dyDescent="0.25">
      <c r="D28" s="1328">
        <f>D27+1</f>
        <v>2</v>
      </c>
      <c r="F28" s="1331"/>
      <c r="G28" s="1331"/>
      <c r="H28" s="1331"/>
      <c r="I28" s="1331"/>
      <c r="J28" s="1331"/>
      <c r="K28" s="1331"/>
    </row>
    <row r="29" spans="4:11" x14ac:dyDescent="0.25">
      <c r="D29" s="1328">
        <f t="shared" ref="D29:D40" si="2">D28+1</f>
        <v>3</v>
      </c>
      <c r="F29" s="1331"/>
      <c r="G29" s="1331"/>
      <c r="H29" s="1331"/>
      <c r="I29" s="1331"/>
      <c r="J29" s="1331"/>
      <c r="K29" s="1331"/>
    </row>
    <row r="30" spans="4:11" x14ac:dyDescent="0.25">
      <c r="D30" s="1328">
        <f t="shared" si="2"/>
        <v>4</v>
      </c>
      <c r="F30" s="1331"/>
      <c r="G30" s="1331"/>
      <c r="H30" s="1331"/>
      <c r="I30" s="1331"/>
      <c r="J30" s="1331"/>
      <c r="K30" s="1331"/>
    </row>
    <row r="31" spans="4:11" x14ac:dyDescent="0.25">
      <c r="D31" s="1328">
        <f t="shared" si="2"/>
        <v>5</v>
      </c>
      <c r="F31" s="1331"/>
      <c r="G31" s="1331"/>
      <c r="H31" s="1331"/>
      <c r="I31" s="1331"/>
      <c r="J31" s="1331"/>
      <c r="K31" s="1331"/>
    </row>
    <row r="32" spans="4:11" x14ac:dyDescent="0.25">
      <c r="D32" s="1328">
        <f t="shared" si="2"/>
        <v>6</v>
      </c>
      <c r="F32" s="1331"/>
      <c r="G32" s="1331"/>
      <c r="H32" s="1331"/>
      <c r="I32" s="1331"/>
      <c r="J32" s="1331"/>
      <c r="K32" s="1331"/>
    </row>
    <row r="33" spans="4:11" x14ac:dyDescent="0.25">
      <c r="D33" s="1328">
        <f t="shared" si="2"/>
        <v>7</v>
      </c>
      <c r="F33" s="1331"/>
      <c r="G33" s="1331"/>
      <c r="H33" s="1331"/>
      <c r="I33" s="1331"/>
      <c r="J33" s="1331"/>
      <c r="K33" s="1331"/>
    </row>
    <row r="34" spans="4:11" x14ac:dyDescent="0.25">
      <c r="D34" s="1328">
        <f t="shared" si="2"/>
        <v>8</v>
      </c>
      <c r="F34" s="1331"/>
      <c r="G34" s="1331"/>
      <c r="H34" s="1331"/>
      <c r="I34" s="1331"/>
      <c r="J34" s="1331"/>
      <c r="K34" s="1331"/>
    </row>
    <row r="35" spans="4:11" x14ac:dyDescent="0.25">
      <c r="D35" s="1328">
        <f t="shared" si="2"/>
        <v>9</v>
      </c>
      <c r="F35" s="1331"/>
      <c r="G35" s="1331"/>
      <c r="H35" s="1331"/>
      <c r="I35" s="1331"/>
      <c r="J35" s="1331"/>
      <c r="K35" s="1331"/>
    </row>
    <row r="36" spans="4:11" x14ac:dyDescent="0.25">
      <c r="D36" s="1328">
        <f t="shared" si="2"/>
        <v>10</v>
      </c>
      <c r="F36" s="1331"/>
      <c r="G36" s="1331"/>
      <c r="H36" s="1331"/>
      <c r="I36" s="1331"/>
      <c r="J36" s="1331"/>
      <c r="K36" s="1331"/>
    </row>
    <row r="37" spans="4:11" x14ac:dyDescent="0.25">
      <c r="D37" s="1328">
        <f t="shared" si="2"/>
        <v>11</v>
      </c>
      <c r="F37" s="1331"/>
      <c r="G37" s="1331"/>
      <c r="H37" s="1331"/>
      <c r="I37" s="1331"/>
      <c r="J37" s="1331"/>
      <c r="K37" s="1331"/>
    </row>
    <row r="38" spans="4:11" x14ac:dyDescent="0.25">
      <c r="D38" s="1328">
        <f t="shared" si="2"/>
        <v>12</v>
      </c>
      <c r="F38" s="1331"/>
      <c r="G38" s="1331"/>
      <c r="H38" s="1331"/>
      <c r="I38" s="1331"/>
      <c r="J38" s="1331"/>
      <c r="K38" s="1331"/>
    </row>
    <row r="39" spans="4:11" x14ac:dyDescent="0.25">
      <c r="D39" s="1328">
        <f t="shared" si="2"/>
        <v>13</v>
      </c>
      <c r="F39" s="1331"/>
      <c r="G39" s="1331"/>
      <c r="H39" s="1331"/>
      <c r="I39" s="1331"/>
      <c r="J39" s="1331"/>
      <c r="K39" s="1331"/>
    </row>
    <row r="40" spans="4:11" x14ac:dyDescent="0.25">
      <c r="D40" s="1328">
        <f t="shared" si="2"/>
        <v>14</v>
      </c>
      <c r="F40" s="1331"/>
      <c r="G40" s="1331"/>
      <c r="H40" s="1331"/>
      <c r="I40" s="1331"/>
      <c r="J40" s="1331"/>
      <c r="K40" s="1331"/>
    </row>
    <row r="41" spans="4:11" x14ac:dyDescent="0.25">
      <c r="D41" s="3"/>
      <c r="F41" s="1332"/>
      <c r="G41" s="1332"/>
      <c r="H41" s="1332"/>
      <c r="I41" s="1332"/>
      <c r="J41" s="1332"/>
      <c r="K41" s="1332"/>
    </row>
    <row r="42" spans="4:11" x14ac:dyDescent="0.25">
      <c r="D42" s="3" t="s">
        <v>912</v>
      </c>
      <c r="F42" s="1333">
        <f t="shared" ref="F42:K42" si="3">SUMPRODUCT((F27:F40&lt;F5)*(F27:F40),F11:F24)</f>
        <v>2.2903311599999996</v>
      </c>
      <c r="G42" s="1333">
        <f t="shared" si="3"/>
        <v>9.9697500000000012</v>
      </c>
      <c r="H42" s="1333">
        <f t="shared" si="3"/>
        <v>0</v>
      </c>
      <c r="I42" s="1333">
        <f t="shared" si="3"/>
        <v>110.18989365</v>
      </c>
      <c r="J42" s="1333">
        <f t="shared" si="3"/>
        <v>0</v>
      </c>
      <c r="K42" s="1333">
        <f t="shared" si="3"/>
        <v>34.318428938000004</v>
      </c>
    </row>
    <row r="43" spans="4:11" x14ac:dyDescent="0.25">
      <c r="D43" s="3" t="s">
        <v>913</v>
      </c>
      <c r="F43" s="1334">
        <f t="shared" ref="F43:K43" si="4">SUMIF(F27:F40,"&lt;"&amp;F5,F11:F24)</f>
        <v>0.32625799999999999</v>
      </c>
      <c r="G43" s="1334">
        <f t="shared" si="4"/>
        <v>0.67500000000000004</v>
      </c>
      <c r="H43" s="1334">
        <f t="shared" si="4"/>
        <v>0</v>
      </c>
      <c r="I43" s="1334">
        <f t="shared" si="4"/>
        <v>18.153195</v>
      </c>
      <c r="J43" s="1334">
        <f t="shared" si="4"/>
        <v>0</v>
      </c>
      <c r="K43" s="1334">
        <f t="shared" si="4"/>
        <v>8.7770918000000009</v>
      </c>
    </row>
    <row r="44" spans="4:11" x14ac:dyDescent="0.25">
      <c r="D44" s="3" t="s">
        <v>914</v>
      </c>
      <c r="F44" s="1335">
        <f t="shared" ref="F44:K44" si="5">IFERROR(F43-F42/F5, 0)</f>
        <v>0.18212136312146007</v>
      </c>
      <c r="G44" s="1335">
        <f t="shared" si="5"/>
        <v>0.42631578947368426</v>
      </c>
      <c r="H44" s="1335">
        <f t="shared" si="5"/>
        <v>0</v>
      </c>
      <c r="I44" s="1335">
        <f t="shared" si="5"/>
        <v>8.4276968843777578</v>
      </c>
      <c r="J44" s="1335">
        <f t="shared" si="5"/>
        <v>0</v>
      </c>
      <c r="K44" s="1335">
        <f t="shared" si="5"/>
        <v>5.0988035965702041</v>
      </c>
    </row>
    <row r="45" spans="4:11" x14ac:dyDescent="0.25">
      <c r="D45" s="3" t="s">
        <v>915</v>
      </c>
      <c r="F45" s="1334">
        <f t="shared" ref="F45:K45" si="6">+F44+F9</f>
        <v>126.73400636312145</v>
      </c>
      <c r="G45" s="1334">
        <f t="shared" si="6"/>
        <v>43.536045789473683</v>
      </c>
      <c r="H45" s="1334">
        <f t="shared" si="6"/>
        <v>716.11638200000004</v>
      </c>
      <c r="I45" s="1334">
        <f t="shared" si="6"/>
        <v>158.07759788437775</v>
      </c>
      <c r="J45" s="1334">
        <f t="shared" si="6"/>
        <v>79.274085999999997</v>
      </c>
      <c r="K45" s="1334">
        <f t="shared" si="6"/>
        <v>150.45869159657022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B1:M39"/>
  <sheetViews>
    <sheetView showGridLines="0" zoomScaleNormal="100" workbookViewId="0">
      <selection activeCell="D35" sqref="D35"/>
    </sheetView>
  </sheetViews>
  <sheetFormatPr defaultRowHeight="15.75" outlineLevelRow="1" x14ac:dyDescent="0.25"/>
  <cols>
    <col min="1" max="1" width="2.7109375" style="69" customWidth="1"/>
    <col min="2" max="2" width="42.5703125" style="69" bestFit="1" customWidth="1"/>
    <col min="3" max="7" width="10.7109375" style="69" customWidth="1"/>
    <col min="8" max="8" width="11.28515625" style="69" bestFit="1" customWidth="1"/>
    <col min="9" max="13" width="10.7109375" style="69" customWidth="1"/>
    <col min="14" max="14" width="2.7109375" style="69" customWidth="1"/>
    <col min="15" max="16384" width="9.140625" style="69"/>
  </cols>
  <sheetData>
    <row r="1" spans="2:13" x14ac:dyDescent="0.25">
      <c r="B1" s="1295"/>
      <c r="C1" s="1295"/>
      <c r="D1" s="1295"/>
      <c r="E1" s="1295"/>
      <c r="F1" s="1295"/>
      <c r="G1" s="1295"/>
      <c r="H1" s="1295"/>
      <c r="I1" s="1295"/>
      <c r="J1" s="1295"/>
      <c r="K1" s="1295"/>
      <c r="L1" s="1295"/>
      <c r="M1" s="1295"/>
    </row>
    <row r="2" spans="2:13" ht="18.75" x14ac:dyDescent="0.3">
      <c r="B2" s="1296" t="s">
        <v>916</v>
      </c>
      <c r="C2" s="1295"/>
      <c r="D2" s="1295"/>
      <c r="E2" s="1295"/>
      <c r="F2" s="1295"/>
      <c r="G2" s="1295"/>
      <c r="H2" s="1295"/>
      <c r="I2" s="1295"/>
      <c r="J2" s="1295"/>
      <c r="K2" s="1295"/>
      <c r="L2" s="1295"/>
      <c r="M2" s="1295"/>
    </row>
    <row r="3" spans="2:13" x14ac:dyDescent="0.25">
      <c r="B3" s="1240" t="s">
        <v>867</v>
      </c>
      <c r="C3" s="1295"/>
      <c r="D3" s="1295"/>
      <c r="E3" s="1295"/>
      <c r="F3" s="1295"/>
      <c r="G3" s="1295"/>
      <c r="H3" s="1295"/>
      <c r="I3" s="1295"/>
      <c r="J3" s="1295"/>
      <c r="K3" s="1295"/>
      <c r="L3" s="1295"/>
      <c r="M3" s="1295"/>
    </row>
    <row r="4" spans="2:13" x14ac:dyDescent="0.25">
      <c r="B4" s="1295"/>
      <c r="C4" s="1295"/>
      <c r="D4" s="1295"/>
      <c r="E4" s="1295"/>
      <c r="F4" s="1295"/>
      <c r="G4" s="1295"/>
      <c r="H4" s="1295"/>
      <c r="I4" s="1295"/>
      <c r="J4" s="1295"/>
      <c r="K4" s="1295"/>
      <c r="L4" s="1295"/>
      <c r="M4" s="1295"/>
    </row>
    <row r="5" spans="2:13" x14ac:dyDescent="0.25">
      <c r="B5" s="1346" t="s">
        <v>916</v>
      </c>
      <c r="C5" s="1347" t="s">
        <v>917</v>
      </c>
      <c r="D5" s="1347"/>
      <c r="E5" s="1347"/>
      <c r="F5" s="1348"/>
      <c r="G5" s="1348"/>
      <c r="H5" s="1348"/>
      <c r="I5" s="1347" t="s">
        <v>918</v>
      </c>
      <c r="J5" s="1348"/>
      <c r="K5" s="1348"/>
      <c r="L5" s="1348"/>
      <c r="M5" s="1348"/>
    </row>
    <row r="6" spans="2:13" x14ac:dyDescent="0.25">
      <c r="B6" s="1349"/>
      <c r="C6" s="1350"/>
      <c r="D6" s="1347"/>
      <c r="E6" s="1347"/>
      <c r="F6" s="1348"/>
      <c r="G6" s="1347"/>
      <c r="H6" s="1347"/>
      <c r="I6" s="1347"/>
      <c r="J6" s="1347"/>
      <c r="K6" s="1347"/>
      <c r="L6" s="1347"/>
      <c r="M6" s="1347"/>
    </row>
    <row r="7" spans="2:13" x14ac:dyDescent="0.25">
      <c r="B7" s="1349"/>
      <c r="C7" s="1350"/>
      <c r="D7" s="1350" t="s">
        <v>919</v>
      </c>
      <c r="E7" s="1350"/>
      <c r="F7" s="1350" t="s">
        <v>920</v>
      </c>
      <c r="G7" s="1347"/>
      <c r="H7" s="1350" t="s">
        <v>921</v>
      </c>
      <c r="I7" s="1350"/>
      <c r="J7" s="1350" t="s">
        <v>920</v>
      </c>
      <c r="K7" s="1350"/>
      <c r="L7" s="1350" t="s">
        <v>919</v>
      </c>
      <c r="M7" s="1350"/>
    </row>
    <row r="8" spans="2:13" x14ac:dyDescent="0.25">
      <c r="B8" s="1349"/>
      <c r="C8" s="1350" t="s">
        <v>896</v>
      </c>
      <c r="D8" s="1350" t="s">
        <v>922</v>
      </c>
      <c r="E8" s="1350" t="s">
        <v>898</v>
      </c>
      <c r="F8" s="1350" t="s">
        <v>922</v>
      </c>
      <c r="G8" s="1350" t="s">
        <v>900</v>
      </c>
      <c r="H8" s="1350" t="s">
        <v>905</v>
      </c>
      <c r="I8" s="1350" t="s">
        <v>900</v>
      </c>
      <c r="J8" s="1350" t="s">
        <v>922</v>
      </c>
      <c r="K8" s="1350" t="s">
        <v>898</v>
      </c>
      <c r="L8" s="1350" t="s">
        <v>922</v>
      </c>
      <c r="M8" s="1350" t="s">
        <v>896</v>
      </c>
    </row>
    <row r="9" spans="2:13" x14ac:dyDescent="0.25">
      <c r="B9" s="1352" t="s">
        <v>923</v>
      </c>
      <c r="C9" s="1353" t="s">
        <v>138</v>
      </c>
      <c r="D9" s="1353" t="s">
        <v>138</v>
      </c>
      <c r="E9" s="1353" t="s">
        <v>138</v>
      </c>
      <c r="F9" s="1353" t="s">
        <v>138</v>
      </c>
      <c r="G9" s="1353" t="s">
        <v>138</v>
      </c>
      <c r="H9" s="1353" t="s">
        <v>924</v>
      </c>
      <c r="I9" s="1353" t="s">
        <v>138</v>
      </c>
      <c r="J9" s="1353" t="s">
        <v>138</v>
      </c>
      <c r="K9" s="1353" t="s">
        <v>138</v>
      </c>
      <c r="L9" s="1353" t="s">
        <v>138</v>
      </c>
      <c r="M9" s="1353" t="s">
        <v>138</v>
      </c>
    </row>
    <row r="11" spans="2:13" x14ac:dyDescent="0.25">
      <c r="B11" s="134" t="s">
        <v>925</v>
      </c>
    </row>
    <row r="12" spans="2:13" x14ac:dyDescent="0.25">
      <c r="B12" s="76" t="s">
        <v>926</v>
      </c>
      <c r="C12" s="1297">
        <f t="array" ref="C12:G20">TRANSPOSE('Public-Comps'!L33:T37)</f>
        <v>2.7966550411724129</v>
      </c>
      <c r="D12" s="1297">
        <v>1.8961523175574229</v>
      </c>
      <c r="E12" s="1297">
        <v>1.6436150204638533</v>
      </c>
      <c r="F12" s="1297">
        <v>1.5275082610124167</v>
      </c>
      <c r="G12" s="1297">
        <v>1.1387151194723795</v>
      </c>
      <c r="H12" s="1298">
        <f t="array" ref="H12:H20">TRANSPOSE('Public-Comps'!L21:T21)</f>
        <v>369.495</v>
      </c>
      <c r="I12" s="1186">
        <f t="shared" ref="I12:M17" si="0">(+I24+SUM($E$23:$E$32))/Diluted_Shares</f>
        <v>22.708121280646168</v>
      </c>
      <c r="J12" s="1186">
        <f t="shared" si="0"/>
        <v>25.793408034508463</v>
      </c>
      <c r="K12" s="1186">
        <f t="shared" si="0"/>
        <v>26.714778832229957</v>
      </c>
      <c r="L12" s="1186">
        <f t="shared" si="0"/>
        <v>28.718800751167901</v>
      </c>
      <c r="M12" s="1186">
        <f t="shared" si="0"/>
        <v>35.864783609767635</v>
      </c>
    </row>
    <row r="13" spans="2:13" x14ac:dyDescent="0.25">
      <c r="B13" s="76" t="str">
        <f>"FY "&amp;TEXT(EOMONTH("12/31/2022",12),"YY")&amp;" EV / Revenue:"</f>
        <v>FY 23 EV / Revenue:</v>
      </c>
      <c r="C13" s="1297">
        <v>2.8523521869422628</v>
      </c>
      <c r="D13" s="1297">
        <v>1.7227356179016953</v>
      </c>
      <c r="E13" s="1297">
        <v>1.6183206376289387</v>
      </c>
      <c r="F13" s="1297">
        <v>1.3675351181314728</v>
      </c>
      <c r="G13" s="1297">
        <v>0.99602657877896228</v>
      </c>
      <c r="H13" s="1299">
        <v>493.02699999999999</v>
      </c>
      <c r="I13" s="623">
        <f t="shared" si="0"/>
        <v>24.218332461141177</v>
      </c>
      <c r="J13" s="623">
        <f t="shared" si="0"/>
        <v>28.152092622460493</v>
      </c>
      <c r="K13" s="623">
        <f t="shared" si="0"/>
        <v>30.807563442469885</v>
      </c>
      <c r="L13" s="623">
        <f t="shared" si="0"/>
        <v>31.913173263331021</v>
      </c>
      <c r="M13" s="623">
        <f t="shared" si="0"/>
        <v>43.874245987534529</v>
      </c>
    </row>
    <row r="14" spans="2:13" x14ac:dyDescent="0.25">
      <c r="B14" s="76" t="str">
        <f>"FY "&amp;TEXT(EOMONTH("12/31/2022",24),"YY")&amp;" EV / Revenue:"</f>
        <v>FY 24 EV / Revenue:</v>
      </c>
      <c r="C14" s="1297">
        <v>2.657493855581273</v>
      </c>
      <c r="D14" s="1297">
        <v>1.6137784636639214</v>
      </c>
      <c r="E14" s="1297">
        <v>1.4432021646977562</v>
      </c>
      <c r="F14" s="1297">
        <v>1.1616691711735223</v>
      </c>
      <c r="G14" s="1297">
        <v>0.88869602518068858</v>
      </c>
      <c r="H14" s="1299">
        <v>609.38199999999995</v>
      </c>
      <c r="I14" s="623">
        <f t="shared" si="0"/>
        <v>25.302636510816939</v>
      </c>
      <c r="J14" s="623">
        <f t="shared" si="0"/>
        <v>28.875183258194735</v>
      </c>
      <c r="K14" s="623">
        <f t="shared" si="0"/>
        <v>32.559757345643398</v>
      </c>
      <c r="L14" s="623">
        <f t="shared" si="0"/>
        <v>34.792181344109956</v>
      </c>
      <c r="M14" s="623">
        <f t="shared" si="0"/>
        <v>48.451847444307099</v>
      </c>
    </row>
    <row r="15" spans="2:13" x14ac:dyDescent="0.25">
      <c r="B15" s="76" t="s">
        <v>927</v>
      </c>
      <c r="C15" s="1297">
        <v>12.955977608260131</v>
      </c>
      <c r="D15" s="1297">
        <v>10.6398502485098</v>
      </c>
      <c r="E15" s="1297">
        <v>9.1471370989067324</v>
      </c>
      <c r="F15" s="1297">
        <v>8.0395149318684869</v>
      </c>
      <c r="G15" s="1297">
        <v>6.8786605198126187</v>
      </c>
      <c r="H15" s="1299">
        <v>15.457000000000001</v>
      </c>
      <c r="I15" s="623">
        <f t="shared" si="0"/>
        <v>15.95527373512185</v>
      </c>
      <c r="J15" s="623">
        <f t="shared" si="0"/>
        <v>16.340637908635607</v>
      </c>
      <c r="K15" s="623">
        <f t="shared" si="0"/>
        <v>16.708330787719628</v>
      </c>
      <c r="L15" s="623">
        <f t="shared" si="0"/>
        <v>17.203860772544477</v>
      </c>
      <c r="M15" s="623">
        <f t="shared" si="0"/>
        <v>17.972736263280719</v>
      </c>
    </row>
    <row r="16" spans="2:13" x14ac:dyDescent="0.25">
      <c r="B16" s="76" t="str">
        <f>"FY "&amp;TEXT(EOMONTH("12/31/2022",12),"YY")&amp;" EV / EBITDA:"</f>
        <v>FY 23 EV / EBITDA:</v>
      </c>
      <c r="C16" s="1297">
        <v>9.6604112187835138</v>
      </c>
      <c r="D16" s="1297">
        <v>8.9921425755302344</v>
      </c>
      <c r="E16" s="1297">
        <v>8.4800687590964223</v>
      </c>
      <c r="F16" s="1297">
        <v>7.8408986998930486</v>
      </c>
      <c r="G16" s="1297">
        <v>6.7913413283310833</v>
      </c>
      <c r="H16" s="1299">
        <v>53.03</v>
      </c>
      <c r="I16" s="623">
        <f t="shared" si="0"/>
        <v>21.406529587247054</v>
      </c>
      <c r="J16" s="623">
        <f t="shared" si="0"/>
        <v>22.60188260932366</v>
      </c>
      <c r="K16" s="623">
        <f t="shared" si="0"/>
        <v>23.329840777777658</v>
      </c>
      <c r="L16" s="623">
        <f t="shared" si="0"/>
        <v>23.913047566263653</v>
      </c>
      <c r="M16" s="623">
        <f t="shared" si="0"/>
        <v>24.674146448436275</v>
      </c>
    </row>
    <row r="17" spans="2:13" x14ac:dyDescent="0.25">
      <c r="B17" s="76" t="str">
        <f>"FY "&amp;TEXT(EOMONTH("12/31/2022",24),"YY")&amp;" EV / EBITDA:"</f>
        <v>FY 24 EV / EBITDA:</v>
      </c>
      <c r="C17" s="1297">
        <v>61.219115751977881</v>
      </c>
      <c r="D17" s="1297">
        <v>8.1861532119074525</v>
      </c>
      <c r="E17" s="1297">
        <v>7.9525473820603434</v>
      </c>
      <c r="F17" s="1297">
        <v>7.8610446695351337</v>
      </c>
      <c r="G17" s="1297">
        <v>6.2777037562306965</v>
      </c>
      <c r="H17" s="1299">
        <v>88.150999999999996</v>
      </c>
      <c r="I17" s="623">
        <f t="shared" si="0"/>
        <v>25.556717147362487</v>
      </c>
      <c r="J17" s="623">
        <f t="shared" si="0"/>
        <v>28.554292097938049</v>
      </c>
      <c r="K17" s="623">
        <f t="shared" si="0"/>
        <v>28.727524682702658</v>
      </c>
      <c r="L17" s="623">
        <f t="shared" si="0"/>
        <v>29.169786344720023</v>
      </c>
      <c r="M17" s="623">
        <f t="shared" si="0"/>
        <v>129.57158783240845</v>
      </c>
    </row>
    <row r="18" spans="2:13" hidden="1" outlineLevel="1" x14ac:dyDescent="0.25">
      <c r="B18" s="76" t="s">
        <v>928</v>
      </c>
      <c r="C18" s="1297">
        <v>56.282098956259659</v>
      </c>
      <c r="D18" s="1297">
        <v>17.433139540875839</v>
      </c>
      <c r="E18" s="1297">
        <v>4.4759815331488273</v>
      </c>
      <c r="F18" s="1297">
        <v>4.2805313031188756</v>
      </c>
      <c r="G18" s="1297">
        <v>3.7166952208262352</v>
      </c>
      <c r="H18" s="1299">
        <v>12.1</v>
      </c>
      <c r="I18" s="623">
        <f t="shared" ref="I18:M20" si="1">+I30/Diluted_Shares</f>
        <v>0.96585224371799849</v>
      </c>
      <c r="J18" s="623">
        <f t="shared" si="1"/>
        <v>1.1123755158227395</v>
      </c>
      <c r="K18" s="623">
        <f t="shared" si="1"/>
        <v>1.1631668861110092</v>
      </c>
      <c r="L18" s="623">
        <f t="shared" si="1"/>
        <v>4.5303249096816645</v>
      </c>
      <c r="M18" s="623">
        <f t="shared" si="1"/>
        <v>14.625948141633561</v>
      </c>
    </row>
    <row r="19" spans="2:13" ht="14.45" hidden="1" customHeight="1" outlineLevel="1" x14ac:dyDescent="0.25">
      <c r="B19" s="76" t="str">
        <f>"FY "&amp;TEXT(EOMONTH("12/31/2016",12),"YY")&amp;" P / E:"</f>
        <v>FY 17 P / E:</v>
      </c>
      <c r="C19" s="1297">
        <v>57.162657147245049</v>
      </c>
      <c r="D19" s="1297">
        <v>31.262335207366032</v>
      </c>
      <c r="E19" s="1297">
        <v>3.6205866655389678</v>
      </c>
      <c r="F19" s="1297">
        <v>3.5973133603157117</v>
      </c>
      <c r="G19" s="1297">
        <v>2.1328837185174327</v>
      </c>
      <c r="H19" s="1299">
        <v>170.74786394803417</v>
      </c>
      <c r="I19" s="623">
        <f t="shared" si="1"/>
        <v>7.821514088449633</v>
      </c>
      <c r="J19" s="623">
        <f t="shared" si="1"/>
        <v>13.191735153679669</v>
      </c>
      <c r="K19" s="623">
        <f t="shared" si="1"/>
        <v>13.277080868079429</v>
      </c>
      <c r="L19" s="623">
        <f t="shared" si="1"/>
        <v>114.6423469499844</v>
      </c>
      <c r="M19" s="623">
        <f t="shared" si="1"/>
        <v>209.62161430964994</v>
      </c>
    </row>
    <row r="20" spans="2:13" hidden="1" outlineLevel="1" x14ac:dyDescent="0.25">
      <c r="B20" s="76" t="str">
        <f>"FY "&amp;TEXT(EOMONTH("12/31/2016",24),"YY")&amp;" P / E:"</f>
        <v>FY 18 P / E:</v>
      </c>
      <c r="C20" s="1297">
        <v>42.469212018077215</v>
      </c>
      <c r="D20" s="1297">
        <v>11.933491291235555</v>
      </c>
      <c r="E20" s="1297">
        <v>4.6065382142564193</v>
      </c>
      <c r="F20" s="1297">
        <v>2.9805610361418902</v>
      </c>
      <c r="G20" s="1297">
        <v>1.743686137008472</v>
      </c>
      <c r="H20" s="1299">
        <v>205.77268399210544</v>
      </c>
      <c r="I20" s="623">
        <f t="shared" si="1"/>
        <v>7.7059184840011046</v>
      </c>
      <c r="J20" s="623">
        <f t="shared" si="1"/>
        <v>13.172072595876628</v>
      </c>
      <c r="K20" s="623">
        <f t="shared" si="1"/>
        <v>20.357796749704566</v>
      </c>
      <c r="L20" s="623">
        <f t="shared" si="1"/>
        <v>52.737995197670983</v>
      </c>
      <c r="M20" s="623">
        <f t="shared" si="1"/>
        <v>187.68531729714209</v>
      </c>
    </row>
    <row r="21" spans="2:13" collapsed="1" x14ac:dyDescent="0.25"/>
    <row r="22" spans="2:13" x14ac:dyDescent="0.25">
      <c r="B22" s="1300" t="s">
        <v>929</v>
      </c>
      <c r="C22" s="1301"/>
      <c r="D22" s="1301"/>
      <c r="E22" s="1302">
        <f>+I24</f>
        <v>420.74954306944687</v>
      </c>
      <c r="G22" s="1303" t="s">
        <v>930</v>
      </c>
      <c r="H22" s="1303"/>
      <c r="I22" s="1303"/>
      <c r="J22" s="1304"/>
      <c r="K22" s="1304"/>
      <c r="L22" s="1304"/>
      <c r="M22" s="1304"/>
    </row>
    <row r="23" spans="2:13" x14ac:dyDescent="0.25">
      <c r="B23" s="1305" t="s">
        <v>931</v>
      </c>
      <c r="C23" s="1240"/>
      <c r="D23" s="1240"/>
      <c r="E23" s="1306">
        <v>608.17999999999995</v>
      </c>
    </row>
    <row r="24" spans="2:13" x14ac:dyDescent="0.25">
      <c r="B24" s="76" t="s">
        <v>932</v>
      </c>
      <c r="E24" s="1306">
        <v>0</v>
      </c>
      <c r="G24" s="1295" t="s">
        <v>933</v>
      </c>
      <c r="I24" s="1307">
        <f t="shared" ref="I24:I32" si="2">+$H12*G12</f>
        <v>420.74954306944687</v>
      </c>
      <c r="J24" s="1307">
        <f t="shared" ref="J24:J32" si="3">+$H12*F12</f>
        <v>564.40666490278295</v>
      </c>
      <c r="K24" s="1307">
        <f t="shared" ref="K24:K32" si="4">+$H12*E12</f>
        <v>607.30753198629145</v>
      </c>
      <c r="L24" s="1307">
        <f t="shared" ref="L24:L32" si="5">+$H12*D12</f>
        <v>700.61880057587996</v>
      </c>
      <c r="M24" s="1307">
        <f t="shared" ref="M24:M32" si="6">+$H12*C12</f>
        <v>1033.3500544380008</v>
      </c>
    </row>
    <row r="25" spans="2:13" x14ac:dyDescent="0.25">
      <c r="B25" s="76" t="s">
        <v>934</v>
      </c>
      <c r="E25" s="1306">
        <v>0</v>
      </c>
      <c r="G25" s="1295" t="s">
        <v>933</v>
      </c>
      <c r="I25" s="1308">
        <f t="shared" si="2"/>
        <v>491.06799605565544</v>
      </c>
      <c r="J25" s="1308">
        <f t="shared" si="3"/>
        <v>674.23173668700565</v>
      </c>
      <c r="K25" s="1308">
        <f t="shared" si="4"/>
        <v>797.87576900828276</v>
      </c>
      <c r="L25" s="1308">
        <f t="shared" si="5"/>
        <v>849.35517348721908</v>
      </c>
      <c r="M25" s="1308">
        <f t="shared" si="6"/>
        <v>1406.2866416715829</v>
      </c>
    </row>
    <row r="26" spans="2:13" x14ac:dyDescent="0.25">
      <c r="B26" s="76" t="s">
        <v>935</v>
      </c>
      <c r="E26" s="1306">
        <v>28.405999999999999</v>
      </c>
      <c r="G26" s="1295" t="s">
        <v>933</v>
      </c>
      <c r="I26" s="1308">
        <f t="shared" si="2"/>
        <v>541.5553612166583</v>
      </c>
      <c r="J26" s="1308">
        <f t="shared" si="3"/>
        <v>707.9002828680633</v>
      </c>
      <c r="K26" s="1308">
        <f t="shared" si="4"/>
        <v>879.46142152784796</v>
      </c>
      <c r="L26" s="1308">
        <f t="shared" si="5"/>
        <v>983.4075477444477</v>
      </c>
      <c r="M26" s="1308">
        <f t="shared" si="6"/>
        <v>1619.4289207018271</v>
      </c>
    </row>
    <row r="27" spans="2:13" x14ac:dyDescent="0.25">
      <c r="B27" s="76" t="s">
        <v>936</v>
      </c>
      <c r="E27" s="1306">
        <v>0</v>
      </c>
      <c r="G27" s="1295" t="s">
        <v>933</v>
      </c>
      <c r="I27" s="1308">
        <f t="shared" si="2"/>
        <v>106.32345565474365</v>
      </c>
      <c r="J27" s="1308">
        <f t="shared" si="3"/>
        <v>124.26678230189121</v>
      </c>
      <c r="K27" s="1308">
        <f t="shared" si="4"/>
        <v>141.38729813780137</v>
      </c>
      <c r="L27" s="1308">
        <f t="shared" si="5"/>
        <v>164.46016529121599</v>
      </c>
      <c r="M27" s="1308">
        <f t="shared" si="6"/>
        <v>200.26054589087684</v>
      </c>
    </row>
    <row r="28" spans="2:13" x14ac:dyDescent="0.25">
      <c r="B28" s="76" t="s">
        <v>937</v>
      </c>
      <c r="E28" s="1306">
        <v>0</v>
      </c>
      <c r="G28" s="1295" t="s">
        <v>933</v>
      </c>
      <c r="I28" s="1308">
        <f t="shared" si="2"/>
        <v>360.14483064139733</v>
      </c>
      <c r="J28" s="1308">
        <f t="shared" si="3"/>
        <v>415.80285805532839</v>
      </c>
      <c r="K28" s="1308">
        <f t="shared" si="4"/>
        <v>449.69804629488328</v>
      </c>
      <c r="L28" s="1308">
        <f t="shared" si="5"/>
        <v>476.85332078036834</v>
      </c>
      <c r="M28" s="1308">
        <f t="shared" si="6"/>
        <v>512.29160693208973</v>
      </c>
    </row>
    <row r="29" spans="2:13" x14ac:dyDescent="0.25">
      <c r="B29" s="76" t="s">
        <v>938</v>
      </c>
      <c r="E29" s="1306">
        <v>0</v>
      </c>
      <c r="G29" s="1295" t="s">
        <v>933</v>
      </c>
      <c r="I29" s="1308">
        <f t="shared" si="2"/>
        <v>553.38586381549214</v>
      </c>
      <c r="J29" s="1308">
        <f t="shared" si="3"/>
        <v>692.95894866419155</v>
      </c>
      <c r="K29" s="1308">
        <f t="shared" si="4"/>
        <v>701.02500427600125</v>
      </c>
      <c r="L29" s="1308">
        <f t="shared" si="5"/>
        <v>721.61759178285376</v>
      </c>
      <c r="M29" s="1308">
        <f t="shared" si="6"/>
        <v>5396.5262726526016</v>
      </c>
    </row>
    <row r="30" spans="2:13" x14ac:dyDescent="0.25">
      <c r="B30" s="76" t="s">
        <v>939</v>
      </c>
      <c r="E30" s="1306">
        <v>0</v>
      </c>
      <c r="G30" s="1295" t="s">
        <v>940</v>
      </c>
      <c r="I30" s="1308">
        <f t="shared" si="2"/>
        <v>44.972012171997441</v>
      </c>
      <c r="J30" s="1308">
        <f t="shared" si="3"/>
        <v>51.794428767738395</v>
      </c>
      <c r="K30" s="1308">
        <f t="shared" si="4"/>
        <v>54.159376551100806</v>
      </c>
      <c r="L30" s="1308">
        <f t="shared" si="5"/>
        <v>210.94098844459765</v>
      </c>
      <c r="M30" s="1308">
        <f t="shared" si="6"/>
        <v>681.01339737074181</v>
      </c>
    </row>
    <row r="31" spans="2:13" x14ac:dyDescent="0.25">
      <c r="B31" s="76" t="s">
        <v>941</v>
      </c>
      <c r="E31" s="1306">
        <v>0</v>
      </c>
      <c r="G31" s="1295" t="s">
        <v>940</v>
      </c>
      <c r="I31" s="1308">
        <f t="shared" si="2"/>
        <v>364.1853389863918</v>
      </c>
      <c r="J31" s="1308">
        <f t="shared" si="3"/>
        <v>614.23357222563277</v>
      </c>
      <c r="K31" s="1308">
        <f t="shared" si="4"/>
        <v>618.20743937951431</v>
      </c>
      <c r="L31" s="1308">
        <f t="shared" si="5"/>
        <v>5337.9769586851735</v>
      </c>
      <c r="M31" s="1308">
        <f t="shared" si="6"/>
        <v>9760.4016054859203</v>
      </c>
    </row>
    <row r="32" spans="2:13" x14ac:dyDescent="0.25">
      <c r="B32" s="76" t="s">
        <v>942</v>
      </c>
      <c r="E32" s="1309">
        <v>0</v>
      </c>
      <c r="G32" s="1295" t="s">
        <v>940</v>
      </c>
      <c r="I32" s="1308">
        <f t="shared" si="2"/>
        <v>358.8029764520594</v>
      </c>
      <c r="J32" s="1308">
        <f t="shared" si="3"/>
        <v>613.31804420920753</v>
      </c>
      <c r="K32" s="1308">
        <f t="shared" si="4"/>
        <v>947.89973225974393</v>
      </c>
      <c r="L32" s="1308">
        <f t="shared" si="5"/>
        <v>2455.5865323939561</v>
      </c>
      <c r="M32" s="1308">
        <f t="shared" si="6"/>
        <v>8739.0037439895295</v>
      </c>
    </row>
    <row r="33" spans="2:13" x14ac:dyDescent="0.25">
      <c r="B33" s="1310" t="s">
        <v>943</v>
      </c>
      <c r="C33" s="1311"/>
      <c r="D33" s="1311"/>
      <c r="E33" s="1312">
        <f>SUM(E22:E32)</f>
        <v>1057.3355430694469</v>
      </c>
    </row>
    <row r="34" spans="2:13" x14ac:dyDescent="0.25">
      <c r="G34" s="1295"/>
      <c r="I34" s="1308"/>
      <c r="J34" s="1308"/>
      <c r="K34" s="1308"/>
      <c r="L34" s="1308"/>
      <c r="M34" s="1308"/>
    </row>
    <row r="35" spans="2:13" x14ac:dyDescent="0.25">
      <c r="B35" s="1240" t="s">
        <v>944</v>
      </c>
      <c r="C35" s="1240"/>
      <c r="D35" s="1240"/>
      <c r="E35" s="1313">
        <v>46.561999999999998</v>
      </c>
      <c r="G35" s="1295"/>
      <c r="I35" s="1308"/>
      <c r="J35" s="1308"/>
      <c r="K35" s="1308"/>
      <c r="L35" s="1308"/>
      <c r="M35" s="1308"/>
    </row>
    <row r="36" spans="2:13" x14ac:dyDescent="0.25">
      <c r="B36" s="1240"/>
      <c r="C36" s="1240"/>
      <c r="D36" s="1240"/>
      <c r="E36" s="1240"/>
      <c r="G36" s="1295"/>
    </row>
    <row r="37" spans="2:13" x14ac:dyDescent="0.25">
      <c r="B37" s="1314" t="s">
        <v>945</v>
      </c>
      <c r="C37" s="1315"/>
      <c r="D37" s="1315"/>
      <c r="E37" s="1316">
        <f>+E33/E35</f>
        <v>22.708121280646168</v>
      </c>
    </row>
    <row r="38" spans="2:13" x14ac:dyDescent="0.25">
      <c r="B38" s="1317" t="s">
        <v>946</v>
      </c>
      <c r="C38" s="1318"/>
      <c r="D38" s="1318"/>
      <c r="E38" s="1319">
        <f>+E37/'Public-Comps'!D21-1</f>
        <v>-0.8071988344315999</v>
      </c>
    </row>
    <row r="39" spans="2:13" x14ac:dyDescent="0.25">
      <c r="B39" s="73"/>
      <c r="C39" s="73"/>
      <c r="D39" s="73"/>
      <c r="E39" s="73"/>
      <c r="G39" s="1295"/>
    </row>
  </sheetData>
  <pageMargins left="0.7" right="0.7" top="0.75" bottom="0.75" header="0.3" footer="0.3"/>
  <pageSetup scale="53"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T9"/>
  <sheetViews>
    <sheetView showGridLines="0" workbookViewId="0">
      <selection activeCell="B1" sqref="B1:T8"/>
    </sheetView>
  </sheetViews>
  <sheetFormatPr defaultRowHeight="15.75" x14ac:dyDescent="0.25"/>
  <cols>
    <col min="1" max="1" width="9.140625" style="69"/>
    <col min="2" max="2" width="21.140625" style="69" customWidth="1"/>
    <col min="3" max="3" width="20.42578125" style="69" bestFit="1" customWidth="1"/>
    <col min="4" max="4" width="21" style="69" customWidth="1"/>
    <col min="5" max="5" width="9.140625" style="69"/>
    <col min="6" max="7" width="13.5703125" style="69" customWidth="1"/>
    <col min="8" max="8" width="11.7109375" style="69" bestFit="1" customWidth="1"/>
    <col min="9" max="10" width="9.140625" style="69"/>
    <col min="11" max="11" width="12.85546875" style="69" bestFit="1" customWidth="1"/>
    <col min="12" max="16384" width="9.140625" style="69"/>
  </cols>
  <sheetData>
    <row r="1" spans="2:20" x14ac:dyDescent="0.25">
      <c r="B1" s="1389" t="s">
        <v>947</v>
      </c>
    </row>
    <row r="2" spans="2:20" x14ac:dyDescent="0.25">
      <c r="B2" s="1240" t="s">
        <v>867</v>
      </c>
    </row>
    <row r="3" spans="2:20" x14ac:dyDescent="0.25">
      <c r="B3" s="1376" t="s">
        <v>948</v>
      </c>
      <c r="C3" s="1376" t="s">
        <v>949</v>
      </c>
      <c r="D3" s="1376" t="s">
        <v>950</v>
      </c>
      <c r="E3" s="1376" t="s">
        <v>951</v>
      </c>
      <c r="F3" s="1377" t="s">
        <v>952</v>
      </c>
      <c r="G3" s="1377" t="s">
        <v>953</v>
      </c>
      <c r="H3" s="1377" t="s">
        <v>953</v>
      </c>
      <c r="I3" s="1376"/>
      <c r="J3" s="1376"/>
      <c r="K3" s="1376"/>
      <c r="L3" s="1376"/>
      <c r="M3" s="1336"/>
      <c r="N3" s="1336"/>
      <c r="O3" s="1336"/>
      <c r="P3" s="1336"/>
      <c r="Q3" s="1336"/>
      <c r="R3" s="1336"/>
      <c r="S3" s="1336"/>
      <c r="T3" s="1336"/>
    </row>
    <row r="4" spans="2:20" x14ac:dyDescent="0.25">
      <c r="B4" s="1376"/>
      <c r="C4" s="1376"/>
      <c r="D4" s="1376" t="s">
        <v>954</v>
      </c>
      <c r="E4" s="1376" t="s">
        <v>955</v>
      </c>
      <c r="F4" s="1377" t="s">
        <v>6</v>
      </c>
      <c r="G4" s="1377" t="s">
        <v>264</v>
      </c>
      <c r="H4" s="1377" t="s">
        <v>956</v>
      </c>
      <c r="I4" s="1376" t="s">
        <v>6</v>
      </c>
      <c r="J4" s="1376" t="s">
        <v>264</v>
      </c>
      <c r="K4" s="1376" t="s">
        <v>957</v>
      </c>
      <c r="L4" s="1378" t="s">
        <v>958</v>
      </c>
      <c r="M4" s="1337"/>
      <c r="N4" s="1337"/>
      <c r="O4" s="1337"/>
      <c r="P4" s="1337"/>
      <c r="Q4" s="1337"/>
      <c r="R4" s="1337"/>
      <c r="S4" s="1337"/>
      <c r="T4" s="1337"/>
    </row>
    <row r="5" spans="2:20" ht="37.5" customHeight="1" x14ac:dyDescent="0.25">
      <c r="B5" s="1379" t="s">
        <v>959</v>
      </c>
      <c r="C5" s="1379" t="s">
        <v>960</v>
      </c>
      <c r="D5" s="1380" t="s">
        <v>961</v>
      </c>
      <c r="E5" s="1381">
        <v>217</v>
      </c>
      <c r="F5" s="1394">
        <f>+$E$5/I5</f>
        <v>15.891614793116075</v>
      </c>
      <c r="G5" s="1385" t="s">
        <v>962</v>
      </c>
      <c r="H5" s="1394">
        <f>+E5/K5</f>
        <v>36.661598242946447</v>
      </c>
      <c r="I5" s="1381">
        <v>13.654999999999999</v>
      </c>
      <c r="J5" s="1386" t="s">
        <v>962</v>
      </c>
      <c r="K5" s="1381">
        <v>5.9189999999999996</v>
      </c>
      <c r="L5" s="1476" t="s">
        <v>963</v>
      </c>
      <c r="M5" s="1476"/>
      <c r="N5" s="1476"/>
      <c r="O5" s="1476"/>
      <c r="P5" s="1476"/>
      <c r="Q5" s="1476"/>
      <c r="R5" s="1476"/>
      <c r="S5" s="1476"/>
      <c r="T5" s="1476"/>
    </row>
    <row r="6" spans="2:20" ht="30" customHeight="1" x14ac:dyDescent="0.25">
      <c r="B6" s="1383" t="s">
        <v>964</v>
      </c>
      <c r="C6" s="1383" t="s">
        <v>965</v>
      </c>
      <c r="D6" s="1382" t="s">
        <v>966</v>
      </c>
      <c r="E6" s="1381">
        <v>486.3</v>
      </c>
      <c r="F6" s="1394">
        <f>+$E$6/I6</f>
        <v>14.109966632815899</v>
      </c>
      <c r="G6" s="1385">
        <f>+E6/J6</f>
        <v>-46.57153801953649</v>
      </c>
      <c r="H6" s="1394">
        <f>+E6/K6</f>
        <v>-40.725232392596936</v>
      </c>
      <c r="I6" s="1384">
        <v>34.465000000000003</v>
      </c>
      <c r="J6" s="1384">
        <v>-10.442</v>
      </c>
      <c r="K6" s="1384">
        <v>-11.941000000000001</v>
      </c>
      <c r="L6" s="1477" t="s">
        <v>967</v>
      </c>
      <c r="M6" s="1477"/>
      <c r="N6" s="1477"/>
      <c r="O6" s="1477"/>
      <c r="P6" s="1477"/>
      <c r="Q6" s="1477"/>
      <c r="R6" s="1477"/>
      <c r="S6" s="1477"/>
      <c r="T6" s="1477"/>
    </row>
    <row r="7" spans="2:20" ht="16.5" thickBot="1" x14ac:dyDescent="0.3">
      <c r="B7" s="1344"/>
      <c r="C7" s="1343"/>
      <c r="D7" s="1343"/>
      <c r="E7" s="1387"/>
      <c r="F7" s="1388"/>
      <c r="G7" s="1388"/>
      <c r="H7" s="1388"/>
      <c r="I7" s="1341"/>
      <c r="J7" s="1341"/>
      <c r="K7" s="1341"/>
    </row>
    <row r="8" spans="2:20" ht="16.5" thickBot="1" x14ac:dyDescent="0.3">
      <c r="B8" s="1269" t="s">
        <v>968</v>
      </c>
      <c r="C8" s="1270"/>
      <c r="D8" s="1390"/>
      <c r="E8" s="1391">
        <f>+AVERAGE(E5:E6)</f>
        <v>351.65</v>
      </c>
      <c r="F8" s="1405">
        <f>+AVERAGE(F5:F6)</f>
        <v>15.000790712965987</v>
      </c>
      <c r="G8" s="1392">
        <f t="shared" ref="G8:K8" si="0">+AVERAGE(G5:G6)</f>
        <v>-46.57153801953649</v>
      </c>
      <c r="H8" s="1395">
        <f t="shared" si="0"/>
        <v>-2.0318170748252449</v>
      </c>
      <c r="I8" s="1391">
        <f t="shared" si="0"/>
        <v>24.060000000000002</v>
      </c>
      <c r="J8" s="1393">
        <f t="shared" si="0"/>
        <v>-10.442</v>
      </c>
      <c r="K8" s="1391">
        <f t="shared" si="0"/>
        <v>-3.0110000000000006</v>
      </c>
      <c r="L8" s="1390"/>
      <c r="M8" s="1390"/>
      <c r="N8" s="1270"/>
      <c r="O8" s="1270"/>
      <c r="P8" s="1270"/>
      <c r="Q8" s="1270"/>
      <c r="R8" s="1270"/>
      <c r="S8" s="1270"/>
      <c r="T8" s="1270"/>
    </row>
    <row r="9" spans="2:20" x14ac:dyDescent="0.25">
      <c r="B9" s="1342"/>
      <c r="C9" s="1338"/>
      <c r="D9" s="1338"/>
      <c r="E9" s="1339"/>
      <c r="F9" s="1340"/>
      <c r="G9" s="1340"/>
      <c r="H9" s="1341"/>
      <c r="I9" s="1341"/>
      <c r="J9" s="1341"/>
      <c r="K9" s="1341"/>
    </row>
  </sheetData>
  <mergeCells count="2">
    <mergeCell ref="L5:T5"/>
    <mergeCell ref="L6:T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
  <sheetViews>
    <sheetView showGridLines="0" workbookViewId="0">
      <selection activeCell="M39" sqref="M39"/>
    </sheetView>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7" sqref="A7"/>
    </sheetView>
  </sheetViews>
  <sheetFormatPr defaultRowHeight="15" x14ac:dyDescent="0.25"/>
  <sheetData>
    <row r="1" spans="1:10" x14ac:dyDescent="0.25">
      <c r="A1" s="218"/>
      <c r="B1" s="222"/>
      <c r="C1" s="222"/>
      <c r="D1" s="222"/>
      <c r="E1" s="222"/>
      <c r="F1" s="222"/>
      <c r="G1" s="222"/>
      <c r="H1" s="222"/>
      <c r="I1" s="222"/>
      <c r="J1" s="222"/>
    </row>
    <row r="2" spans="1:10" x14ac:dyDescent="0.25">
      <c r="A2" s="219" t="s">
        <v>969</v>
      </c>
      <c r="B2" s="222"/>
      <c r="C2" s="222"/>
      <c r="D2" s="222"/>
      <c r="E2" s="222"/>
      <c r="F2" s="222"/>
      <c r="G2" s="222"/>
      <c r="H2" s="222"/>
      <c r="I2" s="222"/>
      <c r="J2" s="222"/>
    </row>
    <row r="3" spans="1:10" x14ac:dyDescent="0.25">
      <c r="A3" s="221"/>
      <c r="B3" s="1478" t="s">
        <v>645</v>
      </c>
      <c r="C3" s="1478"/>
      <c r="D3" s="1478"/>
      <c r="E3" s="222"/>
      <c r="F3" s="222"/>
      <c r="G3" s="222"/>
      <c r="H3" s="222"/>
      <c r="I3" s="222"/>
      <c r="J3" s="222"/>
    </row>
    <row r="4" spans="1:10" x14ac:dyDescent="0.25">
      <c r="A4" s="221"/>
      <c r="B4" s="265">
        <v>2022</v>
      </c>
      <c r="C4" s="265">
        <v>2021</v>
      </c>
      <c r="D4" s="265">
        <v>2020</v>
      </c>
      <c r="E4" s="222"/>
      <c r="F4" s="222"/>
      <c r="G4" s="222"/>
      <c r="H4" s="222"/>
      <c r="I4" s="222"/>
      <c r="J4" s="222"/>
    </row>
    <row r="5" spans="1:10" ht="24.75" x14ac:dyDescent="0.25">
      <c r="A5" s="220" t="s">
        <v>970</v>
      </c>
      <c r="B5" s="266">
        <v>168320</v>
      </c>
      <c r="C5" s="266">
        <v>109163</v>
      </c>
      <c r="D5" s="266">
        <v>70978</v>
      </c>
      <c r="E5" s="222"/>
      <c r="F5" s="222"/>
      <c r="G5" s="222"/>
      <c r="H5" s="222"/>
      <c r="I5" s="222"/>
      <c r="J5" s="222"/>
    </row>
    <row r="6" spans="1:10" ht="24.75" x14ac:dyDescent="0.25">
      <c r="A6" s="220" t="s">
        <v>971</v>
      </c>
      <c r="B6" s="266">
        <v>31539</v>
      </c>
      <c r="C6" s="266">
        <v>25163</v>
      </c>
      <c r="D6" s="266">
        <v>15245</v>
      </c>
      <c r="E6" s="222"/>
      <c r="F6" s="222"/>
      <c r="G6" s="222"/>
      <c r="H6" s="222"/>
      <c r="I6" s="222"/>
      <c r="J6" s="222"/>
    </row>
    <row r="7" spans="1:10" ht="24.75" x14ac:dyDescent="0.25">
      <c r="A7" s="220" t="s">
        <v>972</v>
      </c>
      <c r="B7" s="266">
        <v>169636</v>
      </c>
      <c r="C7" s="266">
        <v>116446</v>
      </c>
      <c r="D7" s="266">
        <v>75473</v>
      </c>
      <c r="E7" s="222"/>
      <c r="F7" s="222"/>
      <c r="G7" s="222"/>
      <c r="H7" s="222"/>
      <c r="I7" s="222"/>
      <c r="J7" s="222"/>
    </row>
    <row r="8" spans="1:10" x14ac:dyDescent="0.25">
      <c r="A8" s="221" t="s">
        <v>155</v>
      </c>
      <c r="B8" s="267">
        <v>369495</v>
      </c>
      <c r="C8" s="267">
        <v>250772</v>
      </c>
      <c r="D8" s="267">
        <v>161696</v>
      </c>
      <c r="E8" s="222"/>
      <c r="F8" s="222"/>
      <c r="G8" s="222"/>
      <c r="H8" s="222"/>
      <c r="I8" s="222"/>
      <c r="J8" s="222"/>
    </row>
    <row r="9" spans="1:10" x14ac:dyDescent="0.25">
      <c r="A9" s="220"/>
      <c r="B9" s="268"/>
      <c r="C9" s="268"/>
      <c r="D9" s="268"/>
      <c r="E9" s="222"/>
      <c r="F9" s="222"/>
      <c r="G9" s="222"/>
      <c r="H9" s="222"/>
      <c r="I9" s="222"/>
      <c r="J9" s="222"/>
    </row>
    <row r="10" spans="1:10" ht="24.75" x14ac:dyDescent="0.25">
      <c r="A10" s="220" t="s">
        <v>970</v>
      </c>
      <c r="B10" s="269">
        <f>B5/B8</f>
        <v>0.45554067037442997</v>
      </c>
      <c r="C10" s="269">
        <f>C5/C8</f>
        <v>0.43530776960745221</v>
      </c>
      <c r="D10" s="269">
        <f>D5/D8</f>
        <v>0.43895952899267759</v>
      </c>
      <c r="E10" s="222"/>
      <c r="F10" s="222"/>
      <c r="G10" s="222"/>
      <c r="H10" s="222"/>
      <c r="I10" s="222"/>
      <c r="J10" s="222"/>
    </row>
    <row r="11" spans="1:10" ht="24.75" x14ac:dyDescent="0.25">
      <c r="A11" s="220" t="s">
        <v>971</v>
      </c>
      <c r="B11" s="269">
        <f>B6/B8</f>
        <v>8.5357041367271541E-2</v>
      </c>
      <c r="C11" s="269">
        <f>C6/C8</f>
        <v>0.10034214346099246</v>
      </c>
      <c r="D11" s="269">
        <f>D6/D8</f>
        <v>9.4281862260043536E-2</v>
      </c>
      <c r="E11" s="222"/>
      <c r="F11" s="222"/>
      <c r="G11" s="222"/>
      <c r="H11" s="222"/>
      <c r="I11" s="222"/>
      <c r="J11" s="222"/>
    </row>
    <row r="12" spans="1:10" ht="24.75" x14ac:dyDescent="0.25">
      <c r="A12" s="220" t="s">
        <v>972</v>
      </c>
      <c r="B12" s="269">
        <f>B7/B8</f>
        <v>0.45910228825829846</v>
      </c>
      <c r="C12" s="269">
        <f>C7/C8</f>
        <v>0.46435008693155538</v>
      </c>
      <c r="D12" s="269">
        <f>D7/D8</f>
        <v>0.46675860874727887</v>
      </c>
      <c r="E12" s="222"/>
      <c r="F12" s="222"/>
      <c r="G12" s="222"/>
      <c r="H12" s="222"/>
      <c r="I12" s="222"/>
      <c r="J12" s="222"/>
    </row>
    <row r="13" spans="1:10" x14ac:dyDescent="0.25">
      <c r="A13" s="219" t="s">
        <v>973</v>
      </c>
      <c r="B13" s="222"/>
      <c r="C13" s="222"/>
      <c r="D13" s="222"/>
      <c r="E13" s="222"/>
      <c r="F13" s="222"/>
      <c r="G13" s="222"/>
      <c r="H13" s="222"/>
      <c r="I13" s="222"/>
      <c r="J13" s="222"/>
    </row>
  </sheetData>
  <mergeCells count="1">
    <mergeCell ref="B3:D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showGridLines="0" workbookViewId="0">
      <selection activeCell="I15" sqref="I15"/>
    </sheetView>
  </sheetViews>
  <sheetFormatPr defaultColWidth="9.140625" defaultRowHeight="15" x14ac:dyDescent="0.25"/>
  <cols>
    <col min="2" max="2" width="48.140625" bestFit="1" customWidth="1"/>
    <col min="3" max="3" width="26.28515625" bestFit="1" customWidth="1"/>
    <col min="4" max="4" width="29.7109375" bestFit="1" customWidth="1"/>
    <col min="5" max="5" width="17" bestFit="1" customWidth="1"/>
    <col min="6" max="6" width="18.7109375" bestFit="1" customWidth="1"/>
  </cols>
  <sheetData>
    <row r="2" spans="2:6" x14ac:dyDescent="0.25">
      <c r="B2" s="14" t="s">
        <v>974</v>
      </c>
      <c r="C2" s="14"/>
      <c r="D2" s="14"/>
      <c r="E2" s="14"/>
      <c r="F2" s="14"/>
    </row>
    <row r="3" spans="2:6" x14ac:dyDescent="0.25">
      <c r="B3" s="18" t="s">
        <v>975</v>
      </c>
      <c r="C3" s="21"/>
      <c r="D3" s="21"/>
      <c r="E3" s="21"/>
      <c r="F3" s="22">
        <f>+'Transaction Structure'!O7</f>
        <v>117.78</v>
      </c>
    </row>
    <row r="4" spans="2:6" x14ac:dyDescent="0.25">
      <c r="B4" s="15" t="s">
        <v>75</v>
      </c>
      <c r="C4" s="16"/>
      <c r="D4" s="16"/>
      <c r="F4" s="4">
        <v>44986</v>
      </c>
    </row>
    <row r="5" spans="2:6" x14ac:dyDescent="0.25">
      <c r="B5" s="17" t="s">
        <v>78</v>
      </c>
      <c r="C5" s="16"/>
      <c r="D5" s="16"/>
      <c r="F5" s="10">
        <v>32207.681</v>
      </c>
    </row>
    <row r="6" spans="2:6" x14ac:dyDescent="0.25">
      <c r="B6" s="17" t="s">
        <v>80</v>
      </c>
      <c r="C6" s="16"/>
      <c r="D6" s="16"/>
      <c r="F6" s="10">
        <v>8434.2379999999994</v>
      </c>
    </row>
    <row r="7" spans="2:6" x14ac:dyDescent="0.25">
      <c r="B7" t="s">
        <v>976</v>
      </c>
      <c r="F7" s="7">
        <f>+F5+F6</f>
        <v>40641.919000000002</v>
      </c>
    </row>
    <row r="8" spans="2:6" x14ac:dyDescent="0.25">
      <c r="B8" s="3" t="s">
        <v>977</v>
      </c>
      <c r="F8" s="23">
        <f>+F18</f>
        <v>4410</v>
      </c>
    </row>
    <row r="9" spans="2:6" x14ac:dyDescent="0.25">
      <c r="B9" s="3" t="s">
        <v>978</v>
      </c>
      <c r="F9" s="24">
        <f>+F8*E18</f>
        <v>61916.399999999994</v>
      </c>
    </row>
    <row r="10" spans="2:6" x14ac:dyDescent="0.25">
      <c r="B10" s="3" t="s">
        <v>979</v>
      </c>
      <c r="F10" s="24">
        <f>+F9/F3</f>
        <v>525.69536423841055</v>
      </c>
    </row>
    <row r="11" spans="2:6" x14ac:dyDescent="0.25">
      <c r="B11" s="2" t="s">
        <v>980</v>
      </c>
      <c r="C11" s="1"/>
      <c r="D11" s="1"/>
      <c r="E11" s="1"/>
      <c r="F11" s="26">
        <f>F8-F10</f>
        <v>3884.3046357615895</v>
      </c>
    </row>
    <row r="12" spans="2:6" x14ac:dyDescent="0.25">
      <c r="B12" s="3" t="s">
        <v>981</v>
      </c>
      <c r="F12" s="28">
        <v>2036</v>
      </c>
    </row>
    <row r="13" spans="2:6" ht="15.75" thickBot="1" x14ac:dyDescent="0.3">
      <c r="B13" s="1" t="s">
        <v>982</v>
      </c>
      <c r="F13" s="27">
        <f>+F7+F11+F12</f>
        <v>46562.223635761591</v>
      </c>
    </row>
    <row r="14" spans="2:6" ht="15.75" thickTop="1" x14ac:dyDescent="0.25"/>
    <row r="16" spans="2:6" x14ac:dyDescent="0.25">
      <c r="B16" s="12" t="s">
        <v>983</v>
      </c>
      <c r="C16" s="20"/>
      <c r="D16" s="20"/>
      <c r="E16" s="20"/>
      <c r="F16" s="20"/>
    </row>
    <row r="17" spans="2:6" x14ac:dyDescent="0.25">
      <c r="B17" s="11"/>
      <c r="D17" s="13" t="s">
        <v>984</v>
      </c>
      <c r="E17" s="13" t="s">
        <v>985</v>
      </c>
      <c r="F17" s="13" t="s">
        <v>986</v>
      </c>
    </row>
    <row r="18" spans="2:6" x14ac:dyDescent="0.25">
      <c r="B18" t="s">
        <v>987</v>
      </c>
      <c r="D18" s="7">
        <v>4410</v>
      </c>
      <c r="E18" s="25">
        <v>14.04</v>
      </c>
      <c r="F18" s="7">
        <f>IF(E18&lt;F3,D18,0)</f>
        <v>4410</v>
      </c>
    </row>
    <row r="21" spans="2:6" x14ac:dyDescent="0.25">
      <c r="B21" t="s">
        <v>988</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MK102"/>
  <sheetViews>
    <sheetView showGridLines="0" zoomScaleNormal="100" workbookViewId="0">
      <pane xSplit="3" ySplit="10" topLeftCell="D23" activePane="bottomRight" state="frozen"/>
      <selection pane="topRight" activeCell="D1" sqref="D1"/>
      <selection pane="bottomLeft" activeCell="A11" sqref="A11"/>
      <selection pane="bottomRight" activeCell="F14" sqref="F14"/>
    </sheetView>
  </sheetViews>
  <sheetFormatPr defaultColWidth="8.85546875" defaultRowHeight="15" x14ac:dyDescent="0.25"/>
  <cols>
    <col min="1" max="1" width="1" style="298" customWidth="1"/>
    <col min="2" max="2" width="2" style="298" customWidth="1"/>
    <col min="3" max="3" width="50.7109375" style="298" customWidth="1"/>
    <col min="4" max="17" width="14.7109375" style="298" customWidth="1" collapsed="1"/>
    <col min="18" max="18" width="2" style="298" customWidth="1"/>
    <col min="19" max="1025" width="14.7109375" style="298" customWidth="1" collapsed="1"/>
    <col min="1026" max="16384" width="8.85546875" style="298"/>
  </cols>
  <sheetData>
    <row r="1" spans="1:40" ht="6.4" customHeight="1" x14ac:dyDescent="0.25">
      <c r="A1" s="296"/>
      <c r="B1" s="297"/>
      <c r="C1" s="297"/>
      <c r="D1" s="297" t="s">
        <v>704</v>
      </c>
      <c r="E1" s="297" t="s">
        <v>704</v>
      </c>
      <c r="F1" s="297" t="s">
        <v>704</v>
      </c>
      <c r="G1" s="297" t="s">
        <v>704</v>
      </c>
      <c r="H1" s="297" t="s">
        <v>704</v>
      </c>
      <c r="I1" s="296" t="s">
        <v>704</v>
      </c>
      <c r="J1" s="296" t="s">
        <v>704</v>
      </c>
      <c r="K1" s="296" t="s">
        <v>704</v>
      </c>
      <c r="L1" s="296" t="s">
        <v>704</v>
      </c>
      <c r="M1" s="296" t="s">
        <v>704</v>
      </c>
      <c r="N1" s="296" t="s">
        <v>704</v>
      </c>
      <c r="O1" s="296" t="s">
        <v>704</v>
      </c>
      <c r="P1" s="296" t="s">
        <v>704</v>
      </c>
      <c r="Q1" s="296" t="s">
        <v>704</v>
      </c>
      <c r="R1" s="296" t="s">
        <v>704</v>
      </c>
      <c r="S1" s="296" t="s">
        <v>704</v>
      </c>
      <c r="T1" s="296" t="s">
        <v>704</v>
      </c>
      <c r="U1" s="296" t="s">
        <v>704</v>
      </c>
      <c r="V1" s="296" t="s">
        <v>704</v>
      </c>
      <c r="W1" s="296" t="s">
        <v>704</v>
      </c>
      <c r="X1" s="296" t="s">
        <v>704</v>
      </c>
      <c r="Y1" s="296" t="s">
        <v>704</v>
      </c>
      <c r="Z1" s="296" t="s">
        <v>704</v>
      </c>
      <c r="AA1" s="296" t="s">
        <v>704</v>
      </c>
      <c r="AB1" s="296" t="s">
        <v>704</v>
      </c>
      <c r="AC1" s="296" t="s">
        <v>704</v>
      </c>
      <c r="AD1" s="296" t="s">
        <v>704</v>
      </c>
      <c r="AE1" s="296" t="s">
        <v>704</v>
      </c>
      <c r="AF1" s="296" t="s">
        <v>704</v>
      </c>
      <c r="AG1" s="296" t="s">
        <v>704</v>
      </c>
      <c r="AH1" s="296" t="s">
        <v>704</v>
      </c>
      <c r="AI1" s="296" t="s">
        <v>704</v>
      </c>
      <c r="AJ1" s="296" t="s">
        <v>704</v>
      </c>
      <c r="AK1" s="296" t="s">
        <v>704</v>
      </c>
      <c r="AL1" s="296" t="s">
        <v>704</v>
      </c>
      <c r="AM1" s="296"/>
      <c r="AN1" s="296"/>
    </row>
    <row r="2" spans="1:40" ht="39.75" customHeight="1" x14ac:dyDescent="0.25">
      <c r="A2" s="299"/>
      <c r="D2" s="298" t="s">
        <v>508</v>
      </c>
      <c r="E2" s="298" t="s">
        <v>508</v>
      </c>
      <c r="F2" s="298" t="s">
        <v>508</v>
      </c>
      <c r="G2" s="298" t="s">
        <v>508</v>
      </c>
      <c r="H2" s="298" t="s">
        <v>508</v>
      </c>
      <c r="I2" s="300" t="s">
        <v>704</v>
      </c>
      <c r="J2" s="296" t="s">
        <v>704</v>
      </c>
      <c r="K2" s="296" t="s">
        <v>704</v>
      </c>
      <c r="L2" s="296" t="s">
        <v>704</v>
      </c>
      <c r="M2" s="296" t="s">
        <v>704</v>
      </c>
      <c r="N2" s="296" t="s">
        <v>704</v>
      </c>
      <c r="O2" s="296" t="s">
        <v>704</v>
      </c>
      <c r="P2" s="296" t="s">
        <v>704</v>
      </c>
      <c r="Q2" s="296" t="s">
        <v>704</v>
      </c>
      <c r="R2" s="296" t="s">
        <v>704</v>
      </c>
      <c r="S2" s="296" t="s">
        <v>704</v>
      </c>
      <c r="T2" s="296" t="s">
        <v>704</v>
      </c>
      <c r="U2" s="296" t="s">
        <v>704</v>
      </c>
      <c r="V2" s="296" t="s">
        <v>704</v>
      </c>
      <c r="W2" s="296" t="s">
        <v>704</v>
      </c>
      <c r="X2" s="296" t="s">
        <v>704</v>
      </c>
      <c r="Y2" s="296" t="s">
        <v>704</v>
      </c>
      <c r="Z2" s="296" t="s">
        <v>704</v>
      </c>
      <c r="AA2" s="296" t="s">
        <v>704</v>
      </c>
      <c r="AB2" s="296" t="s">
        <v>704</v>
      </c>
      <c r="AC2" s="296" t="s">
        <v>704</v>
      </c>
      <c r="AD2" s="296" t="s">
        <v>704</v>
      </c>
      <c r="AE2" s="296" t="s">
        <v>704</v>
      </c>
      <c r="AF2" s="296" t="s">
        <v>704</v>
      </c>
      <c r="AG2" s="296" t="s">
        <v>704</v>
      </c>
      <c r="AH2" s="296" t="s">
        <v>704</v>
      </c>
      <c r="AI2" s="296" t="s">
        <v>704</v>
      </c>
      <c r="AJ2" s="296" t="s">
        <v>704</v>
      </c>
      <c r="AK2" s="296" t="s">
        <v>704</v>
      </c>
      <c r="AL2" s="296" t="s">
        <v>704</v>
      </c>
      <c r="AM2" s="296"/>
      <c r="AN2" s="296"/>
    </row>
    <row r="3" spans="1:40" ht="18.75" customHeight="1" x14ac:dyDescent="0.25">
      <c r="A3" s="299"/>
      <c r="C3" s="301" t="s">
        <v>989</v>
      </c>
      <c r="D3" s="298" t="s">
        <v>508</v>
      </c>
      <c r="E3" s="298" t="s">
        <v>508</v>
      </c>
      <c r="F3" s="298" t="s">
        <v>508</v>
      </c>
      <c r="G3" s="298" t="s">
        <v>508</v>
      </c>
      <c r="H3" s="298" t="s">
        <v>508</v>
      </c>
      <c r="I3" s="300" t="s">
        <v>704</v>
      </c>
      <c r="J3" s="296" t="s">
        <v>704</v>
      </c>
      <c r="K3" s="296" t="s">
        <v>704</v>
      </c>
      <c r="L3" s="296" t="s">
        <v>704</v>
      </c>
      <c r="M3" s="296" t="s">
        <v>704</v>
      </c>
      <c r="N3" s="296" t="s">
        <v>704</v>
      </c>
      <c r="O3" s="296" t="s">
        <v>704</v>
      </c>
      <c r="P3" s="296" t="s">
        <v>704</v>
      </c>
      <c r="Q3" s="296" t="s">
        <v>704</v>
      </c>
      <c r="R3" s="296" t="s">
        <v>704</v>
      </c>
      <c r="S3" s="296" t="s">
        <v>704</v>
      </c>
      <c r="T3" s="296" t="s">
        <v>704</v>
      </c>
      <c r="U3" s="296" t="s">
        <v>704</v>
      </c>
      <c r="V3" s="296" t="s">
        <v>704</v>
      </c>
      <c r="W3" s="296" t="s">
        <v>704</v>
      </c>
      <c r="X3" s="296" t="s">
        <v>704</v>
      </c>
      <c r="Y3" s="296" t="s">
        <v>704</v>
      </c>
      <c r="Z3" s="296" t="s">
        <v>704</v>
      </c>
      <c r="AA3" s="296" t="s">
        <v>704</v>
      </c>
      <c r="AB3" s="296" t="s">
        <v>704</v>
      </c>
      <c r="AC3" s="296" t="s">
        <v>704</v>
      </c>
      <c r="AD3" s="296" t="s">
        <v>704</v>
      </c>
      <c r="AE3" s="296" t="s">
        <v>704</v>
      </c>
      <c r="AF3" s="296" t="s">
        <v>704</v>
      </c>
      <c r="AG3" s="296" t="s">
        <v>704</v>
      </c>
      <c r="AH3" s="296" t="s">
        <v>704</v>
      </c>
      <c r="AI3" s="296" t="s">
        <v>704</v>
      </c>
      <c r="AJ3" s="296" t="s">
        <v>704</v>
      </c>
      <c r="AK3" s="296" t="s">
        <v>704</v>
      </c>
      <c r="AL3" s="296" t="s">
        <v>704</v>
      </c>
      <c r="AM3" s="296"/>
      <c r="AN3" s="296"/>
    </row>
    <row r="4" spans="1:40" x14ac:dyDescent="0.25">
      <c r="A4" s="299"/>
      <c r="C4" s="302" t="s">
        <v>990</v>
      </c>
      <c r="D4" s="298" t="s">
        <v>704</v>
      </c>
      <c r="E4" s="298" t="s">
        <v>704</v>
      </c>
      <c r="F4" s="298" t="s">
        <v>704</v>
      </c>
      <c r="G4" s="298" t="s">
        <v>704</v>
      </c>
      <c r="H4" s="298" t="s">
        <v>704</v>
      </c>
      <c r="I4" s="300" t="s">
        <v>704</v>
      </c>
      <c r="J4" s="296" t="s">
        <v>704</v>
      </c>
      <c r="K4" s="296" t="s">
        <v>704</v>
      </c>
      <c r="L4" s="296" t="s">
        <v>704</v>
      </c>
      <c r="M4" s="296" t="s">
        <v>704</v>
      </c>
      <c r="N4" s="296" t="s">
        <v>704</v>
      </c>
      <c r="O4" s="296" t="s">
        <v>704</v>
      </c>
      <c r="P4" s="296" t="s">
        <v>704</v>
      </c>
      <c r="Q4" s="296" t="s">
        <v>704</v>
      </c>
      <c r="R4" s="296" t="s">
        <v>704</v>
      </c>
      <c r="S4" s="296" t="s">
        <v>704</v>
      </c>
      <c r="T4" s="296" t="s">
        <v>704</v>
      </c>
      <c r="U4" s="296" t="s">
        <v>704</v>
      </c>
      <c r="V4" s="296" t="s">
        <v>704</v>
      </c>
      <c r="W4" s="296" t="s">
        <v>704</v>
      </c>
      <c r="X4" s="296" t="s">
        <v>704</v>
      </c>
      <c r="Y4" s="296" t="s">
        <v>704</v>
      </c>
      <c r="Z4" s="296" t="s">
        <v>704</v>
      </c>
      <c r="AA4" s="296" t="s">
        <v>704</v>
      </c>
      <c r="AB4" s="296" t="s">
        <v>704</v>
      </c>
      <c r="AC4" s="296" t="s">
        <v>704</v>
      </c>
      <c r="AD4" s="296" t="s">
        <v>704</v>
      </c>
      <c r="AE4" s="296" t="s">
        <v>704</v>
      </c>
      <c r="AF4" s="296" t="s">
        <v>704</v>
      </c>
      <c r="AG4" s="296" t="s">
        <v>704</v>
      </c>
      <c r="AH4" s="296" t="s">
        <v>704</v>
      </c>
      <c r="AI4" s="296" t="s">
        <v>704</v>
      </c>
      <c r="AJ4" s="296" t="s">
        <v>704</v>
      </c>
      <c r="AK4" s="296" t="s">
        <v>704</v>
      </c>
      <c r="AL4" s="296" t="s">
        <v>704</v>
      </c>
      <c r="AM4" s="296"/>
      <c r="AN4" s="296"/>
    </row>
    <row r="5" spans="1:40" x14ac:dyDescent="0.25">
      <c r="A5" s="299"/>
      <c r="C5" s="302" t="s">
        <v>991</v>
      </c>
      <c r="D5" s="303" t="s">
        <v>668</v>
      </c>
      <c r="E5" s="303" t="s">
        <v>669</v>
      </c>
      <c r="F5" s="303" t="s">
        <v>992</v>
      </c>
      <c r="G5" s="303" t="s">
        <v>993</v>
      </c>
      <c r="H5" s="303" t="s">
        <v>994</v>
      </c>
      <c r="I5" s="300" t="s">
        <v>704</v>
      </c>
      <c r="J5" s="296" t="s">
        <v>704</v>
      </c>
      <c r="K5" s="296" t="s">
        <v>704</v>
      </c>
      <c r="L5" s="296" t="s">
        <v>704</v>
      </c>
      <c r="M5" s="296" t="s">
        <v>704</v>
      </c>
      <c r="N5" s="296" t="s">
        <v>704</v>
      </c>
      <c r="O5" s="296" t="s">
        <v>704</v>
      </c>
      <c r="P5" s="296" t="s">
        <v>704</v>
      </c>
      <c r="Q5" s="296" t="s">
        <v>704</v>
      </c>
      <c r="R5" s="296" t="s">
        <v>704</v>
      </c>
      <c r="S5" s="296" t="s">
        <v>704</v>
      </c>
      <c r="T5" s="296" t="s">
        <v>704</v>
      </c>
      <c r="U5" s="296" t="s">
        <v>704</v>
      </c>
      <c r="V5" s="296" t="s">
        <v>704</v>
      </c>
      <c r="W5" s="296" t="s">
        <v>704</v>
      </c>
      <c r="X5" s="296" t="s">
        <v>704</v>
      </c>
      <c r="Y5" s="296" t="s">
        <v>704</v>
      </c>
      <c r="Z5" s="296" t="s">
        <v>704</v>
      </c>
      <c r="AA5" s="296" t="s">
        <v>704</v>
      </c>
      <c r="AB5" s="296" t="s">
        <v>704</v>
      </c>
      <c r="AC5" s="296" t="s">
        <v>704</v>
      </c>
      <c r="AD5" s="296" t="s">
        <v>704</v>
      </c>
      <c r="AE5" s="296" t="s">
        <v>704</v>
      </c>
      <c r="AF5" s="296" t="s">
        <v>704</v>
      </c>
      <c r="AG5" s="296" t="s">
        <v>704</v>
      </c>
      <c r="AH5" s="296" t="s">
        <v>704</v>
      </c>
      <c r="AI5" s="296" t="s">
        <v>704</v>
      </c>
      <c r="AJ5" s="296" t="s">
        <v>704</v>
      </c>
      <c r="AK5" s="296" t="s">
        <v>704</v>
      </c>
      <c r="AL5" s="296" t="s">
        <v>704</v>
      </c>
      <c r="AM5" s="296"/>
      <c r="AN5" s="296"/>
    </row>
    <row r="6" spans="1:40" x14ac:dyDescent="0.25">
      <c r="A6" s="299"/>
      <c r="D6" s="298" t="s">
        <v>704</v>
      </c>
      <c r="E6" s="298" t="s">
        <v>704</v>
      </c>
      <c r="F6" s="298" t="s">
        <v>704</v>
      </c>
      <c r="G6" s="298" t="s">
        <v>704</v>
      </c>
      <c r="H6" s="298" t="s">
        <v>704</v>
      </c>
      <c r="I6" s="300" t="s">
        <v>704</v>
      </c>
      <c r="J6" s="296" t="s">
        <v>704</v>
      </c>
      <c r="K6" s="296" t="s">
        <v>704</v>
      </c>
      <c r="L6" s="296" t="s">
        <v>704</v>
      </c>
      <c r="M6" s="296" t="s">
        <v>704</v>
      </c>
      <c r="N6" s="296" t="s">
        <v>704</v>
      </c>
      <c r="O6" s="296" t="s">
        <v>704</v>
      </c>
      <c r="P6" s="296" t="s">
        <v>704</v>
      </c>
      <c r="Q6" s="296" t="s">
        <v>704</v>
      </c>
      <c r="R6" s="296" t="s">
        <v>704</v>
      </c>
      <c r="S6" s="296" t="s">
        <v>704</v>
      </c>
      <c r="T6" s="296" t="s">
        <v>704</v>
      </c>
      <c r="U6" s="296" t="s">
        <v>704</v>
      </c>
      <c r="V6" s="296" t="s">
        <v>704</v>
      </c>
      <c r="W6" s="296" t="s">
        <v>704</v>
      </c>
      <c r="X6" s="296" t="s">
        <v>704</v>
      </c>
      <c r="Y6" s="296" t="s">
        <v>704</v>
      </c>
      <c r="Z6" s="296" t="s">
        <v>704</v>
      </c>
      <c r="AA6" s="296" t="s">
        <v>704</v>
      </c>
      <c r="AB6" s="296" t="s">
        <v>704</v>
      </c>
      <c r="AC6" s="296" t="s">
        <v>704</v>
      </c>
      <c r="AD6" s="296" t="s">
        <v>704</v>
      </c>
      <c r="AE6" s="296" t="s">
        <v>704</v>
      </c>
      <c r="AF6" s="296" t="s">
        <v>704</v>
      </c>
      <c r="AG6" s="296" t="s">
        <v>704</v>
      </c>
      <c r="AH6" s="296" t="s">
        <v>704</v>
      </c>
      <c r="AI6" s="296" t="s">
        <v>704</v>
      </c>
      <c r="AJ6" s="296" t="s">
        <v>704</v>
      </c>
      <c r="AK6" s="296" t="s">
        <v>704</v>
      </c>
      <c r="AL6" s="296" t="s">
        <v>704</v>
      </c>
      <c r="AM6" s="296"/>
      <c r="AN6" s="296"/>
    </row>
    <row r="7" spans="1:40" ht="24" x14ac:dyDescent="0.25">
      <c r="A7" s="299"/>
      <c r="C7" s="304" t="s">
        <v>995</v>
      </c>
      <c r="D7" s="298" t="s">
        <v>704</v>
      </c>
      <c r="E7" s="298" t="s">
        <v>704</v>
      </c>
      <c r="F7" s="298" t="s">
        <v>704</v>
      </c>
      <c r="G7" s="298" t="s">
        <v>704</v>
      </c>
      <c r="H7" s="298" t="s">
        <v>704</v>
      </c>
      <c r="I7" s="300" t="s">
        <v>704</v>
      </c>
      <c r="J7" s="296" t="s">
        <v>704</v>
      </c>
      <c r="K7" s="296" t="s">
        <v>704</v>
      </c>
      <c r="L7" s="296" t="s">
        <v>704</v>
      </c>
      <c r="M7" s="296" t="s">
        <v>704</v>
      </c>
      <c r="N7" s="296" t="s">
        <v>704</v>
      </c>
      <c r="O7" s="296" t="s">
        <v>704</v>
      </c>
      <c r="P7" s="296" t="s">
        <v>704</v>
      </c>
      <c r="Q7" s="296" t="s">
        <v>704</v>
      </c>
      <c r="R7" s="296" t="s">
        <v>704</v>
      </c>
      <c r="S7" s="296" t="s">
        <v>704</v>
      </c>
      <c r="T7" s="296" t="s">
        <v>704</v>
      </c>
      <c r="U7" s="296" t="s">
        <v>704</v>
      </c>
      <c r="V7" s="296" t="s">
        <v>704</v>
      </c>
      <c r="W7" s="296" t="s">
        <v>704</v>
      </c>
      <c r="X7" s="296" t="s">
        <v>704</v>
      </c>
      <c r="Y7" s="296" t="s">
        <v>704</v>
      </c>
      <c r="Z7" s="296" t="s">
        <v>704</v>
      </c>
      <c r="AA7" s="296" t="s">
        <v>704</v>
      </c>
      <c r="AB7" s="296" t="s">
        <v>704</v>
      </c>
      <c r="AC7" s="296" t="s">
        <v>704</v>
      </c>
      <c r="AD7" s="296" t="s">
        <v>704</v>
      </c>
      <c r="AE7" s="296" t="s">
        <v>704</v>
      </c>
      <c r="AF7" s="296" t="s">
        <v>704</v>
      </c>
      <c r="AG7" s="296" t="s">
        <v>704</v>
      </c>
      <c r="AH7" s="296" t="s">
        <v>704</v>
      </c>
      <c r="AI7" s="296" t="s">
        <v>704</v>
      </c>
      <c r="AJ7" s="296" t="s">
        <v>704</v>
      </c>
      <c r="AK7" s="296" t="s">
        <v>704</v>
      </c>
      <c r="AL7" s="296" t="s">
        <v>704</v>
      </c>
      <c r="AM7" s="296"/>
      <c r="AN7" s="296"/>
    </row>
    <row r="8" spans="1:40" x14ac:dyDescent="0.25">
      <c r="A8" s="299"/>
      <c r="D8" s="298" t="s">
        <v>704</v>
      </c>
      <c r="E8" s="298" t="s">
        <v>704</v>
      </c>
      <c r="F8" s="298" t="s">
        <v>704</v>
      </c>
      <c r="G8" s="298" t="s">
        <v>704</v>
      </c>
      <c r="H8" s="298" t="s">
        <v>704</v>
      </c>
      <c r="I8" s="300" t="s">
        <v>704</v>
      </c>
      <c r="J8" s="296" t="s">
        <v>704</v>
      </c>
      <c r="K8" s="296" t="s">
        <v>704</v>
      </c>
      <c r="L8" s="296" t="s">
        <v>704</v>
      </c>
      <c r="M8" s="296" t="s">
        <v>704</v>
      </c>
      <c r="N8" s="296" t="s">
        <v>704</v>
      </c>
      <c r="O8" s="296" t="s">
        <v>704</v>
      </c>
      <c r="P8" s="296" t="s">
        <v>704</v>
      </c>
      <c r="Q8" s="296" t="s">
        <v>704</v>
      </c>
      <c r="R8" s="296" t="s">
        <v>704</v>
      </c>
      <c r="S8" s="296" t="s">
        <v>704</v>
      </c>
      <c r="T8" s="296" t="s">
        <v>704</v>
      </c>
      <c r="U8" s="296" t="s">
        <v>704</v>
      </c>
      <c r="V8" s="296" t="s">
        <v>704</v>
      </c>
      <c r="W8" s="296" t="s">
        <v>704</v>
      </c>
      <c r="X8" s="296" t="s">
        <v>704</v>
      </c>
      <c r="Y8" s="296" t="s">
        <v>704</v>
      </c>
      <c r="Z8" s="296" t="s">
        <v>704</v>
      </c>
      <c r="AA8" s="296" t="s">
        <v>704</v>
      </c>
      <c r="AB8" s="296" t="s">
        <v>704</v>
      </c>
      <c r="AC8" s="296" t="s">
        <v>704</v>
      </c>
      <c r="AD8" s="296" t="s">
        <v>704</v>
      </c>
      <c r="AE8" s="296" t="s">
        <v>704</v>
      </c>
      <c r="AF8" s="296" t="s">
        <v>704</v>
      </c>
      <c r="AG8" s="296" t="s">
        <v>704</v>
      </c>
      <c r="AH8" s="296" t="s">
        <v>704</v>
      </c>
      <c r="AI8" s="296" t="s">
        <v>704</v>
      </c>
      <c r="AJ8" s="296" t="s">
        <v>704</v>
      </c>
      <c r="AK8" s="296" t="s">
        <v>704</v>
      </c>
      <c r="AL8" s="296" t="s">
        <v>704</v>
      </c>
      <c r="AM8" s="296"/>
      <c r="AN8" s="296"/>
    </row>
    <row r="9" spans="1:40" x14ac:dyDescent="0.25">
      <c r="A9" s="299"/>
      <c r="D9" s="305" t="s">
        <v>704</v>
      </c>
      <c r="E9" s="305" t="s">
        <v>704</v>
      </c>
      <c r="F9" s="305" t="s">
        <v>704</v>
      </c>
      <c r="G9" s="305" t="s">
        <v>704</v>
      </c>
      <c r="H9" s="305" t="s">
        <v>704</v>
      </c>
      <c r="I9" s="300" t="s">
        <v>704</v>
      </c>
      <c r="J9" s="296" t="s">
        <v>704</v>
      </c>
      <c r="K9" s="296" t="s">
        <v>704</v>
      </c>
      <c r="L9" s="296" t="s">
        <v>704</v>
      </c>
      <c r="M9" s="296" t="s">
        <v>704</v>
      </c>
      <c r="N9" s="296" t="s">
        <v>704</v>
      </c>
      <c r="O9" s="296" t="s">
        <v>704</v>
      </c>
      <c r="P9" s="296" t="s">
        <v>704</v>
      </c>
      <c r="Q9" s="296" t="s">
        <v>704</v>
      </c>
      <c r="R9" s="296" t="s">
        <v>704</v>
      </c>
      <c r="S9" s="296" t="s">
        <v>704</v>
      </c>
      <c r="T9" s="296" t="s">
        <v>704</v>
      </c>
      <c r="U9" s="296" t="s">
        <v>704</v>
      </c>
      <c r="V9" s="296" t="s">
        <v>704</v>
      </c>
      <c r="W9" s="296" t="s">
        <v>704</v>
      </c>
      <c r="X9" s="296" t="s">
        <v>704</v>
      </c>
      <c r="Y9" s="296" t="s">
        <v>704</v>
      </c>
      <c r="Z9" s="296" t="s">
        <v>704</v>
      </c>
      <c r="AA9" s="296" t="s">
        <v>704</v>
      </c>
      <c r="AB9" s="296" t="s">
        <v>704</v>
      </c>
      <c r="AC9" s="296" t="s">
        <v>704</v>
      </c>
      <c r="AD9" s="296" t="s">
        <v>704</v>
      </c>
      <c r="AE9" s="296" t="s">
        <v>704</v>
      </c>
      <c r="AF9" s="296" t="s">
        <v>704</v>
      </c>
      <c r="AG9" s="296" t="s">
        <v>704</v>
      </c>
      <c r="AH9" s="296" t="s">
        <v>704</v>
      </c>
      <c r="AI9" s="296" t="s">
        <v>704</v>
      </c>
      <c r="AJ9" s="296" t="s">
        <v>704</v>
      </c>
      <c r="AK9" s="296" t="s">
        <v>704</v>
      </c>
      <c r="AL9" s="296" t="s">
        <v>704</v>
      </c>
      <c r="AM9" s="296"/>
      <c r="AN9" s="296"/>
    </row>
    <row r="10" spans="1:40" x14ac:dyDescent="0.25">
      <c r="A10" s="299"/>
      <c r="D10" s="298" t="s">
        <v>704</v>
      </c>
      <c r="E10" s="298" t="s">
        <v>704</v>
      </c>
      <c r="F10" s="298" t="s">
        <v>704</v>
      </c>
      <c r="G10" s="298" t="s">
        <v>704</v>
      </c>
      <c r="H10" s="298" t="s">
        <v>704</v>
      </c>
      <c r="I10" s="300" t="s">
        <v>704</v>
      </c>
      <c r="J10" s="296" t="s">
        <v>704</v>
      </c>
      <c r="K10" s="296" t="s">
        <v>704</v>
      </c>
      <c r="L10" s="296" t="s">
        <v>704</v>
      </c>
      <c r="M10" s="296" t="s">
        <v>704</v>
      </c>
      <c r="N10" s="296" t="s">
        <v>704</v>
      </c>
      <c r="O10" s="296" t="s">
        <v>704</v>
      </c>
      <c r="P10" s="296" t="s">
        <v>704</v>
      </c>
      <c r="Q10" s="296" t="s">
        <v>704</v>
      </c>
      <c r="R10" s="296" t="s">
        <v>704</v>
      </c>
      <c r="S10" s="296" t="s">
        <v>704</v>
      </c>
      <c r="T10" s="296" t="s">
        <v>704</v>
      </c>
      <c r="U10" s="296" t="s">
        <v>704</v>
      </c>
      <c r="V10" s="296" t="s">
        <v>704</v>
      </c>
      <c r="W10" s="296" t="s">
        <v>704</v>
      </c>
      <c r="X10" s="296" t="s">
        <v>704</v>
      </c>
      <c r="Y10" s="296" t="s">
        <v>704</v>
      </c>
      <c r="Z10" s="296" t="s">
        <v>704</v>
      </c>
      <c r="AA10" s="296" t="s">
        <v>704</v>
      </c>
      <c r="AB10" s="296" t="s">
        <v>704</v>
      </c>
      <c r="AC10" s="296" t="s">
        <v>704</v>
      </c>
      <c r="AD10" s="296" t="s">
        <v>704</v>
      </c>
      <c r="AE10" s="296" t="s">
        <v>704</v>
      </c>
      <c r="AF10" s="296" t="s">
        <v>704</v>
      </c>
      <c r="AG10" s="296" t="s">
        <v>704</v>
      </c>
      <c r="AH10" s="296" t="s">
        <v>704</v>
      </c>
      <c r="AI10" s="296" t="s">
        <v>704</v>
      </c>
      <c r="AJ10" s="296" t="s">
        <v>704</v>
      </c>
      <c r="AK10" s="296" t="s">
        <v>704</v>
      </c>
      <c r="AL10" s="296" t="s">
        <v>704</v>
      </c>
      <c r="AM10" s="296"/>
      <c r="AN10" s="296"/>
    </row>
    <row r="11" spans="1:40" x14ac:dyDescent="0.25">
      <c r="A11" s="299">
        <v>1</v>
      </c>
      <c r="C11" s="306" t="str">
        <f>"Total Revenue"</f>
        <v>Total Revenue</v>
      </c>
      <c r="D11" s="307" t="s">
        <v>704</v>
      </c>
      <c r="E11" s="307" t="s">
        <v>704</v>
      </c>
      <c r="F11" s="307" t="s">
        <v>704</v>
      </c>
      <c r="G11" s="307" t="s">
        <v>704</v>
      </c>
      <c r="H11" s="307" t="s">
        <v>704</v>
      </c>
      <c r="I11" s="300" t="s">
        <v>704</v>
      </c>
      <c r="J11" s="296" t="s">
        <v>704</v>
      </c>
      <c r="K11" s="296" t="s">
        <v>704</v>
      </c>
      <c r="L11" s="296" t="s">
        <v>704</v>
      </c>
      <c r="M11" s="296" t="s">
        <v>704</v>
      </c>
      <c r="N11" s="296" t="s">
        <v>704</v>
      </c>
      <c r="O11" s="296" t="s">
        <v>704</v>
      </c>
      <c r="P11" s="296" t="s">
        <v>704</v>
      </c>
      <c r="Q11" s="296" t="s">
        <v>704</v>
      </c>
      <c r="R11" s="296" t="s">
        <v>704</v>
      </c>
      <c r="S11" s="296" t="s">
        <v>704</v>
      </c>
      <c r="T11" s="296" t="s">
        <v>704</v>
      </c>
      <c r="U11" s="296" t="s">
        <v>704</v>
      </c>
      <c r="V11" s="296" t="s">
        <v>704</v>
      </c>
      <c r="W11" s="296" t="s">
        <v>704</v>
      </c>
      <c r="X11" s="296" t="s">
        <v>704</v>
      </c>
      <c r="Y11" s="296" t="s">
        <v>704</v>
      </c>
      <c r="Z11" s="296" t="s">
        <v>704</v>
      </c>
      <c r="AA11" s="296" t="s">
        <v>704</v>
      </c>
      <c r="AB11" s="296" t="s">
        <v>704</v>
      </c>
      <c r="AC11" s="296" t="s">
        <v>704</v>
      </c>
      <c r="AD11" s="296" t="s">
        <v>704</v>
      </c>
      <c r="AE11" s="296" t="s">
        <v>704</v>
      </c>
      <c r="AF11" s="296" t="s">
        <v>704</v>
      </c>
      <c r="AG11" s="296" t="s">
        <v>704</v>
      </c>
      <c r="AH11" s="296" t="s">
        <v>704</v>
      </c>
      <c r="AI11" s="296" t="s">
        <v>704</v>
      </c>
      <c r="AJ11" s="296" t="s">
        <v>704</v>
      </c>
      <c r="AK11" s="296" t="s">
        <v>704</v>
      </c>
      <c r="AL11" s="296" t="s">
        <v>704</v>
      </c>
      <c r="AM11" s="296"/>
      <c r="AN11" s="296"/>
    </row>
    <row r="12" spans="1:40" x14ac:dyDescent="0.25">
      <c r="A12" s="299">
        <v>1</v>
      </c>
      <c r="C12" s="308" t="str">
        <f>"    Actual"</f>
        <v xml:space="preserve">    Actual</v>
      </c>
      <c r="D12" s="309">
        <v>250772</v>
      </c>
      <c r="E12" s="309">
        <v>369495</v>
      </c>
      <c r="F12" s="309" t="s">
        <v>704</v>
      </c>
      <c r="G12" s="309" t="s">
        <v>704</v>
      </c>
      <c r="H12" s="309" t="s">
        <v>704</v>
      </c>
      <c r="I12" s="300" t="s">
        <v>704</v>
      </c>
      <c r="J12" s="296" t="s">
        <v>704</v>
      </c>
      <c r="K12" s="296" t="s">
        <v>704</v>
      </c>
      <c r="L12" s="296" t="s">
        <v>704</v>
      </c>
      <c r="M12" s="296" t="s">
        <v>704</v>
      </c>
      <c r="N12" s="296" t="s">
        <v>704</v>
      </c>
      <c r="O12" s="296" t="s">
        <v>704</v>
      </c>
      <c r="P12" s="296" t="s">
        <v>704</v>
      </c>
      <c r="Q12" s="296" t="s">
        <v>704</v>
      </c>
      <c r="R12" s="296" t="s">
        <v>704</v>
      </c>
      <c r="S12" s="296" t="s">
        <v>704</v>
      </c>
      <c r="T12" s="296" t="s">
        <v>704</v>
      </c>
      <c r="U12" s="296" t="s">
        <v>704</v>
      </c>
      <c r="V12" s="296" t="s">
        <v>704</v>
      </c>
      <c r="W12" s="296" t="s">
        <v>704</v>
      </c>
      <c r="X12" s="296" t="s">
        <v>704</v>
      </c>
      <c r="Y12" s="296" t="s">
        <v>704</v>
      </c>
      <c r="Z12" s="296" t="s">
        <v>704</v>
      </c>
      <c r="AA12" s="296" t="s">
        <v>704</v>
      </c>
      <c r="AB12" s="296" t="s">
        <v>704</v>
      </c>
      <c r="AC12" s="296" t="s">
        <v>704</v>
      </c>
      <c r="AD12" s="296" t="s">
        <v>704</v>
      </c>
      <c r="AE12" s="296" t="s">
        <v>704</v>
      </c>
      <c r="AF12" s="296" t="s">
        <v>704</v>
      </c>
      <c r="AG12" s="296" t="s">
        <v>704</v>
      </c>
      <c r="AH12" s="296" t="s">
        <v>704</v>
      </c>
      <c r="AI12" s="296" t="s">
        <v>704</v>
      </c>
      <c r="AJ12" s="296" t="s">
        <v>704</v>
      </c>
      <c r="AK12" s="296" t="s">
        <v>704</v>
      </c>
      <c r="AL12" s="296" t="s">
        <v>704</v>
      </c>
      <c r="AM12" s="296"/>
      <c r="AN12" s="296"/>
    </row>
    <row r="13" spans="1:40" x14ac:dyDescent="0.25">
      <c r="A13" s="299">
        <v>1</v>
      </c>
      <c r="C13" s="308" t="str">
        <f>"    Median"</f>
        <v xml:space="preserve">    Median</v>
      </c>
      <c r="D13" s="309">
        <v>246550</v>
      </c>
      <c r="E13" s="309">
        <v>365900</v>
      </c>
      <c r="F13" s="309">
        <v>492690</v>
      </c>
      <c r="G13" s="309">
        <v>610005.34900000005</v>
      </c>
      <c r="H13" s="309">
        <v>761395</v>
      </c>
      <c r="I13" s="300" t="s">
        <v>704</v>
      </c>
      <c r="J13" s="296" t="s">
        <v>704</v>
      </c>
      <c r="K13" s="296" t="s">
        <v>704</v>
      </c>
      <c r="L13" s="296" t="s">
        <v>704</v>
      </c>
      <c r="M13" s="296" t="s">
        <v>704</v>
      </c>
      <c r="N13" s="296" t="s">
        <v>704</v>
      </c>
      <c r="O13" s="296" t="s">
        <v>704</v>
      </c>
      <c r="P13" s="296" t="s">
        <v>704</v>
      </c>
      <c r="Q13" s="296" t="s">
        <v>704</v>
      </c>
      <c r="R13" s="296" t="s">
        <v>704</v>
      </c>
      <c r="S13" s="296" t="s">
        <v>704</v>
      </c>
      <c r="T13" s="296" t="s">
        <v>704</v>
      </c>
      <c r="U13" s="296" t="s">
        <v>704</v>
      </c>
      <c r="V13" s="296" t="s">
        <v>704</v>
      </c>
      <c r="W13" s="296" t="s">
        <v>704</v>
      </c>
      <c r="X13" s="296" t="s">
        <v>704</v>
      </c>
      <c r="Y13" s="296" t="s">
        <v>704</v>
      </c>
      <c r="Z13" s="296" t="s">
        <v>704</v>
      </c>
      <c r="AA13" s="296" t="s">
        <v>704</v>
      </c>
      <c r="AB13" s="296" t="s">
        <v>704</v>
      </c>
      <c r="AC13" s="296" t="s">
        <v>704</v>
      </c>
      <c r="AD13" s="296" t="s">
        <v>704</v>
      </c>
      <c r="AE13" s="296" t="s">
        <v>704</v>
      </c>
      <c r="AF13" s="296" t="s">
        <v>704</v>
      </c>
      <c r="AG13" s="296" t="s">
        <v>704</v>
      </c>
      <c r="AH13" s="296" t="s">
        <v>704</v>
      </c>
      <c r="AI13" s="296" t="s">
        <v>704</v>
      </c>
      <c r="AJ13" s="296" t="s">
        <v>704</v>
      </c>
      <c r="AK13" s="296" t="s">
        <v>704</v>
      </c>
      <c r="AL13" s="296" t="s">
        <v>704</v>
      </c>
      <c r="AM13" s="296"/>
      <c r="AN13" s="296"/>
    </row>
    <row r="14" spans="1:40" x14ac:dyDescent="0.25">
      <c r="A14" s="299">
        <v>1</v>
      </c>
      <c r="C14" s="308" t="str">
        <f>"    High"</f>
        <v xml:space="preserve">    High</v>
      </c>
      <c r="D14" s="309">
        <v>247491.932</v>
      </c>
      <c r="E14" s="309">
        <v>366800</v>
      </c>
      <c r="F14" s="309">
        <v>497000</v>
      </c>
      <c r="G14" s="309">
        <v>635900</v>
      </c>
      <c r="H14" s="309">
        <v>761395</v>
      </c>
      <c r="I14" s="300" t="s">
        <v>704</v>
      </c>
      <c r="J14" s="296" t="s">
        <v>704</v>
      </c>
      <c r="K14" s="296" t="s">
        <v>704</v>
      </c>
      <c r="L14" s="296" t="s">
        <v>704</v>
      </c>
      <c r="M14" s="296" t="s">
        <v>704</v>
      </c>
      <c r="N14" s="296" t="s">
        <v>704</v>
      </c>
      <c r="O14" s="296" t="s">
        <v>704</v>
      </c>
      <c r="P14" s="296" t="s">
        <v>704</v>
      </c>
      <c r="Q14" s="296" t="s">
        <v>704</v>
      </c>
      <c r="R14" s="296" t="s">
        <v>704</v>
      </c>
      <c r="S14" s="296" t="s">
        <v>704</v>
      </c>
      <c r="T14" s="296" t="s">
        <v>704</v>
      </c>
      <c r="U14" s="296" t="s">
        <v>704</v>
      </c>
      <c r="V14" s="296" t="s">
        <v>704</v>
      </c>
      <c r="W14" s="296" t="s">
        <v>704</v>
      </c>
      <c r="X14" s="296" t="s">
        <v>704</v>
      </c>
      <c r="Y14" s="296" t="s">
        <v>704</v>
      </c>
      <c r="Z14" s="296" t="s">
        <v>704</v>
      </c>
      <c r="AA14" s="296" t="s">
        <v>704</v>
      </c>
      <c r="AB14" s="296" t="s">
        <v>704</v>
      </c>
      <c r="AC14" s="296" t="s">
        <v>704</v>
      </c>
      <c r="AD14" s="296" t="s">
        <v>704</v>
      </c>
      <c r="AE14" s="296" t="s">
        <v>704</v>
      </c>
      <c r="AF14" s="296" t="s">
        <v>704</v>
      </c>
      <c r="AG14" s="296" t="s">
        <v>704</v>
      </c>
      <c r="AH14" s="296" t="s">
        <v>704</v>
      </c>
      <c r="AI14" s="296" t="s">
        <v>704</v>
      </c>
      <c r="AJ14" s="296" t="s">
        <v>704</v>
      </c>
      <c r="AK14" s="296" t="s">
        <v>704</v>
      </c>
      <c r="AL14" s="296" t="s">
        <v>704</v>
      </c>
      <c r="AM14" s="296"/>
      <c r="AN14" s="296"/>
    </row>
    <row r="15" spans="1:40" x14ac:dyDescent="0.25">
      <c r="A15" s="299">
        <v>1</v>
      </c>
      <c r="C15" s="308" t="str">
        <f>"    Low"</f>
        <v xml:space="preserve">    Low</v>
      </c>
      <c r="D15" s="309">
        <v>245700</v>
      </c>
      <c r="E15" s="309">
        <v>364020.9</v>
      </c>
      <c r="F15" s="309">
        <v>488077.1</v>
      </c>
      <c r="G15" s="309">
        <v>588500</v>
      </c>
      <c r="H15" s="309">
        <v>761395</v>
      </c>
      <c r="I15" s="300" t="s">
        <v>704</v>
      </c>
      <c r="J15" s="296" t="s">
        <v>704</v>
      </c>
      <c r="K15" s="296" t="s">
        <v>704</v>
      </c>
      <c r="L15" s="296" t="s">
        <v>704</v>
      </c>
      <c r="M15" s="296" t="s">
        <v>704</v>
      </c>
      <c r="N15" s="296" t="s">
        <v>704</v>
      </c>
      <c r="O15" s="296" t="s">
        <v>704</v>
      </c>
      <c r="P15" s="296" t="s">
        <v>704</v>
      </c>
      <c r="Q15" s="296" t="s">
        <v>704</v>
      </c>
      <c r="R15" s="296" t="s">
        <v>704</v>
      </c>
      <c r="S15" s="296" t="s">
        <v>704</v>
      </c>
      <c r="T15" s="296" t="s">
        <v>704</v>
      </c>
      <c r="U15" s="296" t="s">
        <v>704</v>
      </c>
      <c r="V15" s="296" t="s">
        <v>704</v>
      </c>
      <c r="W15" s="296" t="s">
        <v>704</v>
      </c>
      <c r="X15" s="296" t="s">
        <v>704</v>
      </c>
      <c r="Y15" s="296" t="s">
        <v>704</v>
      </c>
      <c r="Z15" s="296" t="s">
        <v>704</v>
      </c>
      <c r="AA15" s="296" t="s">
        <v>704</v>
      </c>
      <c r="AB15" s="296" t="s">
        <v>704</v>
      </c>
      <c r="AC15" s="296" t="s">
        <v>704</v>
      </c>
      <c r="AD15" s="296" t="s">
        <v>704</v>
      </c>
      <c r="AE15" s="296" t="s">
        <v>704</v>
      </c>
      <c r="AF15" s="296" t="s">
        <v>704</v>
      </c>
      <c r="AG15" s="296" t="s">
        <v>704</v>
      </c>
      <c r="AH15" s="296" t="s">
        <v>704</v>
      </c>
      <c r="AI15" s="296" t="s">
        <v>704</v>
      </c>
      <c r="AJ15" s="296" t="s">
        <v>704</v>
      </c>
      <c r="AK15" s="296" t="s">
        <v>704</v>
      </c>
      <c r="AL15" s="296" t="s">
        <v>704</v>
      </c>
      <c r="AM15" s="296"/>
      <c r="AN15" s="296"/>
    </row>
    <row r="16" spans="1:40" x14ac:dyDescent="0.25">
      <c r="A16" s="299">
        <v>1</v>
      </c>
      <c r="C16" s="308" t="str">
        <f>"    Mean"</f>
        <v xml:space="preserve">    Mean</v>
      </c>
      <c r="D16" s="309">
        <v>246591.242</v>
      </c>
      <c r="E16" s="309">
        <v>365600.00699999998</v>
      </c>
      <c r="F16" s="309">
        <v>493027.19699999999</v>
      </c>
      <c r="G16" s="309">
        <v>609381.98300000001</v>
      </c>
      <c r="H16" s="309">
        <v>761395</v>
      </c>
      <c r="I16" s="300" t="s">
        <v>704</v>
      </c>
      <c r="J16" s="296" t="s">
        <v>704</v>
      </c>
      <c r="K16" s="296" t="s">
        <v>704</v>
      </c>
      <c r="L16" s="296" t="s">
        <v>704</v>
      </c>
      <c r="M16" s="296" t="s">
        <v>704</v>
      </c>
      <c r="N16" s="296" t="s">
        <v>704</v>
      </c>
      <c r="O16" s="296" t="s">
        <v>704</v>
      </c>
      <c r="P16" s="296" t="s">
        <v>704</v>
      </c>
      <c r="Q16" s="296" t="s">
        <v>704</v>
      </c>
      <c r="R16" s="296" t="s">
        <v>704</v>
      </c>
      <c r="S16" s="296" t="s">
        <v>704</v>
      </c>
      <c r="T16" s="296" t="s">
        <v>704</v>
      </c>
      <c r="U16" s="296" t="s">
        <v>704</v>
      </c>
      <c r="V16" s="296" t="s">
        <v>704</v>
      </c>
      <c r="W16" s="296" t="s">
        <v>704</v>
      </c>
      <c r="X16" s="296" t="s">
        <v>704</v>
      </c>
      <c r="Y16" s="296" t="s">
        <v>704</v>
      </c>
      <c r="Z16" s="296" t="s">
        <v>704</v>
      </c>
      <c r="AA16" s="296" t="s">
        <v>704</v>
      </c>
      <c r="AB16" s="296" t="s">
        <v>704</v>
      </c>
      <c r="AC16" s="296" t="s">
        <v>704</v>
      </c>
      <c r="AD16" s="296" t="s">
        <v>704</v>
      </c>
      <c r="AE16" s="296" t="s">
        <v>704</v>
      </c>
      <c r="AF16" s="296" t="s">
        <v>704</v>
      </c>
      <c r="AG16" s="296" t="s">
        <v>704</v>
      </c>
      <c r="AH16" s="296" t="s">
        <v>704</v>
      </c>
      <c r="AI16" s="296" t="s">
        <v>704</v>
      </c>
      <c r="AJ16" s="296" t="s">
        <v>704</v>
      </c>
      <c r="AK16" s="296" t="s">
        <v>704</v>
      </c>
      <c r="AL16" s="296" t="s">
        <v>704</v>
      </c>
      <c r="AM16" s="296"/>
      <c r="AN16" s="296"/>
    </row>
    <row r="17" spans="1:40" x14ac:dyDescent="0.25">
      <c r="A17" s="299">
        <v>1</v>
      </c>
      <c r="C17" s="308" t="str">
        <f>"    Standard Deviation"</f>
        <v xml:space="preserve">    Standard Deviation</v>
      </c>
      <c r="D17" s="309">
        <v>622.71</v>
      </c>
      <c r="E17" s="309">
        <v>888.726</v>
      </c>
      <c r="F17" s="309">
        <v>2604.7950000000001</v>
      </c>
      <c r="G17" s="309">
        <v>14518.861000000001</v>
      </c>
      <c r="H17" s="309" t="s">
        <v>704</v>
      </c>
      <c r="I17" s="300" t="s">
        <v>704</v>
      </c>
      <c r="J17" s="296" t="s">
        <v>704</v>
      </c>
      <c r="K17" s="296" t="s">
        <v>704</v>
      </c>
      <c r="L17" s="296" t="s">
        <v>704</v>
      </c>
      <c r="M17" s="296" t="s">
        <v>704</v>
      </c>
      <c r="N17" s="296" t="s">
        <v>704</v>
      </c>
      <c r="O17" s="296" t="s">
        <v>704</v>
      </c>
      <c r="P17" s="296" t="s">
        <v>704</v>
      </c>
      <c r="Q17" s="296" t="s">
        <v>704</v>
      </c>
      <c r="R17" s="296" t="s">
        <v>704</v>
      </c>
      <c r="S17" s="296" t="s">
        <v>704</v>
      </c>
      <c r="T17" s="296" t="s">
        <v>704</v>
      </c>
      <c r="U17" s="296" t="s">
        <v>704</v>
      </c>
      <c r="V17" s="296" t="s">
        <v>704</v>
      </c>
      <c r="W17" s="296" t="s">
        <v>704</v>
      </c>
      <c r="X17" s="296" t="s">
        <v>704</v>
      </c>
      <c r="Y17" s="296" t="s">
        <v>704</v>
      </c>
      <c r="Z17" s="296" t="s">
        <v>704</v>
      </c>
      <c r="AA17" s="296" t="s">
        <v>704</v>
      </c>
      <c r="AB17" s="296" t="s">
        <v>704</v>
      </c>
      <c r="AC17" s="296" t="s">
        <v>704</v>
      </c>
      <c r="AD17" s="296" t="s">
        <v>704</v>
      </c>
      <c r="AE17" s="296" t="s">
        <v>704</v>
      </c>
      <c r="AF17" s="296" t="s">
        <v>704</v>
      </c>
      <c r="AG17" s="296" t="s">
        <v>704</v>
      </c>
      <c r="AH17" s="296" t="s">
        <v>704</v>
      </c>
      <c r="AI17" s="296" t="s">
        <v>704</v>
      </c>
      <c r="AJ17" s="296" t="s">
        <v>704</v>
      </c>
      <c r="AK17" s="296" t="s">
        <v>704</v>
      </c>
      <c r="AL17" s="296" t="s">
        <v>704</v>
      </c>
      <c r="AM17" s="296"/>
      <c r="AN17" s="296"/>
    </row>
    <row r="18" spans="1:40" x14ac:dyDescent="0.25">
      <c r="A18" s="299">
        <v>1</v>
      </c>
      <c r="C18" s="308" t="str">
        <f>"    Number of Estimates"</f>
        <v xml:space="preserve">    Number of Estimates</v>
      </c>
      <c r="D18" s="309">
        <v>8</v>
      </c>
      <c r="E18" s="309">
        <v>9</v>
      </c>
      <c r="F18" s="309">
        <v>9</v>
      </c>
      <c r="G18" s="309">
        <v>9</v>
      </c>
      <c r="H18" s="309">
        <v>1</v>
      </c>
      <c r="I18" s="300" t="s">
        <v>704</v>
      </c>
      <c r="J18" s="296" t="s">
        <v>704</v>
      </c>
      <c r="K18" s="296" t="s">
        <v>704</v>
      </c>
      <c r="L18" s="296" t="s">
        <v>704</v>
      </c>
      <c r="M18" s="296" t="s">
        <v>704</v>
      </c>
      <c r="N18" s="296" t="s">
        <v>704</v>
      </c>
      <c r="O18" s="296" t="s">
        <v>704</v>
      </c>
      <c r="P18" s="296" t="s">
        <v>704</v>
      </c>
      <c r="Q18" s="296" t="s">
        <v>704</v>
      </c>
      <c r="R18" s="296" t="s">
        <v>704</v>
      </c>
      <c r="S18" s="296" t="s">
        <v>704</v>
      </c>
      <c r="T18" s="296" t="s">
        <v>704</v>
      </c>
      <c r="U18" s="296" t="s">
        <v>704</v>
      </c>
      <c r="V18" s="296" t="s">
        <v>704</v>
      </c>
      <c r="W18" s="296" t="s">
        <v>704</v>
      </c>
      <c r="X18" s="296" t="s">
        <v>704</v>
      </c>
      <c r="Y18" s="296" t="s">
        <v>704</v>
      </c>
      <c r="Z18" s="296" t="s">
        <v>704</v>
      </c>
      <c r="AA18" s="296" t="s">
        <v>704</v>
      </c>
      <c r="AB18" s="296" t="s">
        <v>704</v>
      </c>
      <c r="AC18" s="296" t="s">
        <v>704</v>
      </c>
      <c r="AD18" s="296" t="s">
        <v>704</v>
      </c>
      <c r="AE18" s="296" t="s">
        <v>704</v>
      </c>
      <c r="AF18" s="296" t="s">
        <v>704</v>
      </c>
      <c r="AG18" s="296" t="s">
        <v>704</v>
      </c>
      <c r="AH18" s="296" t="s">
        <v>704</v>
      </c>
      <c r="AI18" s="296" t="s">
        <v>704</v>
      </c>
      <c r="AJ18" s="296" t="s">
        <v>704</v>
      </c>
      <c r="AK18" s="296" t="s">
        <v>704</v>
      </c>
      <c r="AL18" s="296" t="s">
        <v>704</v>
      </c>
      <c r="AM18" s="296"/>
      <c r="AN18" s="296"/>
    </row>
    <row r="19" spans="1:40" x14ac:dyDescent="0.25">
      <c r="A19" s="299">
        <v>1</v>
      </c>
      <c r="C19" s="306" t="str">
        <f>"Total Gross Profit"</f>
        <v>Total Gross Profit</v>
      </c>
      <c r="D19" s="307" t="s">
        <v>704</v>
      </c>
      <c r="E19" s="307" t="s">
        <v>704</v>
      </c>
      <c r="F19" s="307" t="s">
        <v>704</v>
      </c>
      <c r="G19" s="307" t="s">
        <v>704</v>
      </c>
      <c r="H19" s="307" t="s">
        <v>704</v>
      </c>
      <c r="I19" s="300" t="s">
        <v>704</v>
      </c>
      <c r="J19" s="296" t="s">
        <v>704</v>
      </c>
      <c r="K19" s="296" t="s">
        <v>704</v>
      </c>
      <c r="L19" s="296" t="s">
        <v>704</v>
      </c>
      <c r="M19" s="296" t="s">
        <v>704</v>
      </c>
      <c r="N19" s="296" t="s">
        <v>704</v>
      </c>
      <c r="O19" s="296" t="s">
        <v>704</v>
      </c>
      <c r="P19" s="296" t="s">
        <v>704</v>
      </c>
      <c r="Q19" s="296" t="s">
        <v>704</v>
      </c>
      <c r="R19" s="296" t="s">
        <v>704</v>
      </c>
      <c r="S19" s="296" t="s">
        <v>704</v>
      </c>
      <c r="T19" s="296" t="s">
        <v>704</v>
      </c>
      <c r="U19" s="296" t="s">
        <v>704</v>
      </c>
      <c r="V19" s="296" t="s">
        <v>704</v>
      </c>
      <c r="W19" s="296" t="s">
        <v>704</v>
      </c>
      <c r="X19" s="296" t="s">
        <v>704</v>
      </c>
      <c r="Y19" s="296" t="s">
        <v>704</v>
      </c>
      <c r="Z19" s="296" t="s">
        <v>704</v>
      </c>
      <c r="AA19" s="296" t="s">
        <v>704</v>
      </c>
      <c r="AB19" s="296" t="s">
        <v>704</v>
      </c>
      <c r="AC19" s="296" t="s">
        <v>704</v>
      </c>
      <c r="AD19" s="296" t="s">
        <v>704</v>
      </c>
      <c r="AE19" s="296" t="s">
        <v>704</v>
      </c>
      <c r="AF19" s="296" t="s">
        <v>704</v>
      </c>
      <c r="AG19" s="296" t="s">
        <v>704</v>
      </c>
      <c r="AH19" s="296" t="s">
        <v>704</v>
      </c>
      <c r="AI19" s="296" t="s">
        <v>704</v>
      </c>
      <c r="AJ19" s="296" t="s">
        <v>704</v>
      </c>
      <c r="AK19" s="296" t="s">
        <v>704</v>
      </c>
      <c r="AL19" s="296" t="s">
        <v>704</v>
      </c>
      <c r="AM19" s="296"/>
      <c r="AN19" s="296"/>
    </row>
    <row r="20" spans="1:40" x14ac:dyDescent="0.25">
      <c r="A20" s="299">
        <v>1</v>
      </c>
      <c r="C20" s="308" t="str">
        <f>"    Actual"</f>
        <v xml:space="preserve">    Actual</v>
      </c>
      <c r="D20" s="309">
        <v>181586</v>
      </c>
      <c r="E20" s="309">
        <v>270064</v>
      </c>
      <c r="F20" s="309" t="s">
        <v>704</v>
      </c>
      <c r="G20" s="309" t="s">
        <v>704</v>
      </c>
      <c r="H20" s="309" t="s">
        <v>704</v>
      </c>
      <c r="I20" s="300" t="s">
        <v>704</v>
      </c>
      <c r="J20" s="296" t="s">
        <v>704</v>
      </c>
      <c r="K20" s="296" t="s">
        <v>704</v>
      </c>
      <c r="L20" s="296" t="s">
        <v>704</v>
      </c>
      <c r="M20" s="296" t="s">
        <v>704</v>
      </c>
      <c r="N20" s="296" t="s">
        <v>704</v>
      </c>
      <c r="O20" s="296" t="s">
        <v>704</v>
      </c>
      <c r="P20" s="296" t="s">
        <v>704</v>
      </c>
      <c r="Q20" s="296" t="s">
        <v>704</v>
      </c>
      <c r="R20" s="296" t="s">
        <v>704</v>
      </c>
      <c r="S20" s="296" t="s">
        <v>704</v>
      </c>
      <c r="T20" s="296" t="s">
        <v>704</v>
      </c>
      <c r="U20" s="296" t="s">
        <v>704</v>
      </c>
      <c r="V20" s="296" t="s">
        <v>704</v>
      </c>
      <c r="W20" s="296" t="s">
        <v>704</v>
      </c>
      <c r="X20" s="296" t="s">
        <v>704</v>
      </c>
      <c r="Y20" s="296" t="s">
        <v>704</v>
      </c>
      <c r="Z20" s="296" t="s">
        <v>704</v>
      </c>
      <c r="AA20" s="296" t="s">
        <v>704</v>
      </c>
      <c r="AB20" s="296" t="s">
        <v>704</v>
      </c>
      <c r="AC20" s="296" t="s">
        <v>704</v>
      </c>
      <c r="AD20" s="296" t="s">
        <v>704</v>
      </c>
      <c r="AE20" s="296" t="s">
        <v>704</v>
      </c>
      <c r="AF20" s="296" t="s">
        <v>704</v>
      </c>
      <c r="AG20" s="296" t="s">
        <v>704</v>
      </c>
      <c r="AH20" s="296" t="s">
        <v>704</v>
      </c>
      <c r="AI20" s="296" t="s">
        <v>704</v>
      </c>
      <c r="AJ20" s="296" t="s">
        <v>704</v>
      </c>
      <c r="AK20" s="296" t="s">
        <v>704</v>
      </c>
      <c r="AL20" s="296" t="s">
        <v>704</v>
      </c>
      <c r="AM20" s="296"/>
      <c r="AN20" s="296"/>
    </row>
    <row r="21" spans="1:40" x14ac:dyDescent="0.25">
      <c r="A21" s="299">
        <v>1</v>
      </c>
      <c r="C21" s="308" t="str">
        <f>"    Median"</f>
        <v xml:space="preserve">    Median</v>
      </c>
      <c r="D21" s="309">
        <v>178000</v>
      </c>
      <c r="E21" s="309">
        <v>266889</v>
      </c>
      <c r="F21" s="309">
        <v>362357</v>
      </c>
      <c r="G21" s="309">
        <v>447090</v>
      </c>
      <c r="H21" s="309" t="s">
        <v>704</v>
      </c>
      <c r="I21" s="300" t="s">
        <v>704</v>
      </c>
      <c r="J21" s="296" t="s">
        <v>704</v>
      </c>
      <c r="K21" s="296" t="s">
        <v>704</v>
      </c>
      <c r="L21" s="296" t="s">
        <v>704</v>
      </c>
      <c r="M21" s="296" t="s">
        <v>704</v>
      </c>
      <c r="N21" s="296" t="s">
        <v>704</v>
      </c>
      <c r="O21" s="296" t="s">
        <v>704</v>
      </c>
      <c r="P21" s="296" t="s">
        <v>704</v>
      </c>
      <c r="Q21" s="296" t="s">
        <v>704</v>
      </c>
      <c r="R21" s="296" t="s">
        <v>704</v>
      </c>
      <c r="S21" s="296" t="s">
        <v>704</v>
      </c>
      <c r="T21" s="296" t="s">
        <v>704</v>
      </c>
      <c r="U21" s="296" t="s">
        <v>704</v>
      </c>
      <c r="V21" s="296" t="s">
        <v>704</v>
      </c>
      <c r="W21" s="296" t="s">
        <v>704</v>
      </c>
      <c r="X21" s="296" t="s">
        <v>704</v>
      </c>
      <c r="Y21" s="296" t="s">
        <v>704</v>
      </c>
      <c r="Z21" s="296" t="s">
        <v>704</v>
      </c>
      <c r="AA21" s="296" t="s">
        <v>704</v>
      </c>
      <c r="AB21" s="296" t="s">
        <v>704</v>
      </c>
      <c r="AC21" s="296" t="s">
        <v>704</v>
      </c>
      <c r="AD21" s="296" t="s">
        <v>704</v>
      </c>
      <c r="AE21" s="296" t="s">
        <v>704</v>
      </c>
      <c r="AF21" s="296" t="s">
        <v>704</v>
      </c>
      <c r="AG21" s="296" t="s">
        <v>704</v>
      </c>
      <c r="AH21" s="296" t="s">
        <v>704</v>
      </c>
      <c r="AI21" s="296" t="s">
        <v>704</v>
      </c>
      <c r="AJ21" s="296" t="s">
        <v>704</v>
      </c>
      <c r="AK21" s="296" t="s">
        <v>704</v>
      </c>
      <c r="AL21" s="296" t="s">
        <v>704</v>
      </c>
      <c r="AM21" s="296"/>
      <c r="AN21" s="296"/>
    </row>
    <row r="22" spans="1:40" x14ac:dyDescent="0.25">
      <c r="A22" s="299">
        <v>1</v>
      </c>
      <c r="C22" s="308" t="str">
        <f>"    High"</f>
        <v xml:space="preserve">    High</v>
      </c>
      <c r="D22" s="309">
        <v>178600</v>
      </c>
      <c r="E22" s="309">
        <v>267399.99999999994</v>
      </c>
      <c r="F22" s="309">
        <v>365600</v>
      </c>
      <c r="G22" s="309">
        <v>463000</v>
      </c>
      <c r="H22" s="309" t="s">
        <v>704</v>
      </c>
      <c r="I22" s="300" t="s">
        <v>704</v>
      </c>
      <c r="J22" s="296" t="s">
        <v>704</v>
      </c>
      <c r="K22" s="296" t="s">
        <v>704</v>
      </c>
      <c r="L22" s="296" t="s">
        <v>704</v>
      </c>
      <c r="M22" s="296" t="s">
        <v>704</v>
      </c>
      <c r="N22" s="296" t="s">
        <v>704</v>
      </c>
      <c r="O22" s="296" t="s">
        <v>704</v>
      </c>
      <c r="P22" s="296" t="s">
        <v>704</v>
      </c>
      <c r="Q22" s="296" t="s">
        <v>704</v>
      </c>
      <c r="R22" s="296" t="s">
        <v>704</v>
      </c>
      <c r="S22" s="296" t="s">
        <v>704</v>
      </c>
      <c r="T22" s="296" t="s">
        <v>704</v>
      </c>
      <c r="U22" s="296" t="s">
        <v>704</v>
      </c>
      <c r="V22" s="296" t="s">
        <v>704</v>
      </c>
      <c r="W22" s="296" t="s">
        <v>704</v>
      </c>
      <c r="X22" s="296" t="s">
        <v>704</v>
      </c>
      <c r="Y22" s="296" t="s">
        <v>704</v>
      </c>
      <c r="Z22" s="296" t="s">
        <v>704</v>
      </c>
      <c r="AA22" s="296" t="s">
        <v>704</v>
      </c>
      <c r="AB22" s="296" t="s">
        <v>704</v>
      </c>
      <c r="AC22" s="296" t="s">
        <v>704</v>
      </c>
      <c r="AD22" s="296" t="s">
        <v>704</v>
      </c>
      <c r="AE22" s="296" t="s">
        <v>704</v>
      </c>
      <c r="AF22" s="296" t="s">
        <v>704</v>
      </c>
      <c r="AG22" s="296" t="s">
        <v>704</v>
      </c>
      <c r="AH22" s="296" t="s">
        <v>704</v>
      </c>
      <c r="AI22" s="296" t="s">
        <v>704</v>
      </c>
      <c r="AJ22" s="296" t="s">
        <v>704</v>
      </c>
      <c r="AK22" s="296" t="s">
        <v>704</v>
      </c>
      <c r="AL22" s="296" t="s">
        <v>704</v>
      </c>
      <c r="AM22" s="296"/>
      <c r="AN22" s="296"/>
    </row>
    <row r="23" spans="1:40" x14ac:dyDescent="0.25">
      <c r="A23" s="299">
        <v>1</v>
      </c>
      <c r="C23" s="308" t="str">
        <f>"    Low"</f>
        <v xml:space="preserve">    Low</v>
      </c>
      <c r="D23" s="309">
        <v>177500</v>
      </c>
      <c r="E23" s="309">
        <v>264800</v>
      </c>
      <c r="F23" s="309">
        <v>358500</v>
      </c>
      <c r="G23" s="309">
        <v>427600</v>
      </c>
      <c r="H23" s="309" t="s">
        <v>704</v>
      </c>
      <c r="I23" s="300" t="s">
        <v>704</v>
      </c>
      <c r="J23" s="296" t="s">
        <v>704</v>
      </c>
      <c r="K23" s="296" t="s">
        <v>704</v>
      </c>
      <c r="L23" s="296" t="s">
        <v>704</v>
      </c>
      <c r="M23" s="296" t="s">
        <v>704</v>
      </c>
      <c r="N23" s="296" t="s">
        <v>704</v>
      </c>
      <c r="O23" s="296" t="s">
        <v>704</v>
      </c>
      <c r="P23" s="296" t="s">
        <v>704</v>
      </c>
      <c r="Q23" s="296" t="s">
        <v>704</v>
      </c>
      <c r="R23" s="296" t="s">
        <v>704</v>
      </c>
      <c r="S23" s="296" t="s">
        <v>704</v>
      </c>
      <c r="T23" s="296" t="s">
        <v>704</v>
      </c>
      <c r="U23" s="296" t="s">
        <v>704</v>
      </c>
      <c r="V23" s="296" t="s">
        <v>704</v>
      </c>
      <c r="W23" s="296" t="s">
        <v>704</v>
      </c>
      <c r="X23" s="296" t="s">
        <v>704</v>
      </c>
      <c r="Y23" s="296" t="s">
        <v>704</v>
      </c>
      <c r="Z23" s="296" t="s">
        <v>704</v>
      </c>
      <c r="AA23" s="296" t="s">
        <v>704</v>
      </c>
      <c r="AB23" s="296" t="s">
        <v>704</v>
      </c>
      <c r="AC23" s="296" t="s">
        <v>704</v>
      </c>
      <c r="AD23" s="296" t="s">
        <v>704</v>
      </c>
      <c r="AE23" s="296" t="s">
        <v>704</v>
      </c>
      <c r="AF23" s="296" t="s">
        <v>704</v>
      </c>
      <c r="AG23" s="296" t="s">
        <v>704</v>
      </c>
      <c r="AH23" s="296" t="s">
        <v>704</v>
      </c>
      <c r="AI23" s="296" t="s">
        <v>704</v>
      </c>
      <c r="AJ23" s="296" t="s">
        <v>704</v>
      </c>
      <c r="AK23" s="296" t="s">
        <v>704</v>
      </c>
      <c r="AL23" s="296" t="s">
        <v>704</v>
      </c>
      <c r="AM23" s="296"/>
      <c r="AN23" s="296"/>
    </row>
    <row r="24" spans="1:40" x14ac:dyDescent="0.25">
      <c r="A24" s="299">
        <v>1</v>
      </c>
      <c r="C24" s="308" t="str">
        <f>"    Mean"</f>
        <v xml:space="preserve">    Mean</v>
      </c>
      <c r="D24" s="309">
        <v>178060</v>
      </c>
      <c r="E24" s="309">
        <v>266546.33299999998</v>
      </c>
      <c r="F24" s="309">
        <v>362219</v>
      </c>
      <c r="G24" s="309">
        <v>445630</v>
      </c>
      <c r="H24" s="309" t="s">
        <v>704</v>
      </c>
      <c r="I24" s="300" t="s">
        <v>704</v>
      </c>
      <c r="J24" s="296" t="s">
        <v>704</v>
      </c>
      <c r="K24" s="296" t="s">
        <v>704</v>
      </c>
      <c r="L24" s="296" t="s">
        <v>704</v>
      </c>
      <c r="M24" s="296" t="s">
        <v>704</v>
      </c>
      <c r="N24" s="296" t="s">
        <v>704</v>
      </c>
      <c r="O24" s="296" t="s">
        <v>704</v>
      </c>
      <c r="P24" s="296" t="s">
        <v>704</v>
      </c>
      <c r="Q24" s="296" t="s">
        <v>704</v>
      </c>
      <c r="R24" s="296" t="s">
        <v>704</v>
      </c>
      <c r="S24" s="296" t="s">
        <v>704</v>
      </c>
      <c r="T24" s="296" t="s">
        <v>704</v>
      </c>
      <c r="U24" s="296" t="s">
        <v>704</v>
      </c>
      <c r="V24" s="296" t="s">
        <v>704</v>
      </c>
      <c r="W24" s="296" t="s">
        <v>704</v>
      </c>
      <c r="X24" s="296" t="s">
        <v>704</v>
      </c>
      <c r="Y24" s="296" t="s">
        <v>704</v>
      </c>
      <c r="Z24" s="296" t="s">
        <v>704</v>
      </c>
      <c r="AA24" s="296" t="s">
        <v>704</v>
      </c>
      <c r="AB24" s="296" t="s">
        <v>704</v>
      </c>
      <c r="AC24" s="296" t="s">
        <v>704</v>
      </c>
      <c r="AD24" s="296" t="s">
        <v>704</v>
      </c>
      <c r="AE24" s="296" t="s">
        <v>704</v>
      </c>
      <c r="AF24" s="296" t="s">
        <v>704</v>
      </c>
      <c r="AG24" s="296" t="s">
        <v>704</v>
      </c>
      <c r="AH24" s="296" t="s">
        <v>704</v>
      </c>
      <c r="AI24" s="296" t="s">
        <v>704</v>
      </c>
      <c r="AJ24" s="296" t="s">
        <v>704</v>
      </c>
      <c r="AK24" s="296" t="s">
        <v>704</v>
      </c>
      <c r="AL24" s="296" t="s">
        <v>704</v>
      </c>
      <c r="AM24" s="296"/>
      <c r="AN24" s="296"/>
    </row>
    <row r="25" spans="1:40" x14ac:dyDescent="0.25">
      <c r="A25" s="299">
        <v>1</v>
      </c>
      <c r="C25" s="308" t="str">
        <f>"    Standard Deviation"</f>
        <v xml:space="preserve">    Standard Deviation</v>
      </c>
      <c r="D25" s="309">
        <v>415.93299999999999</v>
      </c>
      <c r="E25" s="309">
        <v>980.49</v>
      </c>
      <c r="F25" s="309">
        <v>3125.739</v>
      </c>
      <c r="G25" s="309">
        <v>11624.655000000001</v>
      </c>
      <c r="H25" s="309" t="s">
        <v>704</v>
      </c>
      <c r="I25" s="300" t="s">
        <v>704</v>
      </c>
      <c r="J25" s="296" t="s">
        <v>704</v>
      </c>
      <c r="K25" s="296" t="s">
        <v>704</v>
      </c>
      <c r="L25" s="296" t="s">
        <v>704</v>
      </c>
      <c r="M25" s="296" t="s">
        <v>704</v>
      </c>
      <c r="N25" s="296" t="s">
        <v>704</v>
      </c>
      <c r="O25" s="296" t="s">
        <v>704</v>
      </c>
      <c r="P25" s="296" t="s">
        <v>704</v>
      </c>
      <c r="Q25" s="296" t="s">
        <v>704</v>
      </c>
      <c r="R25" s="296" t="s">
        <v>704</v>
      </c>
      <c r="S25" s="296" t="s">
        <v>704</v>
      </c>
      <c r="T25" s="296" t="s">
        <v>704</v>
      </c>
      <c r="U25" s="296" t="s">
        <v>704</v>
      </c>
      <c r="V25" s="296" t="s">
        <v>704</v>
      </c>
      <c r="W25" s="296" t="s">
        <v>704</v>
      </c>
      <c r="X25" s="296" t="s">
        <v>704</v>
      </c>
      <c r="Y25" s="296" t="s">
        <v>704</v>
      </c>
      <c r="Z25" s="296" t="s">
        <v>704</v>
      </c>
      <c r="AA25" s="296" t="s">
        <v>704</v>
      </c>
      <c r="AB25" s="296" t="s">
        <v>704</v>
      </c>
      <c r="AC25" s="296" t="s">
        <v>704</v>
      </c>
      <c r="AD25" s="296" t="s">
        <v>704</v>
      </c>
      <c r="AE25" s="296" t="s">
        <v>704</v>
      </c>
      <c r="AF25" s="296" t="s">
        <v>704</v>
      </c>
      <c r="AG25" s="296" t="s">
        <v>704</v>
      </c>
      <c r="AH25" s="296" t="s">
        <v>704</v>
      </c>
      <c r="AI25" s="296" t="s">
        <v>704</v>
      </c>
      <c r="AJ25" s="296" t="s">
        <v>704</v>
      </c>
      <c r="AK25" s="296" t="s">
        <v>704</v>
      </c>
      <c r="AL25" s="296" t="s">
        <v>704</v>
      </c>
      <c r="AM25" s="296"/>
      <c r="AN25" s="296"/>
    </row>
    <row r="26" spans="1:40" x14ac:dyDescent="0.25">
      <c r="A26" s="299">
        <v>1</v>
      </c>
      <c r="C26" s="308" t="str">
        <f>"    Number of Estimates"</f>
        <v xml:space="preserve">    Number of Estimates</v>
      </c>
      <c r="D26" s="309">
        <v>5</v>
      </c>
      <c r="E26" s="309">
        <v>6</v>
      </c>
      <c r="F26" s="309">
        <v>6</v>
      </c>
      <c r="G26" s="309">
        <v>6</v>
      </c>
      <c r="H26" s="309" t="s">
        <v>704</v>
      </c>
      <c r="I26" s="300" t="s">
        <v>704</v>
      </c>
      <c r="J26" s="296" t="s">
        <v>704</v>
      </c>
      <c r="K26" s="296" t="s">
        <v>704</v>
      </c>
      <c r="L26" s="296" t="s">
        <v>704</v>
      </c>
      <c r="M26" s="296" t="s">
        <v>704</v>
      </c>
      <c r="N26" s="296" t="s">
        <v>704</v>
      </c>
      <c r="O26" s="296" t="s">
        <v>704</v>
      </c>
      <c r="P26" s="296" t="s">
        <v>704</v>
      </c>
      <c r="Q26" s="296" t="s">
        <v>704</v>
      </c>
      <c r="R26" s="296" t="s">
        <v>704</v>
      </c>
      <c r="S26" s="296" t="s">
        <v>704</v>
      </c>
      <c r="T26" s="296" t="s">
        <v>704</v>
      </c>
      <c r="U26" s="296" t="s">
        <v>704</v>
      </c>
      <c r="V26" s="296" t="s">
        <v>704</v>
      </c>
      <c r="W26" s="296" t="s">
        <v>704</v>
      </c>
      <c r="X26" s="296" t="s">
        <v>704</v>
      </c>
      <c r="Y26" s="296" t="s">
        <v>704</v>
      </c>
      <c r="Z26" s="296" t="s">
        <v>704</v>
      </c>
      <c r="AA26" s="296" t="s">
        <v>704</v>
      </c>
      <c r="AB26" s="296" t="s">
        <v>704</v>
      </c>
      <c r="AC26" s="296" t="s">
        <v>704</v>
      </c>
      <c r="AD26" s="296" t="s">
        <v>704</v>
      </c>
      <c r="AE26" s="296" t="s">
        <v>704</v>
      </c>
      <c r="AF26" s="296" t="s">
        <v>704</v>
      </c>
      <c r="AG26" s="296" t="s">
        <v>704</v>
      </c>
      <c r="AH26" s="296" t="s">
        <v>704</v>
      </c>
      <c r="AI26" s="296" t="s">
        <v>704</v>
      </c>
      <c r="AJ26" s="296" t="s">
        <v>704</v>
      </c>
      <c r="AK26" s="296" t="s">
        <v>704</v>
      </c>
      <c r="AL26" s="296" t="s">
        <v>704</v>
      </c>
      <c r="AM26" s="296"/>
      <c r="AN26" s="296"/>
    </row>
    <row r="27" spans="1:40" x14ac:dyDescent="0.25">
      <c r="A27" s="299">
        <v>1</v>
      </c>
      <c r="C27" s="306" t="str">
        <f>"Normalized EBITDA"</f>
        <v>Normalized EBITDA</v>
      </c>
      <c r="D27" s="307" t="s">
        <v>704</v>
      </c>
      <c r="E27" s="307" t="s">
        <v>704</v>
      </c>
      <c r="F27" s="307" t="s">
        <v>704</v>
      </c>
      <c r="G27" s="307" t="s">
        <v>704</v>
      </c>
      <c r="H27" s="307" t="s">
        <v>704</v>
      </c>
      <c r="I27" s="300" t="s">
        <v>704</v>
      </c>
      <c r="J27" s="296" t="s">
        <v>704</v>
      </c>
      <c r="K27" s="296" t="s">
        <v>704</v>
      </c>
      <c r="L27" s="296" t="s">
        <v>704</v>
      </c>
      <c r="M27" s="296" t="s">
        <v>704</v>
      </c>
      <c r="N27" s="296" t="s">
        <v>704</v>
      </c>
      <c r="O27" s="296" t="s">
        <v>704</v>
      </c>
      <c r="P27" s="296" t="s">
        <v>704</v>
      </c>
      <c r="Q27" s="296" t="s">
        <v>704</v>
      </c>
      <c r="R27" s="296" t="s">
        <v>704</v>
      </c>
      <c r="S27" s="296" t="s">
        <v>704</v>
      </c>
      <c r="T27" s="296" t="s">
        <v>704</v>
      </c>
      <c r="U27" s="296" t="s">
        <v>704</v>
      </c>
      <c r="V27" s="296" t="s">
        <v>704</v>
      </c>
      <c r="W27" s="296" t="s">
        <v>704</v>
      </c>
      <c r="X27" s="296" t="s">
        <v>704</v>
      </c>
      <c r="Y27" s="296" t="s">
        <v>704</v>
      </c>
      <c r="Z27" s="296" t="s">
        <v>704</v>
      </c>
      <c r="AA27" s="296" t="s">
        <v>704</v>
      </c>
      <c r="AB27" s="296" t="s">
        <v>704</v>
      </c>
      <c r="AC27" s="296" t="s">
        <v>704</v>
      </c>
      <c r="AD27" s="296" t="s">
        <v>704</v>
      </c>
      <c r="AE27" s="296" t="s">
        <v>704</v>
      </c>
      <c r="AF27" s="296" t="s">
        <v>704</v>
      </c>
      <c r="AG27" s="296" t="s">
        <v>704</v>
      </c>
      <c r="AH27" s="296" t="s">
        <v>704</v>
      </c>
      <c r="AI27" s="296" t="s">
        <v>704</v>
      </c>
      <c r="AJ27" s="296" t="s">
        <v>704</v>
      </c>
      <c r="AK27" s="296" t="s">
        <v>704</v>
      </c>
      <c r="AL27" s="296" t="s">
        <v>704</v>
      </c>
      <c r="AM27" s="296"/>
      <c r="AN27" s="296"/>
    </row>
    <row r="28" spans="1:40" x14ac:dyDescent="0.25">
      <c r="A28" s="299">
        <v>1</v>
      </c>
      <c r="C28" s="308" t="str">
        <f>"    Actual"</f>
        <v xml:space="preserve">    Actual</v>
      </c>
      <c r="D28" s="309">
        <v>-1066</v>
      </c>
      <c r="E28" s="309">
        <v>15457</v>
      </c>
      <c r="F28" s="309" t="s">
        <v>704</v>
      </c>
      <c r="G28" s="309" t="s">
        <v>704</v>
      </c>
      <c r="H28" s="309" t="s">
        <v>704</v>
      </c>
      <c r="I28" s="300" t="s">
        <v>704</v>
      </c>
      <c r="J28" s="296" t="s">
        <v>704</v>
      </c>
      <c r="K28" s="296" t="s">
        <v>704</v>
      </c>
      <c r="L28" s="296" t="s">
        <v>704</v>
      </c>
      <c r="M28" s="296" t="s">
        <v>704</v>
      </c>
      <c r="N28" s="296" t="s">
        <v>704</v>
      </c>
      <c r="O28" s="296" t="s">
        <v>704</v>
      </c>
      <c r="P28" s="296" t="s">
        <v>704</v>
      </c>
      <c r="Q28" s="296" t="s">
        <v>704</v>
      </c>
      <c r="R28" s="296" t="s">
        <v>704</v>
      </c>
      <c r="S28" s="296" t="s">
        <v>704</v>
      </c>
      <c r="T28" s="296" t="s">
        <v>704</v>
      </c>
      <c r="U28" s="296" t="s">
        <v>704</v>
      </c>
      <c r="V28" s="296" t="s">
        <v>704</v>
      </c>
      <c r="W28" s="296" t="s">
        <v>704</v>
      </c>
      <c r="X28" s="296" t="s">
        <v>704</v>
      </c>
      <c r="Y28" s="296" t="s">
        <v>704</v>
      </c>
      <c r="Z28" s="296" t="s">
        <v>704</v>
      </c>
      <c r="AA28" s="296" t="s">
        <v>704</v>
      </c>
      <c r="AB28" s="296" t="s">
        <v>704</v>
      </c>
      <c r="AC28" s="296" t="s">
        <v>704</v>
      </c>
      <c r="AD28" s="296" t="s">
        <v>704</v>
      </c>
      <c r="AE28" s="296" t="s">
        <v>704</v>
      </c>
      <c r="AF28" s="296" t="s">
        <v>704</v>
      </c>
      <c r="AG28" s="296" t="s">
        <v>704</v>
      </c>
      <c r="AH28" s="296" t="s">
        <v>704</v>
      </c>
      <c r="AI28" s="296" t="s">
        <v>704</v>
      </c>
      <c r="AJ28" s="296" t="s">
        <v>704</v>
      </c>
      <c r="AK28" s="296" t="s">
        <v>704</v>
      </c>
      <c r="AL28" s="296" t="s">
        <v>704</v>
      </c>
      <c r="AM28" s="296"/>
      <c r="AN28" s="296"/>
    </row>
    <row r="29" spans="1:40" x14ac:dyDescent="0.25">
      <c r="A29" s="299">
        <v>1</v>
      </c>
      <c r="C29" s="308" t="str">
        <f>"    Median"</f>
        <v xml:space="preserve">    Median</v>
      </c>
      <c r="D29" s="309">
        <v>-5800</v>
      </c>
      <c r="E29" s="309">
        <v>8690</v>
      </c>
      <c r="F29" s="309">
        <v>53600</v>
      </c>
      <c r="G29" s="309">
        <v>90700</v>
      </c>
      <c r="H29" s="309" t="s">
        <v>704</v>
      </c>
      <c r="I29" s="300" t="s">
        <v>704</v>
      </c>
      <c r="J29" s="296" t="s">
        <v>704</v>
      </c>
      <c r="K29" s="296" t="s">
        <v>704</v>
      </c>
      <c r="L29" s="296" t="s">
        <v>704</v>
      </c>
      <c r="M29" s="296" t="s">
        <v>704</v>
      </c>
      <c r="N29" s="296" t="s">
        <v>704</v>
      </c>
      <c r="O29" s="296" t="s">
        <v>704</v>
      </c>
      <c r="P29" s="296" t="s">
        <v>704</v>
      </c>
      <c r="Q29" s="296" t="s">
        <v>704</v>
      </c>
      <c r="R29" s="296" t="s">
        <v>704</v>
      </c>
      <c r="S29" s="296" t="s">
        <v>704</v>
      </c>
      <c r="T29" s="296" t="s">
        <v>704</v>
      </c>
      <c r="U29" s="296" t="s">
        <v>704</v>
      </c>
      <c r="V29" s="296" t="s">
        <v>704</v>
      </c>
      <c r="W29" s="296" t="s">
        <v>704</v>
      </c>
      <c r="X29" s="296" t="s">
        <v>704</v>
      </c>
      <c r="Y29" s="296" t="s">
        <v>704</v>
      </c>
      <c r="Z29" s="296" t="s">
        <v>704</v>
      </c>
      <c r="AA29" s="296" t="s">
        <v>704</v>
      </c>
      <c r="AB29" s="296" t="s">
        <v>704</v>
      </c>
      <c r="AC29" s="296" t="s">
        <v>704</v>
      </c>
      <c r="AD29" s="296" t="s">
        <v>704</v>
      </c>
      <c r="AE29" s="296" t="s">
        <v>704</v>
      </c>
      <c r="AF29" s="296" t="s">
        <v>704</v>
      </c>
      <c r="AG29" s="296" t="s">
        <v>704</v>
      </c>
      <c r="AH29" s="296" t="s">
        <v>704</v>
      </c>
      <c r="AI29" s="296" t="s">
        <v>704</v>
      </c>
      <c r="AJ29" s="296" t="s">
        <v>704</v>
      </c>
      <c r="AK29" s="296" t="s">
        <v>704</v>
      </c>
      <c r="AL29" s="296" t="s">
        <v>704</v>
      </c>
      <c r="AM29" s="296"/>
      <c r="AN29" s="296"/>
    </row>
    <row r="30" spans="1:40" x14ac:dyDescent="0.25">
      <c r="A30" s="299">
        <v>1</v>
      </c>
      <c r="C30" s="308" t="str">
        <f>"    High"</f>
        <v xml:space="preserve">    High</v>
      </c>
      <c r="D30" s="309">
        <v>-4900</v>
      </c>
      <c r="E30" s="309">
        <v>11200</v>
      </c>
      <c r="F30" s="309">
        <v>55000</v>
      </c>
      <c r="G30" s="309">
        <v>96600</v>
      </c>
      <c r="H30" s="309" t="s">
        <v>704</v>
      </c>
      <c r="I30" s="300" t="s">
        <v>704</v>
      </c>
      <c r="J30" s="296" t="s">
        <v>704</v>
      </c>
      <c r="K30" s="296" t="s">
        <v>704</v>
      </c>
      <c r="L30" s="296" t="s">
        <v>704</v>
      </c>
      <c r="M30" s="296" t="s">
        <v>704</v>
      </c>
      <c r="N30" s="296" t="s">
        <v>704</v>
      </c>
      <c r="O30" s="296" t="s">
        <v>704</v>
      </c>
      <c r="P30" s="296" t="s">
        <v>704</v>
      </c>
      <c r="Q30" s="296" t="s">
        <v>704</v>
      </c>
      <c r="R30" s="296" t="s">
        <v>704</v>
      </c>
      <c r="S30" s="296" t="s">
        <v>704</v>
      </c>
      <c r="T30" s="296" t="s">
        <v>704</v>
      </c>
      <c r="U30" s="296" t="s">
        <v>704</v>
      </c>
      <c r="V30" s="296" t="s">
        <v>704</v>
      </c>
      <c r="W30" s="296" t="s">
        <v>704</v>
      </c>
      <c r="X30" s="296" t="s">
        <v>704</v>
      </c>
      <c r="Y30" s="296" t="s">
        <v>704</v>
      </c>
      <c r="Z30" s="296" t="s">
        <v>704</v>
      </c>
      <c r="AA30" s="296" t="s">
        <v>704</v>
      </c>
      <c r="AB30" s="296" t="s">
        <v>704</v>
      </c>
      <c r="AC30" s="296" t="s">
        <v>704</v>
      </c>
      <c r="AD30" s="296" t="s">
        <v>704</v>
      </c>
      <c r="AE30" s="296" t="s">
        <v>704</v>
      </c>
      <c r="AF30" s="296" t="s">
        <v>704</v>
      </c>
      <c r="AG30" s="296" t="s">
        <v>704</v>
      </c>
      <c r="AH30" s="296" t="s">
        <v>704</v>
      </c>
      <c r="AI30" s="296" t="s">
        <v>704</v>
      </c>
      <c r="AJ30" s="296" t="s">
        <v>704</v>
      </c>
      <c r="AK30" s="296" t="s">
        <v>704</v>
      </c>
      <c r="AL30" s="296" t="s">
        <v>704</v>
      </c>
      <c r="AM30" s="296"/>
      <c r="AN30" s="296"/>
    </row>
    <row r="31" spans="1:40" x14ac:dyDescent="0.25">
      <c r="A31" s="299">
        <v>1</v>
      </c>
      <c r="C31" s="308" t="str">
        <f>"    Low"</f>
        <v xml:space="preserve">    Low</v>
      </c>
      <c r="D31" s="309">
        <v>-6400</v>
      </c>
      <c r="E31" s="309">
        <v>7300</v>
      </c>
      <c r="F31" s="309">
        <v>48600</v>
      </c>
      <c r="G31" s="309">
        <v>77000</v>
      </c>
      <c r="H31" s="309" t="s">
        <v>704</v>
      </c>
      <c r="I31" s="300" t="s">
        <v>704</v>
      </c>
      <c r="J31" s="296" t="s">
        <v>704</v>
      </c>
      <c r="K31" s="296" t="s">
        <v>704</v>
      </c>
      <c r="L31" s="296" t="s">
        <v>704</v>
      </c>
      <c r="M31" s="296" t="s">
        <v>704</v>
      </c>
      <c r="N31" s="296" t="s">
        <v>704</v>
      </c>
      <c r="O31" s="296" t="s">
        <v>704</v>
      </c>
      <c r="P31" s="296" t="s">
        <v>704</v>
      </c>
      <c r="Q31" s="296" t="s">
        <v>704</v>
      </c>
      <c r="R31" s="296" t="s">
        <v>704</v>
      </c>
      <c r="S31" s="296" t="s">
        <v>704</v>
      </c>
      <c r="T31" s="296" t="s">
        <v>704</v>
      </c>
      <c r="U31" s="296" t="s">
        <v>704</v>
      </c>
      <c r="V31" s="296" t="s">
        <v>704</v>
      </c>
      <c r="W31" s="296" t="s">
        <v>704</v>
      </c>
      <c r="X31" s="296" t="s">
        <v>704</v>
      </c>
      <c r="Y31" s="296" t="s">
        <v>704</v>
      </c>
      <c r="Z31" s="296" t="s">
        <v>704</v>
      </c>
      <c r="AA31" s="296" t="s">
        <v>704</v>
      </c>
      <c r="AB31" s="296" t="s">
        <v>704</v>
      </c>
      <c r="AC31" s="296" t="s">
        <v>704</v>
      </c>
      <c r="AD31" s="296" t="s">
        <v>704</v>
      </c>
      <c r="AE31" s="296" t="s">
        <v>704</v>
      </c>
      <c r="AF31" s="296" t="s">
        <v>704</v>
      </c>
      <c r="AG31" s="296" t="s">
        <v>704</v>
      </c>
      <c r="AH31" s="296" t="s">
        <v>704</v>
      </c>
      <c r="AI31" s="296" t="s">
        <v>704</v>
      </c>
      <c r="AJ31" s="296" t="s">
        <v>704</v>
      </c>
      <c r="AK31" s="296" t="s">
        <v>704</v>
      </c>
      <c r="AL31" s="296" t="s">
        <v>704</v>
      </c>
      <c r="AM31" s="296"/>
      <c r="AN31" s="296"/>
    </row>
    <row r="32" spans="1:40" x14ac:dyDescent="0.25">
      <c r="A32" s="299">
        <v>1</v>
      </c>
      <c r="C32" s="308" t="str">
        <f>"    Mean"</f>
        <v xml:space="preserve">    Mean</v>
      </c>
      <c r="D32" s="309">
        <v>-5760</v>
      </c>
      <c r="E32" s="309">
        <v>8996.6669999999995</v>
      </c>
      <c r="F32" s="309">
        <v>53029.857000000004</v>
      </c>
      <c r="G32" s="309">
        <v>88151.285999999993</v>
      </c>
      <c r="H32" s="309" t="s">
        <v>704</v>
      </c>
      <c r="I32" s="300" t="s">
        <v>704</v>
      </c>
      <c r="J32" s="296" t="s">
        <v>704</v>
      </c>
      <c r="K32" s="296" t="s">
        <v>704</v>
      </c>
      <c r="L32" s="296" t="s">
        <v>704</v>
      </c>
      <c r="M32" s="296" t="s">
        <v>704</v>
      </c>
      <c r="N32" s="296" t="s">
        <v>704</v>
      </c>
      <c r="O32" s="296" t="s">
        <v>704</v>
      </c>
      <c r="P32" s="296" t="s">
        <v>704</v>
      </c>
      <c r="Q32" s="296" t="s">
        <v>704</v>
      </c>
      <c r="R32" s="296" t="s">
        <v>704</v>
      </c>
      <c r="S32" s="296" t="s">
        <v>704</v>
      </c>
      <c r="T32" s="296" t="s">
        <v>704</v>
      </c>
      <c r="U32" s="296" t="s">
        <v>704</v>
      </c>
      <c r="V32" s="296" t="s">
        <v>704</v>
      </c>
      <c r="W32" s="296" t="s">
        <v>704</v>
      </c>
      <c r="X32" s="296" t="s">
        <v>704</v>
      </c>
      <c r="Y32" s="296" t="s">
        <v>704</v>
      </c>
      <c r="Z32" s="296" t="s">
        <v>704</v>
      </c>
      <c r="AA32" s="296" t="s">
        <v>704</v>
      </c>
      <c r="AB32" s="296" t="s">
        <v>704</v>
      </c>
      <c r="AC32" s="296" t="s">
        <v>704</v>
      </c>
      <c r="AD32" s="296" t="s">
        <v>704</v>
      </c>
      <c r="AE32" s="296" t="s">
        <v>704</v>
      </c>
      <c r="AF32" s="296" t="s">
        <v>704</v>
      </c>
      <c r="AG32" s="296" t="s">
        <v>704</v>
      </c>
      <c r="AH32" s="296" t="s">
        <v>704</v>
      </c>
      <c r="AI32" s="296" t="s">
        <v>704</v>
      </c>
      <c r="AJ32" s="296" t="s">
        <v>704</v>
      </c>
      <c r="AK32" s="296" t="s">
        <v>704</v>
      </c>
      <c r="AL32" s="296" t="s">
        <v>704</v>
      </c>
      <c r="AM32" s="296"/>
      <c r="AN32" s="296"/>
    </row>
    <row r="33" spans="1:40" x14ac:dyDescent="0.25">
      <c r="A33" s="299">
        <v>1</v>
      </c>
      <c r="C33" s="308" t="str">
        <f>"    Standard Deviation"</f>
        <v xml:space="preserve">    Standard Deviation</v>
      </c>
      <c r="D33" s="309">
        <v>665.58199999999999</v>
      </c>
      <c r="E33" s="309">
        <v>1455.22</v>
      </c>
      <c r="F33" s="309">
        <v>2161.752</v>
      </c>
      <c r="G33" s="309">
        <v>7864.1130000000003</v>
      </c>
      <c r="H33" s="309" t="s">
        <v>704</v>
      </c>
      <c r="I33" s="300" t="s">
        <v>704</v>
      </c>
      <c r="J33" s="296" t="s">
        <v>704</v>
      </c>
      <c r="K33" s="296" t="s">
        <v>704</v>
      </c>
      <c r="L33" s="296" t="s">
        <v>704</v>
      </c>
      <c r="M33" s="296" t="s">
        <v>704</v>
      </c>
      <c r="N33" s="296" t="s">
        <v>704</v>
      </c>
      <c r="O33" s="296" t="s">
        <v>704</v>
      </c>
      <c r="P33" s="296" t="s">
        <v>704</v>
      </c>
      <c r="Q33" s="296" t="s">
        <v>704</v>
      </c>
      <c r="R33" s="296" t="s">
        <v>704</v>
      </c>
      <c r="S33" s="296" t="s">
        <v>704</v>
      </c>
      <c r="T33" s="296" t="s">
        <v>704</v>
      </c>
      <c r="U33" s="296" t="s">
        <v>704</v>
      </c>
      <c r="V33" s="296" t="s">
        <v>704</v>
      </c>
      <c r="W33" s="296" t="s">
        <v>704</v>
      </c>
      <c r="X33" s="296" t="s">
        <v>704</v>
      </c>
      <c r="Y33" s="296" t="s">
        <v>704</v>
      </c>
      <c r="Z33" s="296" t="s">
        <v>704</v>
      </c>
      <c r="AA33" s="296" t="s">
        <v>704</v>
      </c>
      <c r="AB33" s="296" t="s">
        <v>704</v>
      </c>
      <c r="AC33" s="296" t="s">
        <v>704</v>
      </c>
      <c r="AD33" s="296" t="s">
        <v>704</v>
      </c>
      <c r="AE33" s="296" t="s">
        <v>704</v>
      </c>
      <c r="AF33" s="296" t="s">
        <v>704</v>
      </c>
      <c r="AG33" s="296" t="s">
        <v>704</v>
      </c>
      <c r="AH33" s="296" t="s">
        <v>704</v>
      </c>
      <c r="AI33" s="296" t="s">
        <v>704</v>
      </c>
      <c r="AJ33" s="296" t="s">
        <v>704</v>
      </c>
      <c r="AK33" s="296" t="s">
        <v>704</v>
      </c>
      <c r="AL33" s="296" t="s">
        <v>704</v>
      </c>
      <c r="AM33" s="296"/>
      <c r="AN33" s="296"/>
    </row>
    <row r="34" spans="1:40" x14ac:dyDescent="0.25">
      <c r="A34" s="299">
        <v>1</v>
      </c>
      <c r="C34" s="308" t="str">
        <f>"    Number of Estimates"</f>
        <v xml:space="preserve">    Number of Estimates</v>
      </c>
      <c r="D34" s="309">
        <v>5</v>
      </c>
      <c r="E34" s="309">
        <v>6</v>
      </c>
      <c r="F34" s="309">
        <v>7</v>
      </c>
      <c r="G34" s="309">
        <v>7</v>
      </c>
      <c r="H34" s="309" t="s">
        <v>704</v>
      </c>
      <c r="I34" s="300" t="s">
        <v>704</v>
      </c>
      <c r="J34" s="296" t="s">
        <v>704</v>
      </c>
      <c r="K34" s="296" t="s">
        <v>704</v>
      </c>
      <c r="L34" s="296" t="s">
        <v>704</v>
      </c>
      <c r="M34" s="296" t="s">
        <v>704</v>
      </c>
      <c r="N34" s="296" t="s">
        <v>704</v>
      </c>
      <c r="O34" s="296" t="s">
        <v>704</v>
      </c>
      <c r="P34" s="296" t="s">
        <v>704</v>
      </c>
      <c r="Q34" s="296" t="s">
        <v>704</v>
      </c>
      <c r="R34" s="296" t="s">
        <v>704</v>
      </c>
      <c r="S34" s="296" t="s">
        <v>704</v>
      </c>
      <c r="T34" s="296" t="s">
        <v>704</v>
      </c>
      <c r="U34" s="296" t="s">
        <v>704</v>
      </c>
      <c r="V34" s="296" t="s">
        <v>704</v>
      </c>
      <c r="W34" s="296" t="s">
        <v>704</v>
      </c>
      <c r="X34" s="296" t="s">
        <v>704</v>
      </c>
      <c r="Y34" s="296" t="s">
        <v>704</v>
      </c>
      <c r="Z34" s="296" t="s">
        <v>704</v>
      </c>
      <c r="AA34" s="296" t="s">
        <v>704</v>
      </c>
      <c r="AB34" s="296" t="s">
        <v>704</v>
      </c>
      <c r="AC34" s="296" t="s">
        <v>704</v>
      </c>
      <c r="AD34" s="296" t="s">
        <v>704</v>
      </c>
      <c r="AE34" s="296" t="s">
        <v>704</v>
      </c>
      <c r="AF34" s="296" t="s">
        <v>704</v>
      </c>
      <c r="AG34" s="296" t="s">
        <v>704</v>
      </c>
      <c r="AH34" s="296" t="s">
        <v>704</v>
      </c>
      <c r="AI34" s="296" t="s">
        <v>704</v>
      </c>
      <c r="AJ34" s="296" t="s">
        <v>704</v>
      </c>
      <c r="AK34" s="296" t="s">
        <v>704</v>
      </c>
      <c r="AL34" s="296" t="s">
        <v>704</v>
      </c>
      <c r="AM34" s="296"/>
      <c r="AN34" s="296"/>
    </row>
    <row r="35" spans="1:40" x14ac:dyDescent="0.25">
      <c r="A35" s="299">
        <v>1</v>
      </c>
      <c r="C35" s="306" t="str">
        <f>"EBITDA"</f>
        <v>EBITDA</v>
      </c>
      <c r="D35" s="307" t="s">
        <v>704</v>
      </c>
      <c r="E35" s="307" t="s">
        <v>704</v>
      </c>
      <c r="F35" s="307" t="s">
        <v>704</v>
      </c>
      <c r="G35" s="307" t="s">
        <v>704</v>
      </c>
      <c r="H35" s="307" t="s">
        <v>704</v>
      </c>
      <c r="I35" s="300" t="s">
        <v>704</v>
      </c>
      <c r="J35" s="296" t="s">
        <v>704</v>
      </c>
      <c r="K35" s="296" t="s">
        <v>704</v>
      </c>
      <c r="L35" s="296" t="s">
        <v>704</v>
      </c>
      <c r="M35" s="296" t="s">
        <v>704</v>
      </c>
      <c r="N35" s="296" t="s">
        <v>704</v>
      </c>
      <c r="O35" s="296" t="s">
        <v>704</v>
      </c>
      <c r="P35" s="296" t="s">
        <v>704</v>
      </c>
      <c r="Q35" s="296" t="s">
        <v>704</v>
      </c>
      <c r="R35" s="296" t="s">
        <v>704</v>
      </c>
      <c r="S35" s="296" t="s">
        <v>704</v>
      </c>
      <c r="T35" s="296" t="s">
        <v>704</v>
      </c>
      <c r="U35" s="296" t="s">
        <v>704</v>
      </c>
      <c r="V35" s="296" t="s">
        <v>704</v>
      </c>
      <c r="W35" s="296" t="s">
        <v>704</v>
      </c>
      <c r="X35" s="296" t="s">
        <v>704</v>
      </c>
      <c r="Y35" s="296" t="s">
        <v>704</v>
      </c>
      <c r="Z35" s="296" t="s">
        <v>704</v>
      </c>
      <c r="AA35" s="296" t="s">
        <v>704</v>
      </c>
      <c r="AB35" s="296" t="s">
        <v>704</v>
      </c>
      <c r="AC35" s="296" t="s">
        <v>704</v>
      </c>
      <c r="AD35" s="296" t="s">
        <v>704</v>
      </c>
      <c r="AE35" s="296" t="s">
        <v>704</v>
      </c>
      <c r="AF35" s="296" t="s">
        <v>704</v>
      </c>
      <c r="AG35" s="296" t="s">
        <v>704</v>
      </c>
      <c r="AH35" s="296" t="s">
        <v>704</v>
      </c>
      <c r="AI35" s="296" t="s">
        <v>704</v>
      </c>
      <c r="AJ35" s="296" t="s">
        <v>704</v>
      </c>
      <c r="AK35" s="296" t="s">
        <v>704</v>
      </c>
      <c r="AL35" s="296" t="s">
        <v>704</v>
      </c>
      <c r="AM35" s="296"/>
      <c r="AN35" s="296"/>
    </row>
    <row r="36" spans="1:40" x14ac:dyDescent="0.25">
      <c r="A36" s="299">
        <v>1</v>
      </c>
      <c r="C36" s="308" t="str">
        <f>"    Actual"</f>
        <v xml:space="preserve">    Actual</v>
      </c>
      <c r="D36" s="309">
        <v>-57251</v>
      </c>
      <c r="E36" s="309">
        <v>-61001</v>
      </c>
      <c r="F36" s="309" t="s">
        <v>704</v>
      </c>
      <c r="G36" s="309" t="s">
        <v>704</v>
      </c>
      <c r="H36" s="309" t="s">
        <v>704</v>
      </c>
      <c r="I36" s="300" t="s">
        <v>704</v>
      </c>
      <c r="J36" s="296" t="s">
        <v>704</v>
      </c>
      <c r="K36" s="296" t="s">
        <v>704</v>
      </c>
      <c r="L36" s="296" t="s">
        <v>704</v>
      </c>
      <c r="M36" s="296" t="s">
        <v>704</v>
      </c>
      <c r="N36" s="296" t="s">
        <v>704</v>
      </c>
      <c r="O36" s="296" t="s">
        <v>704</v>
      </c>
      <c r="P36" s="296" t="s">
        <v>704</v>
      </c>
      <c r="Q36" s="296" t="s">
        <v>704</v>
      </c>
      <c r="R36" s="296" t="s">
        <v>704</v>
      </c>
      <c r="S36" s="296" t="s">
        <v>704</v>
      </c>
      <c r="T36" s="296" t="s">
        <v>704</v>
      </c>
      <c r="U36" s="296" t="s">
        <v>704</v>
      </c>
      <c r="V36" s="296" t="s">
        <v>704</v>
      </c>
      <c r="W36" s="296" t="s">
        <v>704</v>
      </c>
      <c r="X36" s="296" t="s">
        <v>704</v>
      </c>
      <c r="Y36" s="296" t="s">
        <v>704</v>
      </c>
      <c r="Z36" s="296" t="s">
        <v>704</v>
      </c>
      <c r="AA36" s="296" t="s">
        <v>704</v>
      </c>
      <c r="AB36" s="296" t="s">
        <v>704</v>
      </c>
      <c r="AC36" s="296" t="s">
        <v>704</v>
      </c>
      <c r="AD36" s="296" t="s">
        <v>704</v>
      </c>
      <c r="AE36" s="296" t="s">
        <v>704</v>
      </c>
      <c r="AF36" s="296" t="s">
        <v>704</v>
      </c>
      <c r="AG36" s="296" t="s">
        <v>704</v>
      </c>
      <c r="AH36" s="296" t="s">
        <v>704</v>
      </c>
      <c r="AI36" s="296" t="s">
        <v>704</v>
      </c>
      <c r="AJ36" s="296" t="s">
        <v>704</v>
      </c>
      <c r="AK36" s="296" t="s">
        <v>704</v>
      </c>
      <c r="AL36" s="296" t="s">
        <v>704</v>
      </c>
      <c r="AM36" s="296"/>
      <c r="AN36" s="296"/>
    </row>
    <row r="37" spans="1:40" x14ac:dyDescent="0.25">
      <c r="A37" s="299">
        <v>1</v>
      </c>
      <c r="C37" s="308" t="str">
        <f>"    Median"</f>
        <v xml:space="preserve">    Median</v>
      </c>
      <c r="D37" s="309">
        <v>-5550</v>
      </c>
      <c r="E37" s="309">
        <v>8780</v>
      </c>
      <c r="F37" s="309">
        <v>54000</v>
      </c>
      <c r="G37" s="309">
        <v>90741.017000000007</v>
      </c>
      <c r="H37" s="309">
        <v>143487</v>
      </c>
      <c r="I37" s="300" t="s">
        <v>704</v>
      </c>
      <c r="J37" s="296" t="s">
        <v>704</v>
      </c>
      <c r="K37" s="296" t="s">
        <v>704</v>
      </c>
      <c r="L37" s="296" t="s">
        <v>704</v>
      </c>
      <c r="M37" s="296" t="s">
        <v>704</v>
      </c>
      <c r="N37" s="296" t="s">
        <v>704</v>
      </c>
      <c r="O37" s="296" t="s">
        <v>704</v>
      </c>
      <c r="P37" s="296" t="s">
        <v>704</v>
      </c>
      <c r="Q37" s="296" t="s">
        <v>704</v>
      </c>
      <c r="R37" s="296" t="s">
        <v>704</v>
      </c>
      <c r="S37" s="296" t="s">
        <v>704</v>
      </c>
      <c r="T37" s="296" t="s">
        <v>704</v>
      </c>
      <c r="U37" s="296" t="s">
        <v>704</v>
      </c>
      <c r="V37" s="296" t="s">
        <v>704</v>
      </c>
      <c r="W37" s="296" t="s">
        <v>704</v>
      </c>
      <c r="X37" s="296" t="s">
        <v>704</v>
      </c>
      <c r="Y37" s="296" t="s">
        <v>704</v>
      </c>
      <c r="Z37" s="296" t="s">
        <v>704</v>
      </c>
      <c r="AA37" s="296" t="s">
        <v>704</v>
      </c>
      <c r="AB37" s="296" t="s">
        <v>704</v>
      </c>
      <c r="AC37" s="296" t="s">
        <v>704</v>
      </c>
      <c r="AD37" s="296" t="s">
        <v>704</v>
      </c>
      <c r="AE37" s="296" t="s">
        <v>704</v>
      </c>
      <c r="AF37" s="296" t="s">
        <v>704</v>
      </c>
      <c r="AG37" s="296" t="s">
        <v>704</v>
      </c>
      <c r="AH37" s="296" t="s">
        <v>704</v>
      </c>
      <c r="AI37" s="296" t="s">
        <v>704</v>
      </c>
      <c r="AJ37" s="296" t="s">
        <v>704</v>
      </c>
      <c r="AK37" s="296" t="s">
        <v>704</v>
      </c>
      <c r="AL37" s="296" t="s">
        <v>704</v>
      </c>
      <c r="AM37" s="296"/>
      <c r="AN37" s="296"/>
    </row>
    <row r="38" spans="1:40" x14ac:dyDescent="0.25">
      <c r="A38" s="299">
        <v>1</v>
      </c>
      <c r="C38" s="308" t="str">
        <f>"    High"</f>
        <v xml:space="preserve">    High</v>
      </c>
      <c r="D38" s="309">
        <v>-4900</v>
      </c>
      <c r="E38" s="309">
        <v>11200</v>
      </c>
      <c r="F38" s="309">
        <v>56707</v>
      </c>
      <c r="G38" s="309">
        <v>96600</v>
      </c>
      <c r="H38" s="309">
        <v>143487</v>
      </c>
      <c r="I38" s="300" t="s">
        <v>704</v>
      </c>
      <c r="J38" s="296" t="s">
        <v>704</v>
      </c>
      <c r="K38" s="296" t="s">
        <v>704</v>
      </c>
      <c r="L38" s="296" t="s">
        <v>704</v>
      </c>
      <c r="M38" s="296" t="s">
        <v>704</v>
      </c>
      <c r="N38" s="296" t="s">
        <v>704</v>
      </c>
      <c r="O38" s="296" t="s">
        <v>704</v>
      </c>
      <c r="P38" s="296" t="s">
        <v>704</v>
      </c>
      <c r="Q38" s="296" t="s">
        <v>704</v>
      </c>
      <c r="R38" s="296" t="s">
        <v>704</v>
      </c>
      <c r="S38" s="296" t="s">
        <v>704</v>
      </c>
      <c r="T38" s="296" t="s">
        <v>704</v>
      </c>
      <c r="U38" s="296" t="s">
        <v>704</v>
      </c>
      <c r="V38" s="296" t="s">
        <v>704</v>
      </c>
      <c r="W38" s="296" t="s">
        <v>704</v>
      </c>
      <c r="X38" s="296" t="s">
        <v>704</v>
      </c>
      <c r="Y38" s="296" t="s">
        <v>704</v>
      </c>
      <c r="Z38" s="296" t="s">
        <v>704</v>
      </c>
      <c r="AA38" s="296" t="s">
        <v>704</v>
      </c>
      <c r="AB38" s="296" t="s">
        <v>704</v>
      </c>
      <c r="AC38" s="296" t="s">
        <v>704</v>
      </c>
      <c r="AD38" s="296" t="s">
        <v>704</v>
      </c>
      <c r="AE38" s="296" t="s">
        <v>704</v>
      </c>
      <c r="AF38" s="296" t="s">
        <v>704</v>
      </c>
      <c r="AG38" s="296" t="s">
        <v>704</v>
      </c>
      <c r="AH38" s="296" t="s">
        <v>704</v>
      </c>
      <c r="AI38" s="296" t="s">
        <v>704</v>
      </c>
      <c r="AJ38" s="296" t="s">
        <v>704</v>
      </c>
      <c r="AK38" s="296" t="s">
        <v>704</v>
      </c>
      <c r="AL38" s="296" t="s">
        <v>704</v>
      </c>
      <c r="AM38" s="296"/>
      <c r="AN38" s="296"/>
    </row>
    <row r="39" spans="1:40" x14ac:dyDescent="0.25">
      <c r="A39" s="299">
        <v>1</v>
      </c>
      <c r="C39" s="308" t="str">
        <f>"    Low"</f>
        <v xml:space="preserve">    Low</v>
      </c>
      <c r="D39" s="309">
        <v>-7397</v>
      </c>
      <c r="E39" s="309">
        <v>7307</v>
      </c>
      <c r="F39" s="309">
        <v>48642.400000000001</v>
      </c>
      <c r="G39" s="309">
        <v>77029.100000000006</v>
      </c>
      <c r="H39" s="309">
        <v>143487</v>
      </c>
      <c r="I39" s="300" t="s">
        <v>704</v>
      </c>
      <c r="J39" s="296" t="s">
        <v>704</v>
      </c>
      <c r="K39" s="296" t="s">
        <v>704</v>
      </c>
      <c r="L39" s="296" t="s">
        <v>704</v>
      </c>
      <c r="M39" s="296" t="s">
        <v>704</v>
      </c>
      <c r="N39" s="296" t="s">
        <v>704</v>
      </c>
      <c r="O39" s="296" t="s">
        <v>704</v>
      </c>
      <c r="P39" s="296" t="s">
        <v>704</v>
      </c>
      <c r="Q39" s="296" t="s">
        <v>704</v>
      </c>
      <c r="R39" s="296" t="s">
        <v>704</v>
      </c>
      <c r="S39" s="296" t="s">
        <v>704</v>
      </c>
      <c r="T39" s="296" t="s">
        <v>704</v>
      </c>
      <c r="U39" s="296" t="s">
        <v>704</v>
      </c>
      <c r="V39" s="296" t="s">
        <v>704</v>
      </c>
      <c r="W39" s="296" t="s">
        <v>704</v>
      </c>
      <c r="X39" s="296" t="s">
        <v>704</v>
      </c>
      <c r="Y39" s="296" t="s">
        <v>704</v>
      </c>
      <c r="Z39" s="296" t="s">
        <v>704</v>
      </c>
      <c r="AA39" s="296" t="s">
        <v>704</v>
      </c>
      <c r="AB39" s="296" t="s">
        <v>704</v>
      </c>
      <c r="AC39" s="296" t="s">
        <v>704</v>
      </c>
      <c r="AD39" s="296" t="s">
        <v>704</v>
      </c>
      <c r="AE39" s="296" t="s">
        <v>704</v>
      </c>
      <c r="AF39" s="296" t="s">
        <v>704</v>
      </c>
      <c r="AG39" s="296" t="s">
        <v>704</v>
      </c>
      <c r="AH39" s="296" t="s">
        <v>704</v>
      </c>
      <c r="AI39" s="296" t="s">
        <v>704</v>
      </c>
      <c r="AJ39" s="296" t="s">
        <v>704</v>
      </c>
      <c r="AK39" s="296" t="s">
        <v>704</v>
      </c>
      <c r="AL39" s="296" t="s">
        <v>704</v>
      </c>
      <c r="AM39" s="296"/>
      <c r="AN39" s="296"/>
    </row>
    <row r="40" spans="1:40" x14ac:dyDescent="0.25">
      <c r="A40" s="299">
        <v>1</v>
      </c>
      <c r="C40" s="308" t="str">
        <f>"    Mean"</f>
        <v xml:space="preserve">    Mean</v>
      </c>
      <c r="D40" s="309">
        <v>-5818.1880000000001</v>
      </c>
      <c r="E40" s="309">
        <v>8864.6710000000003</v>
      </c>
      <c r="F40" s="309">
        <v>53412.847999999998</v>
      </c>
      <c r="G40" s="309">
        <v>87426.277000000002</v>
      </c>
      <c r="H40" s="309">
        <v>143487</v>
      </c>
      <c r="I40" s="300" t="s">
        <v>704</v>
      </c>
      <c r="J40" s="296" t="s">
        <v>704</v>
      </c>
      <c r="K40" s="296" t="s">
        <v>704</v>
      </c>
      <c r="L40" s="296" t="s">
        <v>704</v>
      </c>
      <c r="M40" s="296" t="s">
        <v>704</v>
      </c>
      <c r="N40" s="296" t="s">
        <v>704</v>
      </c>
      <c r="O40" s="296" t="s">
        <v>704</v>
      </c>
      <c r="P40" s="296" t="s">
        <v>704</v>
      </c>
      <c r="Q40" s="296" t="s">
        <v>704</v>
      </c>
      <c r="R40" s="296" t="s">
        <v>704</v>
      </c>
      <c r="S40" s="296" t="s">
        <v>704</v>
      </c>
      <c r="T40" s="296" t="s">
        <v>704</v>
      </c>
      <c r="U40" s="296" t="s">
        <v>704</v>
      </c>
      <c r="V40" s="296" t="s">
        <v>704</v>
      </c>
      <c r="W40" s="296" t="s">
        <v>704</v>
      </c>
      <c r="X40" s="296" t="s">
        <v>704</v>
      </c>
      <c r="Y40" s="296" t="s">
        <v>704</v>
      </c>
      <c r="Z40" s="296" t="s">
        <v>704</v>
      </c>
      <c r="AA40" s="296" t="s">
        <v>704</v>
      </c>
      <c r="AB40" s="296" t="s">
        <v>704</v>
      </c>
      <c r="AC40" s="296" t="s">
        <v>704</v>
      </c>
      <c r="AD40" s="296" t="s">
        <v>704</v>
      </c>
      <c r="AE40" s="296" t="s">
        <v>704</v>
      </c>
      <c r="AF40" s="296" t="s">
        <v>704</v>
      </c>
      <c r="AG40" s="296" t="s">
        <v>704</v>
      </c>
      <c r="AH40" s="296" t="s">
        <v>704</v>
      </c>
      <c r="AI40" s="296" t="s">
        <v>704</v>
      </c>
      <c r="AJ40" s="296" t="s">
        <v>704</v>
      </c>
      <c r="AK40" s="296" t="s">
        <v>704</v>
      </c>
      <c r="AL40" s="296" t="s">
        <v>704</v>
      </c>
      <c r="AM40" s="296"/>
      <c r="AN40" s="296"/>
    </row>
    <row r="41" spans="1:40" x14ac:dyDescent="0.25">
      <c r="A41" s="299">
        <v>1</v>
      </c>
      <c r="C41" s="308" t="str">
        <f>"    Standard Deviation"</f>
        <v xml:space="preserve">    Standard Deviation</v>
      </c>
      <c r="D41" s="309">
        <v>855.18499999999995</v>
      </c>
      <c r="E41" s="309">
        <v>1243.9490000000001</v>
      </c>
      <c r="F41" s="309">
        <v>2258.4679999999998</v>
      </c>
      <c r="G41" s="309">
        <v>7798.7579999999998</v>
      </c>
      <c r="H41" s="309" t="s">
        <v>704</v>
      </c>
      <c r="I41" s="300" t="s">
        <v>704</v>
      </c>
      <c r="J41" s="296" t="s">
        <v>704</v>
      </c>
      <c r="K41" s="296" t="s">
        <v>704</v>
      </c>
      <c r="L41" s="296" t="s">
        <v>704</v>
      </c>
      <c r="M41" s="296" t="s">
        <v>704</v>
      </c>
      <c r="N41" s="296" t="s">
        <v>704</v>
      </c>
      <c r="O41" s="296" t="s">
        <v>704</v>
      </c>
      <c r="P41" s="296" t="s">
        <v>704</v>
      </c>
      <c r="Q41" s="296" t="s">
        <v>704</v>
      </c>
      <c r="R41" s="296" t="s">
        <v>704</v>
      </c>
      <c r="S41" s="296" t="s">
        <v>704</v>
      </c>
      <c r="T41" s="296" t="s">
        <v>704</v>
      </c>
      <c r="U41" s="296" t="s">
        <v>704</v>
      </c>
      <c r="V41" s="296" t="s">
        <v>704</v>
      </c>
      <c r="W41" s="296" t="s">
        <v>704</v>
      </c>
      <c r="X41" s="296" t="s">
        <v>704</v>
      </c>
      <c r="Y41" s="296" t="s">
        <v>704</v>
      </c>
      <c r="Z41" s="296" t="s">
        <v>704</v>
      </c>
      <c r="AA41" s="296" t="s">
        <v>704</v>
      </c>
      <c r="AB41" s="296" t="s">
        <v>704</v>
      </c>
      <c r="AC41" s="296" t="s">
        <v>704</v>
      </c>
      <c r="AD41" s="296" t="s">
        <v>704</v>
      </c>
      <c r="AE41" s="296" t="s">
        <v>704</v>
      </c>
      <c r="AF41" s="296" t="s">
        <v>704</v>
      </c>
      <c r="AG41" s="296" t="s">
        <v>704</v>
      </c>
      <c r="AH41" s="296" t="s">
        <v>704</v>
      </c>
      <c r="AI41" s="296" t="s">
        <v>704</v>
      </c>
      <c r="AJ41" s="296" t="s">
        <v>704</v>
      </c>
      <c r="AK41" s="296" t="s">
        <v>704</v>
      </c>
      <c r="AL41" s="296" t="s">
        <v>704</v>
      </c>
      <c r="AM41" s="296"/>
      <c r="AN41" s="296"/>
    </row>
    <row r="42" spans="1:40" x14ac:dyDescent="0.25">
      <c r="A42" s="299">
        <v>1</v>
      </c>
      <c r="C42" s="308" t="str">
        <f>"    Number of Estimates"</f>
        <v xml:space="preserve">    Number of Estimates</v>
      </c>
      <c r="D42" s="309">
        <v>8</v>
      </c>
      <c r="E42" s="309">
        <v>9</v>
      </c>
      <c r="F42" s="309">
        <v>9</v>
      </c>
      <c r="G42" s="309">
        <v>9</v>
      </c>
      <c r="H42" s="309">
        <v>1</v>
      </c>
      <c r="I42" s="300" t="s">
        <v>704</v>
      </c>
      <c r="J42" s="296" t="s">
        <v>704</v>
      </c>
      <c r="K42" s="296" t="s">
        <v>704</v>
      </c>
      <c r="L42" s="296" t="s">
        <v>704</v>
      </c>
      <c r="M42" s="296" t="s">
        <v>704</v>
      </c>
      <c r="N42" s="296" t="s">
        <v>704</v>
      </c>
      <c r="O42" s="296" t="s">
        <v>704</v>
      </c>
      <c r="P42" s="296" t="s">
        <v>704</v>
      </c>
      <c r="Q42" s="296" t="s">
        <v>704</v>
      </c>
      <c r="R42" s="296" t="s">
        <v>704</v>
      </c>
      <c r="S42" s="296" t="s">
        <v>704</v>
      </c>
      <c r="T42" s="296" t="s">
        <v>704</v>
      </c>
      <c r="U42" s="296" t="s">
        <v>704</v>
      </c>
      <c r="V42" s="296" t="s">
        <v>704</v>
      </c>
      <c r="W42" s="296" t="s">
        <v>704</v>
      </c>
      <c r="X42" s="296" t="s">
        <v>704</v>
      </c>
      <c r="Y42" s="296" t="s">
        <v>704</v>
      </c>
      <c r="Z42" s="296" t="s">
        <v>704</v>
      </c>
      <c r="AA42" s="296" t="s">
        <v>704</v>
      </c>
      <c r="AB42" s="296" t="s">
        <v>704</v>
      </c>
      <c r="AC42" s="296" t="s">
        <v>704</v>
      </c>
      <c r="AD42" s="296" t="s">
        <v>704</v>
      </c>
      <c r="AE42" s="296" t="s">
        <v>704</v>
      </c>
      <c r="AF42" s="296" t="s">
        <v>704</v>
      </c>
      <c r="AG42" s="296" t="s">
        <v>704</v>
      </c>
      <c r="AH42" s="296" t="s">
        <v>704</v>
      </c>
      <c r="AI42" s="296" t="s">
        <v>704</v>
      </c>
      <c r="AJ42" s="296" t="s">
        <v>704</v>
      </c>
      <c r="AK42" s="296" t="s">
        <v>704</v>
      </c>
      <c r="AL42" s="296" t="s">
        <v>704</v>
      </c>
      <c r="AM42" s="296"/>
      <c r="AN42" s="296"/>
    </row>
    <row r="43" spans="1:40" x14ac:dyDescent="0.25">
      <c r="A43" s="299">
        <v>1</v>
      </c>
      <c r="C43" s="306" t="str">
        <f>"EBIT"</f>
        <v>EBIT</v>
      </c>
      <c r="D43" s="307" t="s">
        <v>704</v>
      </c>
      <c r="E43" s="307" t="s">
        <v>704</v>
      </c>
      <c r="F43" s="307" t="s">
        <v>704</v>
      </c>
      <c r="G43" s="307" t="s">
        <v>704</v>
      </c>
      <c r="H43" s="307" t="s">
        <v>704</v>
      </c>
      <c r="I43" s="300" t="s">
        <v>704</v>
      </c>
      <c r="J43" s="296" t="s">
        <v>704</v>
      </c>
      <c r="K43" s="296" t="s">
        <v>704</v>
      </c>
      <c r="L43" s="296" t="s">
        <v>704</v>
      </c>
      <c r="M43" s="296" t="s">
        <v>704</v>
      </c>
      <c r="N43" s="296" t="s">
        <v>704</v>
      </c>
      <c r="O43" s="296" t="s">
        <v>704</v>
      </c>
      <c r="P43" s="296" t="s">
        <v>704</v>
      </c>
      <c r="Q43" s="296" t="s">
        <v>704</v>
      </c>
      <c r="R43" s="296" t="s">
        <v>704</v>
      </c>
      <c r="S43" s="296" t="s">
        <v>704</v>
      </c>
      <c r="T43" s="296" t="s">
        <v>704</v>
      </c>
      <c r="U43" s="296" t="s">
        <v>704</v>
      </c>
      <c r="V43" s="296" t="s">
        <v>704</v>
      </c>
      <c r="W43" s="296" t="s">
        <v>704</v>
      </c>
      <c r="X43" s="296" t="s">
        <v>704</v>
      </c>
      <c r="Y43" s="296" t="s">
        <v>704</v>
      </c>
      <c r="Z43" s="296" t="s">
        <v>704</v>
      </c>
      <c r="AA43" s="296" t="s">
        <v>704</v>
      </c>
      <c r="AB43" s="296" t="s">
        <v>704</v>
      </c>
      <c r="AC43" s="296" t="s">
        <v>704</v>
      </c>
      <c r="AD43" s="296" t="s">
        <v>704</v>
      </c>
      <c r="AE43" s="296" t="s">
        <v>704</v>
      </c>
      <c r="AF43" s="296" t="s">
        <v>704</v>
      </c>
      <c r="AG43" s="296" t="s">
        <v>704</v>
      </c>
      <c r="AH43" s="296" t="s">
        <v>704</v>
      </c>
      <c r="AI43" s="296" t="s">
        <v>704</v>
      </c>
      <c r="AJ43" s="296" t="s">
        <v>704</v>
      </c>
      <c r="AK43" s="296" t="s">
        <v>704</v>
      </c>
      <c r="AL43" s="296" t="s">
        <v>704</v>
      </c>
      <c r="AM43" s="296"/>
      <c r="AN43" s="296"/>
    </row>
    <row r="44" spans="1:40" x14ac:dyDescent="0.25">
      <c r="A44" s="299">
        <v>1</v>
      </c>
      <c r="C44" s="308" t="str">
        <f>"    Actual"</f>
        <v xml:space="preserve">    Actual</v>
      </c>
      <c r="D44" s="309">
        <v>-59977</v>
      </c>
      <c r="E44" s="309">
        <v>-65871</v>
      </c>
      <c r="F44" s="309" t="s">
        <v>704</v>
      </c>
      <c r="G44" s="309" t="s">
        <v>704</v>
      </c>
      <c r="H44" s="309" t="s">
        <v>704</v>
      </c>
      <c r="I44" s="300" t="s">
        <v>704</v>
      </c>
      <c r="J44" s="296" t="s">
        <v>704</v>
      </c>
      <c r="K44" s="296" t="s">
        <v>704</v>
      </c>
      <c r="L44" s="296" t="s">
        <v>704</v>
      </c>
      <c r="M44" s="296" t="s">
        <v>704</v>
      </c>
      <c r="N44" s="296" t="s">
        <v>704</v>
      </c>
      <c r="O44" s="296" t="s">
        <v>704</v>
      </c>
      <c r="P44" s="296" t="s">
        <v>704</v>
      </c>
      <c r="Q44" s="296" t="s">
        <v>704</v>
      </c>
      <c r="R44" s="296" t="s">
        <v>704</v>
      </c>
      <c r="S44" s="296" t="s">
        <v>704</v>
      </c>
      <c r="T44" s="296" t="s">
        <v>704</v>
      </c>
      <c r="U44" s="296" t="s">
        <v>704</v>
      </c>
      <c r="V44" s="296" t="s">
        <v>704</v>
      </c>
      <c r="W44" s="296" t="s">
        <v>704</v>
      </c>
      <c r="X44" s="296" t="s">
        <v>704</v>
      </c>
      <c r="Y44" s="296" t="s">
        <v>704</v>
      </c>
      <c r="Z44" s="296" t="s">
        <v>704</v>
      </c>
      <c r="AA44" s="296" t="s">
        <v>704</v>
      </c>
      <c r="AB44" s="296" t="s">
        <v>704</v>
      </c>
      <c r="AC44" s="296" t="s">
        <v>704</v>
      </c>
      <c r="AD44" s="296" t="s">
        <v>704</v>
      </c>
      <c r="AE44" s="296" t="s">
        <v>704</v>
      </c>
      <c r="AF44" s="296" t="s">
        <v>704</v>
      </c>
      <c r="AG44" s="296" t="s">
        <v>704</v>
      </c>
      <c r="AH44" s="296" t="s">
        <v>704</v>
      </c>
      <c r="AI44" s="296" t="s">
        <v>704</v>
      </c>
      <c r="AJ44" s="296" t="s">
        <v>704</v>
      </c>
      <c r="AK44" s="296" t="s">
        <v>704</v>
      </c>
      <c r="AL44" s="296" t="s">
        <v>704</v>
      </c>
      <c r="AM44" s="296"/>
      <c r="AN44" s="296"/>
    </row>
    <row r="45" spans="1:40" x14ac:dyDescent="0.25">
      <c r="A45" s="299">
        <v>1</v>
      </c>
      <c r="C45" s="308" t="str">
        <f>"    Median"</f>
        <v xml:space="preserve">    Median</v>
      </c>
      <c r="D45" s="309">
        <v>-60400</v>
      </c>
      <c r="E45" s="309">
        <v>-69807</v>
      </c>
      <c r="F45" s="309">
        <v>-35750</v>
      </c>
      <c r="G45" s="309">
        <v>-7100</v>
      </c>
      <c r="H45" s="309" t="s">
        <v>704</v>
      </c>
      <c r="I45" s="300" t="s">
        <v>704</v>
      </c>
      <c r="J45" s="296" t="s">
        <v>704</v>
      </c>
      <c r="K45" s="296" t="s">
        <v>704</v>
      </c>
      <c r="L45" s="296" t="s">
        <v>704</v>
      </c>
      <c r="M45" s="296" t="s">
        <v>704</v>
      </c>
      <c r="N45" s="296" t="s">
        <v>704</v>
      </c>
      <c r="O45" s="296" t="s">
        <v>704</v>
      </c>
      <c r="P45" s="296" t="s">
        <v>704</v>
      </c>
      <c r="Q45" s="296" t="s">
        <v>704</v>
      </c>
      <c r="R45" s="296" t="s">
        <v>704</v>
      </c>
      <c r="S45" s="296" t="s">
        <v>704</v>
      </c>
      <c r="T45" s="296" t="s">
        <v>704</v>
      </c>
      <c r="U45" s="296" t="s">
        <v>704</v>
      </c>
      <c r="V45" s="296" t="s">
        <v>704</v>
      </c>
      <c r="W45" s="296" t="s">
        <v>704</v>
      </c>
      <c r="X45" s="296" t="s">
        <v>704</v>
      </c>
      <c r="Y45" s="296" t="s">
        <v>704</v>
      </c>
      <c r="Z45" s="296" t="s">
        <v>704</v>
      </c>
      <c r="AA45" s="296" t="s">
        <v>704</v>
      </c>
      <c r="AB45" s="296" t="s">
        <v>704</v>
      </c>
      <c r="AC45" s="296" t="s">
        <v>704</v>
      </c>
      <c r="AD45" s="296" t="s">
        <v>704</v>
      </c>
      <c r="AE45" s="296" t="s">
        <v>704</v>
      </c>
      <c r="AF45" s="296" t="s">
        <v>704</v>
      </c>
      <c r="AG45" s="296" t="s">
        <v>704</v>
      </c>
      <c r="AH45" s="296" t="s">
        <v>704</v>
      </c>
      <c r="AI45" s="296" t="s">
        <v>704</v>
      </c>
      <c r="AJ45" s="296" t="s">
        <v>704</v>
      </c>
      <c r="AK45" s="296" t="s">
        <v>704</v>
      </c>
      <c r="AL45" s="296" t="s">
        <v>704</v>
      </c>
      <c r="AM45" s="296"/>
      <c r="AN45" s="296"/>
    </row>
    <row r="46" spans="1:40" x14ac:dyDescent="0.25">
      <c r="A46" s="299">
        <v>1</v>
      </c>
      <c r="C46" s="308" t="str">
        <f>"    High"</f>
        <v xml:space="preserve">    High</v>
      </c>
      <c r="D46" s="309">
        <v>-59900</v>
      </c>
      <c r="E46" s="309">
        <v>-66099.999999999985</v>
      </c>
      <c r="F46" s="309">
        <v>-12800</v>
      </c>
      <c r="G46" s="309">
        <v>14600</v>
      </c>
      <c r="H46" s="309" t="s">
        <v>704</v>
      </c>
      <c r="I46" s="300" t="s">
        <v>704</v>
      </c>
      <c r="J46" s="296" t="s">
        <v>704</v>
      </c>
      <c r="K46" s="296" t="s">
        <v>704</v>
      </c>
      <c r="L46" s="296" t="s">
        <v>704</v>
      </c>
      <c r="M46" s="296" t="s">
        <v>704</v>
      </c>
      <c r="N46" s="296" t="s">
        <v>704</v>
      </c>
      <c r="O46" s="296" t="s">
        <v>704</v>
      </c>
      <c r="P46" s="296" t="s">
        <v>704</v>
      </c>
      <c r="Q46" s="296" t="s">
        <v>704</v>
      </c>
      <c r="R46" s="296" t="s">
        <v>704</v>
      </c>
      <c r="S46" s="296" t="s">
        <v>704</v>
      </c>
      <c r="T46" s="296" t="s">
        <v>704</v>
      </c>
      <c r="U46" s="296" t="s">
        <v>704</v>
      </c>
      <c r="V46" s="296" t="s">
        <v>704</v>
      </c>
      <c r="W46" s="296" t="s">
        <v>704</v>
      </c>
      <c r="X46" s="296" t="s">
        <v>704</v>
      </c>
      <c r="Y46" s="296" t="s">
        <v>704</v>
      </c>
      <c r="Z46" s="296" t="s">
        <v>704</v>
      </c>
      <c r="AA46" s="296" t="s">
        <v>704</v>
      </c>
      <c r="AB46" s="296" t="s">
        <v>704</v>
      </c>
      <c r="AC46" s="296" t="s">
        <v>704</v>
      </c>
      <c r="AD46" s="296" t="s">
        <v>704</v>
      </c>
      <c r="AE46" s="296" t="s">
        <v>704</v>
      </c>
      <c r="AF46" s="296" t="s">
        <v>704</v>
      </c>
      <c r="AG46" s="296" t="s">
        <v>704</v>
      </c>
      <c r="AH46" s="296" t="s">
        <v>704</v>
      </c>
      <c r="AI46" s="296" t="s">
        <v>704</v>
      </c>
      <c r="AJ46" s="296" t="s">
        <v>704</v>
      </c>
      <c r="AK46" s="296" t="s">
        <v>704</v>
      </c>
      <c r="AL46" s="296" t="s">
        <v>704</v>
      </c>
      <c r="AM46" s="296"/>
      <c r="AN46" s="296"/>
    </row>
    <row r="47" spans="1:40" x14ac:dyDescent="0.25">
      <c r="A47" s="299">
        <v>1</v>
      </c>
      <c r="C47" s="308" t="str">
        <f>"    Low"</f>
        <v xml:space="preserve">    Low</v>
      </c>
      <c r="D47" s="309">
        <v>-70200</v>
      </c>
      <c r="E47" s="309">
        <v>-72100</v>
      </c>
      <c r="F47" s="309">
        <v>-60400</v>
      </c>
      <c r="G47" s="309">
        <v>-43000</v>
      </c>
      <c r="H47" s="309" t="s">
        <v>704</v>
      </c>
      <c r="I47" s="300" t="s">
        <v>704</v>
      </c>
      <c r="J47" s="296" t="s">
        <v>704</v>
      </c>
      <c r="K47" s="296" t="s">
        <v>704</v>
      </c>
      <c r="L47" s="296" t="s">
        <v>704</v>
      </c>
      <c r="M47" s="296" t="s">
        <v>704</v>
      </c>
      <c r="N47" s="296" t="s">
        <v>704</v>
      </c>
      <c r="O47" s="296" t="s">
        <v>704</v>
      </c>
      <c r="P47" s="296" t="s">
        <v>704</v>
      </c>
      <c r="Q47" s="296" t="s">
        <v>704</v>
      </c>
      <c r="R47" s="296" t="s">
        <v>704</v>
      </c>
      <c r="S47" s="296" t="s">
        <v>704</v>
      </c>
      <c r="T47" s="296" t="s">
        <v>704</v>
      </c>
      <c r="U47" s="296" t="s">
        <v>704</v>
      </c>
      <c r="V47" s="296" t="s">
        <v>704</v>
      </c>
      <c r="W47" s="296" t="s">
        <v>704</v>
      </c>
      <c r="X47" s="296" t="s">
        <v>704</v>
      </c>
      <c r="Y47" s="296" t="s">
        <v>704</v>
      </c>
      <c r="Z47" s="296" t="s">
        <v>704</v>
      </c>
      <c r="AA47" s="296" t="s">
        <v>704</v>
      </c>
      <c r="AB47" s="296" t="s">
        <v>704</v>
      </c>
      <c r="AC47" s="296" t="s">
        <v>704</v>
      </c>
      <c r="AD47" s="296" t="s">
        <v>704</v>
      </c>
      <c r="AE47" s="296" t="s">
        <v>704</v>
      </c>
      <c r="AF47" s="296" t="s">
        <v>704</v>
      </c>
      <c r="AG47" s="296" t="s">
        <v>704</v>
      </c>
      <c r="AH47" s="296" t="s">
        <v>704</v>
      </c>
      <c r="AI47" s="296" t="s">
        <v>704</v>
      </c>
      <c r="AJ47" s="296" t="s">
        <v>704</v>
      </c>
      <c r="AK47" s="296" t="s">
        <v>704</v>
      </c>
      <c r="AL47" s="296" t="s">
        <v>704</v>
      </c>
      <c r="AM47" s="296"/>
      <c r="AN47" s="296"/>
    </row>
    <row r="48" spans="1:40" x14ac:dyDescent="0.25">
      <c r="A48" s="299">
        <v>1</v>
      </c>
      <c r="C48" s="308" t="str">
        <f>"    Mean"</f>
        <v xml:space="preserve">    Mean</v>
      </c>
      <c r="D48" s="309">
        <v>-62980</v>
      </c>
      <c r="E48" s="309">
        <v>-69835.667000000001</v>
      </c>
      <c r="F48" s="309">
        <v>-36792.5</v>
      </c>
      <c r="G48" s="309">
        <v>-12224.666999999999</v>
      </c>
      <c r="H48" s="309" t="s">
        <v>704</v>
      </c>
      <c r="I48" s="300" t="s">
        <v>704</v>
      </c>
      <c r="J48" s="296" t="s">
        <v>704</v>
      </c>
      <c r="K48" s="296" t="s">
        <v>704</v>
      </c>
      <c r="L48" s="296" t="s">
        <v>704</v>
      </c>
      <c r="M48" s="296" t="s">
        <v>704</v>
      </c>
      <c r="N48" s="296" t="s">
        <v>704</v>
      </c>
      <c r="O48" s="296" t="s">
        <v>704</v>
      </c>
      <c r="P48" s="296" t="s">
        <v>704</v>
      </c>
      <c r="Q48" s="296" t="s">
        <v>704</v>
      </c>
      <c r="R48" s="296" t="s">
        <v>704</v>
      </c>
      <c r="S48" s="296" t="s">
        <v>704</v>
      </c>
      <c r="T48" s="296" t="s">
        <v>704</v>
      </c>
      <c r="U48" s="296" t="s">
        <v>704</v>
      </c>
      <c r="V48" s="296" t="s">
        <v>704</v>
      </c>
      <c r="W48" s="296" t="s">
        <v>704</v>
      </c>
      <c r="X48" s="296" t="s">
        <v>704</v>
      </c>
      <c r="Y48" s="296" t="s">
        <v>704</v>
      </c>
      <c r="Z48" s="296" t="s">
        <v>704</v>
      </c>
      <c r="AA48" s="296" t="s">
        <v>704</v>
      </c>
      <c r="AB48" s="296" t="s">
        <v>704</v>
      </c>
      <c r="AC48" s="296" t="s">
        <v>704</v>
      </c>
      <c r="AD48" s="296" t="s">
        <v>704</v>
      </c>
      <c r="AE48" s="296" t="s">
        <v>704</v>
      </c>
      <c r="AF48" s="296" t="s">
        <v>704</v>
      </c>
      <c r="AG48" s="296" t="s">
        <v>704</v>
      </c>
      <c r="AH48" s="296" t="s">
        <v>704</v>
      </c>
      <c r="AI48" s="296" t="s">
        <v>704</v>
      </c>
      <c r="AJ48" s="296" t="s">
        <v>704</v>
      </c>
      <c r="AK48" s="296" t="s">
        <v>704</v>
      </c>
      <c r="AL48" s="296" t="s">
        <v>704</v>
      </c>
      <c r="AM48" s="296"/>
      <c r="AN48" s="296"/>
    </row>
    <row r="49" spans="1:40" x14ac:dyDescent="0.25">
      <c r="A49" s="299">
        <v>1</v>
      </c>
      <c r="C49" s="308" t="str">
        <f>"    Standard Deviation"</f>
        <v xml:space="preserve">    Standard Deviation</v>
      </c>
      <c r="D49" s="309">
        <v>4401.3630000000003</v>
      </c>
      <c r="E49" s="309">
        <v>2075.2139999999999</v>
      </c>
      <c r="F49" s="309">
        <v>17054.962</v>
      </c>
      <c r="G49" s="309">
        <v>25363.137999999999</v>
      </c>
      <c r="H49" s="309" t="s">
        <v>704</v>
      </c>
      <c r="I49" s="300" t="s">
        <v>704</v>
      </c>
      <c r="J49" s="296" t="s">
        <v>704</v>
      </c>
      <c r="K49" s="296" t="s">
        <v>704</v>
      </c>
      <c r="L49" s="296" t="s">
        <v>704</v>
      </c>
      <c r="M49" s="296" t="s">
        <v>704</v>
      </c>
      <c r="N49" s="296" t="s">
        <v>704</v>
      </c>
      <c r="O49" s="296" t="s">
        <v>704</v>
      </c>
      <c r="P49" s="296" t="s">
        <v>704</v>
      </c>
      <c r="Q49" s="296" t="s">
        <v>704</v>
      </c>
      <c r="R49" s="296" t="s">
        <v>704</v>
      </c>
      <c r="S49" s="296" t="s">
        <v>704</v>
      </c>
      <c r="T49" s="296" t="s">
        <v>704</v>
      </c>
      <c r="U49" s="296" t="s">
        <v>704</v>
      </c>
      <c r="V49" s="296" t="s">
        <v>704</v>
      </c>
      <c r="W49" s="296" t="s">
        <v>704</v>
      </c>
      <c r="X49" s="296" t="s">
        <v>704</v>
      </c>
      <c r="Y49" s="296" t="s">
        <v>704</v>
      </c>
      <c r="Z49" s="296" t="s">
        <v>704</v>
      </c>
      <c r="AA49" s="296" t="s">
        <v>704</v>
      </c>
      <c r="AB49" s="296" t="s">
        <v>704</v>
      </c>
      <c r="AC49" s="296" t="s">
        <v>704</v>
      </c>
      <c r="AD49" s="296" t="s">
        <v>704</v>
      </c>
      <c r="AE49" s="296" t="s">
        <v>704</v>
      </c>
      <c r="AF49" s="296" t="s">
        <v>704</v>
      </c>
      <c r="AG49" s="296" t="s">
        <v>704</v>
      </c>
      <c r="AH49" s="296" t="s">
        <v>704</v>
      </c>
      <c r="AI49" s="296" t="s">
        <v>704</v>
      </c>
      <c r="AJ49" s="296" t="s">
        <v>704</v>
      </c>
      <c r="AK49" s="296" t="s">
        <v>704</v>
      </c>
      <c r="AL49" s="296" t="s">
        <v>704</v>
      </c>
      <c r="AM49" s="296"/>
      <c r="AN49" s="296"/>
    </row>
    <row r="50" spans="1:40" x14ac:dyDescent="0.25">
      <c r="A50" s="299">
        <v>1</v>
      </c>
      <c r="C50" s="308" t="str">
        <f>"    Number of Estimates"</f>
        <v xml:space="preserve">    Number of Estimates</v>
      </c>
      <c r="D50" s="309">
        <v>5</v>
      </c>
      <c r="E50" s="309">
        <v>6</v>
      </c>
      <c r="F50" s="309">
        <v>6</v>
      </c>
      <c r="G50" s="309">
        <v>6</v>
      </c>
      <c r="H50" s="309" t="s">
        <v>704</v>
      </c>
      <c r="I50" s="300" t="s">
        <v>704</v>
      </c>
      <c r="J50" s="296" t="s">
        <v>704</v>
      </c>
      <c r="K50" s="296" t="s">
        <v>704</v>
      </c>
      <c r="L50" s="296" t="s">
        <v>704</v>
      </c>
      <c r="M50" s="296" t="s">
        <v>704</v>
      </c>
      <c r="N50" s="296" t="s">
        <v>704</v>
      </c>
      <c r="O50" s="296" t="s">
        <v>704</v>
      </c>
      <c r="P50" s="296" t="s">
        <v>704</v>
      </c>
      <c r="Q50" s="296" t="s">
        <v>704</v>
      </c>
      <c r="R50" s="296" t="s">
        <v>704</v>
      </c>
      <c r="S50" s="296" t="s">
        <v>704</v>
      </c>
      <c r="T50" s="296" t="s">
        <v>704</v>
      </c>
      <c r="U50" s="296" t="s">
        <v>704</v>
      </c>
      <c r="V50" s="296" t="s">
        <v>704</v>
      </c>
      <c r="W50" s="296" t="s">
        <v>704</v>
      </c>
      <c r="X50" s="296" t="s">
        <v>704</v>
      </c>
      <c r="Y50" s="296" t="s">
        <v>704</v>
      </c>
      <c r="Z50" s="296" t="s">
        <v>704</v>
      </c>
      <c r="AA50" s="296" t="s">
        <v>704</v>
      </c>
      <c r="AB50" s="296" t="s">
        <v>704</v>
      </c>
      <c r="AC50" s="296" t="s">
        <v>704</v>
      </c>
      <c r="AD50" s="296" t="s">
        <v>704</v>
      </c>
      <c r="AE50" s="296" t="s">
        <v>704</v>
      </c>
      <c r="AF50" s="296" t="s">
        <v>704</v>
      </c>
      <c r="AG50" s="296" t="s">
        <v>704</v>
      </c>
      <c r="AH50" s="296" t="s">
        <v>704</v>
      </c>
      <c r="AI50" s="296" t="s">
        <v>704</v>
      </c>
      <c r="AJ50" s="296" t="s">
        <v>704</v>
      </c>
      <c r="AK50" s="296" t="s">
        <v>704</v>
      </c>
      <c r="AL50" s="296" t="s">
        <v>704</v>
      </c>
      <c r="AM50" s="296"/>
      <c r="AN50" s="296"/>
    </row>
    <row r="51" spans="1:40" x14ac:dyDescent="0.25">
      <c r="A51" s="299">
        <v>1</v>
      </c>
      <c r="C51" s="306" t="str">
        <f>"Free Cash Flow"</f>
        <v>Free Cash Flow</v>
      </c>
      <c r="D51" s="307" t="s">
        <v>704</v>
      </c>
      <c r="E51" s="307" t="s">
        <v>704</v>
      </c>
      <c r="F51" s="307" t="s">
        <v>704</v>
      </c>
      <c r="G51" s="307" t="s">
        <v>704</v>
      </c>
      <c r="H51" s="307" t="s">
        <v>704</v>
      </c>
      <c r="I51" s="300" t="s">
        <v>704</v>
      </c>
      <c r="J51" s="296" t="s">
        <v>704</v>
      </c>
      <c r="K51" s="296" t="s">
        <v>704</v>
      </c>
      <c r="L51" s="296" t="s">
        <v>704</v>
      </c>
      <c r="M51" s="296" t="s">
        <v>704</v>
      </c>
      <c r="N51" s="296" t="s">
        <v>704</v>
      </c>
      <c r="O51" s="296" t="s">
        <v>704</v>
      </c>
      <c r="P51" s="296" t="s">
        <v>704</v>
      </c>
      <c r="Q51" s="296" t="s">
        <v>704</v>
      </c>
      <c r="R51" s="296" t="s">
        <v>704</v>
      </c>
      <c r="S51" s="296" t="s">
        <v>704</v>
      </c>
      <c r="T51" s="296" t="s">
        <v>704</v>
      </c>
      <c r="U51" s="296" t="s">
        <v>704</v>
      </c>
      <c r="V51" s="296" t="s">
        <v>704</v>
      </c>
      <c r="W51" s="296" t="s">
        <v>704</v>
      </c>
      <c r="X51" s="296" t="s">
        <v>704</v>
      </c>
      <c r="Y51" s="296" t="s">
        <v>704</v>
      </c>
      <c r="Z51" s="296" t="s">
        <v>704</v>
      </c>
      <c r="AA51" s="296" t="s">
        <v>704</v>
      </c>
      <c r="AB51" s="296" t="s">
        <v>704</v>
      </c>
      <c r="AC51" s="296" t="s">
        <v>704</v>
      </c>
      <c r="AD51" s="296" t="s">
        <v>704</v>
      </c>
      <c r="AE51" s="296" t="s">
        <v>704</v>
      </c>
      <c r="AF51" s="296" t="s">
        <v>704</v>
      </c>
      <c r="AG51" s="296" t="s">
        <v>704</v>
      </c>
      <c r="AH51" s="296" t="s">
        <v>704</v>
      </c>
      <c r="AI51" s="296" t="s">
        <v>704</v>
      </c>
      <c r="AJ51" s="296" t="s">
        <v>704</v>
      </c>
      <c r="AK51" s="296" t="s">
        <v>704</v>
      </c>
      <c r="AL51" s="296" t="s">
        <v>704</v>
      </c>
      <c r="AM51" s="296"/>
      <c r="AN51" s="296"/>
    </row>
    <row r="52" spans="1:40" x14ac:dyDescent="0.25">
      <c r="A52" s="299">
        <v>1</v>
      </c>
      <c r="C52" s="308" t="str">
        <f>"    Actual"</f>
        <v xml:space="preserve">    Actual</v>
      </c>
      <c r="D52" s="309">
        <v>-22811</v>
      </c>
      <c r="E52" s="309">
        <v>8992</v>
      </c>
      <c r="F52" s="309" t="s">
        <v>704</v>
      </c>
      <c r="G52" s="309" t="s">
        <v>704</v>
      </c>
      <c r="H52" s="309" t="s">
        <v>704</v>
      </c>
      <c r="I52" s="300" t="s">
        <v>704</v>
      </c>
      <c r="J52" s="296" t="s">
        <v>704</v>
      </c>
      <c r="K52" s="296" t="s">
        <v>704</v>
      </c>
      <c r="L52" s="296" t="s">
        <v>704</v>
      </c>
      <c r="M52" s="296" t="s">
        <v>704</v>
      </c>
      <c r="N52" s="296" t="s">
        <v>704</v>
      </c>
      <c r="O52" s="296" t="s">
        <v>704</v>
      </c>
      <c r="P52" s="296" t="s">
        <v>704</v>
      </c>
      <c r="Q52" s="296" t="s">
        <v>704</v>
      </c>
      <c r="R52" s="296" t="s">
        <v>704</v>
      </c>
      <c r="S52" s="296" t="s">
        <v>704</v>
      </c>
      <c r="T52" s="296" t="s">
        <v>704</v>
      </c>
      <c r="U52" s="296" t="s">
        <v>704</v>
      </c>
      <c r="V52" s="296" t="s">
        <v>704</v>
      </c>
      <c r="W52" s="296" t="s">
        <v>704</v>
      </c>
      <c r="X52" s="296" t="s">
        <v>704</v>
      </c>
      <c r="Y52" s="296" t="s">
        <v>704</v>
      </c>
      <c r="Z52" s="296" t="s">
        <v>704</v>
      </c>
      <c r="AA52" s="296" t="s">
        <v>704</v>
      </c>
      <c r="AB52" s="296" t="s">
        <v>704</v>
      </c>
      <c r="AC52" s="296" t="s">
        <v>704</v>
      </c>
      <c r="AD52" s="296" t="s">
        <v>704</v>
      </c>
      <c r="AE52" s="296" t="s">
        <v>704</v>
      </c>
      <c r="AF52" s="296" t="s">
        <v>704</v>
      </c>
      <c r="AG52" s="296" t="s">
        <v>704</v>
      </c>
      <c r="AH52" s="296" t="s">
        <v>704</v>
      </c>
      <c r="AI52" s="296" t="s">
        <v>704</v>
      </c>
      <c r="AJ52" s="296" t="s">
        <v>704</v>
      </c>
      <c r="AK52" s="296" t="s">
        <v>704</v>
      </c>
      <c r="AL52" s="296" t="s">
        <v>704</v>
      </c>
      <c r="AM52" s="296"/>
      <c r="AN52" s="296"/>
    </row>
    <row r="53" spans="1:40" x14ac:dyDescent="0.25">
      <c r="A53" s="299">
        <v>1</v>
      </c>
      <c r="C53" s="308" t="str">
        <f>"    Median"</f>
        <v xml:space="preserve">    Median</v>
      </c>
      <c r="D53" s="309">
        <v>6500</v>
      </c>
      <c r="E53" s="309">
        <v>21300</v>
      </c>
      <c r="F53" s="309">
        <v>59700</v>
      </c>
      <c r="G53" s="309">
        <v>89300</v>
      </c>
      <c r="H53" s="309" t="s">
        <v>704</v>
      </c>
      <c r="I53" s="300" t="s">
        <v>704</v>
      </c>
      <c r="J53" s="296" t="s">
        <v>704</v>
      </c>
      <c r="K53" s="296" t="s">
        <v>704</v>
      </c>
      <c r="L53" s="296" t="s">
        <v>704</v>
      </c>
      <c r="M53" s="296" t="s">
        <v>704</v>
      </c>
      <c r="N53" s="296" t="s">
        <v>704</v>
      </c>
      <c r="O53" s="296" t="s">
        <v>704</v>
      </c>
      <c r="P53" s="296" t="s">
        <v>704</v>
      </c>
      <c r="Q53" s="296" t="s">
        <v>704</v>
      </c>
      <c r="R53" s="296" t="s">
        <v>704</v>
      </c>
      <c r="S53" s="296" t="s">
        <v>704</v>
      </c>
      <c r="T53" s="296" t="s">
        <v>704</v>
      </c>
      <c r="U53" s="296" t="s">
        <v>704</v>
      </c>
      <c r="V53" s="296" t="s">
        <v>704</v>
      </c>
      <c r="W53" s="296" t="s">
        <v>704</v>
      </c>
      <c r="X53" s="296" t="s">
        <v>704</v>
      </c>
      <c r="Y53" s="296" t="s">
        <v>704</v>
      </c>
      <c r="Z53" s="296" t="s">
        <v>704</v>
      </c>
      <c r="AA53" s="296" t="s">
        <v>704</v>
      </c>
      <c r="AB53" s="296" t="s">
        <v>704</v>
      </c>
      <c r="AC53" s="296" t="s">
        <v>704</v>
      </c>
      <c r="AD53" s="296" t="s">
        <v>704</v>
      </c>
      <c r="AE53" s="296" t="s">
        <v>704</v>
      </c>
      <c r="AF53" s="296" t="s">
        <v>704</v>
      </c>
      <c r="AG53" s="296" t="s">
        <v>704</v>
      </c>
      <c r="AH53" s="296" t="s">
        <v>704</v>
      </c>
      <c r="AI53" s="296" t="s">
        <v>704</v>
      </c>
      <c r="AJ53" s="296" t="s">
        <v>704</v>
      </c>
      <c r="AK53" s="296" t="s">
        <v>704</v>
      </c>
      <c r="AL53" s="296" t="s">
        <v>704</v>
      </c>
      <c r="AM53" s="296"/>
      <c r="AN53" s="296"/>
    </row>
    <row r="54" spans="1:40" x14ac:dyDescent="0.25">
      <c r="A54" s="299">
        <v>1</v>
      </c>
      <c r="C54" s="308" t="str">
        <f>"    High"</f>
        <v xml:space="preserve">    High</v>
      </c>
      <c r="D54" s="309">
        <v>11800</v>
      </c>
      <c r="E54" s="309">
        <v>21300</v>
      </c>
      <c r="F54" s="309">
        <v>59700</v>
      </c>
      <c r="G54" s="309">
        <v>89300</v>
      </c>
      <c r="H54" s="309" t="s">
        <v>704</v>
      </c>
      <c r="I54" s="300" t="s">
        <v>704</v>
      </c>
      <c r="J54" s="296" t="s">
        <v>704</v>
      </c>
      <c r="K54" s="296" t="s">
        <v>704</v>
      </c>
      <c r="L54" s="296" t="s">
        <v>704</v>
      </c>
      <c r="M54" s="296" t="s">
        <v>704</v>
      </c>
      <c r="N54" s="296" t="s">
        <v>704</v>
      </c>
      <c r="O54" s="296" t="s">
        <v>704</v>
      </c>
      <c r="P54" s="296" t="s">
        <v>704</v>
      </c>
      <c r="Q54" s="296" t="s">
        <v>704</v>
      </c>
      <c r="R54" s="296" t="s">
        <v>704</v>
      </c>
      <c r="S54" s="296" t="s">
        <v>704</v>
      </c>
      <c r="T54" s="296" t="s">
        <v>704</v>
      </c>
      <c r="U54" s="296" t="s">
        <v>704</v>
      </c>
      <c r="V54" s="296" t="s">
        <v>704</v>
      </c>
      <c r="W54" s="296" t="s">
        <v>704</v>
      </c>
      <c r="X54" s="296" t="s">
        <v>704</v>
      </c>
      <c r="Y54" s="296" t="s">
        <v>704</v>
      </c>
      <c r="Z54" s="296" t="s">
        <v>704</v>
      </c>
      <c r="AA54" s="296" t="s">
        <v>704</v>
      </c>
      <c r="AB54" s="296" t="s">
        <v>704</v>
      </c>
      <c r="AC54" s="296" t="s">
        <v>704</v>
      </c>
      <c r="AD54" s="296" t="s">
        <v>704</v>
      </c>
      <c r="AE54" s="296" t="s">
        <v>704</v>
      </c>
      <c r="AF54" s="296" t="s">
        <v>704</v>
      </c>
      <c r="AG54" s="296" t="s">
        <v>704</v>
      </c>
      <c r="AH54" s="296" t="s">
        <v>704</v>
      </c>
      <c r="AI54" s="296" t="s">
        <v>704</v>
      </c>
      <c r="AJ54" s="296" t="s">
        <v>704</v>
      </c>
      <c r="AK54" s="296" t="s">
        <v>704</v>
      </c>
      <c r="AL54" s="296" t="s">
        <v>704</v>
      </c>
      <c r="AM54" s="296"/>
      <c r="AN54" s="296"/>
    </row>
    <row r="55" spans="1:40" x14ac:dyDescent="0.25">
      <c r="A55" s="299">
        <v>1</v>
      </c>
      <c r="C55" s="308" t="str">
        <f>"    Low"</f>
        <v xml:space="preserve">    Low</v>
      </c>
      <c r="D55" s="309">
        <v>-15000</v>
      </c>
      <c r="E55" s="309">
        <v>21300</v>
      </c>
      <c r="F55" s="309">
        <v>59700</v>
      </c>
      <c r="G55" s="309">
        <v>89300</v>
      </c>
      <c r="H55" s="309" t="s">
        <v>704</v>
      </c>
      <c r="I55" s="300" t="s">
        <v>704</v>
      </c>
      <c r="J55" s="296" t="s">
        <v>704</v>
      </c>
      <c r="K55" s="296" t="s">
        <v>704</v>
      </c>
      <c r="L55" s="296" t="s">
        <v>704</v>
      </c>
      <c r="M55" s="296" t="s">
        <v>704</v>
      </c>
      <c r="N55" s="296" t="s">
        <v>704</v>
      </c>
      <c r="O55" s="296" t="s">
        <v>704</v>
      </c>
      <c r="P55" s="296" t="s">
        <v>704</v>
      </c>
      <c r="Q55" s="296" t="s">
        <v>704</v>
      </c>
      <c r="R55" s="296" t="s">
        <v>704</v>
      </c>
      <c r="S55" s="296" t="s">
        <v>704</v>
      </c>
      <c r="T55" s="296" t="s">
        <v>704</v>
      </c>
      <c r="U55" s="296" t="s">
        <v>704</v>
      </c>
      <c r="V55" s="296" t="s">
        <v>704</v>
      </c>
      <c r="W55" s="296" t="s">
        <v>704</v>
      </c>
      <c r="X55" s="296" t="s">
        <v>704</v>
      </c>
      <c r="Y55" s="296" t="s">
        <v>704</v>
      </c>
      <c r="Z55" s="296" t="s">
        <v>704</v>
      </c>
      <c r="AA55" s="296" t="s">
        <v>704</v>
      </c>
      <c r="AB55" s="296" t="s">
        <v>704</v>
      </c>
      <c r="AC55" s="296" t="s">
        <v>704</v>
      </c>
      <c r="AD55" s="296" t="s">
        <v>704</v>
      </c>
      <c r="AE55" s="296" t="s">
        <v>704</v>
      </c>
      <c r="AF55" s="296" t="s">
        <v>704</v>
      </c>
      <c r="AG55" s="296" t="s">
        <v>704</v>
      </c>
      <c r="AH55" s="296" t="s">
        <v>704</v>
      </c>
      <c r="AI55" s="296" t="s">
        <v>704</v>
      </c>
      <c r="AJ55" s="296" t="s">
        <v>704</v>
      </c>
      <c r="AK55" s="296" t="s">
        <v>704</v>
      </c>
      <c r="AL55" s="296" t="s">
        <v>704</v>
      </c>
      <c r="AM55" s="296"/>
      <c r="AN55" s="296"/>
    </row>
    <row r="56" spans="1:40" x14ac:dyDescent="0.25">
      <c r="A56" s="299">
        <v>1</v>
      </c>
      <c r="C56" s="308" t="str">
        <f>"    Mean"</f>
        <v xml:space="preserve">    Mean</v>
      </c>
      <c r="D56" s="309">
        <v>1100</v>
      </c>
      <c r="E56" s="309">
        <v>21300</v>
      </c>
      <c r="F56" s="309">
        <v>59700</v>
      </c>
      <c r="G56" s="309">
        <v>89300</v>
      </c>
      <c r="H56" s="309" t="s">
        <v>704</v>
      </c>
      <c r="I56" s="300" t="s">
        <v>704</v>
      </c>
      <c r="J56" s="296" t="s">
        <v>704</v>
      </c>
      <c r="K56" s="296" t="s">
        <v>704</v>
      </c>
      <c r="L56" s="296" t="s">
        <v>704</v>
      </c>
      <c r="M56" s="296" t="s">
        <v>704</v>
      </c>
      <c r="N56" s="296" t="s">
        <v>704</v>
      </c>
      <c r="O56" s="296" t="s">
        <v>704</v>
      </c>
      <c r="P56" s="296" t="s">
        <v>704</v>
      </c>
      <c r="Q56" s="296" t="s">
        <v>704</v>
      </c>
      <c r="R56" s="296" t="s">
        <v>704</v>
      </c>
      <c r="S56" s="296" t="s">
        <v>704</v>
      </c>
      <c r="T56" s="296" t="s">
        <v>704</v>
      </c>
      <c r="U56" s="296" t="s">
        <v>704</v>
      </c>
      <c r="V56" s="296" t="s">
        <v>704</v>
      </c>
      <c r="W56" s="296" t="s">
        <v>704</v>
      </c>
      <c r="X56" s="296" t="s">
        <v>704</v>
      </c>
      <c r="Y56" s="296" t="s">
        <v>704</v>
      </c>
      <c r="Z56" s="296" t="s">
        <v>704</v>
      </c>
      <c r="AA56" s="296" t="s">
        <v>704</v>
      </c>
      <c r="AB56" s="296" t="s">
        <v>704</v>
      </c>
      <c r="AC56" s="296" t="s">
        <v>704</v>
      </c>
      <c r="AD56" s="296" t="s">
        <v>704</v>
      </c>
      <c r="AE56" s="296" t="s">
        <v>704</v>
      </c>
      <c r="AF56" s="296" t="s">
        <v>704</v>
      </c>
      <c r="AG56" s="296" t="s">
        <v>704</v>
      </c>
      <c r="AH56" s="296" t="s">
        <v>704</v>
      </c>
      <c r="AI56" s="296" t="s">
        <v>704</v>
      </c>
      <c r="AJ56" s="296" t="s">
        <v>704</v>
      </c>
      <c r="AK56" s="296" t="s">
        <v>704</v>
      </c>
      <c r="AL56" s="296" t="s">
        <v>704</v>
      </c>
      <c r="AM56" s="296"/>
      <c r="AN56" s="296"/>
    </row>
    <row r="57" spans="1:40" x14ac:dyDescent="0.25">
      <c r="A57" s="299">
        <v>1</v>
      </c>
      <c r="C57" s="308" t="str">
        <f>"    Standard Deviation"</f>
        <v xml:space="preserve">    Standard Deviation</v>
      </c>
      <c r="D57" s="309">
        <v>14192.603999999999</v>
      </c>
      <c r="E57" s="309" t="s">
        <v>704</v>
      </c>
      <c r="F57" s="309" t="s">
        <v>704</v>
      </c>
      <c r="G57" s="309" t="s">
        <v>704</v>
      </c>
      <c r="H57" s="309" t="s">
        <v>704</v>
      </c>
      <c r="I57" s="300" t="s">
        <v>704</v>
      </c>
      <c r="J57" s="296" t="s">
        <v>704</v>
      </c>
      <c r="K57" s="296" t="s">
        <v>704</v>
      </c>
      <c r="L57" s="296" t="s">
        <v>704</v>
      </c>
      <c r="M57" s="296" t="s">
        <v>704</v>
      </c>
      <c r="N57" s="296" t="s">
        <v>704</v>
      </c>
      <c r="O57" s="296" t="s">
        <v>704</v>
      </c>
      <c r="P57" s="296" t="s">
        <v>704</v>
      </c>
      <c r="Q57" s="296" t="s">
        <v>704</v>
      </c>
      <c r="R57" s="296" t="s">
        <v>704</v>
      </c>
      <c r="S57" s="296" t="s">
        <v>704</v>
      </c>
      <c r="T57" s="296" t="s">
        <v>704</v>
      </c>
      <c r="U57" s="296" t="s">
        <v>704</v>
      </c>
      <c r="V57" s="296" t="s">
        <v>704</v>
      </c>
      <c r="W57" s="296" t="s">
        <v>704</v>
      </c>
      <c r="X57" s="296" t="s">
        <v>704</v>
      </c>
      <c r="Y57" s="296" t="s">
        <v>704</v>
      </c>
      <c r="Z57" s="296" t="s">
        <v>704</v>
      </c>
      <c r="AA57" s="296" t="s">
        <v>704</v>
      </c>
      <c r="AB57" s="296" t="s">
        <v>704</v>
      </c>
      <c r="AC57" s="296" t="s">
        <v>704</v>
      </c>
      <c r="AD57" s="296" t="s">
        <v>704</v>
      </c>
      <c r="AE57" s="296" t="s">
        <v>704</v>
      </c>
      <c r="AF57" s="296" t="s">
        <v>704</v>
      </c>
      <c r="AG57" s="296" t="s">
        <v>704</v>
      </c>
      <c r="AH57" s="296" t="s">
        <v>704</v>
      </c>
      <c r="AI57" s="296" t="s">
        <v>704</v>
      </c>
      <c r="AJ57" s="296" t="s">
        <v>704</v>
      </c>
      <c r="AK57" s="296" t="s">
        <v>704</v>
      </c>
      <c r="AL57" s="296" t="s">
        <v>704</v>
      </c>
      <c r="AM57" s="296"/>
      <c r="AN57" s="296"/>
    </row>
    <row r="58" spans="1:40" x14ac:dyDescent="0.25">
      <c r="A58" s="299">
        <v>1</v>
      </c>
      <c r="C58" s="308" t="str">
        <f>"    Number of Estimates"</f>
        <v xml:space="preserve">    Number of Estimates</v>
      </c>
      <c r="D58" s="309">
        <v>3</v>
      </c>
      <c r="E58" s="309">
        <v>1</v>
      </c>
      <c r="F58" s="309">
        <v>1</v>
      </c>
      <c r="G58" s="309">
        <v>1</v>
      </c>
      <c r="H58" s="309" t="s">
        <v>704</v>
      </c>
      <c r="I58" s="300" t="s">
        <v>704</v>
      </c>
      <c r="J58" s="296" t="s">
        <v>704</v>
      </c>
      <c r="K58" s="296" t="s">
        <v>704</v>
      </c>
      <c r="L58" s="296" t="s">
        <v>704</v>
      </c>
      <c r="M58" s="296" t="s">
        <v>704</v>
      </c>
      <c r="N58" s="296" t="s">
        <v>704</v>
      </c>
      <c r="O58" s="296" t="s">
        <v>704</v>
      </c>
      <c r="P58" s="296" t="s">
        <v>704</v>
      </c>
      <c r="Q58" s="296" t="s">
        <v>704</v>
      </c>
      <c r="R58" s="296" t="s">
        <v>704</v>
      </c>
      <c r="S58" s="296" t="s">
        <v>704</v>
      </c>
      <c r="T58" s="296" t="s">
        <v>704</v>
      </c>
      <c r="U58" s="296" t="s">
        <v>704</v>
      </c>
      <c r="V58" s="296" t="s">
        <v>704</v>
      </c>
      <c r="W58" s="296" t="s">
        <v>704</v>
      </c>
      <c r="X58" s="296" t="s">
        <v>704</v>
      </c>
      <c r="Y58" s="296" t="s">
        <v>704</v>
      </c>
      <c r="Z58" s="296" t="s">
        <v>704</v>
      </c>
      <c r="AA58" s="296" t="s">
        <v>704</v>
      </c>
      <c r="AB58" s="296" t="s">
        <v>704</v>
      </c>
      <c r="AC58" s="296" t="s">
        <v>704</v>
      </c>
      <c r="AD58" s="296" t="s">
        <v>704</v>
      </c>
      <c r="AE58" s="296" t="s">
        <v>704</v>
      </c>
      <c r="AF58" s="296" t="s">
        <v>704</v>
      </c>
      <c r="AG58" s="296" t="s">
        <v>704</v>
      </c>
      <c r="AH58" s="296" t="s">
        <v>704</v>
      </c>
      <c r="AI58" s="296" t="s">
        <v>704</v>
      </c>
      <c r="AJ58" s="296" t="s">
        <v>704</v>
      </c>
      <c r="AK58" s="296" t="s">
        <v>704</v>
      </c>
      <c r="AL58" s="296" t="s">
        <v>704</v>
      </c>
      <c r="AM58" s="296"/>
      <c r="AN58" s="296"/>
    </row>
    <row r="59" spans="1:40" x14ac:dyDescent="0.25">
      <c r="A59" s="299">
        <v>1</v>
      </c>
      <c r="C59" s="306" t="str">
        <f>"Capital Expenditure"</f>
        <v>Capital Expenditure</v>
      </c>
      <c r="D59" s="307" t="s">
        <v>704</v>
      </c>
      <c r="E59" s="307" t="s">
        <v>704</v>
      </c>
      <c r="F59" s="307" t="s">
        <v>704</v>
      </c>
      <c r="G59" s="307" t="s">
        <v>704</v>
      </c>
      <c r="H59" s="307" t="s">
        <v>704</v>
      </c>
      <c r="I59" s="300" t="s">
        <v>704</v>
      </c>
      <c r="J59" s="296" t="s">
        <v>704</v>
      </c>
      <c r="K59" s="296" t="s">
        <v>704</v>
      </c>
      <c r="L59" s="296" t="s">
        <v>704</v>
      </c>
      <c r="M59" s="296" t="s">
        <v>704</v>
      </c>
      <c r="N59" s="296" t="s">
        <v>704</v>
      </c>
      <c r="O59" s="296" t="s">
        <v>704</v>
      </c>
      <c r="P59" s="296" t="s">
        <v>704</v>
      </c>
      <c r="Q59" s="296" t="s">
        <v>704</v>
      </c>
      <c r="R59" s="296" t="s">
        <v>704</v>
      </c>
      <c r="S59" s="296" t="s">
        <v>704</v>
      </c>
      <c r="T59" s="296" t="s">
        <v>704</v>
      </c>
      <c r="U59" s="296" t="s">
        <v>704</v>
      </c>
      <c r="V59" s="296" t="s">
        <v>704</v>
      </c>
      <c r="W59" s="296" t="s">
        <v>704</v>
      </c>
      <c r="X59" s="296" t="s">
        <v>704</v>
      </c>
      <c r="Y59" s="296" t="s">
        <v>704</v>
      </c>
      <c r="Z59" s="296" t="s">
        <v>704</v>
      </c>
      <c r="AA59" s="296" t="s">
        <v>704</v>
      </c>
      <c r="AB59" s="296" t="s">
        <v>704</v>
      </c>
      <c r="AC59" s="296" t="s">
        <v>704</v>
      </c>
      <c r="AD59" s="296" t="s">
        <v>704</v>
      </c>
      <c r="AE59" s="296" t="s">
        <v>704</v>
      </c>
      <c r="AF59" s="296" t="s">
        <v>704</v>
      </c>
      <c r="AG59" s="296" t="s">
        <v>704</v>
      </c>
      <c r="AH59" s="296" t="s">
        <v>704</v>
      </c>
      <c r="AI59" s="296" t="s">
        <v>704</v>
      </c>
      <c r="AJ59" s="296" t="s">
        <v>704</v>
      </c>
      <c r="AK59" s="296" t="s">
        <v>704</v>
      </c>
      <c r="AL59" s="296" t="s">
        <v>704</v>
      </c>
      <c r="AM59" s="296"/>
      <c r="AN59" s="296"/>
    </row>
    <row r="60" spans="1:40" x14ac:dyDescent="0.25">
      <c r="A60" s="299">
        <v>1</v>
      </c>
      <c r="C60" s="308" t="str">
        <f>"    Actual"</f>
        <v xml:space="preserve">    Actual</v>
      </c>
      <c r="D60" s="309">
        <v>-2620</v>
      </c>
      <c r="E60" s="309">
        <v>-4562</v>
      </c>
      <c r="F60" s="309" t="s">
        <v>704</v>
      </c>
      <c r="G60" s="309" t="s">
        <v>704</v>
      </c>
      <c r="H60" s="309" t="s">
        <v>704</v>
      </c>
      <c r="I60" s="300" t="s">
        <v>704</v>
      </c>
      <c r="J60" s="296" t="s">
        <v>704</v>
      </c>
      <c r="K60" s="296" t="s">
        <v>704</v>
      </c>
      <c r="L60" s="296" t="s">
        <v>704</v>
      </c>
      <c r="M60" s="296" t="s">
        <v>704</v>
      </c>
      <c r="N60" s="296" t="s">
        <v>704</v>
      </c>
      <c r="O60" s="296" t="s">
        <v>704</v>
      </c>
      <c r="P60" s="296" t="s">
        <v>704</v>
      </c>
      <c r="Q60" s="296" t="s">
        <v>704</v>
      </c>
      <c r="R60" s="296" t="s">
        <v>704</v>
      </c>
      <c r="S60" s="296" t="s">
        <v>704</v>
      </c>
      <c r="T60" s="296" t="s">
        <v>704</v>
      </c>
      <c r="U60" s="296" t="s">
        <v>704</v>
      </c>
      <c r="V60" s="296" t="s">
        <v>704</v>
      </c>
      <c r="W60" s="296" t="s">
        <v>704</v>
      </c>
      <c r="X60" s="296" t="s">
        <v>704</v>
      </c>
      <c r="Y60" s="296" t="s">
        <v>704</v>
      </c>
      <c r="Z60" s="296" t="s">
        <v>704</v>
      </c>
      <c r="AA60" s="296" t="s">
        <v>704</v>
      </c>
      <c r="AB60" s="296" t="s">
        <v>704</v>
      </c>
      <c r="AC60" s="296" t="s">
        <v>704</v>
      </c>
      <c r="AD60" s="296" t="s">
        <v>704</v>
      </c>
      <c r="AE60" s="296" t="s">
        <v>704</v>
      </c>
      <c r="AF60" s="296" t="s">
        <v>704</v>
      </c>
      <c r="AG60" s="296" t="s">
        <v>704</v>
      </c>
      <c r="AH60" s="296" t="s">
        <v>704</v>
      </c>
      <c r="AI60" s="296" t="s">
        <v>704</v>
      </c>
      <c r="AJ60" s="296" t="s">
        <v>704</v>
      </c>
      <c r="AK60" s="296" t="s">
        <v>704</v>
      </c>
      <c r="AL60" s="296" t="s">
        <v>704</v>
      </c>
      <c r="AM60" s="296"/>
      <c r="AN60" s="296"/>
    </row>
    <row r="61" spans="1:40" x14ac:dyDescent="0.25">
      <c r="A61" s="299">
        <v>1</v>
      </c>
      <c r="C61" s="308" t="str">
        <f>"    Median"</f>
        <v xml:space="preserve">    Median</v>
      </c>
      <c r="D61" s="309">
        <v>4200</v>
      </c>
      <c r="E61" s="309">
        <v>2500</v>
      </c>
      <c r="F61" s="309">
        <v>4200</v>
      </c>
      <c r="G61" s="309">
        <v>5000</v>
      </c>
      <c r="H61" s="309" t="s">
        <v>704</v>
      </c>
      <c r="I61" s="300" t="s">
        <v>704</v>
      </c>
      <c r="J61" s="296" t="s">
        <v>704</v>
      </c>
      <c r="K61" s="296" t="s">
        <v>704</v>
      </c>
      <c r="L61" s="296" t="s">
        <v>704</v>
      </c>
      <c r="M61" s="296" t="s">
        <v>704</v>
      </c>
      <c r="N61" s="296" t="s">
        <v>704</v>
      </c>
      <c r="O61" s="296" t="s">
        <v>704</v>
      </c>
      <c r="P61" s="296" t="s">
        <v>704</v>
      </c>
      <c r="Q61" s="296" t="s">
        <v>704</v>
      </c>
      <c r="R61" s="296" t="s">
        <v>704</v>
      </c>
      <c r="S61" s="296" t="s">
        <v>704</v>
      </c>
      <c r="T61" s="296" t="s">
        <v>704</v>
      </c>
      <c r="U61" s="296" t="s">
        <v>704</v>
      </c>
      <c r="V61" s="296" t="s">
        <v>704</v>
      </c>
      <c r="W61" s="296" t="s">
        <v>704</v>
      </c>
      <c r="X61" s="296" t="s">
        <v>704</v>
      </c>
      <c r="Y61" s="296" t="s">
        <v>704</v>
      </c>
      <c r="Z61" s="296" t="s">
        <v>704</v>
      </c>
      <c r="AA61" s="296" t="s">
        <v>704</v>
      </c>
      <c r="AB61" s="296" t="s">
        <v>704</v>
      </c>
      <c r="AC61" s="296" t="s">
        <v>704</v>
      </c>
      <c r="AD61" s="296" t="s">
        <v>704</v>
      </c>
      <c r="AE61" s="296" t="s">
        <v>704</v>
      </c>
      <c r="AF61" s="296" t="s">
        <v>704</v>
      </c>
      <c r="AG61" s="296" t="s">
        <v>704</v>
      </c>
      <c r="AH61" s="296" t="s">
        <v>704</v>
      </c>
      <c r="AI61" s="296" t="s">
        <v>704</v>
      </c>
      <c r="AJ61" s="296" t="s">
        <v>704</v>
      </c>
      <c r="AK61" s="296" t="s">
        <v>704</v>
      </c>
      <c r="AL61" s="296" t="s">
        <v>704</v>
      </c>
      <c r="AM61" s="296"/>
      <c r="AN61" s="296"/>
    </row>
    <row r="62" spans="1:40" x14ac:dyDescent="0.25">
      <c r="A62" s="299">
        <v>1</v>
      </c>
      <c r="C62" s="308" t="str">
        <f>"    High"</f>
        <v xml:space="preserve">    High</v>
      </c>
      <c r="D62" s="309">
        <v>4200</v>
      </c>
      <c r="E62" s="309">
        <v>2500</v>
      </c>
      <c r="F62" s="309">
        <v>4200</v>
      </c>
      <c r="G62" s="309">
        <v>5000</v>
      </c>
      <c r="H62" s="309" t="s">
        <v>704</v>
      </c>
      <c r="I62" s="300" t="s">
        <v>704</v>
      </c>
      <c r="J62" s="296" t="s">
        <v>704</v>
      </c>
      <c r="K62" s="296" t="s">
        <v>704</v>
      </c>
      <c r="L62" s="296" t="s">
        <v>704</v>
      </c>
      <c r="M62" s="296" t="s">
        <v>704</v>
      </c>
      <c r="N62" s="296" t="s">
        <v>704</v>
      </c>
      <c r="O62" s="296" t="s">
        <v>704</v>
      </c>
      <c r="P62" s="296" t="s">
        <v>704</v>
      </c>
      <c r="Q62" s="296" t="s">
        <v>704</v>
      </c>
      <c r="R62" s="296" t="s">
        <v>704</v>
      </c>
      <c r="S62" s="296" t="s">
        <v>704</v>
      </c>
      <c r="T62" s="296" t="s">
        <v>704</v>
      </c>
      <c r="U62" s="296" t="s">
        <v>704</v>
      </c>
      <c r="V62" s="296" t="s">
        <v>704</v>
      </c>
      <c r="W62" s="296" t="s">
        <v>704</v>
      </c>
      <c r="X62" s="296" t="s">
        <v>704</v>
      </c>
      <c r="Y62" s="296" t="s">
        <v>704</v>
      </c>
      <c r="Z62" s="296" t="s">
        <v>704</v>
      </c>
      <c r="AA62" s="296" t="s">
        <v>704</v>
      </c>
      <c r="AB62" s="296" t="s">
        <v>704</v>
      </c>
      <c r="AC62" s="296" t="s">
        <v>704</v>
      </c>
      <c r="AD62" s="296" t="s">
        <v>704</v>
      </c>
      <c r="AE62" s="296" t="s">
        <v>704</v>
      </c>
      <c r="AF62" s="296" t="s">
        <v>704</v>
      </c>
      <c r="AG62" s="296" t="s">
        <v>704</v>
      </c>
      <c r="AH62" s="296" t="s">
        <v>704</v>
      </c>
      <c r="AI62" s="296" t="s">
        <v>704</v>
      </c>
      <c r="AJ62" s="296" t="s">
        <v>704</v>
      </c>
      <c r="AK62" s="296" t="s">
        <v>704</v>
      </c>
      <c r="AL62" s="296" t="s">
        <v>704</v>
      </c>
      <c r="AM62" s="296"/>
      <c r="AN62" s="296"/>
    </row>
    <row r="63" spans="1:40" x14ac:dyDescent="0.25">
      <c r="A63" s="299">
        <v>1</v>
      </c>
      <c r="C63" s="308" t="str">
        <f>"    Low"</f>
        <v xml:space="preserve">    Low</v>
      </c>
      <c r="D63" s="309">
        <v>4200</v>
      </c>
      <c r="E63" s="309">
        <v>2500</v>
      </c>
      <c r="F63" s="309">
        <v>4200</v>
      </c>
      <c r="G63" s="309">
        <v>5000</v>
      </c>
      <c r="H63" s="309" t="s">
        <v>704</v>
      </c>
      <c r="I63" s="300" t="s">
        <v>704</v>
      </c>
      <c r="J63" s="296" t="s">
        <v>704</v>
      </c>
      <c r="K63" s="296" t="s">
        <v>704</v>
      </c>
      <c r="L63" s="296" t="s">
        <v>704</v>
      </c>
      <c r="M63" s="296" t="s">
        <v>704</v>
      </c>
      <c r="N63" s="296" t="s">
        <v>704</v>
      </c>
      <c r="O63" s="296" t="s">
        <v>704</v>
      </c>
      <c r="P63" s="296" t="s">
        <v>704</v>
      </c>
      <c r="Q63" s="296" t="s">
        <v>704</v>
      </c>
      <c r="R63" s="296" t="s">
        <v>704</v>
      </c>
      <c r="S63" s="296" t="s">
        <v>704</v>
      </c>
      <c r="T63" s="296" t="s">
        <v>704</v>
      </c>
      <c r="U63" s="296" t="s">
        <v>704</v>
      </c>
      <c r="V63" s="296" t="s">
        <v>704</v>
      </c>
      <c r="W63" s="296" t="s">
        <v>704</v>
      </c>
      <c r="X63" s="296" t="s">
        <v>704</v>
      </c>
      <c r="Y63" s="296" t="s">
        <v>704</v>
      </c>
      <c r="Z63" s="296" t="s">
        <v>704</v>
      </c>
      <c r="AA63" s="296" t="s">
        <v>704</v>
      </c>
      <c r="AB63" s="296" t="s">
        <v>704</v>
      </c>
      <c r="AC63" s="296" t="s">
        <v>704</v>
      </c>
      <c r="AD63" s="296" t="s">
        <v>704</v>
      </c>
      <c r="AE63" s="296" t="s">
        <v>704</v>
      </c>
      <c r="AF63" s="296" t="s">
        <v>704</v>
      </c>
      <c r="AG63" s="296" t="s">
        <v>704</v>
      </c>
      <c r="AH63" s="296" t="s">
        <v>704</v>
      </c>
      <c r="AI63" s="296" t="s">
        <v>704</v>
      </c>
      <c r="AJ63" s="296" t="s">
        <v>704</v>
      </c>
      <c r="AK63" s="296" t="s">
        <v>704</v>
      </c>
      <c r="AL63" s="296" t="s">
        <v>704</v>
      </c>
      <c r="AM63" s="296"/>
      <c r="AN63" s="296"/>
    </row>
    <row r="64" spans="1:40" x14ac:dyDescent="0.25">
      <c r="A64" s="299">
        <v>1</v>
      </c>
      <c r="C64" s="308" t="str">
        <f>"    Mean"</f>
        <v xml:space="preserve">    Mean</v>
      </c>
      <c r="D64" s="309">
        <v>4200</v>
      </c>
      <c r="E64" s="309">
        <v>2500</v>
      </c>
      <c r="F64" s="309">
        <v>4200</v>
      </c>
      <c r="G64" s="309">
        <v>5000</v>
      </c>
      <c r="H64" s="309" t="s">
        <v>704</v>
      </c>
      <c r="I64" s="300" t="s">
        <v>704</v>
      </c>
      <c r="J64" s="296" t="s">
        <v>704</v>
      </c>
      <c r="K64" s="296" t="s">
        <v>704</v>
      </c>
      <c r="L64" s="296" t="s">
        <v>704</v>
      </c>
      <c r="M64" s="296" t="s">
        <v>704</v>
      </c>
      <c r="N64" s="296" t="s">
        <v>704</v>
      </c>
      <c r="O64" s="296" t="s">
        <v>704</v>
      </c>
      <c r="P64" s="296" t="s">
        <v>704</v>
      </c>
      <c r="Q64" s="296" t="s">
        <v>704</v>
      </c>
      <c r="R64" s="296" t="s">
        <v>704</v>
      </c>
      <c r="S64" s="296" t="s">
        <v>704</v>
      </c>
      <c r="T64" s="296" t="s">
        <v>704</v>
      </c>
      <c r="U64" s="296" t="s">
        <v>704</v>
      </c>
      <c r="V64" s="296" t="s">
        <v>704</v>
      </c>
      <c r="W64" s="296" t="s">
        <v>704</v>
      </c>
      <c r="X64" s="296" t="s">
        <v>704</v>
      </c>
      <c r="Y64" s="296" t="s">
        <v>704</v>
      </c>
      <c r="Z64" s="296" t="s">
        <v>704</v>
      </c>
      <c r="AA64" s="296" t="s">
        <v>704</v>
      </c>
      <c r="AB64" s="296" t="s">
        <v>704</v>
      </c>
      <c r="AC64" s="296" t="s">
        <v>704</v>
      </c>
      <c r="AD64" s="296" t="s">
        <v>704</v>
      </c>
      <c r="AE64" s="296" t="s">
        <v>704</v>
      </c>
      <c r="AF64" s="296" t="s">
        <v>704</v>
      </c>
      <c r="AG64" s="296" t="s">
        <v>704</v>
      </c>
      <c r="AH64" s="296" t="s">
        <v>704</v>
      </c>
      <c r="AI64" s="296" t="s">
        <v>704</v>
      </c>
      <c r="AJ64" s="296" t="s">
        <v>704</v>
      </c>
      <c r="AK64" s="296" t="s">
        <v>704</v>
      </c>
      <c r="AL64" s="296" t="s">
        <v>704</v>
      </c>
      <c r="AM64" s="296"/>
      <c r="AN64" s="296"/>
    </row>
    <row r="65" spans="1:40" x14ac:dyDescent="0.25">
      <c r="A65" s="299">
        <v>1</v>
      </c>
      <c r="C65" s="308" t="str">
        <f>"    Number of Estimates"</f>
        <v xml:space="preserve">    Number of Estimates</v>
      </c>
      <c r="D65" s="309">
        <v>1</v>
      </c>
      <c r="E65" s="309">
        <v>1</v>
      </c>
      <c r="F65" s="309">
        <v>1</v>
      </c>
      <c r="G65" s="309">
        <v>1</v>
      </c>
      <c r="H65" s="309" t="s">
        <v>704</v>
      </c>
      <c r="I65" s="300" t="s">
        <v>704</v>
      </c>
      <c r="J65" s="296" t="s">
        <v>704</v>
      </c>
      <c r="K65" s="296" t="s">
        <v>704</v>
      </c>
      <c r="L65" s="296" t="s">
        <v>704</v>
      </c>
      <c r="M65" s="296" t="s">
        <v>704</v>
      </c>
      <c r="N65" s="296" t="s">
        <v>704</v>
      </c>
      <c r="O65" s="296" t="s">
        <v>704</v>
      </c>
      <c r="P65" s="296" t="s">
        <v>704</v>
      </c>
      <c r="Q65" s="296" t="s">
        <v>704</v>
      </c>
      <c r="R65" s="296" t="s">
        <v>704</v>
      </c>
      <c r="S65" s="296" t="s">
        <v>704</v>
      </c>
      <c r="T65" s="296" t="s">
        <v>704</v>
      </c>
      <c r="U65" s="296" t="s">
        <v>704</v>
      </c>
      <c r="V65" s="296" t="s">
        <v>704</v>
      </c>
      <c r="W65" s="296" t="s">
        <v>704</v>
      </c>
      <c r="X65" s="296" t="s">
        <v>704</v>
      </c>
      <c r="Y65" s="296" t="s">
        <v>704</v>
      </c>
      <c r="Z65" s="296" t="s">
        <v>704</v>
      </c>
      <c r="AA65" s="296" t="s">
        <v>704</v>
      </c>
      <c r="AB65" s="296" t="s">
        <v>704</v>
      </c>
      <c r="AC65" s="296" t="s">
        <v>704</v>
      </c>
      <c r="AD65" s="296" t="s">
        <v>704</v>
      </c>
      <c r="AE65" s="296" t="s">
        <v>704</v>
      </c>
      <c r="AF65" s="296" t="s">
        <v>704</v>
      </c>
      <c r="AG65" s="296" t="s">
        <v>704</v>
      </c>
      <c r="AH65" s="296" t="s">
        <v>704</v>
      </c>
      <c r="AI65" s="296" t="s">
        <v>704</v>
      </c>
      <c r="AJ65" s="296" t="s">
        <v>704</v>
      </c>
      <c r="AK65" s="296" t="s">
        <v>704</v>
      </c>
      <c r="AL65" s="296" t="s">
        <v>704</v>
      </c>
      <c r="AM65" s="296"/>
      <c r="AN65" s="296"/>
    </row>
    <row r="66" spans="1:40" x14ac:dyDescent="0.25">
      <c r="A66" s="299">
        <v>1</v>
      </c>
      <c r="C66" s="306" t="str">
        <f>"Diluted EPS (Normalized)"</f>
        <v>Diluted EPS (Normalized)</v>
      </c>
      <c r="D66" s="307" t="s">
        <v>704</v>
      </c>
      <c r="E66" s="307" t="s">
        <v>704</v>
      </c>
      <c r="F66" s="307" t="s">
        <v>704</v>
      </c>
      <c r="G66" s="307" t="s">
        <v>704</v>
      </c>
      <c r="H66" s="307" t="s">
        <v>704</v>
      </c>
      <c r="I66" s="300" t="s">
        <v>704</v>
      </c>
      <c r="J66" s="296" t="s">
        <v>704</v>
      </c>
      <c r="K66" s="296" t="s">
        <v>704</v>
      </c>
      <c r="L66" s="296" t="s">
        <v>704</v>
      </c>
      <c r="M66" s="296" t="s">
        <v>704</v>
      </c>
      <c r="N66" s="296" t="s">
        <v>704</v>
      </c>
      <c r="O66" s="296" t="s">
        <v>704</v>
      </c>
      <c r="P66" s="296" t="s">
        <v>704</v>
      </c>
      <c r="Q66" s="296" t="s">
        <v>704</v>
      </c>
      <c r="R66" s="296" t="s">
        <v>704</v>
      </c>
      <c r="S66" s="296" t="s">
        <v>704</v>
      </c>
      <c r="T66" s="296" t="s">
        <v>704</v>
      </c>
      <c r="U66" s="296" t="s">
        <v>704</v>
      </c>
      <c r="V66" s="296" t="s">
        <v>704</v>
      </c>
      <c r="W66" s="296" t="s">
        <v>704</v>
      </c>
      <c r="X66" s="296" t="s">
        <v>704</v>
      </c>
      <c r="Y66" s="296" t="s">
        <v>704</v>
      </c>
      <c r="Z66" s="296" t="s">
        <v>704</v>
      </c>
      <c r="AA66" s="296" t="s">
        <v>704</v>
      </c>
      <c r="AB66" s="296" t="s">
        <v>704</v>
      </c>
      <c r="AC66" s="296" t="s">
        <v>704</v>
      </c>
      <c r="AD66" s="296" t="s">
        <v>704</v>
      </c>
      <c r="AE66" s="296" t="s">
        <v>704</v>
      </c>
      <c r="AF66" s="296" t="s">
        <v>704</v>
      </c>
      <c r="AG66" s="296" t="s">
        <v>704</v>
      </c>
      <c r="AH66" s="296" t="s">
        <v>704</v>
      </c>
      <c r="AI66" s="296" t="s">
        <v>704</v>
      </c>
      <c r="AJ66" s="296" t="s">
        <v>704</v>
      </c>
      <c r="AK66" s="296" t="s">
        <v>704</v>
      </c>
      <c r="AL66" s="296" t="s">
        <v>704</v>
      </c>
      <c r="AM66" s="296"/>
      <c r="AN66" s="296"/>
    </row>
    <row r="67" spans="1:40" x14ac:dyDescent="0.25">
      <c r="A67" s="299">
        <v>1</v>
      </c>
      <c r="C67" s="308" t="str">
        <f>"    Actual"</f>
        <v xml:space="preserve">    Actual</v>
      </c>
      <c r="D67" s="310">
        <v>-1.298847352024922</v>
      </c>
      <c r="E67" s="310">
        <v>-0.14469470483911828</v>
      </c>
      <c r="F67" s="310" t="s">
        <v>704</v>
      </c>
      <c r="G67" s="310" t="s">
        <v>704</v>
      </c>
      <c r="H67" s="310" t="s">
        <v>704</v>
      </c>
      <c r="I67" s="300" t="s">
        <v>704</v>
      </c>
      <c r="J67" s="296" t="s">
        <v>704</v>
      </c>
      <c r="K67" s="296" t="s">
        <v>704</v>
      </c>
      <c r="L67" s="296" t="s">
        <v>704</v>
      </c>
      <c r="M67" s="296" t="s">
        <v>704</v>
      </c>
      <c r="N67" s="296" t="s">
        <v>704</v>
      </c>
      <c r="O67" s="296" t="s">
        <v>704</v>
      </c>
      <c r="P67" s="296" t="s">
        <v>704</v>
      </c>
      <c r="Q67" s="296" t="s">
        <v>704</v>
      </c>
      <c r="R67" s="296" t="s">
        <v>704</v>
      </c>
      <c r="S67" s="296" t="s">
        <v>704</v>
      </c>
      <c r="T67" s="296" t="s">
        <v>704</v>
      </c>
      <c r="U67" s="296" t="s">
        <v>704</v>
      </c>
      <c r="V67" s="296" t="s">
        <v>704</v>
      </c>
      <c r="W67" s="296" t="s">
        <v>704</v>
      </c>
      <c r="X67" s="296" t="s">
        <v>704</v>
      </c>
      <c r="Y67" s="296" t="s">
        <v>704</v>
      </c>
      <c r="Z67" s="296" t="s">
        <v>704</v>
      </c>
      <c r="AA67" s="296" t="s">
        <v>704</v>
      </c>
      <c r="AB67" s="296" t="s">
        <v>704</v>
      </c>
      <c r="AC67" s="296" t="s">
        <v>704</v>
      </c>
      <c r="AD67" s="296" t="s">
        <v>704</v>
      </c>
      <c r="AE67" s="296" t="s">
        <v>704</v>
      </c>
      <c r="AF67" s="296" t="s">
        <v>704</v>
      </c>
      <c r="AG67" s="296" t="s">
        <v>704</v>
      </c>
      <c r="AH67" s="296" t="s">
        <v>704</v>
      </c>
      <c r="AI67" s="296" t="s">
        <v>704</v>
      </c>
      <c r="AJ67" s="296" t="s">
        <v>704</v>
      </c>
      <c r="AK67" s="296" t="s">
        <v>704</v>
      </c>
      <c r="AL67" s="296" t="s">
        <v>704</v>
      </c>
      <c r="AM67" s="296"/>
      <c r="AN67" s="296"/>
    </row>
    <row r="68" spans="1:40" x14ac:dyDescent="0.25">
      <c r="A68" s="299">
        <v>1</v>
      </c>
      <c r="C68" s="308" t="str">
        <f>"    Median"</f>
        <v xml:space="preserve">    Median</v>
      </c>
      <c r="D68" s="310">
        <v>-2.2599999999999998</v>
      </c>
      <c r="E68" s="310">
        <v>-1.73</v>
      </c>
      <c r="F68" s="310">
        <v>-0.875</v>
      </c>
      <c r="G68" s="310">
        <v>-0.35</v>
      </c>
      <c r="H68" s="310">
        <v>0.88</v>
      </c>
      <c r="I68" s="300" t="s">
        <v>704</v>
      </c>
      <c r="J68" s="296" t="s">
        <v>704</v>
      </c>
      <c r="K68" s="296" t="s">
        <v>704</v>
      </c>
      <c r="L68" s="296" t="s">
        <v>704</v>
      </c>
      <c r="M68" s="296" t="s">
        <v>704</v>
      </c>
      <c r="N68" s="296" t="s">
        <v>704</v>
      </c>
      <c r="O68" s="296" t="s">
        <v>704</v>
      </c>
      <c r="P68" s="296" t="s">
        <v>704</v>
      </c>
      <c r="Q68" s="296" t="s">
        <v>704</v>
      </c>
      <c r="R68" s="296" t="s">
        <v>704</v>
      </c>
      <c r="S68" s="296" t="s">
        <v>704</v>
      </c>
      <c r="T68" s="296" t="s">
        <v>704</v>
      </c>
      <c r="U68" s="296" t="s">
        <v>704</v>
      </c>
      <c r="V68" s="296" t="s">
        <v>704</v>
      </c>
      <c r="W68" s="296" t="s">
        <v>704</v>
      </c>
      <c r="X68" s="296" t="s">
        <v>704</v>
      </c>
      <c r="Y68" s="296" t="s">
        <v>704</v>
      </c>
      <c r="Z68" s="296" t="s">
        <v>704</v>
      </c>
      <c r="AA68" s="296" t="s">
        <v>704</v>
      </c>
      <c r="AB68" s="296" t="s">
        <v>704</v>
      </c>
      <c r="AC68" s="296" t="s">
        <v>704</v>
      </c>
      <c r="AD68" s="296" t="s">
        <v>704</v>
      </c>
      <c r="AE68" s="296" t="s">
        <v>704</v>
      </c>
      <c r="AF68" s="296" t="s">
        <v>704</v>
      </c>
      <c r="AG68" s="296" t="s">
        <v>704</v>
      </c>
      <c r="AH68" s="296" t="s">
        <v>704</v>
      </c>
      <c r="AI68" s="296" t="s">
        <v>704</v>
      </c>
      <c r="AJ68" s="296" t="s">
        <v>704</v>
      </c>
      <c r="AK68" s="296" t="s">
        <v>704</v>
      </c>
      <c r="AL68" s="296" t="s">
        <v>704</v>
      </c>
      <c r="AM68" s="296"/>
      <c r="AN68" s="296"/>
    </row>
    <row r="69" spans="1:40" x14ac:dyDescent="0.25">
      <c r="A69" s="299">
        <v>1</v>
      </c>
      <c r="C69" s="308" t="str">
        <f>"    High"</f>
        <v xml:space="preserve">    High</v>
      </c>
      <c r="D69" s="310">
        <v>-1.3</v>
      </c>
      <c r="E69" s="310">
        <v>-1.4</v>
      </c>
      <c r="F69" s="310">
        <v>-0.31</v>
      </c>
      <c r="G69" s="310">
        <v>0.35</v>
      </c>
      <c r="H69" s="310">
        <v>0.88</v>
      </c>
      <c r="I69" s="300" t="s">
        <v>704</v>
      </c>
      <c r="J69" s="296" t="s">
        <v>704</v>
      </c>
      <c r="K69" s="296" t="s">
        <v>704</v>
      </c>
      <c r="L69" s="296" t="s">
        <v>704</v>
      </c>
      <c r="M69" s="296" t="s">
        <v>704</v>
      </c>
      <c r="N69" s="296" t="s">
        <v>704</v>
      </c>
      <c r="O69" s="296" t="s">
        <v>704</v>
      </c>
      <c r="P69" s="296" t="s">
        <v>704</v>
      </c>
      <c r="Q69" s="296" t="s">
        <v>704</v>
      </c>
      <c r="R69" s="296" t="s">
        <v>704</v>
      </c>
      <c r="S69" s="296" t="s">
        <v>704</v>
      </c>
      <c r="T69" s="296" t="s">
        <v>704</v>
      </c>
      <c r="U69" s="296" t="s">
        <v>704</v>
      </c>
      <c r="V69" s="296" t="s">
        <v>704</v>
      </c>
      <c r="W69" s="296" t="s">
        <v>704</v>
      </c>
      <c r="X69" s="296" t="s">
        <v>704</v>
      </c>
      <c r="Y69" s="296" t="s">
        <v>704</v>
      </c>
      <c r="Z69" s="296" t="s">
        <v>704</v>
      </c>
      <c r="AA69" s="296" t="s">
        <v>704</v>
      </c>
      <c r="AB69" s="296" t="s">
        <v>704</v>
      </c>
      <c r="AC69" s="296" t="s">
        <v>704</v>
      </c>
      <c r="AD69" s="296" t="s">
        <v>704</v>
      </c>
      <c r="AE69" s="296" t="s">
        <v>704</v>
      </c>
      <c r="AF69" s="296" t="s">
        <v>704</v>
      </c>
      <c r="AG69" s="296" t="s">
        <v>704</v>
      </c>
      <c r="AH69" s="296" t="s">
        <v>704</v>
      </c>
      <c r="AI69" s="296" t="s">
        <v>704</v>
      </c>
      <c r="AJ69" s="296" t="s">
        <v>704</v>
      </c>
      <c r="AK69" s="296" t="s">
        <v>704</v>
      </c>
      <c r="AL69" s="296" t="s">
        <v>704</v>
      </c>
      <c r="AM69" s="296"/>
      <c r="AN69" s="296"/>
    </row>
    <row r="70" spans="1:40" x14ac:dyDescent="0.25">
      <c r="A70" s="299">
        <v>1</v>
      </c>
      <c r="C70" s="308" t="str">
        <f>"    Low"</f>
        <v xml:space="preserve">    Low</v>
      </c>
      <c r="D70" s="310">
        <v>-2.88</v>
      </c>
      <c r="E70" s="310">
        <v>-1.86</v>
      </c>
      <c r="F70" s="310">
        <v>-1.49</v>
      </c>
      <c r="G70" s="310">
        <v>-1.06</v>
      </c>
      <c r="H70" s="310">
        <v>0.88</v>
      </c>
      <c r="I70" s="300" t="s">
        <v>704</v>
      </c>
      <c r="J70" s="296" t="s">
        <v>704</v>
      </c>
      <c r="K70" s="296" t="s">
        <v>704</v>
      </c>
      <c r="L70" s="296" t="s">
        <v>704</v>
      </c>
      <c r="M70" s="296" t="s">
        <v>704</v>
      </c>
      <c r="N70" s="296" t="s">
        <v>704</v>
      </c>
      <c r="O70" s="296" t="s">
        <v>704</v>
      </c>
      <c r="P70" s="296" t="s">
        <v>704</v>
      </c>
      <c r="Q70" s="296" t="s">
        <v>704</v>
      </c>
      <c r="R70" s="296" t="s">
        <v>704</v>
      </c>
      <c r="S70" s="296" t="s">
        <v>704</v>
      </c>
      <c r="T70" s="296" t="s">
        <v>704</v>
      </c>
      <c r="U70" s="296" t="s">
        <v>704</v>
      </c>
      <c r="V70" s="296" t="s">
        <v>704</v>
      </c>
      <c r="W70" s="296" t="s">
        <v>704</v>
      </c>
      <c r="X70" s="296" t="s">
        <v>704</v>
      </c>
      <c r="Y70" s="296" t="s">
        <v>704</v>
      </c>
      <c r="Z70" s="296" t="s">
        <v>704</v>
      </c>
      <c r="AA70" s="296" t="s">
        <v>704</v>
      </c>
      <c r="AB70" s="296" t="s">
        <v>704</v>
      </c>
      <c r="AC70" s="296" t="s">
        <v>704</v>
      </c>
      <c r="AD70" s="296" t="s">
        <v>704</v>
      </c>
      <c r="AE70" s="296" t="s">
        <v>704</v>
      </c>
      <c r="AF70" s="296" t="s">
        <v>704</v>
      </c>
      <c r="AG70" s="296" t="s">
        <v>704</v>
      </c>
      <c r="AH70" s="296" t="s">
        <v>704</v>
      </c>
      <c r="AI70" s="296" t="s">
        <v>704</v>
      </c>
      <c r="AJ70" s="296" t="s">
        <v>704</v>
      </c>
      <c r="AK70" s="296" t="s">
        <v>704</v>
      </c>
      <c r="AL70" s="296" t="s">
        <v>704</v>
      </c>
      <c r="AM70" s="296"/>
      <c r="AN70" s="296"/>
    </row>
    <row r="71" spans="1:40" x14ac:dyDescent="0.25">
      <c r="A71" s="299">
        <v>1</v>
      </c>
      <c r="C71" s="308" t="str">
        <f>"    Mean"</f>
        <v xml:space="preserve">    Mean</v>
      </c>
      <c r="D71" s="310">
        <v>-2.1566670000000001</v>
      </c>
      <c r="E71" s="310">
        <v>-1.6922219999999999</v>
      </c>
      <c r="F71" s="310">
        <v>-0.877</v>
      </c>
      <c r="G71" s="310">
        <v>-0.34200000000000003</v>
      </c>
      <c r="H71" s="310">
        <v>0.88</v>
      </c>
      <c r="I71" s="300" t="s">
        <v>704</v>
      </c>
      <c r="J71" s="296" t="s">
        <v>704</v>
      </c>
      <c r="K71" s="296" t="s">
        <v>704</v>
      </c>
      <c r="L71" s="296" t="s">
        <v>704</v>
      </c>
      <c r="M71" s="296" t="s">
        <v>704</v>
      </c>
      <c r="N71" s="296" t="s">
        <v>704</v>
      </c>
      <c r="O71" s="296" t="s">
        <v>704</v>
      </c>
      <c r="P71" s="296" t="s">
        <v>704</v>
      </c>
      <c r="Q71" s="296" t="s">
        <v>704</v>
      </c>
      <c r="R71" s="296" t="s">
        <v>704</v>
      </c>
      <c r="S71" s="296" t="s">
        <v>704</v>
      </c>
      <c r="T71" s="296" t="s">
        <v>704</v>
      </c>
      <c r="U71" s="296" t="s">
        <v>704</v>
      </c>
      <c r="V71" s="296" t="s">
        <v>704</v>
      </c>
      <c r="W71" s="296" t="s">
        <v>704</v>
      </c>
      <c r="X71" s="296" t="s">
        <v>704</v>
      </c>
      <c r="Y71" s="296" t="s">
        <v>704</v>
      </c>
      <c r="Z71" s="296" t="s">
        <v>704</v>
      </c>
      <c r="AA71" s="296" t="s">
        <v>704</v>
      </c>
      <c r="AB71" s="296" t="s">
        <v>704</v>
      </c>
      <c r="AC71" s="296" t="s">
        <v>704</v>
      </c>
      <c r="AD71" s="296" t="s">
        <v>704</v>
      </c>
      <c r="AE71" s="296" t="s">
        <v>704</v>
      </c>
      <c r="AF71" s="296" t="s">
        <v>704</v>
      </c>
      <c r="AG71" s="296" t="s">
        <v>704</v>
      </c>
      <c r="AH71" s="296" t="s">
        <v>704</v>
      </c>
      <c r="AI71" s="296" t="s">
        <v>704</v>
      </c>
      <c r="AJ71" s="296" t="s">
        <v>704</v>
      </c>
      <c r="AK71" s="296" t="s">
        <v>704</v>
      </c>
      <c r="AL71" s="296" t="s">
        <v>704</v>
      </c>
      <c r="AM71" s="296"/>
      <c r="AN71" s="296"/>
    </row>
    <row r="72" spans="1:40" x14ac:dyDescent="0.25">
      <c r="A72" s="299">
        <v>1</v>
      </c>
      <c r="C72" s="308" t="str">
        <f>"    Standard Deviation"</f>
        <v xml:space="preserve">    Standard Deviation</v>
      </c>
      <c r="D72" s="310">
        <v>0.55461700000000003</v>
      </c>
      <c r="E72" s="310">
        <v>0.14394299999999999</v>
      </c>
      <c r="F72" s="310">
        <v>0.33638800000000002</v>
      </c>
      <c r="G72" s="310">
        <v>0.46151399999999998</v>
      </c>
      <c r="H72" s="310" t="s">
        <v>704</v>
      </c>
      <c r="I72" s="300" t="s">
        <v>704</v>
      </c>
      <c r="J72" s="296" t="s">
        <v>704</v>
      </c>
      <c r="K72" s="296" t="s">
        <v>704</v>
      </c>
      <c r="L72" s="296" t="s">
        <v>704</v>
      </c>
      <c r="M72" s="296" t="s">
        <v>704</v>
      </c>
      <c r="N72" s="296" t="s">
        <v>704</v>
      </c>
      <c r="O72" s="296" t="s">
        <v>704</v>
      </c>
      <c r="P72" s="296" t="s">
        <v>704</v>
      </c>
      <c r="Q72" s="296" t="s">
        <v>704</v>
      </c>
      <c r="R72" s="296" t="s">
        <v>704</v>
      </c>
      <c r="S72" s="296" t="s">
        <v>704</v>
      </c>
      <c r="T72" s="296" t="s">
        <v>704</v>
      </c>
      <c r="U72" s="296" t="s">
        <v>704</v>
      </c>
      <c r="V72" s="296" t="s">
        <v>704</v>
      </c>
      <c r="W72" s="296" t="s">
        <v>704</v>
      </c>
      <c r="X72" s="296" t="s">
        <v>704</v>
      </c>
      <c r="Y72" s="296" t="s">
        <v>704</v>
      </c>
      <c r="Z72" s="296" t="s">
        <v>704</v>
      </c>
      <c r="AA72" s="296" t="s">
        <v>704</v>
      </c>
      <c r="AB72" s="296" t="s">
        <v>704</v>
      </c>
      <c r="AC72" s="296" t="s">
        <v>704</v>
      </c>
      <c r="AD72" s="296" t="s">
        <v>704</v>
      </c>
      <c r="AE72" s="296" t="s">
        <v>704</v>
      </c>
      <c r="AF72" s="296" t="s">
        <v>704</v>
      </c>
      <c r="AG72" s="296" t="s">
        <v>704</v>
      </c>
      <c r="AH72" s="296" t="s">
        <v>704</v>
      </c>
      <c r="AI72" s="296" t="s">
        <v>704</v>
      </c>
      <c r="AJ72" s="296" t="s">
        <v>704</v>
      </c>
      <c r="AK72" s="296" t="s">
        <v>704</v>
      </c>
      <c r="AL72" s="296" t="s">
        <v>704</v>
      </c>
      <c r="AM72" s="296"/>
      <c r="AN72" s="296"/>
    </row>
    <row r="73" spans="1:40" x14ac:dyDescent="0.25">
      <c r="A73" s="299">
        <v>1</v>
      </c>
      <c r="C73" s="308" t="str">
        <f>"    Number of Estimates"</f>
        <v xml:space="preserve">    Number of Estimates</v>
      </c>
      <c r="D73" s="309">
        <v>9</v>
      </c>
      <c r="E73" s="309">
        <v>9</v>
      </c>
      <c r="F73" s="309">
        <v>10</v>
      </c>
      <c r="G73" s="309">
        <v>10</v>
      </c>
      <c r="H73" s="309">
        <v>1</v>
      </c>
      <c r="I73" s="300" t="s">
        <v>704</v>
      </c>
      <c r="J73" s="296" t="s">
        <v>704</v>
      </c>
      <c r="K73" s="296" t="s">
        <v>704</v>
      </c>
      <c r="L73" s="296" t="s">
        <v>704</v>
      </c>
      <c r="M73" s="296" t="s">
        <v>704</v>
      </c>
      <c r="N73" s="296" t="s">
        <v>704</v>
      </c>
      <c r="O73" s="296" t="s">
        <v>704</v>
      </c>
      <c r="P73" s="296" t="s">
        <v>704</v>
      </c>
      <c r="Q73" s="296" t="s">
        <v>704</v>
      </c>
      <c r="R73" s="296" t="s">
        <v>704</v>
      </c>
      <c r="S73" s="296" t="s">
        <v>704</v>
      </c>
      <c r="T73" s="296" t="s">
        <v>704</v>
      </c>
      <c r="U73" s="296" t="s">
        <v>704</v>
      </c>
      <c r="V73" s="296" t="s">
        <v>704</v>
      </c>
      <c r="W73" s="296" t="s">
        <v>704</v>
      </c>
      <c r="X73" s="296" t="s">
        <v>704</v>
      </c>
      <c r="Y73" s="296" t="s">
        <v>704</v>
      </c>
      <c r="Z73" s="296" t="s">
        <v>704</v>
      </c>
      <c r="AA73" s="296" t="s">
        <v>704</v>
      </c>
      <c r="AB73" s="296" t="s">
        <v>704</v>
      </c>
      <c r="AC73" s="296" t="s">
        <v>704</v>
      </c>
      <c r="AD73" s="296" t="s">
        <v>704</v>
      </c>
      <c r="AE73" s="296" t="s">
        <v>704</v>
      </c>
      <c r="AF73" s="296" t="s">
        <v>704</v>
      </c>
      <c r="AG73" s="296" t="s">
        <v>704</v>
      </c>
      <c r="AH73" s="296" t="s">
        <v>704</v>
      </c>
      <c r="AI73" s="296" t="s">
        <v>704</v>
      </c>
      <c r="AJ73" s="296" t="s">
        <v>704</v>
      </c>
      <c r="AK73" s="296" t="s">
        <v>704</v>
      </c>
      <c r="AL73" s="296" t="s">
        <v>704</v>
      </c>
      <c r="AM73" s="296"/>
      <c r="AN73" s="296"/>
    </row>
    <row r="74" spans="1:40" x14ac:dyDescent="0.25">
      <c r="A74" s="299">
        <v>1</v>
      </c>
      <c r="C74" s="306" t="str">
        <f>"Diluted EPS"</f>
        <v>Diluted EPS</v>
      </c>
      <c r="D74" s="307" t="s">
        <v>704</v>
      </c>
      <c r="E74" s="307" t="s">
        <v>704</v>
      </c>
      <c r="F74" s="307" t="s">
        <v>704</v>
      </c>
      <c r="G74" s="307" t="s">
        <v>704</v>
      </c>
      <c r="H74" s="307" t="s">
        <v>704</v>
      </c>
      <c r="I74" s="300" t="s">
        <v>704</v>
      </c>
      <c r="J74" s="296" t="s">
        <v>704</v>
      </c>
      <c r="K74" s="296" t="s">
        <v>704</v>
      </c>
      <c r="L74" s="296" t="s">
        <v>704</v>
      </c>
      <c r="M74" s="296" t="s">
        <v>704</v>
      </c>
      <c r="N74" s="296" t="s">
        <v>704</v>
      </c>
      <c r="O74" s="296" t="s">
        <v>704</v>
      </c>
      <c r="P74" s="296" t="s">
        <v>704</v>
      </c>
      <c r="Q74" s="296" t="s">
        <v>704</v>
      </c>
      <c r="R74" s="296" t="s">
        <v>704</v>
      </c>
      <c r="S74" s="296" t="s">
        <v>704</v>
      </c>
      <c r="T74" s="296" t="s">
        <v>704</v>
      </c>
      <c r="U74" s="296" t="s">
        <v>704</v>
      </c>
      <c r="V74" s="296" t="s">
        <v>704</v>
      </c>
      <c r="W74" s="296" t="s">
        <v>704</v>
      </c>
      <c r="X74" s="296" t="s">
        <v>704</v>
      </c>
      <c r="Y74" s="296" t="s">
        <v>704</v>
      </c>
      <c r="Z74" s="296" t="s">
        <v>704</v>
      </c>
      <c r="AA74" s="296" t="s">
        <v>704</v>
      </c>
      <c r="AB74" s="296" t="s">
        <v>704</v>
      </c>
      <c r="AC74" s="296" t="s">
        <v>704</v>
      </c>
      <c r="AD74" s="296" t="s">
        <v>704</v>
      </c>
      <c r="AE74" s="296" t="s">
        <v>704</v>
      </c>
      <c r="AF74" s="296" t="s">
        <v>704</v>
      </c>
      <c r="AG74" s="296" t="s">
        <v>704</v>
      </c>
      <c r="AH74" s="296" t="s">
        <v>704</v>
      </c>
      <c r="AI74" s="296" t="s">
        <v>704</v>
      </c>
      <c r="AJ74" s="296" t="s">
        <v>704</v>
      </c>
      <c r="AK74" s="296" t="s">
        <v>704</v>
      </c>
      <c r="AL74" s="296" t="s">
        <v>704</v>
      </c>
      <c r="AM74" s="296"/>
      <c r="AN74" s="296"/>
    </row>
    <row r="75" spans="1:40" x14ac:dyDescent="0.25">
      <c r="A75" s="299">
        <v>1</v>
      </c>
      <c r="C75" s="308" t="str">
        <f>"    Actual"</f>
        <v xml:space="preserve">    Actual</v>
      </c>
      <c r="D75" s="310">
        <v>-2.57</v>
      </c>
      <c r="E75" s="310">
        <v>-1.51</v>
      </c>
      <c r="F75" s="310" t="s">
        <v>704</v>
      </c>
      <c r="G75" s="310" t="s">
        <v>704</v>
      </c>
      <c r="H75" s="310" t="s">
        <v>704</v>
      </c>
      <c r="I75" s="300" t="s">
        <v>704</v>
      </c>
      <c r="J75" s="296" t="s">
        <v>704</v>
      </c>
      <c r="K75" s="296" t="s">
        <v>704</v>
      </c>
      <c r="L75" s="296" t="s">
        <v>704</v>
      </c>
      <c r="M75" s="296" t="s">
        <v>704</v>
      </c>
      <c r="N75" s="296" t="s">
        <v>704</v>
      </c>
      <c r="O75" s="296" t="s">
        <v>704</v>
      </c>
      <c r="P75" s="296" t="s">
        <v>704</v>
      </c>
      <c r="Q75" s="296" t="s">
        <v>704</v>
      </c>
      <c r="R75" s="296" t="s">
        <v>704</v>
      </c>
      <c r="S75" s="296" t="s">
        <v>704</v>
      </c>
      <c r="T75" s="296" t="s">
        <v>704</v>
      </c>
      <c r="U75" s="296" t="s">
        <v>704</v>
      </c>
      <c r="V75" s="296" t="s">
        <v>704</v>
      </c>
      <c r="W75" s="296" t="s">
        <v>704</v>
      </c>
      <c r="X75" s="296" t="s">
        <v>704</v>
      </c>
      <c r="Y75" s="296" t="s">
        <v>704</v>
      </c>
      <c r="Z75" s="296" t="s">
        <v>704</v>
      </c>
      <c r="AA75" s="296" t="s">
        <v>704</v>
      </c>
      <c r="AB75" s="296" t="s">
        <v>704</v>
      </c>
      <c r="AC75" s="296" t="s">
        <v>704</v>
      </c>
      <c r="AD75" s="296" t="s">
        <v>704</v>
      </c>
      <c r="AE75" s="296" t="s">
        <v>704</v>
      </c>
      <c r="AF75" s="296" t="s">
        <v>704</v>
      </c>
      <c r="AG75" s="296" t="s">
        <v>704</v>
      </c>
      <c r="AH75" s="296" t="s">
        <v>704</v>
      </c>
      <c r="AI75" s="296" t="s">
        <v>704</v>
      </c>
      <c r="AJ75" s="296" t="s">
        <v>704</v>
      </c>
      <c r="AK75" s="296" t="s">
        <v>704</v>
      </c>
      <c r="AL75" s="296" t="s">
        <v>704</v>
      </c>
      <c r="AM75" s="296"/>
      <c r="AN75" s="296"/>
    </row>
    <row r="76" spans="1:40" x14ac:dyDescent="0.25">
      <c r="A76" s="299">
        <v>1</v>
      </c>
      <c r="C76" s="308" t="str">
        <f>"    Median"</f>
        <v xml:space="preserve">    Median</v>
      </c>
      <c r="D76" s="310">
        <v>-2.4649999999999999</v>
      </c>
      <c r="E76" s="310">
        <v>-1.73</v>
      </c>
      <c r="F76" s="310">
        <v>-0.875</v>
      </c>
      <c r="G76" s="310">
        <v>-0.35</v>
      </c>
      <c r="H76" s="310">
        <v>0.88</v>
      </c>
      <c r="I76" s="300" t="s">
        <v>704</v>
      </c>
      <c r="J76" s="296" t="s">
        <v>704</v>
      </c>
      <c r="K76" s="296" t="s">
        <v>704</v>
      </c>
      <c r="L76" s="296" t="s">
        <v>704</v>
      </c>
      <c r="M76" s="296" t="s">
        <v>704</v>
      </c>
      <c r="N76" s="296" t="s">
        <v>704</v>
      </c>
      <c r="O76" s="296" t="s">
        <v>704</v>
      </c>
      <c r="P76" s="296" t="s">
        <v>704</v>
      </c>
      <c r="Q76" s="296" t="s">
        <v>704</v>
      </c>
      <c r="R76" s="296" t="s">
        <v>704</v>
      </c>
      <c r="S76" s="296" t="s">
        <v>704</v>
      </c>
      <c r="T76" s="296" t="s">
        <v>704</v>
      </c>
      <c r="U76" s="296" t="s">
        <v>704</v>
      </c>
      <c r="V76" s="296" t="s">
        <v>704</v>
      </c>
      <c r="W76" s="296" t="s">
        <v>704</v>
      </c>
      <c r="X76" s="296" t="s">
        <v>704</v>
      </c>
      <c r="Y76" s="296" t="s">
        <v>704</v>
      </c>
      <c r="Z76" s="296" t="s">
        <v>704</v>
      </c>
      <c r="AA76" s="296" t="s">
        <v>704</v>
      </c>
      <c r="AB76" s="296" t="s">
        <v>704</v>
      </c>
      <c r="AC76" s="296" t="s">
        <v>704</v>
      </c>
      <c r="AD76" s="296" t="s">
        <v>704</v>
      </c>
      <c r="AE76" s="296" t="s">
        <v>704</v>
      </c>
      <c r="AF76" s="296" t="s">
        <v>704</v>
      </c>
      <c r="AG76" s="296" t="s">
        <v>704</v>
      </c>
      <c r="AH76" s="296" t="s">
        <v>704</v>
      </c>
      <c r="AI76" s="296" t="s">
        <v>704</v>
      </c>
      <c r="AJ76" s="296" t="s">
        <v>704</v>
      </c>
      <c r="AK76" s="296" t="s">
        <v>704</v>
      </c>
      <c r="AL76" s="296" t="s">
        <v>704</v>
      </c>
      <c r="AM76" s="296"/>
      <c r="AN76" s="296"/>
    </row>
    <row r="77" spans="1:40" x14ac:dyDescent="0.25">
      <c r="A77" s="299">
        <v>1</v>
      </c>
      <c r="C77" s="308" t="str">
        <f>"    High"</f>
        <v xml:space="preserve">    High</v>
      </c>
      <c r="D77" s="310">
        <v>-2.19</v>
      </c>
      <c r="E77" s="310">
        <v>-1.4</v>
      </c>
      <c r="F77" s="310">
        <v>-0.31</v>
      </c>
      <c r="G77" s="310">
        <v>0.35</v>
      </c>
      <c r="H77" s="310">
        <v>0.88</v>
      </c>
      <c r="I77" s="300" t="s">
        <v>704</v>
      </c>
      <c r="J77" s="296" t="s">
        <v>704</v>
      </c>
      <c r="K77" s="296" t="s">
        <v>704</v>
      </c>
      <c r="L77" s="296" t="s">
        <v>704</v>
      </c>
      <c r="M77" s="296" t="s">
        <v>704</v>
      </c>
      <c r="N77" s="296" t="s">
        <v>704</v>
      </c>
      <c r="O77" s="296" t="s">
        <v>704</v>
      </c>
      <c r="P77" s="296" t="s">
        <v>704</v>
      </c>
      <c r="Q77" s="296" t="s">
        <v>704</v>
      </c>
      <c r="R77" s="296" t="s">
        <v>704</v>
      </c>
      <c r="S77" s="296" t="s">
        <v>704</v>
      </c>
      <c r="T77" s="296" t="s">
        <v>704</v>
      </c>
      <c r="U77" s="296" t="s">
        <v>704</v>
      </c>
      <c r="V77" s="296" t="s">
        <v>704</v>
      </c>
      <c r="W77" s="296" t="s">
        <v>704</v>
      </c>
      <c r="X77" s="296" t="s">
        <v>704</v>
      </c>
      <c r="Y77" s="296" t="s">
        <v>704</v>
      </c>
      <c r="Z77" s="296" t="s">
        <v>704</v>
      </c>
      <c r="AA77" s="296" t="s">
        <v>704</v>
      </c>
      <c r="AB77" s="296" t="s">
        <v>704</v>
      </c>
      <c r="AC77" s="296" t="s">
        <v>704</v>
      </c>
      <c r="AD77" s="296" t="s">
        <v>704</v>
      </c>
      <c r="AE77" s="296" t="s">
        <v>704</v>
      </c>
      <c r="AF77" s="296" t="s">
        <v>704</v>
      </c>
      <c r="AG77" s="296" t="s">
        <v>704</v>
      </c>
      <c r="AH77" s="296" t="s">
        <v>704</v>
      </c>
      <c r="AI77" s="296" t="s">
        <v>704</v>
      </c>
      <c r="AJ77" s="296" t="s">
        <v>704</v>
      </c>
      <c r="AK77" s="296" t="s">
        <v>704</v>
      </c>
      <c r="AL77" s="296" t="s">
        <v>704</v>
      </c>
      <c r="AM77" s="296"/>
      <c r="AN77" s="296"/>
    </row>
    <row r="78" spans="1:40" x14ac:dyDescent="0.25">
      <c r="A78" s="299">
        <v>1</v>
      </c>
      <c r="C78" s="308" t="str">
        <f>"    Low"</f>
        <v xml:space="preserve">    Low</v>
      </c>
      <c r="D78" s="310">
        <v>-2.7</v>
      </c>
      <c r="E78" s="310">
        <v>-1.87</v>
      </c>
      <c r="F78" s="310">
        <v>-1.49</v>
      </c>
      <c r="G78" s="310">
        <v>-1.06</v>
      </c>
      <c r="H78" s="310">
        <v>0.88</v>
      </c>
      <c r="I78" s="300" t="s">
        <v>704</v>
      </c>
      <c r="J78" s="296" t="s">
        <v>704</v>
      </c>
      <c r="K78" s="296" t="s">
        <v>704</v>
      </c>
      <c r="L78" s="296" t="s">
        <v>704</v>
      </c>
      <c r="M78" s="296" t="s">
        <v>704</v>
      </c>
      <c r="N78" s="296" t="s">
        <v>704</v>
      </c>
      <c r="O78" s="296" t="s">
        <v>704</v>
      </c>
      <c r="P78" s="296" t="s">
        <v>704</v>
      </c>
      <c r="Q78" s="296" t="s">
        <v>704</v>
      </c>
      <c r="R78" s="296" t="s">
        <v>704</v>
      </c>
      <c r="S78" s="296" t="s">
        <v>704</v>
      </c>
      <c r="T78" s="296" t="s">
        <v>704</v>
      </c>
      <c r="U78" s="296" t="s">
        <v>704</v>
      </c>
      <c r="V78" s="296" t="s">
        <v>704</v>
      </c>
      <c r="W78" s="296" t="s">
        <v>704</v>
      </c>
      <c r="X78" s="296" t="s">
        <v>704</v>
      </c>
      <c r="Y78" s="296" t="s">
        <v>704</v>
      </c>
      <c r="Z78" s="296" t="s">
        <v>704</v>
      </c>
      <c r="AA78" s="296" t="s">
        <v>704</v>
      </c>
      <c r="AB78" s="296" t="s">
        <v>704</v>
      </c>
      <c r="AC78" s="296" t="s">
        <v>704</v>
      </c>
      <c r="AD78" s="296" t="s">
        <v>704</v>
      </c>
      <c r="AE78" s="296" t="s">
        <v>704</v>
      </c>
      <c r="AF78" s="296" t="s">
        <v>704</v>
      </c>
      <c r="AG78" s="296" t="s">
        <v>704</v>
      </c>
      <c r="AH78" s="296" t="s">
        <v>704</v>
      </c>
      <c r="AI78" s="296" t="s">
        <v>704</v>
      </c>
      <c r="AJ78" s="296" t="s">
        <v>704</v>
      </c>
      <c r="AK78" s="296" t="s">
        <v>704</v>
      </c>
      <c r="AL78" s="296" t="s">
        <v>704</v>
      </c>
      <c r="AM78" s="296"/>
      <c r="AN78" s="296"/>
    </row>
    <row r="79" spans="1:40" x14ac:dyDescent="0.25">
      <c r="A79" s="299">
        <v>1</v>
      </c>
      <c r="C79" s="308" t="str">
        <f>"    Mean"</f>
        <v xml:space="preserve">    Mean</v>
      </c>
      <c r="D79" s="310">
        <v>-2.4550000000000001</v>
      </c>
      <c r="E79" s="310">
        <v>-1.693333</v>
      </c>
      <c r="F79" s="310">
        <v>-0.877</v>
      </c>
      <c r="G79" s="310">
        <v>-0.34200000000000003</v>
      </c>
      <c r="H79" s="310">
        <v>0.88</v>
      </c>
      <c r="I79" s="300" t="s">
        <v>704</v>
      </c>
      <c r="J79" s="296" t="s">
        <v>704</v>
      </c>
      <c r="K79" s="296" t="s">
        <v>704</v>
      </c>
      <c r="L79" s="296" t="s">
        <v>704</v>
      </c>
      <c r="M79" s="296" t="s">
        <v>704</v>
      </c>
      <c r="N79" s="296" t="s">
        <v>704</v>
      </c>
      <c r="O79" s="296" t="s">
        <v>704</v>
      </c>
      <c r="P79" s="296" t="s">
        <v>704</v>
      </c>
      <c r="Q79" s="296" t="s">
        <v>704</v>
      </c>
      <c r="R79" s="296" t="s">
        <v>704</v>
      </c>
      <c r="S79" s="296" t="s">
        <v>704</v>
      </c>
      <c r="T79" s="296" t="s">
        <v>704</v>
      </c>
      <c r="U79" s="296" t="s">
        <v>704</v>
      </c>
      <c r="V79" s="296" t="s">
        <v>704</v>
      </c>
      <c r="W79" s="296" t="s">
        <v>704</v>
      </c>
      <c r="X79" s="296" t="s">
        <v>704</v>
      </c>
      <c r="Y79" s="296" t="s">
        <v>704</v>
      </c>
      <c r="Z79" s="296" t="s">
        <v>704</v>
      </c>
      <c r="AA79" s="296" t="s">
        <v>704</v>
      </c>
      <c r="AB79" s="296" t="s">
        <v>704</v>
      </c>
      <c r="AC79" s="296" t="s">
        <v>704</v>
      </c>
      <c r="AD79" s="296" t="s">
        <v>704</v>
      </c>
      <c r="AE79" s="296" t="s">
        <v>704</v>
      </c>
      <c r="AF79" s="296" t="s">
        <v>704</v>
      </c>
      <c r="AG79" s="296" t="s">
        <v>704</v>
      </c>
      <c r="AH79" s="296" t="s">
        <v>704</v>
      </c>
      <c r="AI79" s="296" t="s">
        <v>704</v>
      </c>
      <c r="AJ79" s="296" t="s">
        <v>704</v>
      </c>
      <c r="AK79" s="296" t="s">
        <v>704</v>
      </c>
      <c r="AL79" s="296" t="s">
        <v>704</v>
      </c>
      <c r="AM79" s="296"/>
      <c r="AN79" s="296"/>
    </row>
    <row r="80" spans="1:40" x14ac:dyDescent="0.25">
      <c r="A80" s="299">
        <v>1</v>
      </c>
      <c r="C80" s="308" t="str">
        <f>"    Standard Deviation"</f>
        <v xml:space="preserve">    Standard Deviation</v>
      </c>
      <c r="D80" s="310">
        <v>0.225462</v>
      </c>
      <c r="E80" s="310">
        <v>0.14543</v>
      </c>
      <c r="F80" s="310">
        <v>0.33638800000000002</v>
      </c>
      <c r="G80" s="310">
        <v>0.46151399999999998</v>
      </c>
      <c r="H80" s="310" t="s">
        <v>704</v>
      </c>
      <c r="I80" s="300" t="s">
        <v>704</v>
      </c>
      <c r="J80" s="296" t="s">
        <v>704</v>
      </c>
      <c r="K80" s="296" t="s">
        <v>704</v>
      </c>
      <c r="L80" s="296" t="s">
        <v>704</v>
      </c>
      <c r="M80" s="296" t="s">
        <v>704</v>
      </c>
      <c r="N80" s="296" t="s">
        <v>704</v>
      </c>
      <c r="O80" s="296" t="s">
        <v>704</v>
      </c>
      <c r="P80" s="296" t="s">
        <v>704</v>
      </c>
      <c r="Q80" s="296" t="s">
        <v>704</v>
      </c>
      <c r="R80" s="296" t="s">
        <v>704</v>
      </c>
      <c r="S80" s="296" t="s">
        <v>704</v>
      </c>
      <c r="T80" s="296" t="s">
        <v>704</v>
      </c>
      <c r="U80" s="296" t="s">
        <v>704</v>
      </c>
      <c r="V80" s="296" t="s">
        <v>704</v>
      </c>
      <c r="W80" s="296" t="s">
        <v>704</v>
      </c>
      <c r="X80" s="296" t="s">
        <v>704</v>
      </c>
      <c r="Y80" s="296" t="s">
        <v>704</v>
      </c>
      <c r="Z80" s="296" t="s">
        <v>704</v>
      </c>
      <c r="AA80" s="296" t="s">
        <v>704</v>
      </c>
      <c r="AB80" s="296" t="s">
        <v>704</v>
      </c>
      <c r="AC80" s="296" t="s">
        <v>704</v>
      </c>
      <c r="AD80" s="296" t="s">
        <v>704</v>
      </c>
      <c r="AE80" s="296" t="s">
        <v>704</v>
      </c>
      <c r="AF80" s="296" t="s">
        <v>704</v>
      </c>
      <c r="AG80" s="296" t="s">
        <v>704</v>
      </c>
      <c r="AH80" s="296" t="s">
        <v>704</v>
      </c>
      <c r="AI80" s="296" t="s">
        <v>704</v>
      </c>
      <c r="AJ80" s="296" t="s">
        <v>704</v>
      </c>
      <c r="AK80" s="296" t="s">
        <v>704</v>
      </c>
      <c r="AL80" s="296" t="s">
        <v>704</v>
      </c>
      <c r="AM80" s="296"/>
      <c r="AN80" s="296"/>
    </row>
    <row r="81" spans="1:40" x14ac:dyDescent="0.25">
      <c r="A81" s="299">
        <v>1</v>
      </c>
      <c r="C81" s="308" t="str">
        <f>"    Number of Estimates"</f>
        <v xml:space="preserve">    Number of Estimates</v>
      </c>
      <c r="D81" s="309">
        <v>4</v>
      </c>
      <c r="E81" s="309">
        <v>9</v>
      </c>
      <c r="F81" s="309">
        <v>10</v>
      </c>
      <c r="G81" s="309">
        <v>10</v>
      </c>
      <c r="H81" s="309">
        <v>1</v>
      </c>
      <c r="I81" s="300" t="s">
        <v>704</v>
      </c>
      <c r="J81" s="296" t="s">
        <v>704</v>
      </c>
      <c r="K81" s="296" t="s">
        <v>704</v>
      </c>
      <c r="L81" s="296" t="s">
        <v>704</v>
      </c>
      <c r="M81" s="296" t="s">
        <v>704</v>
      </c>
      <c r="N81" s="296" t="s">
        <v>704</v>
      </c>
      <c r="O81" s="296" t="s">
        <v>704</v>
      </c>
      <c r="P81" s="296" t="s">
        <v>704</v>
      </c>
      <c r="Q81" s="296" t="s">
        <v>704</v>
      </c>
      <c r="R81" s="296" t="s">
        <v>704</v>
      </c>
      <c r="S81" s="296" t="s">
        <v>704</v>
      </c>
      <c r="T81" s="296" t="s">
        <v>704</v>
      </c>
      <c r="U81" s="296" t="s">
        <v>704</v>
      </c>
      <c r="V81" s="296" t="s">
        <v>704</v>
      </c>
      <c r="W81" s="296" t="s">
        <v>704</v>
      </c>
      <c r="X81" s="296" t="s">
        <v>704</v>
      </c>
      <c r="Y81" s="296" t="s">
        <v>704</v>
      </c>
      <c r="Z81" s="296" t="s">
        <v>704</v>
      </c>
      <c r="AA81" s="296" t="s">
        <v>704</v>
      </c>
      <c r="AB81" s="296" t="s">
        <v>704</v>
      </c>
      <c r="AC81" s="296" t="s">
        <v>704</v>
      </c>
      <c r="AD81" s="296" t="s">
        <v>704</v>
      </c>
      <c r="AE81" s="296" t="s">
        <v>704</v>
      </c>
      <c r="AF81" s="296" t="s">
        <v>704</v>
      </c>
      <c r="AG81" s="296" t="s">
        <v>704</v>
      </c>
      <c r="AH81" s="296" t="s">
        <v>704</v>
      </c>
      <c r="AI81" s="296" t="s">
        <v>704</v>
      </c>
      <c r="AJ81" s="296" t="s">
        <v>704</v>
      </c>
      <c r="AK81" s="296" t="s">
        <v>704</v>
      </c>
      <c r="AL81" s="296" t="s">
        <v>704</v>
      </c>
      <c r="AM81" s="296"/>
      <c r="AN81" s="296"/>
    </row>
    <row r="82" spans="1:40" x14ac:dyDescent="0.25">
      <c r="A82" s="299">
        <v>1</v>
      </c>
      <c r="C82" s="306" t="str">
        <f>"Diluted EPS from Continuing Operations"</f>
        <v>Diluted EPS from Continuing Operations</v>
      </c>
      <c r="D82" s="307" t="s">
        <v>704</v>
      </c>
      <c r="E82" s="307" t="s">
        <v>704</v>
      </c>
      <c r="F82" s="307" t="s">
        <v>704</v>
      </c>
      <c r="G82" s="307" t="s">
        <v>704</v>
      </c>
      <c r="H82" s="307" t="s">
        <v>704</v>
      </c>
      <c r="I82" s="300" t="s">
        <v>704</v>
      </c>
      <c r="J82" s="296" t="s">
        <v>704</v>
      </c>
      <c r="K82" s="296" t="s">
        <v>704</v>
      </c>
      <c r="L82" s="296" t="s">
        <v>704</v>
      </c>
      <c r="M82" s="296" t="s">
        <v>704</v>
      </c>
      <c r="N82" s="296" t="s">
        <v>704</v>
      </c>
      <c r="O82" s="296" t="s">
        <v>704</v>
      </c>
      <c r="P82" s="296" t="s">
        <v>704</v>
      </c>
      <c r="Q82" s="296" t="s">
        <v>704</v>
      </c>
      <c r="R82" s="296" t="s">
        <v>704</v>
      </c>
      <c r="S82" s="296" t="s">
        <v>704</v>
      </c>
      <c r="T82" s="296" t="s">
        <v>704</v>
      </c>
      <c r="U82" s="296" t="s">
        <v>704</v>
      </c>
      <c r="V82" s="296" t="s">
        <v>704</v>
      </c>
      <c r="W82" s="296" t="s">
        <v>704</v>
      </c>
      <c r="X82" s="296" t="s">
        <v>704</v>
      </c>
      <c r="Y82" s="296" t="s">
        <v>704</v>
      </c>
      <c r="Z82" s="296" t="s">
        <v>704</v>
      </c>
      <c r="AA82" s="296" t="s">
        <v>704</v>
      </c>
      <c r="AB82" s="296" t="s">
        <v>704</v>
      </c>
      <c r="AC82" s="296" t="s">
        <v>704</v>
      </c>
      <c r="AD82" s="296" t="s">
        <v>704</v>
      </c>
      <c r="AE82" s="296" t="s">
        <v>704</v>
      </c>
      <c r="AF82" s="296" t="s">
        <v>704</v>
      </c>
      <c r="AG82" s="296" t="s">
        <v>704</v>
      </c>
      <c r="AH82" s="296" t="s">
        <v>704</v>
      </c>
      <c r="AI82" s="296" t="s">
        <v>704</v>
      </c>
      <c r="AJ82" s="296" t="s">
        <v>704</v>
      </c>
      <c r="AK82" s="296" t="s">
        <v>704</v>
      </c>
      <c r="AL82" s="296" t="s">
        <v>704</v>
      </c>
      <c r="AM82" s="296"/>
      <c r="AN82" s="296"/>
    </row>
    <row r="83" spans="1:40" x14ac:dyDescent="0.25">
      <c r="A83" s="299">
        <v>1</v>
      </c>
      <c r="C83" s="308" t="str">
        <f>"    Actual"</f>
        <v xml:space="preserve">    Actual</v>
      </c>
      <c r="D83" s="310">
        <v>-2.57</v>
      </c>
      <c r="E83" s="310">
        <v>-1.51</v>
      </c>
      <c r="F83" s="310" t="s">
        <v>704</v>
      </c>
      <c r="G83" s="310" t="s">
        <v>704</v>
      </c>
      <c r="H83" s="310" t="s">
        <v>704</v>
      </c>
      <c r="I83" s="300" t="s">
        <v>704</v>
      </c>
      <c r="J83" s="296" t="s">
        <v>704</v>
      </c>
      <c r="K83" s="296" t="s">
        <v>704</v>
      </c>
      <c r="L83" s="296" t="s">
        <v>704</v>
      </c>
      <c r="M83" s="296" t="s">
        <v>704</v>
      </c>
      <c r="N83" s="296" t="s">
        <v>704</v>
      </c>
      <c r="O83" s="296" t="s">
        <v>704</v>
      </c>
      <c r="P83" s="296" t="s">
        <v>704</v>
      </c>
      <c r="Q83" s="296" t="s">
        <v>704</v>
      </c>
      <c r="R83" s="296" t="s">
        <v>704</v>
      </c>
      <c r="S83" s="296" t="s">
        <v>704</v>
      </c>
      <c r="T83" s="296" t="s">
        <v>704</v>
      </c>
      <c r="U83" s="296" t="s">
        <v>704</v>
      </c>
      <c r="V83" s="296" t="s">
        <v>704</v>
      </c>
      <c r="W83" s="296" t="s">
        <v>704</v>
      </c>
      <c r="X83" s="296" t="s">
        <v>704</v>
      </c>
      <c r="Y83" s="296" t="s">
        <v>704</v>
      </c>
      <c r="Z83" s="296" t="s">
        <v>704</v>
      </c>
      <c r="AA83" s="296" t="s">
        <v>704</v>
      </c>
      <c r="AB83" s="296" t="s">
        <v>704</v>
      </c>
      <c r="AC83" s="296" t="s">
        <v>704</v>
      </c>
      <c r="AD83" s="296" t="s">
        <v>704</v>
      </c>
      <c r="AE83" s="296" t="s">
        <v>704</v>
      </c>
      <c r="AF83" s="296" t="s">
        <v>704</v>
      </c>
      <c r="AG83" s="296" t="s">
        <v>704</v>
      </c>
      <c r="AH83" s="296" t="s">
        <v>704</v>
      </c>
      <c r="AI83" s="296" t="s">
        <v>704</v>
      </c>
      <c r="AJ83" s="296" t="s">
        <v>704</v>
      </c>
      <c r="AK83" s="296" t="s">
        <v>704</v>
      </c>
      <c r="AL83" s="296" t="s">
        <v>704</v>
      </c>
      <c r="AM83" s="296"/>
      <c r="AN83" s="296"/>
    </row>
    <row r="84" spans="1:40" x14ac:dyDescent="0.25">
      <c r="A84" s="299">
        <v>1</v>
      </c>
      <c r="C84" s="306" t="str">
        <f>"Operating Cash Flow per Share"</f>
        <v>Operating Cash Flow per Share</v>
      </c>
      <c r="D84" s="307" t="s">
        <v>704</v>
      </c>
      <c r="E84" s="307" t="s">
        <v>704</v>
      </c>
      <c r="F84" s="307" t="s">
        <v>704</v>
      </c>
      <c r="G84" s="307" t="s">
        <v>704</v>
      </c>
      <c r="H84" s="307" t="s">
        <v>704</v>
      </c>
      <c r="I84" s="300" t="s">
        <v>704</v>
      </c>
      <c r="J84" s="296" t="s">
        <v>704</v>
      </c>
      <c r="K84" s="296" t="s">
        <v>704</v>
      </c>
      <c r="L84" s="296" t="s">
        <v>704</v>
      </c>
      <c r="M84" s="296" t="s">
        <v>704</v>
      </c>
      <c r="N84" s="296" t="s">
        <v>704</v>
      </c>
      <c r="O84" s="296" t="s">
        <v>704</v>
      </c>
      <c r="P84" s="296" t="s">
        <v>704</v>
      </c>
      <c r="Q84" s="296" t="s">
        <v>704</v>
      </c>
      <c r="R84" s="296" t="s">
        <v>704</v>
      </c>
      <c r="S84" s="296" t="s">
        <v>704</v>
      </c>
      <c r="T84" s="296" t="s">
        <v>704</v>
      </c>
      <c r="U84" s="296" t="s">
        <v>704</v>
      </c>
      <c r="V84" s="296" t="s">
        <v>704</v>
      </c>
      <c r="W84" s="296" t="s">
        <v>704</v>
      </c>
      <c r="X84" s="296" t="s">
        <v>704</v>
      </c>
      <c r="Y84" s="296" t="s">
        <v>704</v>
      </c>
      <c r="Z84" s="296" t="s">
        <v>704</v>
      </c>
      <c r="AA84" s="296" t="s">
        <v>704</v>
      </c>
      <c r="AB84" s="296" t="s">
        <v>704</v>
      </c>
      <c r="AC84" s="296" t="s">
        <v>704</v>
      </c>
      <c r="AD84" s="296" t="s">
        <v>704</v>
      </c>
      <c r="AE84" s="296" t="s">
        <v>704</v>
      </c>
      <c r="AF84" s="296" t="s">
        <v>704</v>
      </c>
      <c r="AG84" s="296" t="s">
        <v>704</v>
      </c>
      <c r="AH84" s="296" t="s">
        <v>704</v>
      </c>
      <c r="AI84" s="296" t="s">
        <v>704</v>
      </c>
      <c r="AJ84" s="296" t="s">
        <v>704</v>
      </c>
      <c r="AK84" s="296" t="s">
        <v>704</v>
      </c>
      <c r="AL84" s="296" t="s">
        <v>704</v>
      </c>
      <c r="AM84" s="296"/>
      <c r="AN84" s="296"/>
    </row>
    <row r="85" spans="1:40" x14ac:dyDescent="0.25">
      <c r="A85" s="299">
        <v>1</v>
      </c>
      <c r="C85" s="308" t="str">
        <f>"    Actual"</f>
        <v xml:space="preserve">    Actual</v>
      </c>
      <c r="D85" s="310">
        <v>-0.70861605428242225</v>
      </c>
      <c r="E85" s="310">
        <v>0.48431720293894098</v>
      </c>
      <c r="F85" s="310" t="s">
        <v>704</v>
      </c>
      <c r="G85" s="310" t="s">
        <v>704</v>
      </c>
      <c r="H85" s="310" t="s">
        <v>704</v>
      </c>
      <c r="I85" s="300" t="s">
        <v>704</v>
      </c>
      <c r="J85" s="296" t="s">
        <v>704</v>
      </c>
      <c r="K85" s="296" t="s">
        <v>704</v>
      </c>
      <c r="L85" s="296" t="s">
        <v>704</v>
      </c>
      <c r="M85" s="296" t="s">
        <v>704</v>
      </c>
      <c r="N85" s="296" t="s">
        <v>704</v>
      </c>
      <c r="O85" s="296" t="s">
        <v>704</v>
      </c>
      <c r="P85" s="296" t="s">
        <v>704</v>
      </c>
      <c r="Q85" s="296" t="s">
        <v>704</v>
      </c>
      <c r="R85" s="296" t="s">
        <v>704</v>
      </c>
      <c r="S85" s="296" t="s">
        <v>704</v>
      </c>
      <c r="T85" s="296" t="s">
        <v>704</v>
      </c>
      <c r="U85" s="296" t="s">
        <v>704</v>
      </c>
      <c r="V85" s="296" t="s">
        <v>704</v>
      </c>
      <c r="W85" s="296" t="s">
        <v>704</v>
      </c>
      <c r="X85" s="296" t="s">
        <v>704</v>
      </c>
      <c r="Y85" s="296" t="s">
        <v>704</v>
      </c>
      <c r="Z85" s="296" t="s">
        <v>704</v>
      </c>
      <c r="AA85" s="296" t="s">
        <v>704</v>
      </c>
      <c r="AB85" s="296" t="s">
        <v>704</v>
      </c>
      <c r="AC85" s="296" t="s">
        <v>704</v>
      </c>
      <c r="AD85" s="296" t="s">
        <v>704</v>
      </c>
      <c r="AE85" s="296" t="s">
        <v>704</v>
      </c>
      <c r="AF85" s="296" t="s">
        <v>704</v>
      </c>
      <c r="AG85" s="296" t="s">
        <v>704</v>
      </c>
      <c r="AH85" s="296" t="s">
        <v>704</v>
      </c>
      <c r="AI85" s="296" t="s">
        <v>704</v>
      </c>
      <c r="AJ85" s="296" t="s">
        <v>704</v>
      </c>
      <c r="AK85" s="296" t="s">
        <v>704</v>
      </c>
      <c r="AL85" s="296" t="s">
        <v>704</v>
      </c>
      <c r="AM85" s="296"/>
      <c r="AN85" s="296"/>
    </row>
    <row r="86" spans="1:40" x14ac:dyDescent="0.25">
      <c r="A86" s="299">
        <v>1</v>
      </c>
      <c r="C86" s="308" t="str">
        <f>"    Median"</f>
        <v xml:space="preserve">    Median</v>
      </c>
      <c r="D86" s="310">
        <v>0.407113</v>
      </c>
      <c r="E86" s="310">
        <v>0.63953599999999999</v>
      </c>
      <c r="F86" s="310">
        <v>1.4695279999999999</v>
      </c>
      <c r="G86" s="310">
        <v>2.2524350000000002</v>
      </c>
      <c r="H86" s="310" t="s">
        <v>704</v>
      </c>
      <c r="I86" s="300" t="s">
        <v>704</v>
      </c>
      <c r="J86" s="296" t="s">
        <v>704</v>
      </c>
      <c r="K86" s="296" t="s">
        <v>704</v>
      </c>
      <c r="L86" s="296" t="s">
        <v>704</v>
      </c>
      <c r="M86" s="296" t="s">
        <v>704</v>
      </c>
      <c r="N86" s="296" t="s">
        <v>704</v>
      </c>
      <c r="O86" s="296" t="s">
        <v>704</v>
      </c>
      <c r="P86" s="296" t="s">
        <v>704</v>
      </c>
      <c r="Q86" s="296" t="s">
        <v>704</v>
      </c>
      <c r="R86" s="296" t="s">
        <v>704</v>
      </c>
      <c r="S86" s="296" t="s">
        <v>704</v>
      </c>
      <c r="T86" s="296" t="s">
        <v>704</v>
      </c>
      <c r="U86" s="296" t="s">
        <v>704</v>
      </c>
      <c r="V86" s="296" t="s">
        <v>704</v>
      </c>
      <c r="W86" s="296" t="s">
        <v>704</v>
      </c>
      <c r="X86" s="296" t="s">
        <v>704</v>
      </c>
      <c r="Y86" s="296" t="s">
        <v>704</v>
      </c>
      <c r="Z86" s="296" t="s">
        <v>704</v>
      </c>
      <c r="AA86" s="296" t="s">
        <v>704</v>
      </c>
      <c r="AB86" s="296" t="s">
        <v>704</v>
      </c>
      <c r="AC86" s="296" t="s">
        <v>704</v>
      </c>
      <c r="AD86" s="296" t="s">
        <v>704</v>
      </c>
      <c r="AE86" s="296" t="s">
        <v>704</v>
      </c>
      <c r="AF86" s="296" t="s">
        <v>704</v>
      </c>
      <c r="AG86" s="296" t="s">
        <v>704</v>
      </c>
      <c r="AH86" s="296" t="s">
        <v>704</v>
      </c>
      <c r="AI86" s="296" t="s">
        <v>704</v>
      </c>
      <c r="AJ86" s="296" t="s">
        <v>704</v>
      </c>
      <c r="AK86" s="296" t="s">
        <v>704</v>
      </c>
      <c r="AL86" s="296" t="s">
        <v>704</v>
      </c>
      <c r="AM86" s="296"/>
      <c r="AN86" s="296"/>
    </row>
    <row r="87" spans="1:40" x14ac:dyDescent="0.25">
      <c r="A87" s="299">
        <v>1</v>
      </c>
      <c r="C87" s="308" t="str">
        <f>"    High"</f>
        <v xml:space="preserve">    High</v>
      </c>
      <c r="D87" s="310">
        <v>0.407113</v>
      </c>
      <c r="E87" s="310">
        <v>0.63953599999999999</v>
      </c>
      <c r="F87" s="310">
        <v>1.4695279999999999</v>
      </c>
      <c r="G87" s="310">
        <v>2.2524350000000002</v>
      </c>
      <c r="H87" s="310" t="s">
        <v>704</v>
      </c>
      <c r="I87" s="300" t="s">
        <v>704</v>
      </c>
      <c r="J87" s="296" t="s">
        <v>704</v>
      </c>
      <c r="K87" s="296" t="s">
        <v>704</v>
      </c>
      <c r="L87" s="296" t="s">
        <v>704</v>
      </c>
      <c r="M87" s="296" t="s">
        <v>704</v>
      </c>
      <c r="N87" s="296" t="s">
        <v>704</v>
      </c>
      <c r="O87" s="296" t="s">
        <v>704</v>
      </c>
      <c r="P87" s="296" t="s">
        <v>704</v>
      </c>
      <c r="Q87" s="296" t="s">
        <v>704</v>
      </c>
      <c r="R87" s="296" t="s">
        <v>704</v>
      </c>
      <c r="S87" s="296" t="s">
        <v>704</v>
      </c>
      <c r="T87" s="296" t="s">
        <v>704</v>
      </c>
      <c r="U87" s="296" t="s">
        <v>704</v>
      </c>
      <c r="V87" s="296" t="s">
        <v>704</v>
      </c>
      <c r="W87" s="296" t="s">
        <v>704</v>
      </c>
      <c r="X87" s="296" t="s">
        <v>704</v>
      </c>
      <c r="Y87" s="296" t="s">
        <v>704</v>
      </c>
      <c r="Z87" s="296" t="s">
        <v>704</v>
      </c>
      <c r="AA87" s="296" t="s">
        <v>704</v>
      </c>
      <c r="AB87" s="296" t="s">
        <v>704</v>
      </c>
      <c r="AC87" s="296" t="s">
        <v>704</v>
      </c>
      <c r="AD87" s="296" t="s">
        <v>704</v>
      </c>
      <c r="AE87" s="296" t="s">
        <v>704</v>
      </c>
      <c r="AF87" s="296" t="s">
        <v>704</v>
      </c>
      <c r="AG87" s="296" t="s">
        <v>704</v>
      </c>
      <c r="AH87" s="296" t="s">
        <v>704</v>
      </c>
      <c r="AI87" s="296" t="s">
        <v>704</v>
      </c>
      <c r="AJ87" s="296" t="s">
        <v>704</v>
      </c>
      <c r="AK87" s="296" t="s">
        <v>704</v>
      </c>
      <c r="AL87" s="296" t="s">
        <v>704</v>
      </c>
      <c r="AM87" s="296"/>
      <c r="AN87" s="296"/>
    </row>
    <row r="88" spans="1:40" x14ac:dyDescent="0.25">
      <c r="A88" s="299">
        <v>1</v>
      </c>
      <c r="C88" s="308" t="str">
        <f>"    Low"</f>
        <v xml:space="preserve">    Low</v>
      </c>
      <c r="D88" s="310">
        <v>0.407113</v>
      </c>
      <c r="E88" s="310">
        <v>0.63953599999999999</v>
      </c>
      <c r="F88" s="310">
        <v>1.4695279999999999</v>
      </c>
      <c r="G88" s="310">
        <v>2.2524350000000002</v>
      </c>
      <c r="H88" s="310" t="s">
        <v>704</v>
      </c>
      <c r="I88" s="300" t="s">
        <v>704</v>
      </c>
      <c r="J88" s="296" t="s">
        <v>704</v>
      </c>
      <c r="K88" s="296" t="s">
        <v>704</v>
      </c>
      <c r="L88" s="296" t="s">
        <v>704</v>
      </c>
      <c r="M88" s="296" t="s">
        <v>704</v>
      </c>
      <c r="N88" s="296" t="s">
        <v>704</v>
      </c>
      <c r="O88" s="296" t="s">
        <v>704</v>
      </c>
      <c r="P88" s="296" t="s">
        <v>704</v>
      </c>
      <c r="Q88" s="296" t="s">
        <v>704</v>
      </c>
      <c r="R88" s="296" t="s">
        <v>704</v>
      </c>
      <c r="S88" s="296" t="s">
        <v>704</v>
      </c>
      <c r="T88" s="296" t="s">
        <v>704</v>
      </c>
      <c r="U88" s="296" t="s">
        <v>704</v>
      </c>
      <c r="V88" s="296" t="s">
        <v>704</v>
      </c>
      <c r="W88" s="296" t="s">
        <v>704</v>
      </c>
      <c r="X88" s="296" t="s">
        <v>704</v>
      </c>
      <c r="Y88" s="296" t="s">
        <v>704</v>
      </c>
      <c r="Z88" s="296" t="s">
        <v>704</v>
      </c>
      <c r="AA88" s="296" t="s">
        <v>704</v>
      </c>
      <c r="AB88" s="296" t="s">
        <v>704</v>
      </c>
      <c r="AC88" s="296" t="s">
        <v>704</v>
      </c>
      <c r="AD88" s="296" t="s">
        <v>704</v>
      </c>
      <c r="AE88" s="296" t="s">
        <v>704</v>
      </c>
      <c r="AF88" s="296" t="s">
        <v>704</v>
      </c>
      <c r="AG88" s="296" t="s">
        <v>704</v>
      </c>
      <c r="AH88" s="296" t="s">
        <v>704</v>
      </c>
      <c r="AI88" s="296" t="s">
        <v>704</v>
      </c>
      <c r="AJ88" s="296" t="s">
        <v>704</v>
      </c>
      <c r="AK88" s="296" t="s">
        <v>704</v>
      </c>
      <c r="AL88" s="296" t="s">
        <v>704</v>
      </c>
      <c r="AM88" s="296"/>
      <c r="AN88" s="296"/>
    </row>
    <row r="89" spans="1:40" x14ac:dyDescent="0.25">
      <c r="A89" s="299">
        <v>1</v>
      </c>
      <c r="C89" s="308" t="str">
        <f>"    Mean"</f>
        <v xml:space="preserve">    Mean</v>
      </c>
      <c r="D89" s="310">
        <v>0.407113</v>
      </c>
      <c r="E89" s="310">
        <v>0.63953599999999999</v>
      </c>
      <c r="F89" s="310">
        <v>1.4695279999999999</v>
      </c>
      <c r="G89" s="310">
        <v>2.2524350000000002</v>
      </c>
      <c r="H89" s="310" t="s">
        <v>704</v>
      </c>
      <c r="I89" s="300" t="s">
        <v>704</v>
      </c>
      <c r="J89" s="296" t="s">
        <v>704</v>
      </c>
      <c r="K89" s="296" t="s">
        <v>704</v>
      </c>
      <c r="L89" s="296" t="s">
        <v>704</v>
      </c>
      <c r="M89" s="296" t="s">
        <v>704</v>
      </c>
      <c r="N89" s="296" t="s">
        <v>704</v>
      </c>
      <c r="O89" s="296" t="s">
        <v>704</v>
      </c>
      <c r="P89" s="296" t="s">
        <v>704</v>
      </c>
      <c r="Q89" s="296" t="s">
        <v>704</v>
      </c>
      <c r="R89" s="296" t="s">
        <v>704</v>
      </c>
      <c r="S89" s="296" t="s">
        <v>704</v>
      </c>
      <c r="T89" s="296" t="s">
        <v>704</v>
      </c>
      <c r="U89" s="296" t="s">
        <v>704</v>
      </c>
      <c r="V89" s="296" t="s">
        <v>704</v>
      </c>
      <c r="W89" s="296" t="s">
        <v>704</v>
      </c>
      <c r="X89" s="296" t="s">
        <v>704</v>
      </c>
      <c r="Y89" s="296" t="s">
        <v>704</v>
      </c>
      <c r="Z89" s="296" t="s">
        <v>704</v>
      </c>
      <c r="AA89" s="296" t="s">
        <v>704</v>
      </c>
      <c r="AB89" s="296" t="s">
        <v>704</v>
      </c>
      <c r="AC89" s="296" t="s">
        <v>704</v>
      </c>
      <c r="AD89" s="296" t="s">
        <v>704</v>
      </c>
      <c r="AE89" s="296" t="s">
        <v>704</v>
      </c>
      <c r="AF89" s="296" t="s">
        <v>704</v>
      </c>
      <c r="AG89" s="296" t="s">
        <v>704</v>
      </c>
      <c r="AH89" s="296" t="s">
        <v>704</v>
      </c>
      <c r="AI89" s="296" t="s">
        <v>704</v>
      </c>
      <c r="AJ89" s="296" t="s">
        <v>704</v>
      </c>
      <c r="AK89" s="296" t="s">
        <v>704</v>
      </c>
      <c r="AL89" s="296" t="s">
        <v>704</v>
      </c>
      <c r="AM89" s="296"/>
      <c r="AN89" s="296"/>
    </row>
    <row r="90" spans="1:40" x14ac:dyDescent="0.25">
      <c r="A90" s="299">
        <v>1</v>
      </c>
      <c r="C90" s="308" t="str">
        <f>"    Number of Estimates"</f>
        <v xml:space="preserve">    Number of Estimates</v>
      </c>
      <c r="D90" s="309">
        <v>1</v>
      </c>
      <c r="E90" s="309">
        <v>1</v>
      </c>
      <c r="F90" s="309">
        <v>1</v>
      </c>
      <c r="G90" s="309">
        <v>1</v>
      </c>
      <c r="H90" s="309" t="s">
        <v>704</v>
      </c>
      <c r="I90" s="300" t="s">
        <v>704</v>
      </c>
      <c r="J90" s="296" t="s">
        <v>704</v>
      </c>
      <c r="K90" s="296" t="s">
        <v>704</v>
      </c>
      <c r="L90" s="296" t="s">
        <v>704</v>
      </c>
      <c r="M90" s="296" t="s">
        <v>704</v>
      </c>
      <c r="N90" s="296" t="s">
        <v>704</v>
      </c>
      <c r="O90" s="296" t="s">
        <v>704</v>
      </c>
      <c r="P90" s="296" t="s">
        <v>704</v>
      </c>
      <c r="Q90" s="296" t="s">
        <v>704</v>
      </c>
      <c r="R90" s="296" t="s">
        <v>704</v>
      </c>
      <c r="S90" s="296" t="s">
        <v>704</v>
      </c>
      <c r="T90" s="296" t="s">
        <v>704</v>
      </c>
      <c r="U90" s="296" t="s">
        <v>704</v>
      </c>
      <c r="V90" s="296" t="s">
        <v>704</v>
      </c>
      <c r="W90" s="296" t="s">
        <v>704</v>
      </c>
      <c r="X90" s="296" t="s">
        <v>704</v>
      </c>
      <c r="Y90" s="296" t="s">
        <v>704</v>
      </c>
      <c r="Z90" s="296" t="s">
        <v>704</v>
      </c>
      <c r="AA90" s="296" t="s">
        <v>704</v>
      </c>
      <c r="AB90" s="296" t="s">
        <v>704</v>
      </c>
      <c r="AC90" s="296" t="s">
        <v>704</v>
      </c>
      <c r="AD90" s="296" t="s">
        <v>704</v>
      </c>
      <c r="AE90" s="296" t="s">
        <v>704</v>
      </c>
      <c r="AF90" s="296" t="s">
        <v>704</v>
      </c>
      <c r="AG90" s="296" t="s">
        <v>704</v>
      </c>
      <c r="AH90" s="296" t="s">
        <v>704</v>
      </c>
      <c r="AI90" s="296" t="s">
        <v>704</v>
      </c>
      <c r="AJ90" s="296" t="s">
        <v>704</v>
      </c>
      <c r="AK90" s="296" t="s">
        <v>704</v>
      </c>
      <c r="AL90" s="296" t="s">
        <v>704</v>
      </c>
      <c r="AM90" s="296"/>
      <c r="AN90" s="296"/>
    </row>
    <row r="91" spans="1:40" x14ac:dyDescent="0.25">
      <c r="A91" s="299">
        <v>1</v>
      </c>
      <c r="C91" s="306" t="str">
        <f>"Dividend per Share"</f>
        <v>Dividend per Share</v>
      </c>
      <c r="D91" s="307" t="s">
        <v>704</v>
      </c>
      <c r="E91" s="307" t="s">
        <v>704</v>
      </c>
      <c r="F91" s="307" t="s">
        <v>704</v>
      </c>
      <c r="G91" s="307" t="s">
        <v>704</v>
      </c>
      <c r="H91" s="307" t="s">
        <v>704</v>
      </c>
      <c r="I91" s="300" t="s">
        <v>704</v>
      </c>
      <c r="J91" s="296" t="s">
        <v>704</v>
      </c>
      <c r="K91" s="296" t="s">
        <v>704</v>
      </c>
      <c r="L91" s="296" t="s">
        <v>704</v>
      </c>
      <c r="M91" s="296" t="s">
        <v>704</v>
      </c>
      <c r="N91" s="296" t="s">
        <v>704</v>
      </c>
      <c r="O91" s="296" t="s">
        <v>704</v>
      </c>
      <c r="P91" s="296" t="s">
        <v>704</v>
      </c>
      <c r="Q91" s="296" t="s">
        <v>704</v>
      </c>
      <c r="R91" s="296" t="s">
        <v>704</v>
      </c>
      <c r="S91" s="296" t="s">
        <v>704</v>
      </c>
      <c r="T91" s="296" t="s">
        <v>704</v>
      </c>
      <c r="U91" s="296" t="s">
        <v>704</v>
      </c>
      <c r="V91" s="296" t="s">
        <v>704</v>
      </c>
      <c r="W91" s="296" t="s">
        <v>704</v>
      </c>
      <c r="X91" s="296" t="s">
        <v>704</v>
      </c>
      <c r="Y91" s="296" t="s">
        <v>704</v>
      </c>
      <c r="Z91" s="296" t="s">
        <v>704</v>
      </c>
      <c r="AA91" s="296" t="s">
        <v>704</v>
      </c>
      <c r="AB91" s="296" t="s">
        <v>704</v>
      </c>
      <c r="AC91" s="296" t="s">
        <v>704</v>
      </c>
      <c r="AD91" s="296" t="s">
        <v>704</v>
      </c>
      <c r="AE91" s="296" t="s">
        <v>704</v>
      </c>
      <c r="AF91" s="296" t="s">
        <v>704</v>
      </c>
      <c r="AG91" s="296" t="s">
        <v>704</v>
      </c>
      <c r="AH91" s="296" t="s">
        <v>704</v>
      </c>
      <c r="AI91" s="296" t="s">
        <v>704</v>
      </c>
      <c r="AJ91" s="296" t="s">
        <v>704</v>
      </c>
      <c r="AK91" s="296" t="s">
        <v>704</v>
      </c>
      <c r="AL91" s="296" t="s">
        <v>704</v>
      </c>
      <c r="AM91" s="296"/>
      <c r="AN91" s="296"/>
    </row>
    <row r="92" spans="1:40" x14ac:dyDescent="0.25">
      <c r="A92" s="299">
        <v>1</v>
      </c>
      <c r="C92" s="308" t="str">
        <f>"    Median"</f>
        <v xml:space="preserve">    Median</v>
      </c>
      <c r="D92" s="310">
        <v>0</v>
      </c>
      <c r="E92" s="310">
        <v>0</v>
      </c>
      <c r="F92" s="310">
        <v>0</v>
      </c>
      <c r="G92" s="310">
        <v>0</v>
      </c>
      <c r="H92" s="310" t="s">
        <v>704</v>
      </c>
      <c r="I92" s="300" t="s">
        <v>704</v>
      </c>
      <c r="J92" s="296" t="s">
        <v>704</v>
      </c>
      <c r="K92" s="296" t="s">
        <v>704</v>
      </c>
      <c r="L92" s="296" t="s">
        <v>704</v>
      </c>
      <c r="M92" s="296" t="s">
        <v>704</v>
      </c>
      <c r="N92" s="296" t="s">
        <v>704</v>
      </c>
      <c r="O92" s="296" t="s">
        <v>704</v>
      </c>
      <c r="P92" s="296" t="s">
        <v>704</v>
      </c>
      <c r="Q92" s="296" t="s">
        <v>704</v>
      </c>
      <c r="R92" s="296" t="s">
        <v>704</v>
      </c>
      <c r="S92" s="296" t="s">
        <v>704</v>
      </c>
      <c r="T92" s="296" t="s">
        <v>704</v>
      </c>
      <c r="U92" s="296" t="s">
        <v>704</v>
      </c>
      <c r="V92" s="296" t="s">
        <v>704</v>
      </c>
      <c r="W92" s="296" t="s">
        <v>704</v>
      </c>
      <c r="X92" s="296" t="s">
        <v>704</v>
      </c>
      <c r="Y92" s="296" t="s">
        <v>704</v>
      </c>
      <c r="Z92" s="296" t="s">
        <v>704</v>
      </c>
      <c r="AA92" s="296" t="s">
        <v>704</v>
      </c>
      <c r="AB92" s="296" t="s">
        <v>704</v>
      </c>
      <c r="AC92" s="296" t="s">
        <v>704</v>
      </c>
      <c r="AD92" s="296" t="s">
        <v>704</v>
      </c>
      <c r="AE92" s="296" t="s">
        <v>704</v>
      </c>
      <c r="AF92" s="296" t="s">
        <v>704</v>
      </c>
      <c r="AG92" s="296" t="s">
        <v>704</v>
      </c>
      <c r="AH92" s="296" t="s">
        <v>704</v>
      </c>
      <c r="AI92" s="296" t="s">
        <v>704</v>
      </c>
      <c r="AJ92" s="296" t="s">
        <v>704</v>
      </c>
      <c r="AK92" s="296" t="s">
        <v>704</v>
      </c>
      <c r="AL92" s="296" t="s">
        <v>704</v>
      </c>
      <c r="AM92" s="296"/>
      <c r="AN92" s="296"/>
    </row>
    <row r="93" spans="1:40" x14ac:dyDescent="0.25">
      <c r="A93" s="299">
        <v>1</v>
      </c>
      <c r="C93" s="308" t="str">
        <f>"    High"</f>
        <v xml:space="preserve">    High</v>
      </c>
      <c r="D93" s="310">
        <v>0</v>
      </c>
      <c r="E93" s="310">
        <v>0</v>
      </c>
      <c r="F93" s="310">
        <v>0</v>
      </c>
      <c r="G93" s="310">
        <v>0</v>
      </c>
      <c r="H93" s="310" t="s">
        <v>704</v>
      </c>
      <c r="I93" s="300" t="s">
        <v>704</v>
      </c>
      <c r="J93" s="296" t="s">
        <v>704</v>
      </c>
      <c r="K93" s="296" t="s">
        <v>704</v>
      </c>
      <c r="L93" s="296" t="s">
        <v>704</v>
      </c>
      <c r="M93" s="296" t="s">
        <v>704</v>
      </c>
      <c r="N93" s="296" t="s">
        <v>704</v>
      </c>
      <c r="O93" s="296" t="s">
        <v>704</v>
      </c>
      <c r="P93" s="296" t="s">
        <v>704</v>
      </c>
      <c r="Q93" s="296" t="s">
        <v>704</v>
      </c>
      <c r="R93" s="296" t="s">
        <v>704</v>
      </c>
      <c r="S93" s="296" t="s">
        <v>704</v>
      </c>
      <c r="T93" s="296" t="s">
        <v>704</v>
      </c>
      <c r="U93" s="296" t="s">
        <v>704</v>
      </c>
      <c r="V93" s="296" t="s">
        <v>704</v>
      </c>
      <c r="W93" s="296" t="s">
        <v>704</v>
      </c>
      <c r="X93" s="296" t="s">
        <v>704</v>
      </c>
      <c r="Y93" s="296" t="s">
        <v>704</v>
      </c>
      <c r="Z93" s="296" t="s">
        <v>704</v>
      </c>
      <c r="AA93" s="296" t="s">
        <v>704</v>
      </c>
      <c r="AB93" s="296" t="s">
        <v>704</v>
      </c>
      <c r="AC93" s="296" t="s">
        <v>704</v>
      </c>
      <c r="AD93" s="296" t="s">
        <v>704</v>
      </c>
      <c r="AE93" s="296" t="s">
        <v>704</v>
      </c>
      <c r="AF93" s="296" t="s">
        <v>704</v>
      </c>
      <c r="AG93" s="296" t="s">
        <v>704</v>
      </c>
      <c r="AH93" s="296" t="s">
        <v>704</v>
      </c>
      <c r="AI93" s="296" t="s">
        <v>704</v>
      </c>
      <c r="AJ93" s="296" t="s">
        <v>704</v>
      </c>
      <c r="AK93" s="296" t="s">
        <v>704</v>
      </c>
      <c r="AL93" s="296" t="s">
        <v>704</v>
      </c>
      <c r="AM93" s="296"/>
      <c r="AN93" s="296"/>
    </row>
    <row r="94" spans="1:40" x14ac:dyDescent="0.25">
      <c r="A94" s="299">
        <v>1</v>
      </c>
      <c r="C94" s="308" t="str">
        <f>"    Low"</f>
        <v xml:space="preserve">    Low</v>
      </c>
      <c r="D94" s="310">
        <v>0</v>
      </c>
      <c r="E94" s="310">
        <v>0</v>
      </c>
      <c r="F94" s="310">
        <v>0</v>
      </c>
      <c r="G94" s="310">
        <v>0</v>
      </c>
      <c r="H94" s="310" t="s">
        <v>704</v>
      </c>
      <c r="I94" s="300" t="s">
        <v>704</v>
      </c>
      <c r="J94" s="296" t="s">
        <v>704</v>
      </c>
      <c r="K94" s="296" t="s">
        <v>704</v>
      </c>
      <c r="L94" s="296" t="s">
        <v>704</v>
      </c>
      <c r="M94" s="296" t="s">
        <v>704</v>
      </c>
      <c r="N94" s="296" t="s">
        <v>704</v>
      </c>
      <c r="O94" s="296" t="s">
        <v>704</v>
      </c>
      <c r="P94" s="296" t="s">
        <v>704</v>
      </c>
      <c r="Q94" s="296" t="s">
        <v>704</v>
      </c>
      <c r="R94" s="296" t="s">
        <v>704</v>
      </c>
      <c r="S94" s="296" t="s">
        <v>704</v>
      </c>
      <c r="T94" s="296" t="s">
        <v>704</v>
      </c>
      <c r="U94" s="296" t="s">
        <v>704</v>
      </c>
      <c r="V94" s="296" t="s">
        <v>704</v>
      </c>
      <c r="W94" s="296" t="s">
        <v>704</v>
      </c>
      <c r="X94" s="296" t="s">
        <v>704</v>
      </c>
      <c r="Y94" s="296" t="s">
        <v>704</v>
      </c>
      <c r="Z94" s="296" t="s">
        <v>704</v>
      </c>
      <c r="AA94" s="296" t="s">
        <v>704</v>
      </c>
      <c r="AB94" s="296" t="s">
        <v>704</v>
      </c>
      <c r="AC94" s="296" t="s">
        <v>704</v>
      </c>
      <c r="AD94" s="296" t="s">
        <v>704</v>
      </c>
      <c r="AE94" s="296" t="s">
        <v>704</v>
      </c>
      <c r="AF94" s="296" t="s">
        <v>704</v>
      </c>
      <c r="AG94" s="296" t="s">
        <v>704</v>
      </c>
      <c r="AH94" s="296" t="s">
        <v>704</v>
      </c>
      <c r="AI94" s="296" t="s">
        <v>704</v>
      </c>
      <c r="AJ94" s="296" t="s">
        <v>704</v>
      </c>
      <c r="AK94" s="296" t="s">
        <v>704</v>
      </c>
      <c r="AL94" s="296" t="s">
        <v>704</v>
      </c>
      <c r="AM94" s="296"/>
      <c r="AN94" s="296"/>
    </row>
    <row r="95" spans="1:40" x14ac:dyDescent="0.25">
      <c r="A95" s="299">
        <v>1</v>
      </c>
      <c r="C95" s="308" t="str">
        <f>"    Mean"</f>
        <v xml:space="preserve">    Mean</v>
      </c>
      <c r="D95" s="310">
        <v>0</v>
      </c>
      <c r="E95" s="310">
        <v>0</v>
      </c>
      <c r="F95" s="310">
        <v>0</v>
      </c>
      <c r="G95" s="310">
        <v>0</v>
      </c>
      <c r="H95" s="310" t="s">
        <v>704</v>
      </c>
      <c r="I95" s="300" t="s">
        <v>704</v>
      </c>
      <c r="J95" s="296" t="s">
        <v>704</v>
      </c>
      <c r="K95" s="296" t="s">
        <v>704</v>
      </c>
      <c r="L95" s="296" t="s">
        <v>704</v>
      </c>
      <c r="M95" s="296" t="s">
        <v>704</v>
      </c>
      <c r="N95" s="296" t="s">
        <v>704</v>
      </c>
      <c r="O95" s="296" t="s">
        <v>704</v>
      </c>
      <c r="P95" s="296" t="s">
        <v>704</v>
      </c>
      <c r="Q95" s="296" t="s">
        <v>704</v>
      </c>
      <c r="R95" s="296" t="s">
        <v>704</v>
      </c>
      <c r="S95" s="296" t="s">
        <v>704</v>
      </c>
      <c r="T95" s="296" t="s">
        <v>704</v>
      </c>
      <c r="U95" s="296" t="s">
        <v>704</v>
      </c>
      <c r="V95" s="296" t="s">
        <v>704</v>
      </c>
      <c r="W95" s="296" t="s">
        <v>704</v>
      </c>
      <c r="X95" s="296" t="s">
        <v>704</v>
      </c>
      <c r="Y95" s="296" t="s">
        <v>704</v>
      </c>
      <c r="Z95" s="296" t="s">
        <v>704</v>
      </c>
      <c r="AA95" s="296" t="s">
        <v>704</v>
      </c>
      <c r="AB95" s="296" t="s">
        <v>704</v>
      </c>
      <c r="AC95" s="296" t="s">
        <v>704</v>
      </c>
      <c r="AD95" s="296" t="s">
        <v>704</v>
      </c>
      <c r="AE95" s="296" t="s">
        <v>704</v>
      </c>
      <c r="AF95" s="296" t="s">
        <v>704</v>
      </c>
      <c r="AG95" s="296" t="s">
        <v>704</v>
      </c>
      <c r="AH95" s="296" t="s">
        <v>704</v>
      </c>
      <c r="AI95" s="296" t="s">
        <v>704</v>
      </c>
      <c r="AJ95" s="296" t="s">
        <v>704</v>
      </c>
      <c r="AK95" s="296" t="s">
        <v>704</v>
      </c>
      <c r="AL95" s="296" t="s">
        <v>704</v>
      </c>
      <c r="AM95" s="296"/>
      <c r="AN95" s="296"/>
    </row>
    <row r="96" spans="1:40" x14ac:dyDescent="0.25">
      <c r="A96" s="299">
        <v>1</v>
      </c>
      <c r="C96" s="308" t="str">
        <f>"    Number of Estimates"</f>
        <v xml:space="preserve">    Number of Estimates</v>
      </c>
      <c r="D96" s="309">
        <v>1</v>
      </c>
      <c r="E96" s="309">
        <v>1</v>
      </c>
      <c r="F96" s="309">
        <v>1</v>
      </c>
      <c r="G96" s="309">
        <v>1</v>
      </c>
      <c r="H96" s="309" t="s">
        <v>704</v>
      </c>
      <c r="I96" s="300" t="s">
        <v>704</v>
      </c>
      <c r="J96" s="296" t="s">
        <v>704</v>
      </c>
      <c r="K96" s="296" t="s">
        <v>704</v>
      </c>
      <c r="L96" s="296" t="s">
        <v>704</v>
      </c>
      <c r="M96" s="296" t="s">
        <v>704</v>
      </c>
      <c r="N96" s="296" t="s">
        <v>704</v>
      </c>
      <c r="O96" s="296" t="s">
        <v>704</v>
      </c>
      <c r="P96" s="296" t="s">
        <v>704</v>
      </c>
      <c r="Q96" s="296" t="s">
        <v>704</v>
      </c>
      <c r="R96" s="296" t="s">
        <v>704</v>
      </c>
      <c r="S96" s="296" t="s">
        <v>704</v>
      </c>
      <c r="T96" s="296" t="s">
        <v>704</v>
      </c>
      <c r="U96" s="296" t="s">
        <v>704</v>
      </c>
      <c r="V96" s="296" t="s">
        <v>704</v>
      </c>
      <c r="W96" s="296" t="s">
        <v>704</v>
      </c>
      <c r="X96" s="296" t="s">
        <v>704</v>
      </c>
      <c r="Y96" s="296" t="s">
        <v>704</v>
      </c>
      <c r="Z96" s="296" t="s">
        <v>704</v>
      </c>
      <c r="AA96" s="296" t="s">
        <v>704</v>
      </c>
      <c r="AB96" s="296" t="s">
        <v>704</v>
      </c>
      <c r="AC96" s="296" t="s">
        <v>704</v>
      </c>
      <c r="AD96" s="296" t="s">
        <v>704</v>
      </c>
      <c r="AE96" s="296" t="s">
        <v>704</v>
      </c>
      <c r="AF96" s="296" t="s">
        <v>704</v>
      </c>
      <c r="AG96" s="296" t="s">
        <v>704</v>
      </c>
      <c r="AH96" s="296" t="s">
        <v>704</v>
      </c>
      <c r="AI96" s="296" t="s">
        <v>704</v>
      </c>
      <c r="AJ96" s="296" t="s">
        <v>704</v>
      </c>
      <c r="AK96" s="296" t="s">
        <v>704</v>
      </c>
      <c r="AL96" s="296" t="s">
        <v>704</v>
      </c>
      <c r="AM96" s="296"/>
      <c r="AN96" s="296"/>
    </row>
    <row r="97" spans="1:40" x14ac:dyDescent="0.25">
      <c r="A97" s="299"/>
      <c r="I97" s="300" t="s">
        <v>704</v>
      </c>
      <c r="J97" s="296" t="s">
        <v>704</v>
      </c>
      <c r="K97" s="296" t="s">
        <v>704</v>
      </c>
      <c r="L97" s="296" t="s">
        <v>704</v>
      </c>
      <c r="M97" s="296" t="s">
        <v>704</v>
      </c>
      <c r="N97" s="296" t="s">
        <v>704</v>
      </c>
      <c r="O97" s="296" t="s">
        <v>704</v>
      </c>
      <c r="P97" s="296" t="s">
        <v>704</v>
      </c>
      <c r="Q97" s="296" t="s">
        <v>704</v>
      </c>
      <c r="R97" s="296" t="s">
        <v>704</v>
      </c>
      <c r="S97" s="296" t="s">
        <v>704</v>
      </c>
      <c r="T97" s="296" t="s">
        <v>704</v>
      </c>
      <c r="U97" s="296" t="s">
        <v>704</v>
      </c>
      <c r="V97" s="296" t="s">
        <v>704</v>
      </c>
      <c r="W97" s="296" t="s">
        <v>704</v>
      </c>
      <c r="X97" s="296" t="s">
        <v>704</v>
      </c>
      <c r="Y97" s="296" t="s">
        <v>704</v>
      </c>
      <c r="Z97" s="296" t="s">
        <v>704</v>
      </c>
      <c r="AA97" s="296" t="s">
        <v>704</v>
      </c>
      <c r="AB97" s="296" t="s">
        <v>704</v>
      </c>
      <c r="AC97" s="296" t="s">
        <v>704</v>
      </c>
      <c r="AD97" s="296" t="s">
        <v>704</v>
      </c>
      <c r="AE97" s="296" t="s">
        <v>704</v>
      </c>
      <c r="AF97" s="296" t="s">
        <v>704</v>
      </c>
      <c r="AG97" s="296" t="s">
        <v>704</v>
      </c>
      <c r="AH97" s="296" t="s">
        <v>704</v>
      </c>
      <c r="AI97" s="296" t="s">
        <v>704</v>
      </c>
      <c r="AJ97" s="296" t="s">
        <v>704</v>
      </c>
      <c r="AK97" s="296" t="s">
        <v>704</v>
      </c>
      <c r="AL97" s="296" t="s">
        <v>704</v>
      </c>
      <c r="AM97" s="296"/>
      <c r="AN97" s="296"/>
    </row>
    <row r="98" spans="1:40" x14ac:dyDescent="0.25">
      <c r="A98" s="299"/>
      <c r="I98" s="300" t="s">
        <v>704</v>
      </c>
      <c r="J98" s="296" t="s">
        <v>704</v>
      </c>
      <c r="K98" s="296" t="s">
        <v>704</v>
      </c>
      <c r="L98" s="296" t="s">
        <v>704</v>
      </c>
      <c r="M98" s="296" t="s">
        <v>704</v>
      </c>
      <c r="N98" s="296" t="s">
        <v>704</v>
      </c>
      <c r="O98" s="296" t="s">
        <v>704</v>
      </c>
      <c r="P98" s="296" t="s">
        <v>704</v>
      </c>
      <c r="Q98" s="296" t="s">
        <v>704</v>
      </c>
      <c r="R98" s="296" t="s">
        <v>704</v>
      </c>
      <c r="S98" s="296" t="s">
        <v>704</v>
      </c>
      <c r="T98" s="296" t="s">
        <v>704</v>
      </c>
      <c r="U98" s="296" t="s">
        <v>704</v>
      </c>
      <c r="V98" s="296" t="s">
        <v>704</v>
      </c>
      <c r="W98" s="296" t="s">
        <v>704</v>
      </c>
      <c r="X98" s="296" t="s">
        <v>704</v>
      </c>
      <c r="Y98" s="296" t="s">
        <v>704</v>
      </c>
      <c r="Z98" s="296" t="s">
        <v>704</v>
      </c>
      <c r="AA98" s="296" t="s">
        <v>704</v>
      </c>
      <c r="AB98" s="296" t="s">
        <v>704</v>
      </c>
      <c r="AC98" s="296" t="s">
        <v>704</v>
      </c>
      <c r="AD98" s="296" t="s">
        <v>704</v>
      </c>
      <c r="AE98" s="296" t="s">
        <v>704</v>
      </c>
      <c r="AF98" s="296" t="s">
        <v>704</v>
      </c>
      <c r="AG98" s="296" t="s">
        <v>704</v>
      </c>
      <c r="AH98" s="296" t="s">
        <v>704</v>
      </c>
      <c r="AI98" s="296" t="s">
        <v>704</v>
      </c>
      <c r="AJ98" s="296" t="s">
        <v>704</v>
      </c>
      <c r="AK98" s="296" t="s">
        <v>704</v>
      </c>
      <c r="AL98" s="296" t="s">
        <v>704</v>
      </c>
      <c r="AM98" s="296"/>
      <c r="AN98" s="296"/>
    </row>
    <row r="99" spans="1:40" x14ac:dyDescent="0.25">
      <c r="A99" s="299"/>
      <c r="C99" s="311" t="s">
        <v>996</v>
      </c>
      <c r="I99" s="300" t="s">
        <v>704</v>
      </c>
      <c r="J99" s="296" t="s">
        <v>704</v>
      </c>
      <c r="K99" s="296" t="s">
        <v>704</v>
      </c>
      <c r="L99" s="296" t="s">
        <v>704</v>
      </c>
      <c r="M99" s="296" t="s">
        <v>704</v>
      </c>
      <c r="N99" s="296" t="s">
        <v>704</v>
      </c>
      <c r="O99" s="296" t="s">
        <v>704</v>
      </c>
      <c r="P99" s="296" t="s">
        <v>704</v>
      </c>
      <c r="Q99" s="296" t="s">
        <v>704</v>
      </c>
      <c r="R99" s="296" t="s">
        <v>704</v>
      </c>
      <c r="S99" s="296" t="s">
        <v>704</v>
      </c>
      <c r="T99" s="296" t="s">
        <v>704</v>
      </c>
      <c r="U99" s="296" t="s">
        <v>704</v>
      </c>
      <c r="V99" s="296" t="s">
        <v>704</v>
      </c>
      <c r="W99" s="296" t="s">
        <v>704</v>
      </c>
      <c r="X99" s="296" t="s">
        <v>704</v>
      </c>
      <c r="Y99" s="296" t="s">
        <v>704</v>
      </c>
      <c r="Z99" s="296" t="s">
        <v>704</v>
      </c>
      <c r="AA99" s="296" t="s">
        <v>704</v>
      </c>
      <c r="AB99" s="296" t="s">
        <v>704</v>
      </c>
      <c r="AC99" s="296" t="s">
        <v>704</v>
      </c>
      <c r="AD99" s="296" t="s">
        <v>704</v>
      </c>
      <c r="AE99" s="296" t="s">
        <v>704</v>
      </c>
      <c r="AF99" s="296" t="s">
        <v>704</v>
      </c>
      <c r="AG99" s="296" t="s">
        <v>704</v>
      </c>
      <c r="AH99" s="296" t="s">
        <v>704</v>
      </c>
      <c r="AI99" s="296" t="s">
        <v>704</v>
      </c>
      <c r="AJ99" s="296" t="s">
        <v>704</v>
      </c>
      <c r="AK99" s="296" t="s">
        <v>704</v>
      </c>
      <c r="AL99" s="296" t="s">
        <v>704</v>
      </c>
      <c r="AM99" s="296"/>
      <c r="AN99" s="296"/>
    </row>
    <row r="100" spans="1:40" x14ac:dyDescent="0.25">
      <c r="A100" s="299"/>
      <c r="C100" s="311" t="s">
        <v>997</v>
      </c>
      <c r="I100" s="300" t="s">
        <v>704</v>
      </c>
      <c r="J100" s="296" t="s">
        <v>704</v>
      </c>
      <c r="K100" s="296" t="s">
        <v>704</v>
      </c>
      <c r="L100" s="296" t="s">
        <v>704</v>
      </c>
      <c r="M100" s="296" t="s">
        <v>704</v>
      </c>
      <c r="N100" s="296" t="s">
        <v>704</v>
      </c>
      <c r="O100" s="296" t="s">
        <v>704</v>
      </c>
      <c r="P100" s="296" t="s">
        <v>704</v>
      </c>
      <c r="Q100" s="296" t="s">
        <v>704</v>
      </c>
      <c r="R100" s="296" t="s">
        <v>704</v>
      </c>
      <c r="S100" s="296" t="s">
        <v>704</v>
      </c>
      <c r="T100" s="296" t="s">
        <v>704</v>
      </c>
      <c r="U100" s="296" t="s">
        <v>704</v>
      </c>
      <c r="V100" s="296" t="s">
        <v>704</v>
      </c>
      <c r="W100" s="296" t="s">
        <v>704</v>
      </c>
      <c r="X100" s="296" t="s">
        <v>704</v>
      </c>
      <c r="Y100" s="296" t="s">
        <v>704</v>
      </c>
      <c r="Z100" s="296" t="s">
        <v>704</v>
      </c>
      <c r="AA100" s="296" t="s">
        <v>704</v>
      </c>
      <c r="AB100" s="296" t="s">
        <v>704</v>
      </c>
      <c r="AC100" s="296" t="s">
        <v>704</v>
      </c>
      <c r="AD100" s="296" t="s">
        <v>704</v>
      </c>
      <c r="AE100" s="296" t="s">
        <v>704</v>
      </c>
      <c r="AF100" s="296" t="s">
        <v>704</v>
      </c>
      <c r="AG100" s="296" t="s">
        <v>704</v>
      </c>
      <c r="AH100" s="296" t="s">
        <v>704</v>
      </c>
      <c r="AI100" s="296" t="s">
        <v>704</v>
      </c>
      <c r="AJ100" s="296" t="s">
        <v>704</v>
      </c>
      <c r="AK100" s="296" t="s">
        <v>704</v>
      </c>
      <c r="AL100" s="296" t="s">
        <v>704</v>
      </c>
      <c r="AM100" s="296"/>
      <c r="AN100" s="296"/>
    </row>
    <row r="101" spans="1:40" ht="15.75" thickBot="1" x14ac:dyDescent="0.3">
      <c r="A101" s="299"/>
      <c r="I101" s="300" t="s">
        <v>704</v>
      </c>
      <c r="J101" s="296" t="s">
        <v>704</v>
      </c>
      <c r="K101" s="296" t="s">
        <v>704</v>
      </c>
      <c r="L101" s="296" t="s">
        <v>704</v>
      </c>
      <c r="M101" s="296" t="s">
        <v>704</v>
      </c>
      <c r="N101" s="296" t="s">
        <v>704</v>
      </c>
      <c r="O101" s="296" t="s">
        <v>704</v>
      </c>
      <c r="P101" s="296" t="s">
        <v>704</v>
      </c>
      <c r="Q101" s="296" t="s">
        <v>704</v>
      </c>
      <c r="R101" s="296" t="s">
        <v>704</v>
      </c>
      <c r="S101" s="296" t="s">
        <v>704</v>
      </c>
      <c r="T101" s="296" t="s">
        <v>704</v>
      </c>
      <c r="U101" s="296" t="s">
        <v>704</v>
      </c>
      <c r="V101" s="296" t="s">
        <v>704</v>
      </c>
      <c r="W101" s="296" t="s">
        <v>704</v>
      </c>
      <c r="X101" s="296" t="s">
        <v>704</v>
      </c>
      <c r="Y101" s="296" t="s">
        <v>704</v>
      </c>
      <c r="Z101" s="296" t="s">
        <v>704</v>
      </c>
      <c r="AA101" s="296" t="s">
        <v>704</v>
      </c>
      <c r="AB101" s="296" t="s">
        <v>704</v>
      </c>
      <c r="AC101" s="296" t="s">
        <v>704</v>
      </c>
      <c r="AD101" s="296" t="s">
        <v>704</v>
      </c>
      <c r="AE101" s="296" t="s">
        <v>704</v>
      </c>
      <c r="AF101" s="296" t="s">
        <v>704</v>
      </c>
      <c r="AG101" s="296" t="s">
        <v>704</v>
      </c>
      <c r="AH101" s="296" t="s">
        <v>704</v>
      </c>
      <c r="AI101" s="296" t="s">
        <v>704</v>
      </c>
      <c r="AJ101" s="296" t="s">
        <v>704</v>
      </c>
      <c r="AK101" s="296" t="s">
        <v>704</v>
      </c>
      <c r="AL101" s="296" t="s">
        <v>704</v>
      </c>
      <c r="AM101" s="296"/>
      <c r="AN101" s="296"/>
    </row>
    <row r="102" spans="1:40" x14ac:dyDescent="0.25">
      <c r="A102" s="296"/>
      <c r="B102" s="312"/>
      <c r="C102" s="312"/>
      <c r="D102" s="312"/>
      <c r="E102" s="312"/>
      <c r="F102" s="312"/>
      <c r="G102" s="312"/>
      <c r="H102" s="312"/>
      <c r="I102" s="312"/>
      <c r="J102" s="312"/>
      <c r="K102" s="312"/>
      <c r="L102" s="312"/>
      <c r="M102" s="312"/>
      <c r="N102" s="312"/>
      <c r="O102" s="312"/>
      <c r="P102" s="312"/>
      <c r="Q102" s="312"/>
      <c r="R102" s="312"/>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row>
  </sheetData>
  <conditionalFormatting sqref="D10:Q10 D18:Q18 D26:Q26 D34:Q34 D42:Q42 D50:Q50 D58:Q58 D65:Q65 D73:Q73 D81:Q81 D83:Q83 D90:Q90">
    <cfRule type="expression" dxfId="17" priority="1">
      <formula>NOT(SUBTOTAL(109,$A11)=$A11)</formula>
    </cfRule>
  </conditionalFormatting>
  <hyperlinks>
    <hyperlink ref="D5" r:id="rId1"/>
    <hyperlink ref="E5" r:id="rId2"/>
    <hyperlink ref="F5" r:id="rId3"/>
    <hyperlink ref="G5" r:id="rId4"/>
    <hyperlink ref="H5" r:id="rId5"/>
  </hyperlinks>
  <pageMargins left="0.7" right="0.7" top="0.75" bottom="0.75" header="0.51180555555555496" footer="0.51180555555555496"/>
  <pageSetup paperSize="9" firstPageNumber="0" pageOrder="overThenDown" orientation="portrait" horizontalDpi="300" verticalDpi="300" r:id="rId6"/>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MK107"/>
  <sheetViews>
    <sheetView showGridLines="0" zoomScaleNormal="100" workbookViewId="0">
      <pane xSplit="3" ySplit="10" topLeftCell="E58" activePane="bottomRight" state="frozen"/>
      <selection pane="topRight" activeCell="D1" sqref="D1"/>
      <selection pane="bottomLeft" activeCell="A11" sqref="A11"/>
      <selection pane="bottomRight" activeCell="N31" sqref="N31"/>
    </sheetView>
  </sheetViews>
  <sheetFormatPr defaultColWidth="8.85546875" defaultRowHeight="15" x14ac:dyDescent="0.25"/>
  <cols>
    <col min="1" max="1" width="1" style="298" customWidth="1"/>
    <col min="2" max="2" width="2" style="298" customWidth="1"/>
    <col min="3" max="3" width="50.7109375" style="298" customWidth="1"/>
    <col min="4" max="27" width="14.7109375" style="298" customWidth="1" collapsed="1"/>
    <col min="28" max="28" width="2" style="298" customWidth="1"/>
    <col min="29" max="1025" width="14.7109375" style="298" customWidth="1" collapsed="1"/>
    <col min="1026" max="16384" width="8.85546875" style="298"/>
  </cols>
  <sheetData>
    <row r="1" spans="1:50" ht="6.4" customHeight="1" x14ac:dyDescent="0.25">
      <c r="A1" s="296"/>
      <c r="B1" s="297"/>
      <c r="C1" s="297"/>
      <c r="D1" s="297" t="s">
        <v>704</v>
      </c>
      <c r="E1" s="297" t="s">
        <v>704</v>
      </c>
      <c r="F1" s="297" t="s">
        <v>704</v>
      </c>
      <c r="G1" s="297" t="s">
        <v>704</v>
      </c>
      <c r="H1" s="297" t="s">
        <v>704</v>
      </c>
      <c r="I1" s="297" t="s">
        <v>704</v>
      </c>
      <c r="J1" s="297" t="s">
        <v>704</v>
      </c>
      <c r="K1" s="297" t="s">
        <v>704</v>
      </c>
      <c r="L1" s="297" t="s">
        <v>704</v>
      </c>
      <c r="M1" s="297" t="s">
        <v>704</v>
      </c>
      <c r="N1" s="297" t="s">
        <v>704</v>
      </c>
      <c r="O1" s="297" t="s">
        <v>704</v>
      </c>
      <c r="P1" s="297" t="s">
        <v>704</v>
      </c>
      <c r="Q1" s="297" t="s">
        <v>704</v>
      </c>
      <c r="R1" s="297" t="s">
        <v>704</v>
      </c>
      <c r="S1" s="296" t="s">
        <v>704</v>
      </c>
      <c r="T1" s="296" t="s">
        <v>704</v>
      </c>
      <c r="U1" s="296" t="s">
        <v>704</v>
      </c>
      <c r="V1" s="296" t="s">
        <v>704</v>
      </c>
      <c r="W1" s="296" t="s">
        <v>704</v>
      </c>
      <c r="X1" s="296" t="s">
        <v>704</v>
      </c>
      <c r="Y1" s="296" t="s">
        <v>704</v>
      </c>
      <c r="Z1" s="296" t="s">
        <v>704</v>
      </c>
      <c r="AA1" s="296" t="s">
        <v>704</v>
      </c>
      <c r="AB1" s="296" t="s">
        <v>704</v>
      </c>
      <c r="AC1" s="296" t="s">
        <v>704</v>
      </c>
      <c r="AD1" s="296" t="s">
        <v>704</v>
      </c>
      <c r="AE1" s="296" t="s">
        <v>704</v>
      </c>
      <c r="AF1" s="296" t="s">
        <v>704</v>
      </c>
      <c r="AG1" s="296" t="s">
        <v>704</v>
      </c>
      <c r="AH1" s="296" t="s">
        <v>704</v>
      </c>
      <c r="AI1" s="296" t="s">
        <v>704</v>
      </c>
      <c r="AJ1" s="296" t="s">
        <v>704</v>
      </c>
      <c r="AK1" s="296" t="s">
        <v>704</v>
      </c>
      <c r="AL1" s="296" t="s">
        <v>704</v>
      </c>
      <c r="AM1" s="296" t="s">
        <v>704</v>
      </c>
      <c r="AN1" s="296" t="s">
        <v>704</v>
      </c>
      <c r="AO1" s="296" t="s">
        <v>704</v>
      </c>
      <c r="AP1" s="296" t="s">
        <v>704</v>
      </c>
      <c r="AQ1" s="296" t="s">
        <v>704</v>
      </c>
      <c r="AR1" s="296" t="s">
        <v>704</v>
      </c>
      <c r="AS1" s="296" t="s">
        <v>704</v>
      </c>
      <c r="AT1" s="296" t="s">
        <v>704</v>
      </c>
      <c r="AU1" s="296" t="s">
        <v>704</v>
      </c>
      <c r="AV1" s="296" t="s">
        <v>704</v>
      </c>
      <c r="AW1" s="296"/>
      <c r="AX1" s="296"/>
    </row>
    <row r="2" spans="1:50" ht="39.75" customHeight="1" x14ac:dyDescent="0.25">
      <c r="A2" s="299"/>
      <c r="D2" s="298" t="s">
        <v>508</v>
      </c>
      <c r="E2" s="298" t="s">
        <v>508</v>
      </c>
      <c r="F2" s="298" t="s">
        <v>508</v>
      </c>
      <c r="G2" s="298" t="s">
        <v>508</v>
      </c>
      <c r="H2" s="298" t="s">
        <v>508</v>
      </c>
      <c r="I2" s="298" t="s">
        <v>508</v>
      </c>
      <c r="J2" s="298" t="s">
        <v>508</v>
      </c>
      <c r="K2" s="298" t="s">
        <v>508</v>
      </c>
      <c r="L2" s="298" t="s">
        <v>508</v>
      </c>
      <c r="S2" s="300" t="s">
        <v>704</v>
      </c>
      <c r="T2" s="296" t="s">
        <v>704</v>
      </c>
      <c r="U2" s="296" t="s">
        <v>704</v>
      </c>
      <c r="V2" s="296" t="s">
        <v>704</v>
      </c>
      <c r="W2" s="296" t="s">
        <v>704</v>
      </c>
      <c r="X2" s="296" t="s">
        <v>704</v>
      </c>
      <c r="Y2" s="296" t="s">
        <v>704</v>
      </c>
      <c r="Z2" s="296" t="s">
        <v>704</v>
      </c>
      <c r="AA2" s="296" t="s">
        <v>704</v>
      </c>
      <c r="AB2" s="296" t="s">
        <v>704</v>
      </c>
      <c r="AC2" s="296" t="s">
        <v>704</v>
      </c>
      <c r="AD2" s="296" t="s">
        <v>704</v>
      </c>
      <c r="AE2" s="296" t="s">
        <v>704</v>
      </c>
      <c r="AF2" s="296" t="s">
        <v>704</v>
      </c>
      <c r="AG2" s="296" t="s">
        <v>704</v>
      </c>
      <c r="AH2" s="296" t="s">
        <v>704</v>
      </c>
      <c r="AI2" s="296" t="s">
        <v>704</v>
      </c>
      <c r="AJ2" s="296" t="s">
        <v>704</v>
      </c>
      <c r="AK2" s="296" t="s">
        <v>704</v>
      </c>
      <c r="AL2" s="296" t="s">
        <v>704</v>
      </c>
      <c r="AM2" s="296" t="s">
        <v>704</v>
      </c>
      <c r="AN2" s="296" t="s">
        <v>704</v>
      </c>
      <c r="AO2" s="296" t="s">
        <v>704</v>
      </c>
      <c r="AP2" s="296" t="s">
        <v>704</v>
      </c>
      <c r="AQ2" s="296" t="s">
        <v>704</v>
      </c>
      <c r="AR2" s="296" t="s">
        <v>704</v>
      </c>
      <c r="AS2" s="296" t="s">
        <v>704</v>
      </c>
      <c r="AT2" s="296" t="s">
        <v>704</v>
      </c>
      <c r="AU2" s="296" t="s">
        <v>704</v>
      </c>
      <c r="AV2" s="296" t="s">
        <v>704</v>
      </c>
      <c r="AW2" s="296"/>
      <c r="AX2" s="296"/>
    </row>
    <row r="3" spans="1:50" ht="18.75" customHeight="1" x14ac:dyDescent="0.25">
      <c r="A3" s="299"/>
      <c r="C3" s="301" t="s">
        <v>998</v>
      </c>
      <c r="D3" s="298" t="s">
        <v>508</v>
      </c>
      <c r="E3" s="298" t="s">
        <v>508</v>
      </c>
      <c r="F3" s="298" t="s">
        <v>508</v>
      </c>
      <c r="G3" s="298" t="s">
        <v>508</v>
      </c>
      <c r="H3" s="298" t="s">
        <v>508</v>
      </c>
      <c r="I3" s="298" t="s">
        <v>508</v>
      </c>
      <c r="J3" s="298" t="s">
        <v>508</v>
      </c>
      <c r="K3" s="298" t="s">
        <v>508</v>
      </c>
      <c r="L3" s="298" t="s">
        <v>508</v>
      </c>
      <c r="S3" s="300" t="s">
        <v>704</v>
      </c>
      <c r="T3" s="296" t="s">
        <v>704</v>
      </c>
      <c r="U3" s="296" t="s">
        <v>704</v>
      </c>
      <c r="V3" s="296" t="s">
        <v>704</v>
      </c>
      <c r="W3" s="296" t="s">
        <v>704</v>
      </c>
      <c r="X3" s="296" t="s">
        <v>704</v>
      </c>
      <c r="Y3" s="296" t="s">
        <v>704</v>
      </c>
      <c r="Z3" s="296" t="s">
        <v>704</v>
      </c>
      <c r="AA3" s="296" t="s">
        <v>704</v>
      </c>
      <c r="AB3" s="296" t="s">
        <v>704</v>
      </c>
      <c r="AC3" s="296" t="s">
        <v>704</v>
      </c>
      <c r="AD3" s="296" t="s">
        <v>704</v>
      </c>
      <c r="AE3" s="296" t="s">
        <v>704</v>
      </c>
      <c r="AF3" s="296" t="s">
        <v>704</v>
      </c>
      <c r="AG3" s="296" t="s">
        <v>704</v>
      </c>
      <c r="AH3" s="296" t="s">
        <v>704</v>
      </c>
      <c r="AI3" s="296" t="s">
        <v>704</v>
      </c>
      <c r="AJ3" s="296" t="s">
        <v>704</v>
      </c>
      <c r="AK3" s="296" t="s">
        <v>704</v>
      </c>
      <c r="AL3" s="296" t="s">
        <v>704</v>
      </c>
      <c r="AM3" s="296" t="s">
        <v>704</v>
      </c>
      <c r="AN3" s="296" t="s">
        <v>704</v>
      </c>
      <c r="AO3" s="296" t="s">
        <v>704</v>
      </c>
      <c r="AP3" s="296" t="s">
        <v>704</v>
      </c>
      <c r="AQ3" s="296" t="s">
        <v>704</v>
      </c>
      <c r="AR3" s="296" t="s">
        <v>704</v>
      </c>
      <c r="AS3" s="296" t="s">
        <v>704</v>
      </c>
      <c r="AT3" s="296" t="s">
        <v>704</v>
      </c>
      <c r="AU3" s="296" t="s">
        <v>704</v>
      </c>
      <c r="AV3" s="296" t="s">
        <v>704</v>
      </c>
      <c r="AW3" s="296"/>
      <c r="AX3" s="296"/>
    </row>
    <row r="4" spans="1:50" x14ac:dyDescent="0.25">
      <c r="A4" s="299"/>
      <c r="C4" s="302" t="s">
        <v>990</v>
      </c>
      <c r="D4" s="298" t="s">
        <v>704</v>
      </c>
      <c r="E4" s="298" t="s">
        <v>704</v>
      </c>
      <c r="F4" s="298" t="s">
        <v>704</v>
      </c>
      <c r="G4" s="298" t="s">
        <v>704</v>
      </c>
      <c r="H4" s="298" t="s">
        <v>704</v>
      </c>
      <c r="I4" s="298" t="s">
        <v>704</v>
      </c>
      <c r="J4" s="298" t="s">
        <v>704</v>
      </c>
      <c r="S4" s="300" t="s">
        <v>704</v>
      </c>
      <c r="T4" s="296" t="s">
        <v>704</v>
      </c>
      <c r="U4" s="296" t="s">
        <v>704</v>
      </c>
      <c r="V4" s="296" t="s">
        <v>704</v>
      </c>
      <c r="W4" s="296" t="s">
        <v>704</v>
      </c>
      <c r="X4" s="296" t="s">
        <v>704</v>
      </c>
      <c r="Y4" s="296" t="s">
        <v>704</v>
      </c>
      <c r="Z4" s="296" t="s">
        <v>704</v>
      </c>
      <c r="AA4" s="296" t="s">
        <v>704</v>
      </c>
      <c r="AB4" s="296" t="s">
        <v>704</v>
      </c>
      <c r="AC4" s="296" t="s">
        <v>704</v>
      </c>
      <c r="AD4" s="296" t="s">
        <v>704</v>
      </c>
      <c r="AE4" s="296" t="s">
        <v>704</v>
      </c>
      <c r="AF4" s="296" t="s">
        <v>704</v>
      </c>
      <c r="AG4" s="296" t="s">
        <v>704</v>
      </c>
      <c r="AH4" s="296" t="s">
        <v>704</v>
      </c>
      <c r="AI4" s="296" t="s">
        <v>704</v>
      </c>
      <c r="AJ4" s="296" t="s">
        <v>704</v>
      </c>
      <c r="AK4" s="296" t="s">
        <v>704</v>
      </c>
      <c r="AL4" s="296" t="s">
        <v>704</v>
      </c>
      <c r="AM4" s="296" t="s">
        <v>704</v>
      </c>
      <c r="AN4" s="296" t="s">
        <v>704</v>
      </c>
      <c r="AO4" s="296" t="s">
        <v>704</v>
      </c>
      <c r="AP4" s="296" t="s">
        <v>704</v>
      </c>
      <c r="AQ4" s="296" t="s">
        <v>704</v>
      </c>
      <c r="AR4" s="296" t="s">
        <v>704</v>
      </c>
      <c r="AS4" s="296" t="s">
        <v>704</v>
      </c>
      <c r="AT4" s="296" t="s">
        <v>704</v>
      </c>
      <c r="AU4" s="296" t="s">
        <v>704</v>
      </c>
      <c r="AV4" s="296" t="s">
        <v>704</v>
      </c>
      <c r="AW4" s="296"/>
      <c r="AX4" s="296"/>
    </row>
    <row r="5" spans="1:50" x14ac:dyDescent="0.25">
      <c r="A5" s="299"/>
      <c r="C5" s="302" t="s">
        <v>991</v>
      </c>
      <c r="D5" s="331" t="s">
        <v>999</v>
      </c>
      <c r="E5" s="331" t="s">
        <v>1000</v>
      </c>
      <c r="F5" s="331" t="s">
        <v>1001</v>
      </c>
      <c r="G5" s="331" t="s">
        <v>1002</v>
      </c>
      <c r="H5" s="331" t="s">
        <v>1003</v>
      </c>
      <c r="I5" s="331" t="s">
        <v>1004</v>
      </c>
      <c r="J5" s="331" t="s">
        <v>1005</v>
      </c>
      <c r="K5" s="331" t="s">
        <v>1006</v>
      </c>
      <c r="L5" s="331" t="s">
        <v>1007</v>
      </c>
      <c r="M5" s="331" t="s">
        <v>1008</v>
      </c>
      <c r="N5" s="331" t="s">
        <v>1009</v>
      </c>
      <c r="O5" s="331" t="s">
        <v>1010</v>
      </c>
      <c r="P5" s="331" t="s">
        <v>1011</v>
      </c>
      <c r="Q5" s="331" t="s">
        <v>1012</v>
      </c>
      <c r="R5" s="331" t="s">
        <v>1013</v>
      </c>
      <c r="S5" s="300" t="s">
        <v>704</v>
      </c>
      <c r="T5" s="296" t="s">
        <v>704</v>
      </c>
      <c r="U5" s="296" t="s">
        <v>704</v>
      </c>
      <c r="V5" s="296" t="s">
        <v>704</v>
      </c>
      <c r="W5" s="296" t="s">
        <v>704</v>
      </c>
      <c r="X5" s="296" t="s">
        <v>704</v>
      </c>
      <c r="Y5" s="296" t="s">
        <v>704</v>
      </c>
      <c r="Z5" s="296" t="s">
        <v>704</v>
      </c>
      <c r="AA5" s="296" t="s">
        <v>704</v>
      </c>
      <c r="AB5" s="296" t="s">
        <v>704</v>
      </c>
      <c r="AC5" s="296" t="s">
        <v>704</v>
      </c>
      <c r="AD5" s="296" t="s">
        <v>704</v>
      </c>
      <c r="AE5" s="296" t="s">
        <v>704</v>
      </c>
      <c r="AF5" s="296" t="s">
        <v>704</v>
      </c>
      <c r="AG5" s="296" t="s">
        <v>704</v>
      </c>
      <c r="AH5" s="296" t="s">
        <v>704</v>
      </c>
      <c r="AI5" s="296" t="s">
        <v>704</v>
      </c>
      <c r="AJ5" s="296" t="s">
        <v>704</v>
      </c>
      <c r="AK5" s="296" t="s">
        <v>704</v>
      </c>
      <c r="AL5" s="296" t="s">
        <v>704</v>
      </c>
      <c r="AM5" s="296" t="s">
        <v>704</v>
      </c>
      <c r="AN5" s="296" t="s">
        <v>704</v>
      </c>
      <c r="AO5" s="296" t="s">
        <v>704</v>
      </c>
      <c r="AP5" s="296" t="s">
        <v>704</v>
      </c>
      <c r="AQ5" s="296" t="s">
        <v>704</v>
      </c>
      <c r="AR5" s="296" t="s">
        <v>704</v>
      </c>
      <c r="AS5" s="296" t="s">
        <v>704</v>
      </c>
      <c r="AT5" s="296" t="s">
        <v>704</v>
      </c>
      <c r="AU5" s="296" t="s">
        <v>704</v>
      </c>
      <c r="AV5" s="296" t="s">
        <v>704</v>
      </c>
      <c r="AW5" s="296"/>
      <c r="AX5" s="296"/>
    </row>
    <row r="6" spans="1:50" x14ac:dyDescent="0.25">
      <c r="A6" s="299"/>
      <c r="D6" s="298" t="s">
        <v>704</v>
      </c>
      <c r="E6" s="298" t="s">
        <v>704</v>
      </c>
      <c r="F6" s="298" t="s">
        <v>704</v>
      </c>
      <c r="G6" s="298" t="s">
        <v>704</v>
      </c>
      <c r="H6" s="298" t="s">
        <v>704</v>
      </c>
      <c r="I6" s="298" t="s">
        <v>704</v>
      </c>
      <c r="J6" s="298" t="s">
        <v>704</v>
      </c>
      <c r="S6" s="300" t="s">
        <v>704</v>
      </c>
      <c r="T6" s="296" t="s">
        <v>704</v>
      </c>
      <c r="U6" s="296" t="s">
        <v>704</v>
      </c>
      <c r="V6" s="296" t="s">
        <v>704</v>
      </c>
      <c r="W6" s="296" t="s">
        <v>704</v>
      </c>
      <c r="X6" s="296" t="s">
        <v>704</v>
      </c>
      <c r="Y6" s="296" t="s">
        <v>704</v>
      </c>
      <c r="Z6" s="296" t="s">
        <v>704</v>
      </c>
      <c r="AA6" s="296" t="s">
        <v>704</v>
      </c>
      <c r="AB6" s="296" t="s">
        <v>704</v>
      </c>
      <c r="AC6" s="296" t="s">
        <v>704</v>
      </c>
      <c r="AD6" s="296" t="s">
        <v>704</v>
      </c>
      <c r="AE6" s="296" t="s">
        <v>704</v>
      </c>
      <c r="AF6" s="296" t="s">
        <v>704</v>
      </c>
      <c r="AG6" s="296" t="s">
        <v>704</v>
      </c>
      <c r="AH6" s="296" t="s">
        <v>704</v>
      </c>
      <c r="AI6" s="296" t="s">
        <v>704</v>
      </c>
      <c r="AJ6" s="296" t="s">
        <v>704</v>
      </c>
      <c r="AK6" s="296" t="s">
        <v>704</v>
      </c>
      <c r="AL6" s="296" t="s">
        <v>704</v>
      </c>
      <c r="AM6" s="296" t="s">
        <v>704</v>
      </c>
      <c r="AN6" s="296" t="s">
        <v>704</v>
      </c>
      <c r="AO6" s="296" t="s">
        <v>704</v>
      </c>
      <c r="AP6" s="296" t="s">
        <v>704</v>
      </c>
      <c r="AQ6" s="296" t="s">
        <v>704</v>
      </c>
      <c r="AR6" s="296" t="s">
        <v>704</v>
      </c>
      <c r="AS6" s="296" t="s">
        <v>704</v>
      </c>
      <c r="AT6" s="296" t="s">
        <v>704</v>
      </c>
      <c r="AU6" s="296" t="s">
        <v>704</v>
      </c>
      <c r="AV6" s="296" t="s">
        <v>704</v>
      </c>
      <c r="AW6" s="296"/>
      <c r="AX6" s="296"/>
    </row>
    <row r="7" spans="1:50" ht="24" x14ac:dyDescent="0.25">
      <c r="A7" s="299"/>
      <c r="C7" s="304" t="s">
        <v>995</v>
      </c>
      <c r="D7" s="298" t="s">
        <v>704</v>
      </c>
      <c r="E7" s="298" t="s">
        <v>704</v>
      </c>
      <c r="F7" s="298" t="s">
        <v>704</v>
      </c>
      <c r="G7" s="298" t="s">
        <v>704</v>
      </c>
      <c r="H7" s="298" t="s">
        <v>704</v>
      </c>
      <c r="I7" s="298" t="s">
        <v>704</v>
      </c>
      <c r="J7" s="298" t="s">
        <v>704</v>
      </c>
      <c r="S7" s="300" t="s">
        <v>704</v>
      </c>
      <c r="T7" s="296" t="s">
        <v>704</v>
      </c>
      <c r="U7" s="296" t="s">
        <v>704</v>
      </c>
      <c r="V7" s="296" t="s">
        <v>704</v>
      </c>
      <c r="W7" s="296" t="s">
        <v>704</v>
      </c>
      <c r="X7" s="296" t="s">
        <v>704</v>
      </c>
      <c r="Y7" s="296" t="s">
        <v>704</v>
      </c>
      <c r="Z7" s="296" t="s">
        <v>704</v>
      </c>
      <c r="AA7" s="296" t="s">
        <v>704</v>
      </c>
      <c r="AB7" s="296" t="s">
        <v>704</v>
      </c>
      <c r="AC7" s="296" t="s">
        <v>704</v>
      </c>
      <c r="AD7" s="296" t="s">
        <v>704</v>
      </c>
      <c r="AE7" s="296" t="s">
        <v>704</v>
      </c>
      <c r="AF7" s="296" t="s">
        <v>704</v>
      </c>
      <c r="AG7" s="296" t="s">
        <v>704</v>
      </c>
      <c r="AH7" s="296" t="s">
        <v>704</v>
      </c>
      <c r="AI7" s="296" t="s">
        <v>704</v>
      </c>
      <c r="AJ7" s="296" t="s">
        <v>704</v>
      </c>
      <c r="AK7" s="296" t="s">
        <v>704</v>
      </c>
      <c r="AL7" s="296" t="s">
        <v>704</v>
      </c>
      <c r="AM7" s="296" t="s">
        <v>704</v>
      </c>
      <c r="AN7" s="296" t="s">
        <v>704</v>
      </c>
      <c r="AO7" s="296" t="s">
        <v>704</v>
      </c>
      <c r="AP7" s="296" t="s">
        <v>704</v>
      </c>
      <c r="AQ7" s="296" t="s">
        <v>704</v>
      </c>
      <c r="AR7" s="296" t="s">
        <v>704</v>
      </c>
      <c r="AS7" s="296" t="s">
        <v>704</v>
      </c>
      <c r="AT7" s="296" t="s">
        <v>704</v>
      </c>
      <c r="AU7" s="296" t="s">
        <v>704</v>
      </c>
      <c r="AV7" s="296" t="s">
        <v>704</v>
      </c>
      <c r="AW7" s="296"/>
      <c r="AX7" s="296"/>
    </row>
    <row r="8" spans="1:50" x14ac:dyDescent="0.25">
      <c r="A8" s="299"/>
      <c r="D8" s="298" t="s">
        <v>704</v>
      </c>
      <c r="E8" s="298" t="s">
        <v>704</v>
      </c>
      <c r="F8" s="298" t="s">
        <v>704</v>
      </c>
      <c r="G8" s="298" t="s">
        <v>704</v>
      </c>
      <c r="H8" s="298" t="s">
        <v>704</v>
      </c>
      <c r="I8" s="298" t="s">
        <v>704</v>
      </c>
      <c r="J8" s="298" t="s">
        <v>704</v>
      </c>
      <c r="S8" s="300" t="s">
        <v>704</v>
      </c>
      <c r="T8" s="296" t="s">
        <v>704</v>
      </c>
      <c r="U8" s="296" t="s">
        <v>704</v>
      </c>
      <c r="V8" s="296" t="s">
        <v>704</v>
      </c>
      <c r="W8" s="296" t="s">
        <v>704</v>
      </c>
      <c r="X8" s="296" t="s">
        <v>704</v>
      </c>
      <c r="Y8" s="296" t="s">
        <v>704</v>
      </c>
      <c r="Z8" s="296" t="s">
        <v>704</v>
      </c>
      <c r="AA8" s="296" t="s">
        <v>704</v>
      </c>
      <c r="AB8" s="296" t="s">
        <v>704</v>
      </c>
      <c r="AC8" s="296" t="s">
        <v>704</v>
      </c>
      <c r="AD8" s="296" t="s">
        <v>704</v>
      </c>
      <c r="AE8" s="296" t="s">
        <v>704</v>
      </c>
      <c r="AF8" s="296" t="s">
        <v>704</v>
      </c>
      <c r="AG8" s="296" t="s">
        <v>704</v>
      </c>
      <c r="AH8" s="296" t="s">
        <v>704</v>
      </c>
      <c r="AI8" s="296" t="s">
        <v>704</v>
      </c>
      <c r="AJ8" s="296" t="s">
        <v>704</v>
      </c>
      <c r="AK8" s="296" t="s">
        <v>704</v>
      </c>
      <c r="AL8" s="296" t="s">
        <v>704</v>
      </c>
      <c r="AM8" s="296" t="s">
        <v>704</v>
      </c>
      <c r="AN8" s="296" t="s">
        <v>704</v>
      </c>
      <c r="AO8" s="296" t="s">
        <v>704</v>
      </c>
      <c r="AP8" s="296" t="s">
        <v>704</v>
      </c>
      <c r="AQ8" s="296" t="s">
        <v>704</v>
      </c>
      <c r="AR8" s="296" t="s">
        <v>704</v>
      </c>
      <c r="AS8" s="296" t="s">
        <v>704</v>
      </c>
      <c r="AT8" s="296" t="s">
        <v>704</v>
      </c>
      <c r="AU8" s="296" t="s">
        <v>704</v>
      </c>
      <c r="AV8" s="296" t="s">
        <v>704</v>
      </c>
      <c r="AW8" s="296"/>
      <c r="AX8" s="296"/>
    </row>
    <row r="9" spans="1:50" x14ac:dyDescent="0.25">
      <c r="A9" s="299"/>
      <c r="D9" s="305" t="s">
        <v>704</v>
      </c>
      <c r="E9" s="305" t="s">
        <v>704</v>
      </c>
      <c r="F9" s="305" t="s">
        <v>704</v>
      </c>
      <c r="G9" s="305" t="s">
        <v>704</v>
      </c>
      <c r="H9" s="305" t="s">
        <v>704</v>
      </c>
      <c r="I9" s="305" t="s">
        <v>704</v>
      </c>
      <c r="J9" s="305" t="s">
        <v>704</v>
      </c>
      <c r="K9" s="305" t="s">
        <v>704</v>
      </c>
      <c r="L9" s="305" t="s">
        <v>704</v>
      </c>
      <c r="M9" s="305" t="s">
        <v>704</v>
      </c>
      <c r="N9" s="305" t="s">
        <v>704</v>
      </c>
      <c r="O9" s="305" t="s">
        <v>704</v>
      </c>
      <c r="P9" s="305" t="s">
        <v>704</v>
      </c>
      <c r="Q9" s="305" t="s">
        <v>704</v>
      </c>
      <c r="R9" s="305" t="s">
        <v>704</v>
      </c>
      <c r="S9" s="300" t="s">
        <v>704</v>
      </c>
      <c r="T9" s="296" t="s">
        <v>704</v>
      </c>
      <c r="U9" s="296" t="s">
        <v>704</v>
      </c>
      <c r="V9" s="296" t="s">
        <v>704</v>
      </c>
      <c r="W9" s="296" t="s">
        <v>704</v>
      </c>
      <c r="X9" s="296" t="s">
        <v>704</v>
      </c>
      <c r="Y9" s="296" t="s">
        <v>704</v>
      </c>
      <c r="Z9" s="296" t="s">
        <v>704</v>
      </c>
      <c r="AA9" s="296" t="s">
        <v>704</v>
      </c>
      <c r="AB9" s="296" t="s">
        <v>704</v>
      </c>
      <c r="AC9" s="296" t="s">
        <v>704</v>
      </c>
      <c r="AD9" s="296" t="s">
        <v>704</v>
      </c>
      <c r="AE9" s="296" t="s">
        <v>704</v>
      </c>
      <c r="AF9" s="296" t="s">
        <v>704</v>
      </c>
      <c r="AG9" s="296" t="s">
        <v>704</v>
      </c>
      <c r="AH9" s="296" t="s">
        <v>704</v>
      </c>
      <c r="AI9" s="296" t="s">
        <v>704</v>
      </c>
      <c r="AJ9" s="296" t="s">
        <v>704</v>
      </c>
      <c r="AK9" s="296" t="s">
        <v>704</v>
      </c>
      <c r="AL9" s="296" t="s">
        <v>704</v>
      </c>
      <c r="AM9" s="296" t="s">
        <v>704</v>
      </c>
      <c r="AN9" s="296" t="s">
        <v>704</v>
      </c>
      <c r="AO9" s="296" t="s">
        <v>704</v>
      </c>
      <c r="AP9" s="296" t="s">
        <v>704</v>
      </c>
      <c r="AQ9" s="296" t="s">
        <v>704</v>
      </c>
      <c r="AR9" s="296" t="s">
        <v>704</v>
      </c>
      <c r="AS9" s="296" t="s">
        <v>704</v>
      </c>
      <c r="AT9" s="296" t="s">
        <v>704</v>
      </c>
      <c r="AU9" s="296" t="s">
        <v>704</v>
      </c>
      <c r="AV9" s="296" t="s">
        <v>704</v>
      </c>
      <c r="AW9" s="296"/>
      <c r="AX9" s="296"/>
    </row>
    <row r="10" spans="1:50" x14ac:dyDescent="0.25">
      <c r="A10" s="299"/>
      <c r="D10" s="298" t="s">
        <v>704</v>
      </c>
      <c r="E10" s="298" t="s">
        <v>704</v>
      </c>
      <c r="F10" s="298" t="s">
        <v>704</v>
      </c>
      <c r="G10" s="298" t="s">
        <v>704</v>
      </c>
      <c r="H10" s="298" t="s">
        <v>704</v>
      </c>
      <c r="I10" s="298" t="s">
        <v>704</v>
      </c>
      <c r="J10" s="298" t="s">
        <v>704</v>
      </c>
      <c r="S10" s="300" t="s">
        <v>704</v>
      </c>
      <c r="T10" s="296" t="s">
        <v>704</v>
      </c>
      <c r="U10" s="296" t="s">
        <v>704</v>
      </c>
      <c r="V10" s="296" t="s">
        <v>704</v>
      </c>
      <c r="W10" s="296" t="s">
        <v>704</v>
      </c>
      <c r="X10" s="296" t="s">
        <v>704</v>
      </c>
      <c r="Y10" s="296" t="s">
        <v>704</v>
      </c>
      <c r="Z10" s="296" t="s">
        <v>704</v>
      </c>
      <c r="AA10" s="296" t="s">
        <v>704</v>
      </c>
      <c r="AB10" s="296" t="s">
        <v>704</v>
      </c>
      <c r="AC10" s="296" t="s">
        <v>704</v>
      </c>
      <c r="AD10" s="296" t="s">
        <v>704</v>
      </c>
      <c r="AE10" s="296" t="s">
        <v>704</v>
      </c>
      <c r="AF10" s="296" t="s">
        <v>704</v>
      </c>
      <c r="AG10" s="296" t="s">
        <v>704</v>
      </c>
      <c r="AH10" s="296" t="s">
        <v>704</v>
      </c>
      <c r="AI10" s="296" t="s">
        <v>704</v>
      </c>
      <c r="AJ10" s="296" t="s">
        <v>704</v>
      </c>
      <c r="AK10" s="296" t="s">
        <v>704</v>
      </c>
      <c r="AL10" s="296" t="s">
        <v>704</v>
      </c>
      <c r="AM10" s="296" t="s">
        <v>704</v>
      </c>
      <c r="AN10" s="296" t="s">
        <v>704</v>
      </c>
      <c r="AO10" s="296" t="s">
        <v>704</v>
      </c>
      <c r="AP10" s="296" t="s">
        <v>704</v>
      </c>
      <c r="AQ10" s="296" t="s">
        <v>704</v>
      </c>
      <c r="AR10" s="296" t="s">
        <v>704</v>
      </c>
      <c r="AS10" s="296" t="s">
        <v>704</v>
      </c>
      <c r="AT10" s="296" t="s">
        <v>704</v>
      </c>
      <c r="AU10" s="296" t="s">
        <v>704</v>
      </c>
      <c r="AV10" s="296" t="s">
        <v>704</v>
      </c>
      <c r="AW10" s="296"/>
      <c r="AX10" s="296"/>
    </row>
    <row r="11" spans="1:50" x14ac:dyDescent="0.25">
      <c r="A11" s="299">
        <v>1</v>
      </c>
      <c r="C11" s="313" t="str">
        <f>"Total Revenue"</f>
        <v>Total Revenue</v>
      </c>
      <c r="D11" s="307" t="s">
        <v>704</v>
      </c>
      <c r="E11" s="307" t="s">
        <v>704</v>
      </c>
      <c r="F11" s="307" t="s">
        <v>704</v>
      </c>
      <c r="G11" s="307" t="s">
        <v>704</v>
      </c>
      <c r="H11" s="307" t="s">
        <v>704</v>
      </c>
      <c r="I11" s="307" t="s">
        <v>704</v>
      </c>
      <c r="J11" s="307" t="s">
        <v>704</v>
      </c>
      <c r="K11" s="307" t="s">
        <v>704</v>
      </c>
      <c r="L11" s="307" t="s">
        <v>704</v>
      </c>
      <c r="M11" s="307" t="s">
        <v>704</v>
      </c>
      <c r="N11" s="307" t="s">
        <v>704</v>
      </c>
      <c r="O11" s="307" t="s">
        <v>704</v>
      </c>
      <c r="P11" s="307" t="s">
        <v>704</v>
      </c>
      <c r="Q11" s="307" t="s">
        <v>704</v>
      </c>
      <c r="R11" s="307" t="s">
        <v>704</v>
      </c>
      <c r="S11" s="300" t="s">
        <v>704</v>
      </c>
      <c r="T11" s="296" t="s">
        <v>704</v>
      </c>
      <c r="U11" s="296" t="s">
        <v>704</v>
      </c>
      <c r="V11" s="296" t="s">
        <v>704</v>
      </c>
      <c r="W11" s="296" t="s">
        <v>704</v>
      </c>
      <c r="X11" s="296" t="s">
        <v>704</v>
      </c>
      <c r="Y11" s="296" t="s">
        <v>704</v>
      </c>
      <c r="Z11" s="296" t="s">
        <v>704</v>
      </c>
      <c r="AA11" s="296" t="s">
        <v>704</v>
      </c>
      <c r="AB11" s="296" t="s">
        <v>704</v>
      </c>
      <c r="AC11" s="296" t="s">
        <v>704</v>
      </c>
      <c r="AD11" s="296" t="s">
        <v>704</v>
      </c>
      <c r="AE11" s="296" t="s">
        <v>704</v>
      </c>
      <c r="AF11" s="296" t="s">
        <v>704</v>
      </c>
      <c r="AG11" s="296" t="s">
        <v>704</v>
      </c>
      <c r="AH11" s="296" t="s">
        <v>704</v>
      </c>
      <c r="AI11" s="296" t="s">
        <v>704</v>
      </c>
      <c r="AJ11" s="296" t="s">
        <v>704</v>
      </c>
      <c r="AK11" s="296" t="s">
        <v>704</v>
      </c>
      <c r="AL11" s="296" t="s">
        <v>704</v>
      </c>
      <c r="AM11" s="296" t="s">
        <v>704</v>
      </c>
      <c r="AN11" s="296" t="s">
        <v>704</v>
      </c>
      <c r="AO11" s="296" t="s">
        <v>704</v>
      </c>
      <c r="AP11" s="296" t="s">
        <v>704</v>
      </c>
      <c r="AQ11" s="296" t="s">
        <v>704</v>
      </c>
      <c r="AR11" s="296" t="s">
        <v>704</v>
      </c>
      <c r="AS11" s="296" t="s">
        <v>704</v>
      </c>
      <c r="AT11" s="296" t="s">
        <v>704</v>
      </c>
      <c r="AU11" s="296" t="s">
        <v>704</v>
      </c>
      <c r="AV11" s="296" t="s">
        <v>704</v>
      </c>
      <c r="AW11" s="296"/>
      <c r="AX11" s="296"/>
    </row>
    <row r="12" spans="1:50" x14ac:dyDescent="0.25">
      <c r="A12" s="299">
        <v>1</v>
      </c>
      <c r="C12" s="308" t="str">
        <f>"    Actual"</f>
        <v xml:space="preserve">    Actual</v>
      </c>
      <c r="D12" s="309">
        <v>58803</v>
      </c>
      <c r="E12" s="309">
        <v>63595</v>
      </c>
      <c r="F12" s="309">
        <v>73014</v>
      </c>
      <c r="G12" s="309">
        <v>81220</v>
      </c>
      <c r="H12" s="309">
        <v>88386</v>
      </c>
      <c r="I12" s="309">
        <v>96065</v>
      </c>
      <c r="J12" s="309">
        <v>103824</v>
      </c>
      <c r="K12" s="309" t="s">
        <v>704</v>
      </c>
      <c r="L12" s="309" t="s">
        <v>704</v>
      </c>
      <c r="M12" s="309" t="s">
        <v>704</v>
      </c>
      <c r="N12" s="309" t="s">
        <v>704</v>
      </c>
      <c r="O12" s="309" t="s">
        <v>704</v>
      </c>
      <c r="P12" s="309" t="s">
        <v>704</v>
      </c>
      <c r="Q12" s="309" t="s">
        <v>704</v>
      </c>
      <c r="R12" s="309" t="s">
        <v>704</v>
      </c>
      <c r="S12" s="300" t="s">
        <v>704</v>
      </c>
      <c r="T12" s="296" t="s">
        <v>704</v>
      </c>
      <c r="U12" s="296" t="s">
        <v>704</v>
      </c>
      <c r="V12" s="296" t="s">
        <v>704</v>
      </c>
      <c r="W12" s="296" t="s">
        <v>704</v>
      </c>
      <c r="X12" s="296" t="s">
        <v>704</v>
      </c>
      <c r="Y12" s="296" t="s">
        <v>704</v>
      </c>
      <c r="Z12" s="296" t="s">
        <v>704</v>
      </c>
      <c r="AA12" s="296" t="s">
        <v>704</v>
      </c>
      <c r="AB12" s="296" t="s">
        <v>704</v>
      </c>
      <c r="AC12" s="296" t="s">
        <v>704</v>
      </c>
      <c r="AD12" s="296" t="s">
        <v>704</v>
      </c>
      <c r="AE12" s="296" t="s">
        <v>704</v>
      </c>
      <c r="AF12" s="296" t="s">
        <v>704</v>
      </c>
      <c r="AG12" s="296" t="s">
        <v>704</v>
      </c>
      <c r="AH12" s="296" t="s">
        <v>704</v>
      </c>
      <c r="AI12" s="296" t="s">
        <v>704</v>
      </c>
      <c r="AJ12" s="296" t="s">
        <v>704</v>
      </c>
      <c r="AK12" s="296" t="s">
        <v>704</v>
      </c>
      <c r="AL12" s="296" t="s">
        <v>704</v>
      </c>
      <c r="AM12" s="296" t="s">
        <v>704</v>
      </c>
      <c r="AN12" s="296" t="s">
        <v>704</v>
      </c>
      <c r="AO12" s="296" t="s">
        <v>704</v>
      </c>
      <c r="AP12" s="296" t="s">
        <v>704</v>
      </c>
      <c r="AQ12" s="296" t="s">
        <v>704</v>
      </c>
      <c r="AR12" s="296" t="s">
        <v>704</v>
      </c>
      <c r="AS12" s="296" t="s">
        <v>704</v>
      </c>
      <c r="AT12" s="296" t="s">
        <v>704</v>
      </c>
      <c r="AU12" s="296" t="s">
        <v>704</v>
      </c>
      <c r="AV12" s="296" t="s">
        <v>704</v>
      </c>
      <c r="AW12" s="296"/>
      <c r="AX12" s="296"/>
    </row>
    <row r="13" spans="1:50" x14ac:dyDescent="0.25">
      <c r="A13" s="299">
        <v>1</v>
      </c>
      <c r="C13" s="308" t="str">
        <f>"    Median"</f>
        <v xml:space="preserve">    Median</v>
      </c>
      <c r="D13" s="309">
        <v>58800</v>
      </c>
      <c r="E13" s="309">
        <v>60600</v>
      </c>
      <c r="F13" s="309">
        <v>69000</v>
      </c>
      <c r="G13" s="309">
        <v>77439.067999999999</v>
      </c>
      <c r="H13" s="309">
        <v>85800</v>
      </c>
      <c r="I13" s="309">
        <v>95200</v>
      </c>
      <c r="J13" s="309">
        <v>100000</v>
      </c>
      <c r="K13" s="309">
        <v>113000</v>
      </c>
      <c r="L13" s="309">
        <v>119000</v>
      </c>
      <c r="M13" s="309">
        <v>125938</v>
      </c>
      <c r="N13" s="309">
        <v>134386</v>
      </c>
      <c r="O13" s="309">
        <v>138017</v>
      </c>
      <c r="P13" s="309">
        <v>146314.5</v>
      </c>
      <c r="Q13" s="309">
        <v>154003</v>
      </c>
      <c r="R13" s="309">
        <v>160887.5</v>
      </c>
      <c r="S13" s="300" t="s">
        <v>704</v>
      </c>
      <c r="T13" s="296" t="s">
        <v>704</v>
      </c>
      <c r="U13" s="296" t="s">
        <v>704</v>
      </c>
      <c r="V13" s="296" t="s">
        <v>704</v>
      </c>
      <c r="W13" s="296" t="s">
        <v>704</v>
      </c>
      <c r="X13" s="296" t="s">
        <v>704</v>
      </c>
      <c r="Y13" s="296" t="s">
        <v>704</v>
      </c>
      <c r="Z13" s="296" t="s">
        <v>704</v>
      </c>
      <c r="AA13" s="296" t="s">
        <v>704</v>
      </c>
      <c r="AB13" s="296" t="s">
        <v>704</v>
      </c>
      <c r="AC13" s="296" t="s">
        <v>704</v>
      </c>
      <c r="AD13" s="296" t="s">
        <v>704</v>
      </c>
      <c r="AE13" s="296" t="s">
        <v>704</v>
      </c>
      <c r="AF13" s="296" t="s">
        <v>704</v>
      </c>
      <c r="AG13" s="296" t="s">
        <v>704</v>
      </c>
      <c r="AH13" s="296" t="s">
        <v>704</v>
      </c>
      <c r="AI13" s="296" t="s">
        <v>704</v>
      </c>
      <c r="AJ13" s="296" t="s">
        <v>704</v>
      </c>
      <c r="AK13" s="296" t="s">
        <v>704</v>
      </c>
      <c r="AL13" s="296" t="s">
        <v>704</v>
      </c>
      <c r="AM13" s="296" t="s">
        <v>704</v>
      </c>
      <c r="AN13" s="296" t="s">
        <v>704</v>
      </c>
      <c r="AO13" s="296" t="s">
        <v>704</v>
      </c>
      <c r="AP13" s="296" t="s">
        <v>704</v>
      </c>
      <c r="AQ13" s="296" t="s">
        <v>704</v>
      </c>
      <c r="AR13" s="296" t="s">
        <v>704</v>
      </c>
      <c r="AS13" s="296" t="s">
        <v>704</v>
      </c>
      <c r="AT13" s="296" t="s">
        <v>704</v>
      </c>
      <c r="AU13" s="296" t="s">
        <v>704</v>
      </c>
      <c r="AV13" s="296" t="s">
        <v>704</v>
      </c>
      <c r="AW13" s="296"/>
      <c r="AX13" s="296"/>
    </row>
    <row r="14" spans="1:50" x14ac:dyDescent="0.25">
      <c r="A14" s="299">
        <v>1</v>
      </c>
      <c r="C14" s="308" t="str">
        <f>"    High"</f>
        <v xml:space="preserve">    High</v>
      </c>
      <c r="D14" s="309">
        <v>59000</v>
      </c>
      <c r="E14" s="309">
        <v>61679</v>
      </c>
      <c r="F14" s="309">
        <v>69734.194000000003</v>
      </c>
      <c r="G14" s="309">
        <v>78500</v>
      </c>
      <c r="H14" s="309">
        <v>86600</v>
      </c>
      <c r="I14" s="309">
        <v>97225.266000000003</v>
      </c>
      <c r="J14" s="309">
        <v>101200</v>
      </c>
      <c r="K14" s="309">
        <v>113650.6</v>
      </c>
      <c r="L14" s="309">
        <v>121900</v>
      </c>
      <c r="M14" s="309">
        <v>128500</v>
      </c>
      <c r="N14" s="309">
        <v>138700</v>
      </c>
      <c r="O14" s="309">
        <v>141934</v>
      </c>
      <c r="P14" s="309">
        <v>150129</v>
      </c>
      <c r="Q14" s="309">
        <v>155106</v>
      </c>
      <c r="R14" s="309">
        <v>162875</v>
      </c>
      <c r="S14" s="300" t="s">
        <v>704</v>
      </c>
      <c r="T14" s="296" t="s">
        <v>704</v>
      </c>
      <c r="U14" s="296" t="s">
        <v>704</v>
      </c>
      <c r="V14" s="296" t="s">
        <v>704</v>
      </c>
      <c r="W14" s="296" t="s">
        <v>704</v>
      </c>
      <c r="X14" s="296" t="s">
        <v>704</v>
      </c>
      <c r="Y14" s="296" t="s">
        <v>704</v>
      </c>
      <c r="Z14" s="296" t="s">
        <v>704</v>
      </c>
      <c r="AA14" s="296" t="s">
        <v>704</v>
      </c>
      <c r="AB14" s="296" t="s">
        <v>704</v>
      </c>
      <c r="AC14" s="296" t="s">
        <v>704</v>
      </c>
      <c r="AD14" s="296" t="s">
        <v>704</v>
      </c>
      <c r="AE14" s="296" t="s">
        <v>704</v>
      </c>
      <c r="AF14" s="296" t="s">
        <v>704</v>
      </c>
      <c r="AG14" s="296" t="s">
        <v>704</v>
      </c>
      <c r="AH14" s="296" t="s">
        <v>704</v>
      </c>
      <c r="AI14" s="296" t="s">
        <v>704</v>
      </c>
      <c r="AJ14" s="296" t="s">
        <v>704</v>
      </c>
      <c r="AK14" s="296" t="s">
        <v>704</v>
      </c>
      <c r="AL14" s="296" t="s">
        <v>704</v>
      </c>
      <c r="AM14" s="296" t="s">
        <v>704</v>
      </c>
      <c r="AN14" s="296" t="s">
        <v>704</v>
      </c>
      <c r="AO14" s="296" t="s">
        <v>704</v>
      </c>
      <c r="AP14" s="296" t="s">
        <v>704</v>
      </c>
      <c r="AQ14" s="296" t="s">
        <v>704</v>
      </c>
      <c r="AR14" s="296" t="s">
        <v>704</v>
      </c>
      <c r="AS14" s="296" t="s">
        <v>704</v>
      </c>
      <c r="AT14" s="296" t="s">
        <v>704</v>
      </c>
      <c r="AU14" s="296" t="s">
        <v>704</v>
      </c>
      <c r="AV14" s="296" t="s">
        <v>704</v>
      </c>
      <c r="AW14" s="296"/>
      <c r="AX14" s="296"/>
    </row>
    <row r="15" spans="1:50" ht="15.75" thickBot="1" x14ac:dyDescent="0.3">
      <c r="A15" s="299">
        <v>1</v>
      </c>
      <c r="C15" s="1034" t="str">
        <f>"    Low"</f>
        <v xml:space="preserve">    Low</v>
      </c>
      <c r="D15" s="1035">
        <v>58800</v>
      </c>
      <c r="E15" s="1035">
        <v>58500</v>
      </c>
      <c r="F15" s="1035">
        <v>68000</v>
      </c>
      <c r="G15" s="1035">
        <v>77000</v>
      </c>
      <c r="H15" s="1035">
        <v>85000</v>
      </c>
      <c r="I15" s="1035">
        <v>93200</v>
      </c>
      <c r="J15" s="1035">
        <v>98349.9</v>
      </c>
      <c r="K15" s="1035">
        <v>111352.6</v>
      </c>
      <c r="L15" s="1035">
        <v>117700</v>
      </c>
      <c r="M15" s="1035">
        <v>121800</v>
      </c>
      <c r="N15" s="1035">
        <v>131692</v>
      </c>
      <c r="O15" s="1035">
        <v>134100</v>
      </c>
      <c r="P15" s="1035">
        <v>142500</v>
      </c>
      <c r="Q15" s="1035">
        <v>152900</v>
      </c>
      <c r="R15" s="1035">
        <v>158900</v>
      </c>
      <c r="S15" s="300" t="s">
        <v>704</v>
      </c>
      <c r="T15" s="296" t="s">
        <v>704</v>
      </c>
      <c r="U15" s="296" t="s">
        <v>704</v>
      </c>
      <c r="V15" s="296" t="s">
        <v>704</v>
      </c>
      <c r="W15" s="296" t="s">
        <v>704</v>
      </c>
      <c r="X15" s="296" t="s">
        <v>704</v>
      </c>
      <c r="Y15" s="296" t="s">
        <v>704</v>
      </c>
      <c r="Z15" s="296" t="s">
        <v>704</v>
      </c>
      <c r="AA15" s="296" t="s">
        <v>704</v>
      </c>
      <c r="AB15" s="296" t="s">
        <v>704</v>
      </c>
      <c r="AC15" s="296" t="s">
        <v>704</v>
      </c>
      <c r="AD15" s="296" t="s">
        <v>704</v>
      </c>
      <c r="AE15" s="296" t="s">
        <v>704</v>
      </c>
      <c r="AF15" s="296" t="s">
        <v>704</v>
      </c>
      <c r="AG15" s="296" t="s">
        <v>704</v>
      </c>
      <c r="AH15" s="296" t="s">
        <v>704</v>
      </c>
      <c r="AI15" s="296" t="s">
        <v>704</v>
      </c>
      <c r="AJ15" s="296" t="s">
        <v>704</v>
      </c>
      <c r="AK15" s="296" t="s">
        <v>704</v>
      </c>
      <c r="AL15" s="296" t="s">
        <v>704</v>
      </c>
      <c r="AM15" s="296" t="s">
        <v>704</v>
      </c>
      <c r="AN15" s="296" t="s">
        <v>704</v>
      </c>
      <c r="AO15" s="296" t="s">
        <v>704</v>
      </c>
      <c r="AP15" s="296" t="s">
        <v>704</v>
      </c>
      <c r="AQ15" s="296" t="s">
        <v>704</v>
      </c>
      <c r="AR15" s="296" t="s">
        <v>704</v>
      </c>
      <c r="AS15" s="296" t="s">
        <v>704</v>
      </c>
      <c r="AT15" s="296" t="s">
        <v>704</v>
      </c>
      <c r="AU15" s="296" t="s">
        <v>704</v>
      </c>
      <c r="AV15" s="296" t="s">
        <v>704</v>
      </c>
      <c r="AW15" s="296"/>
      <c r="AX15" s="296"/>
    </row>
    <row r="16" spans="1:50" ht="15.75" thickBot="1" x14ac:dyDescent="0.3">
      <c r="A16" s="299"/>
      <c r="C16" s="1036" t="s">
        <v>1014</v>
      </c>
      <c r="D16" s="309"/>
      <c r="E16" s="309"/>
      <c r="F16" s="309"/>
      <c r="G16" s="309"/>
      <c r="H16" s="1037">
        <f>+H15/D15-1</f>
        <v>0.44557823129251695</v>
      </c>
      <c r="I16" s="1037">
        <f t="shared" ref="I16:R16" si="0">+I15/E15-1</f>
        <v>0.59316239316239305</v>
      </c>
      <c r="J16" s="1037">
        <f t="shared" si="0"/>
        <v>0.44632205882352927</v>
      </c>
      <c r="K16" s="1043">
        <f t="shared" si="0"/>
        <v>0.4461376623376625</v>
      </c>
      <c r="L16" s="1037">
        <f t="shared" si="0"/>
        <v>0.38470588235294123</v>
      </c>
      <c r="M16" s="1037">
        <f t="shared" si="0"/>
        <v>0.30686695278969967</v>
      </c>
      <c r="N16" s="1037">
        <f t="shared" si="0"/>
        <v>0.3390150879665359</v>
      </c>
      <c r="O16" s="1043">
        <f t="shared" si="0"/>
        <v>0.2042826121707082</v>
      </c>
      <c r="P16" s="1037">
        <f t="shared" si="0"/>
        <v>0.21070518266779947</v>
      </c>
      <c r="Q16" s="1037">
        <f t="shared" si="0"/>
        <v>0.25533661740558289</v>
      </c>
      <c r="R16" s="1037">
        <f t="shared" si="0"/>
        <v>0.20660328645627679</v>
      </c>
      <c r="S16" s="300"/>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row>
    <row r="17" spans="1:50" x14ac:dyDescent="0.25">
      <c r="A17" s="299"/>
      <c r="C17" s="308"/>
      <c r="D17" s="309"/>
      <c r="E17" s="309"/>
      <c r="F17" s="309"/>
      <c r="G17" s="309"/>
      <c r="H17" s="309"/>
      <c r="I17" s="309"/>
      <c r="J17" s="309"/>
      <c r="K17" s="309"/>
      <c r="L17" s="309"/>
      <c r="M17" s="309"/>
      <c r="N17" s="309"/>
      <c r="O17" s="309"/>
      <c r="P17" s="309"/>
      <c r="Q17" s="309"/>
      <c r="R17" s="309"/>
      <c r="S17" s="300"/>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row>
    <row r="18" spans="1:50" x14ac:dyDescent="0.25">
      <c r="A18" s="299">
        <v>1</v>
      </c>
      <c r="C18" s="308" t="str">
        <f>"    Mean"</f>
        <v xml:space="preserve">    Mean</v>
      </c>
      <c r="D18" s="309">
        <v>58829</v>
      </c>
      <c r="E18" s="309">
        <v>60464.046999999999</v>
      </c>
      <c r="F18" s="309">
        <v>68989.399000000005</v>
      </c>
      <c r="G18" s="309">
        <v>77559.017000000007</v>
      </c>
      <c r="H18" s="309">
        <v>85703.255000000005</v>
      </c>
      <c r="I18" s="309">
        <v>95309.807000000001</v>
      </c>
      <c r="J18" s="309">
        <v>99892.987999999998</v>
      </c>
      <c r="K18" s="309">
        <v>112744.57799999999</v>
      </c>
      <c r="L18" s="309">
        <v>119464.482</v>
      </c>
      <c r="M18" s="309">
        <v>126021.228</v>
      </c>
      <c r="N18" s="309">
        <v>134852.353</v>
      </c>
      <c r="O18" s="309">
        <v>138017</v>
      </c>
      <c r="P18" s="309">
        <v>146314.5</v>
      </c>
      <c r="Q18" s="309">
        <v>154003</v>
      </c>
      <c r="R18" s="309">
        <v>160887.5</v>
      </c>
      <c r="S18" s="300" t="s">
        <v>704</v>
      </c>
      <c r="T18" s="296" t="s">
        <v>704</v>
      </c>
      <c r="U18" s="296" t="s">
        <v>704</v>
      </c>
      <c r="V18" s="296" t="s">
        <v>704</v>
      </c>
      <c r="W18" s="296" t="s">
        <v>704</v>
      </c>
      <c r="X18" s="296" t="s">
        <v>704</v>
      </c>
      <c r="Y18" s="296" t="s">
        <v>704</v>
      </c>
      <c r="Z18" s="296" t="s">
        <v>704</v>
      </c>
      <c r="AA18" s="296" t="s">
        <v>704</v>
      </c>
      <c r="AB18" s="296" t="s">
        <v>704</v>
      </c>
      <c r="AC18" s="296" t="s">
        <v>704</v>
      </c>
      <c r="AD18" s="296" t="s">
        <v>704</v>
      </c>
      <c r="AE18" s="296" t="s">
        <v>704</v>
      </c>
      <c r="AF18" s="296" t="s">
        <v>704</v>
      </c>
      <c r="AG18" s="296" t="s">
        <v>704</v>
      </c>
      <c r="AH18" s="296" t="s">
        <v>704</v>
      </c>
      <c r="AI18" s="296" t="s">
        <v>704</v>
      </c>
      <c r="AJ18" s="296" t="s">
        <v>704</v>
      </c>
      <c r="AK18" s="296" t="s">
        <v>704</v>
      </c>
      <c r="AL18" s="296" t="s">
        <v>704</v>
      </c>
      <c r="AM18" s="296" t="s">
        <v>704</v>
      </c>
      <c r="AN18" s="296" t="s">
        <v>704</v>
      </c>
      <c r="AO18" s="296" t="s">
        <v>704</v>
      </c>
      <c r="AP18" s="296" t="s">
        <v>704</v>
      </c>
      <c r="AQ18" s="296" t="s">
        <v>704</v>
      </c>
      <c r="AR18" s="296" t="s">
        <v>704</v>
      </c>
      <c r="AS18" s="296" t="s">
        <v>704</v>
      </c>
      <c r="AT18" s="296" t="s">
        <v>704</v>
      </c>
      <c r="AU18" s="296" t="s">
        <v>704</v>
      </c>
      <c r="AV18" s="296" t="s">
        <v>704</v>
      </c>
      <c r="AW18" s="296"/>
      <c r="AX18" s="296"/>
    </row>
    <row r="19" spans="1:50" x14ac:dyDescent="0.25">
      <c r="A19" s="299">
        <v>1</v>
      </c>
      <c r="C19" s="308" t="str">
        <f>"    Standard Deviation"</f>
        <v xml:space="preserve">    Standard Deviation</v>
      </c>
      <c r="D19" s="309">
        <v>75.412000000000006</v>
      </c>
      <c r="E19" s="309">
        <v>954.99900000000002</v>
      </c>
      <c r="F19" s="309">
        <v>583.5</v>
      </c>
      <c r="G19" s="309">
        <v>481.81900000000002</v>
      </c>
      <c r="H19" s="309">
        <v>503.99700000000001</v>
      </c>
      <c r="I19" s="309">
        <v>1277.5609999999999</v>
      </c>
      <c r="J19" s="309">
        <v>889.82500000000005</v>
      </c>
      <c r="K19" s="309">
        <v>738.23400000000004</v>
      </c>
      <c r="L19" s="309">
        <v>1712.684</v>
      </c>
      <c r="M19" s="309">
        <v>2024.3820000000003</v>
      </c>
      <c r="N19" s="309">
        <v>2042.6090000000002</v>
      </c>
      <c r="O19" s="309">
        <v>5539.4750000000004</v>
      </c>
      <c r="P19" s="309">
        <v>5394.518</v>
      </c>
      <c r="Q19" s="309">
        <v>1559.8779999999999</v>
      </c>
      <c r="R19" s="309">
        <v>2810.7489999999998</v>
      </c>
      <c r="S19" s="300" t="s">
        <v>704</v>
      </c>
      <c r="T19" s="296" t="s">
        <v>704</v>
      </c>
      <c r="U19" s="296" t="s">
        <v>704</v>
      </c>
      <c r="V19" s="296" t="s">
        <v>704</v>
      </c>
      <c r="W19" s="296" t="s">
        <v>704</v>
      </c>
      <c r="X19" s="296" t="s">
        <v>704</v>
      </c>
      <c r="Y19" s="296" t="s">
        <v>704</v>
      </c>
      <c r="Z19" s="296" t="s">
        <v>704</v>
      </c>
      <c r="AA19" s="296" t="s">
        <v>704</v>
      </c>
      <c r="AB19" s="296" t="s">
        <v>704</v>
      </c>
      <c r="AC19" s="296" t="s">
        <v>704</v>
      </c>
      <c r="AD19" s="296" t="s">
        <v>704</v>
      </c>
      <c r="AE19" s="296" t="s">
        <v>704</v>
      </c>
      <c r="AF19" s="296" t="s">
        <v>704</v>
      </c>
      <c r="AG19" s="296" t="s">
        <v>704</v>
      </c>
      <c r="AH19" s="296" t="s">
        <v>704</v>
      </c>
      <c r="AI19" s="296" t="s">
        <v>704</v>
      </c>
      <c r="AJ19" s="296" t="s">
        <v>704</v>
      </c>
      <c r="AK19" s="296" t="s">
        <v>704</v>
      </c>
      <c r="AL19" s="296" t="s">
        <v>704</v>
      </c>
      <c r="AM19" s="296" t="s">
        <v>704</v>
      </c>
      <c r="AN19" s="296" t="s">
        <v>704</v>
      </c>
      <c r="AO19" s="296" t="s">
        <v>704</v>
      </c>
      <c r="AP19" s="296" t="s">
        <v>704</v>
      </c>
      <c r="AQ19" s="296" t="s">
        <v>704</v>
      </c>
      <c r="AR19" s="296" t="s">
        <v>704</v>
      </c>
      <c r="AS19" s="296" t="s">
        <v>704</v>
      </c>
      <c r="AT19" s="296" t="s">
        <v>704</v>
      </c>
      <c r="AU19" s="296" t="s">
        <v>704</v>
      </c>
      <c r="AV19" s="296" t="s">
        <v>704</v>
      </c>
      <c r="AW19" s="296"/>
      <c r="AX19" s="296"/>
    </row>
    <row r="20" spans="1:50" x14ac:dyDescent="0.25">
      <c r="A20" s="299">
        <v>1</v>
      </c>
      <c r="C20" s="308" t="str">
        <f>"    Number of Estimates"</f>
        <v xml:space="preserve">    Number of Estimates</v>
      </c>
      <c r="D20" s="309">
        <v>7</v>
      </c>
      <c r="E20" s="309">
        <v>8</v>
      </c>
      <c r="F20" s="309">
        <v>8</v>
      </c>
      <c r="G20" s="309">
        <v>8</v>
      </c>
      <c r="H20" s="309">
        <v>9</v>
      </c>
      <c r="I20" s="309">
        <v>9</v>
      </c>
      <c r="J20" s="309">
        <v>9</v>
      </c>
      <c r="K20" s="309">
        <v>9</v>
      </c>
      <c r="L20" s="309">
        <v>9</v>
      </c>
      <c r="M20" s="309">
        <v>9</v>
      </c>
      <c r="N20" s="309">
        <v>9</v>
      </c>
      <c r="O20" s="309">
        <v>2</v>
      </c>
      <c r="P20" s="309">
        <v>2</v>
      </c>
      <c r="Q20" s="309">
        <v>2</v>
      </c>
      <c r="R20" s="309">
        <v>2</v>
      </c>
      <c r="S20" s="300" t="s">
        <v>704</v>
      </c>
      <c r="T20" s="296" t="s">
        <v>704</v>
      </c>
      <c r="U20" s="296" t="s">
        <v>704</v>
      </c>
      <c r="V20" s="296" t="s">
        <v>704</v>
      </c>
      <c r="W20" s="296" t="s">
        <v>704</v>
      </c>
      <c r="X20" s="296" t="s">
        <v>704</v>
      </c>
      <c r="Y20" s="296" t="s">
        <v>704</v>
      </c>
      <c r="Z20" s="296" t="s">
        <v>704</v>
      </c>
      <c r="AA20" s="296" t="s">
        <v>704</v>
      </c>
      <c r="AB20" s="296" t="s">
        <v>704</v>
      </c>
      <c r="AC20" s="296" t="s">
        <v>704</v>
      </c>
      <c r="AD20" s="296" t="s">
        <v>704</v>
      </c>
      <c r="AE20" s="296" t="s">
        <v>704</v>
      </c>
      <c r="AF20" s="296" t="s">
        <v>704</v>
      </c>
      <c r="AG20" s="296" t="s">
        <v>704</v>
      </c>
      <c r="AH20" s="296" t="s">
        <v>704</v>
      </c>
      <c r="AI20" s="296" t="s">
        <v>704</v>
      </c>
      <c r="AJ20" s="296" t="s">
        <v>704</v>
      </c>
      <c r="AK20" s="296" t="s">
        <v>704</v>
      </c>
      <c r="AL20" s="296" t="s">
        <v>704</v>
      </c>
      <c r="AM20" s="296" t="s">
        <v>704</v>
      </c>
      <c r="AN20" s="296" t="s">
        <v>704</v>
      </c>
      <c r="AO20" s="296" t="s">
        <v>704</v>
      </c>
      <c r="AP20" s="296" t="s">
        <v>704</v>
      </c>
      <c r="AQ20" s="296" t="s">
        <v>704</v>
      </c>
      <c r="AR20" s="296" t="s">
        <v>704</v>
      </c>
      <c r="AS20" s="296" t="s">
        <v>704</v>
      </c>
      <c r="AT20" s="296" t="s">
        <v>704</v>
      </c>
      <c r="AU20" s="296" t="s">
        <v>704</v>
      </c>
      <c r="AV20" s="296" t="s">
        <v>704</v>
      </c>
      <c r="AW20" s="296"/>
      <c r="AX20" s="296"/>
    </row>
    <row r="21" spans="1:50" x14ac:dyDescent="0.25">
      <c r="A21" s="299"/>
      <c r="C21" s="308"/>
      <c r="D21" s="309"/>
      <c r="E21" s="309"/>
      <c r="F21" s="309"/>
      <c r="G21" s="309"/>
      <c r="H21" s="309"/>
      <c r="I21" s="309"/>
      <c r="J21" s="309"/>
      <c r="K21" s="309"/>
      <c r="L21" s="309"/>
      <c r="M21" s="309"/>
      <c r="N21" s="309"/>
      <c r="O21" s="309"/>
      <c r="P21" s="309"/>
      <c r="Q21" s="309"/>
      <c r="R21" s="309"/>
      <c r="S21" s="300"/>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row>
    <row r="22" spans="1:50" x14ac:dyDescent="0.25">
      <c r="A22" s="299"/>
      <c r="C22" s="308"/>
      <c r="D22" s="309"/>
      <c r="E22" s="309"/>
      <c r="F22" s="309"/>
      <c r="G22" s="309"/>
      <c r="H22" s="309"/>
      <c r="I22" s="309"/>
      <c r="J22" s="309"/>
      <c r="K22" s="309"/>
      <c r="L22" s="309"/>
      <c r="M22" s="309"/>
      <c r="N22" s="309"/>
      <c r="O22" s="309"/>
      <c r="P22" s="309"/>
      <c r="Q22" s="309"/>
      <c r="R22" s="309"/>
      <c r="S22" s="300"/>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row>
    <row r="23" spans="1:50" x14ac:dyDescent="0.25">
      <c r="A23" s="299"/>
      <c r="C23" s="308"/>
      <c r="D23" s="309"/>
      <c r="E23" s="309"/>
      <c r="F23" s="309"/>
      <c r="G23" s="309"/>
      <c r="H23" s="309"/>
      <c r="I23" s="309"/>
      <c r="J23" s="309"/>
      <c r="K23" s="309"/>
      <c r="L23" s="309"/>
      <c r="M23" s="309"/>
      <c r="N23" s="309"/>
      <c r="O23" s="309"/>
      <c r="P23" s="309"/>
      <c r="Q23" s="309"/>
      <c r="R23" s="309"/>
      <c r="S23" s="300"/>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row>
    <row r="24" spans="1:50" x14ac:dyDescent="0.25">
      <c r="A24" s="299"/>
      <c r="C24" s="308"/>
      <c r="D24" s="309"/>
      <c r="E24" s="309"/>
      <c r="F24" s="309"/>
      <c r="G24" s="309"/>
      <c r="H24" s="309"/>
      <c r="I24" s="309"/>
      <c r="J24" s="309"/>
      <c r="K24" s="309"/>
      <c r="L24" s="309"/>
      <c r="M24" s="309"/>
      <c r="N24" s="309"/>
      <c r="O24" s="309"/>
      <c r="P24" s="309"/>
      <c r="Q24" s="309"/>
      <c r="R24" s="309"/>
      <c r="S24" s="300"/>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row>
    <row r="25" spans="1:50" x14ac:dyDescent="0.25">
      <c r="A25" s="299"/>
      <c r="C25" s="308"/>
      <c r="D25" s="309"/>
      <c r="E25" s="309"/>
      <c r="F25" s="309"/>
      <c r="G25" s="309"/>
      <c r="H25" s="309"/>
      <c r="I25" s="309"/>
      <c r="J25" s="309"/>
      <c r="K25" s="309"/>
      <c r="L25" s="309"/>
      <c r="M25" s="309"/>
      <c r="N25" s="309"/>
      <c r="O25" s="309"/>
      <c r="P25" s="309"/>
      <c r="Q25" s="309"/>
      <c r="R25" s="309"/>
      <c r="S25" s="300"/>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row>
    <row r="26" spans="1:50" x14ac:dyDescent="0.25">
      <c r="A26" s="299">
        <v>1</v>
      </c>
      <c r="C26" s="313" t="str">
        <f>"Total Gross Profit"</f>
        <v>Total Gross Profit</v>
      </c>
      <c r="D26" s="307" t="s">
        <v>704</v>
      </c>
      <c r="E26" s="307" t="s">
        <v>704</v>
      </c>
      <c r="F26" s="307" t="s">
        <v>704</v>
      </c>
      <c r="G26" s="307" t="s">
        <v>704</v>
      </c>
      <c r="H26" s="307" t="s">
        <v>704</v>
      </c>
      <c r="I26" s="307" t="s">
        <v>704</v>
      </c>
      <c r="J26" s="307" t="s">
        <v>704</v>
      </c>
      <c r="K26" s="307" t="s">
        <v>704</v>
      </c>
      <c r="L26" s="307" t="s">
        <v>704</v>
      </c>
      <c r="M26" s="307" t="s">
        <v>704</v>
      </c>
      <c r="N26" s="307" t="s">
        <v>704</v>
      </c>
      <c r="O26" s="307" t="s">
        <v>704</v>
      </c>
      <c r="P26" s="307" t="s">
        <v>704</v>
      </c>
      <c r="Q26" s="307" t="s">
        <v>704</v>
      </c>
      <c r="R26" s="307" t="s">
        <v>704</v>
      </c>
      <c r="S26" s="300" t="s">
        <v>704</v>
      </c>
      <c r="T26" s="296" t="s">
        <v>704</v>
      </c>
      <c r="U26" s="296" t="s">
        <v>704</v>
      </c>
      <c r="V26" s="296" t="s">
        <v>704</v>
      </c>
      <c r="W26" s="296" t="s">
        <v>704</v>
      </c>
      <c r="X26" s="296" t="s">
        <v>704</v>
      </c>
      <c r="Y26" s="296" t="s">
        <v>704</v>
      </c>
      <c r="Z26" s="296" t="s">
        <v>704</v>
      </c>
      <c r="AA26" s="296" t="s">
        <v>704</v>
      </c>
      <c r="AB26" s="296" t="s">
        <v>704</v>
      </c>
      <c r="AC26" s="296" t="s">
        <v>704</v>
      </c>
      <c r="AD26" s="296" t="s">
        <v>704</v>
      </c>
      <c r="AE26" s="296" t="s">
        <v>704</v>
      </c>
      <c r="AF26" s="296" t="s">
        <v>704</v>
      </c>
      <c r="AG26" s="296" t="s">
        <v>704</v>
      </c>
      <c r="AH26" s="296" t="s">
        <v>704</v>
      </c>
      <c r="AI26" s="296" t="s">
        <v>704</v>
      </c>
      <c r="AJ26" s="296" t="s">
        <v>704</v>
      </c>
      <c r="AK26" s="296" t="s">
        <v>704</v>
      </c>
      <c r="AL26" s="296" t="s">
        <v>704</v>
      </c>
      <c r="AM26" s="296" t="s">
        <v>704</v>
      </c>
      <c r="AN26" s="296" t="s">
        <v>704</v>
      </c>
      <c r="AO26" s="296" t="s">
        <v>704</v>
      </c>
      <c r="AP26" s="296" t="s">
        <v>704</v>
      </c>
      <c r="AQ26" s="296" t="s">
        <v>704</v>
      </c>
      <c r="AR26" s="296" t="s">
        <v>704</v>
      </c>
      <c r="AS26" s="296" t="s">
        <v>704</v>
      </c>
      <c r="AT26" s="296" t="s">
        <v>704</v>
      </c>
      <c r="AU26" s="296" t="s">
        <v>704</v>
      </c>
      <c r="AV26" s="296" t="s">
        <v>704</v>
      </c>
      <c r="AW26" s="296"/>
      <c r="AX26" s="296"/>
    </row>
    <row r="27" spans="1:50" x14ac:dyDescent="0.25">
      <c r="A27" s="299">
        <v>1</v>
      </c>
      <c r="C27" s="308" t="str">
        <f>"    Actual"</f>
        <v xml:space="preserve">    Actual</v>
      </c>
      <c r="D27" s="309">
        <v>42666</v>
      </c>
      <c r="E27" s="309">
        <v>45517</v>
      </c>
      <c r="F27" s="309">
        <v>53062</v>
      </c>
      <c r="G27" s="309">
        <v>59730</v>
      </c>
      <c r="H27" s="309">
        <v>64517</v>
      </c>
      <c r="I27" s="309">
        <v>69763</v>
      </c>
      <c r="J27" s="309">
        <v>76054</v>
      </c>
      <c r="K27" s="309" t="s">
        <v>704</v>
      </c>
      <c r="L27" s="309" t="s">
        <v>704</v>
      </c>
      <c r="M27" s="309" t="s">
        <v>704</v>
      </c>
      <c r="N27" s="309" t="s">
        <v>704</v>
      </c>
      <c r="O27" s="309" t="s">
        <v>704</v>
      </c>
      <c r="P27" s="309" t="s">
        <v>704</v>
      </c>
      <c r="Q27" s="309" t="s">
        <v>704</v>
      </c>
      <c r="R27" s="309" t="s">
        <v>704</v>
      </c>
      <c r="S27" s="300" t="s">
        <v>704</v>
      </c>
      <c r="T27" s="296" t="s">
        <v>704</v>
      </c>
      <c r="U27" s="296" t="s">
        <v>704</v>
      </c>
      <c r="V27" s="296" t="s">
        <v>704</v>
      </c>
      <c r="W27" s="296" t="s">
        <v>704</v>
      </c>
      <c r="X27" s="296" t="s">
        <v>704</v>
      </c>
      <c r="Y27" s="296" t="s">
        <v>704</v>
      </c>
      <c r="Z27" s="296" t="s">
        <v>704</v>
      </c>
      <c r="AA27" s="296" t="s">
        <v>704</v>
      </c>
      <c r="AB27" s="296" t="s">
        <v>704</v>
      </c>
      <c r="AC27" s="296" t="s">
        <v>704</v>
      </c>
      <c r="AD27" s="296" t="s">
        <v>704</v>
      </c>
      <c r="AE27" s="296" t="s">
        <v>704</v>
      </c>
      <c r="AF27" s="296" t="s">
        <v>704</v>
      </c>
      <c r="AG27" s="296" t="s">
        <v>704</v>
      </c>
      <c r="AH27" s="296" t="s">
        <v>704</v>
      </c>
      <c r="AI27" s="296" t="s">
        <v>704</v>
      </c>
      <c r="AJ27" s="296" t="s">
        <v>704</v>
      </c>
      <c r="AK27" s="296" t="s">
        <v>704</v>
      </c>
      <c r="AL27" s="296" t="s">
        <v>704</v>
      </c>
      <c r="AM27" s="296" t="s">
        <v>704</v>
      </c>
      <c r="AN27" s="296" t="s">
        <v>704</v>
      </c>
      <c r="AO27" s="296" t="s">
        <v>704</v>
      </c>
      <c r="AP27" s="296" t="s">
        <v>704</v>
      </c>
      <c r="AQ27" s="296" t="s">
        <v>704</v>
      </c>
      <c r="AR27" s="296" t="s">
        <v>704</v>
      </c>
      <c r="AS27" s="296" t="s">
        <v>704</v>
      </c>
      <c r="AT27" s="296" t="s">
        <v>704</v>
      </c>
      <c r="AU27" s="296" t="s">
        <v>704</v>
      </c>
      <c r="AV27" s="296" t="s">
        <v>704</v>
      </c>
      <c r="AW27" s="296"/>
      <c r="AX27" s="296"/>
    </row>
    <row r="28" spans="1:50" x14ac:dyDescent="0.25">
      <c r="A28" s="299">
        <v>1</v>
      </c>
      <c r="C28" s="308" t="str">
        <f>"    Median"</f>
        <v xml:space="preserve">    Median</v>
      </c>
      <c r="D28" s="309">
        <v>42700</v>
      </c>
      <c r="E28" s="309">
        <v>43400</v>
      </c>
      <c r="F28" s="309">
        <v>49450</v>
      </c>
      <c r="G28" s="309">
        <v>56500</v>
      </c>
      <c r="H28" s="309">
        <v>62439</v>
      </c>
      <c r="I28" s="309">
        <v>68986</v>
      </c>
      <c r="J28" s="309">
        <v>72700</v>
      </c>
      <c r="K28" s="309">
        <v>82950</v>
      </c>
      <c r="L28" s="309">
        <v>87150</v>
      </c>
      <c r="M28" s="309">
        <v>91767.5</v>
      </c>
      <c r="N28" s="309">
        <v>99400</v>
      </c>
      <c r="O28" s="309">
        <v>101065.5</v>
      </c>
      <c r="P28" s="309">
        <v>106547</v>
      </c>
      <c r="Q28" s="309">
        <v>112213.5</v>
      </c>
      <c r="R28" s="309">
        <v>118214</v>
      </c>
      <c r="S28" s="300" t="s">
        <v>704</v>
      </c>
      <c r="T28" s="296" t="s">
        <v>704</v>
      </c>
      <c r="U28" s="296" t="s">
        <v>704</v>
      </c>
      <c r="V28" s="296" t="s">
        <v>704</v>
      </c>
      <c r="W28" s="296" t="s">
        <v>704</v>
      </c>
      <c r="X28" s="296" t="s">
        <v>704</v>
      </c>
      <c r="Y28" s="296" t="s">
        <v>704</v>
      </c>
      <c r="Z28" s="296" t="s">
        <v>704</v>
      </c>
      <c r="AA28" s="296" t="s">
        <v>704</v>
      </c>
      <c r="AB28" s="296" t="s">
        <v>704</v>
      </c>
      <c r="AC28" s="296" t="s">
        <v>704</v>
      </c>
      <c r="AD28" s="296" t="s">
        <v>704</v>
      </c>
      <c r="AE28" s="296" t="s">
        <v>704</v>
      </c>
      <c r="AF28" s="296" t="s">
        <v>704</v>
      </c>
      <c r="AG28" s="296" t="s">
        <v>704</v>
      </c>
      <c r="AH28" s="296" t="s">
        <v>704</v>
      </c>
      <c r="AI28" s="296" t="s">
        <v>704</v>
      </c>
      <c r="AJ28" s="296" t="s">
        <v>704</v>
      </c>
      <c r="AK28" s="296" t="s">
        <v>704</v>
      </c>
      <c r="AL28" s="296" t="s">
        <v>704</v>
      </c>
      <c r="AM28" s="296" t="s">
        <v>704</v>
      </c>
      <c r="AN28" s="296" t="s">
        <v>704</v>
      </c>
      <c r="AO28" s="296" t="s">
        <v>704</v>
      </c>
      <c r="AP28" s="296" t="s">
        <v>704</v>
      </c>
      <c r="AQ28" s="296" t="s">
        <v>704</v>
      </c>
      <c r="AR28" s="296" t="s">
        <v>704</v>
      </c>
      <c r="AS28" s="296" t="s">
        <v>704</v>
      </c>
      <c r="AT28" s="296" t="s">
        <v>704</v>
      </c>
      <c r="AU28" s="296" t="s">
        <v>704</v>
      </c>
      <c r="AV28" s="296" t="s">
        <v>704</v>
      </c>
      <c r="AW28" s="296"/>
      <c r="AX28" s="296"/>
    </row>
    <row r="29" spans="1:50" x14ac:dyDescent="0.25">
      <c r="A29" s="299">
        <v>1</v>
      </c>
      <c r="C29" s="308" t="str">
        <f>"    High"</f>
        <v xml:space="preserve">    High</v>
      </c>
      <c r="D29" s="309">
        <v>42700</v>
      </c>
      <c r="E29" s="309">
        <v>43900</v>
      </c>
      <c r="F29" s="309">
        <v>50100</v>
      </c>
      <c r="G29" s="309">
        <v>56900</v>
      </c>
      <c r="H29" s="309">
        <v>63100</v>
      </c>
      <c r="I29" s="309">
        <v>70700</v>
      </c>
      <c r="J29" s="309">
        <v>73400</v>
      </c>
      <c r="K29" s="309">
        <v>83800</v>
      </c>
      <c r="L29" s="309">
        <v>89600</v>
      </c>
      <c r="M29" s="309">
        <v>94400</v>
      </c>
      <c r="N29" s="309">
        <v>103300</v>
      </c>
      <c r="O29" s="309">
        <v>105031</v>
      </c>
      <c r="P29" s="309">
        <v>109594</v>
      </c>
      <c r="Q29" s="309">
        <v>113227</v>
      </c>
      <c r="R29" s="309">
        <v>120528</v>
      </c>
      <c r="S29" s="300" t="s">
        <v>704</v>
      </c>
      <c r="T29" s="296" t="s">
        <v>704</v>
      </c>
      <c r="U29" s="296" t="s">
        <v>704</v>
      </c>
      <c r="V29" s="296" t="s">
        <v>704</v>
      </c>
      <c r="W29" s="296" t="s">
        <v>704</v>
      </c>
      <c r="X29" s="296" t="s">
        <v>704</v>
      </c>
      <c r="Y29" s="296" t="s">
        <v>704</v>
      </c>
      <c r="Z29" s="296" t="s">
        <v>704</v>
      </c>
      <c r="AA29" s="296" t="s">
        <v>704</v>
      </c>
      <c r="AB29" s="296" t="s">
        <v>704</v>
      </c>
      <c r="AC29" s="296" t="s">
        <v>704</v>
      </c>
      <c r="AD29" s="296" t="s">
        <v>704</v>
      </c>
      <c r="AE29" s="296" t="s">
        <v>704</v>
      </c>
      <c r="AF29" s="296" t="s">
        <v>704</v>
      </c>
      <c r="AG29" s="296" t="s">
        <v>704</v>
      </c>
      <c r="AH29" s="296" t="s">
        <v>704</v>
      </c>
      <c r="AI29" s="296" t="s">
        <v>704</v>
      </c>
      <c r="AJ29" s="296" t="s">
        <v>704</v>
      </c>
      <c r="AK29" s="296" t="s">
        <v>704</v>
      </c>
      <c r="AL29" s="296" t="s">
        <v>704</v>
      </c>
      <c r="AM29" s="296" t="s">
        <v>704</v>
      </c>
      <c r="AN29" s="296" t="s">
        <v>704</v>
      </c>
      <c r="AO29" s="296" t="s">
        <v>704</v>
      </c>
      <c r="AP29" s="296" t="s">
        <v>704</v>
      </c>
      <c r="AQ29" s="296" t="s">
        <v>704</v>
      </c>
      <c r="AR29" s="296" t="s">
        <v>704</v>
      </c>
      <c r="AS29" s="296" t="s">
        <v>704</v>
      </c>
      <c r="AT29" s="296" t="s">
        <v>704</v>
      </c>
      <c r="AU29" s="296" t="s">
        <v>704</v>
      </c>
      <c r="AV29" s="296" t="s">
        <v>704</v>
      </c>
      <c r="AW29" s="296"/>
      <c r="AX29" s="296"/>
    </row>
    <row r="30" spans="1:50" ht="15.75" thickBot="1" x14ac:dyDescent="0.3">
      <c r="A30" s="299">
        <v>1</v>
      </c>
      <c r="C30" s="1038" t="str">
        <f>"    Low"</f>
        <v xml:space="preserve">    Low</v>
      </c>
      <c r="D30" s="1039">
        <v>42700</v>
      </c>
      <c r="E30" s="1039">
        <v>42100</v>
      </c>
      <c r="F30" s="1039">
        <v>49000</v>
      </c>
      <c r="G30" s="1039">
        <v>55800</v>
      </c>
      <c r="H30" s="1039">
        <v>61700</v>
      </c>
      <c r="I30" s="1039">
        <v>67400</v>
      </c>
      <c r="J30" s="1039">
        <v>70800</v>
      </c>
      <c r="K30" s="1039">
        <v>81100</v>
      </c>
      <c r="L30" s="1039">
        <v>85700</v>
      </c>
      <c r="M30" s="1039">
        <v>90800</v>
      </c>
      <c r="N30" s="1039">
        <v>97452</v>
      </c>
      <c r="O30" s="1039">
        <v>97100</v>
      </c>
      <c r="P30" s="1039">
        <v>103500</v>
      </c>
      <c r="Q30" s="1039">
        <v>111200</v>
      </c>
      <c r="R30" s="1039">
        <v>115900</v>
      </c>
      <c r="S30" s="300" t="s">
        <v>704</v>
      </c>
      <c r="T30" s="296" t="s">
        <v>704</v>
      </c>
      <c r="U30" s="296" t="s">
        <v>704</v>
      </c>
      <c r="V30" s="296" t="s">
        <v>704</v>
      </c>
      <c r="W30" s="296" t="s">
        <v>704</v>
      </c>
      <c r="X30" s="296" t="s">
        <v>704</v>
      </c>
      <c r="Y30" s="296" t="s">
        <v>704</v>
      </c>
      <c r="Z30" s="296" t="s">
        <v>704</v>
      </c>
      <c r="AA30" s="296" t="s">
        <v>704</v>
      </c>
      <c r="AB30" s="296" t="s">
        <v>704</v>
      </c>
      <c r="AC30" s="296" t="s">
        <v>704</v>
      </c>
      <c r="AD30" s="296" t="s">
        <v>704</v>
      </c>
      <c r="AE30" s="296" t="s">
        <v>704</v>
      </c>
      <c r="AF30" s="296" t="s">
        <v>704</v>
      </c>
      <c r="AG30" s="296" t="s">
        <v>704</v>
      </c>
      <c r="AH30" s="296" t="s">
        <v>704</v>
      </c>
      <c r="AI30" s="296" t="s">
        <v>704</v>
      </c>
      <c r="AJ30" s="296" t="s">
        <v>704</v>
      </c>
      <c r="AK30" s="296" t="s">
        <v>704</v>
      </c>
      <c r="AL30" s="296" t="s">
        <v>704</v>
      </c>
      <c r="AM30" s="296" t="s">
        <v>704</v>
      </c>
      <c r="AN30" s="296" t="s">
        <v>704</v>
      </c>
      <c r="AO30" s="296" t="s">
        <v>704</v>
      </c>
      <c r="AP30" s="296" t="s">
        <v>704</v>
      </c>
      <c r="AQ30" s="296" t="s">
        <v>704</v>
      </c>
      <c r="AR30" s="296" t="s">
        <v>704</v>
      </c>
      <c r="AS30" s="296" t="s">
        <v>704</v>
      </c>
      <c r="AT30" s="296" t="s">
        <v>704</v>
      </c>
      <c r="AU30" s="296" t="s">
        <v>704</v>
      </c>
      <c r="AV30" s="296" t="s">
        <v>704</v>
      </c>
      <c r="AW30" s="296"/>
      <c r="AX30" s="296"/>
    </row>
    <row r="31" spans="1:50" ht="15.75" thickBot="1" x14ac:dyDescent="0.3">
      <c r="A31" s="299"/>
      <c r="C31" s="308" t="s">
        <v>1015</v>
      </c>
      <c r="D31" s="309"/>
      <c r="E31" s="309"/>
      <c r="F31" s="309"/>
      <c r="G31" s="309"/>
      <c r="H31" s="1037">
        <f>+H30/H$15</f>
        <v>0.72588235294117642</v>
      </c>
      <c r="I31" s="1037">
        <f t="shared" ref="I31:R31" si="1">+I30/I$15</f>
        <v>0.72317596566523601</v>
      </c>
      <c r="J31" s="1037">
        <f t="shared" si="1"/>
        <v>0.719878718737894</v>
      </c>
      <c r="K31" s="1043">
        <f t="shared" si="1"/>
        <v>0.72831707566774373</v>
      </c>
      <c r="L31" s="1037">
        <f t="shared" si="1"/>
        <v>0.7281223449447749</v>
      </c>
      <c r="M31" s="1037">
        <f t="shared" si="1"/>
        <v>0.74548440065681443</v>
      </c>
      <c r="N31" s="1037">
        <f t="shared" si="1"/>
        <v>0.73999939252194513</v>
      </c>
      <c r="O31" s="1043">
        <f t="shared" si="1"/>
        <v>0.72408650260999252</v>
      </c>
      <c r="P31" s="1037">
        <f t="shared" si="1"/>
        <v>0.72631578947368425</v>
      </c>
      <c r="Q31" s="1037">
        <f t="shared" si="1"/>
        <v>0.72727272727272729</v>
      </c>
      <c r="R31" s="1037">
        <f t="shared" si="1"/>
        <v>0.72938955317809939</v>
      </c>
      <c r="S31" s="300"/>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row>
    <row r="32" spans="1:50" x14ac:dyDescent="0.25">
      <c r="A32" s="299"/>
      <c r="C32" s="308"/>
      <c r="D32" s="309"/>
      <c r="E32" s="309"/>
      <c r="F32" s="309"/>
      <c r="G32" s="309"/>
      <c r="H32" s="309"/>
      <c r="I32" s="309"/>
      <c r="J32" s="309"/>
      <c r="K32" s="309"/>
      <c r="L32" s="309"/>
      <c r="M32" s="309"/>
      <c r="N32" s="309"/>
      <c r="O32" s="309"/>
      <c r="P32" s="309"/>
      <c r="Q32" s="309"/>
      <c r="R32" s="309"/>
      <c r="S32" s="300"/>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row>
    <row r="33" spans="1:50" x14ac:dyDescent="0.25">
      <c r="A33" s="299">
        <v>1</v>
      </c>
      <c r="C33" s="308" t="str">
        <f>"    Mean"</f>
        <v xml:space="preserve">    Mean</v>
      </c>
      <c r="D33" s="309">
        <v>42700</v>
      </c>
      <c r="E33" s="309">
        <v>43240</v>
      </c>
      <c r="F33" s="309">
        <v>49500</v>
      </c>
      <c r="G33" s="309">
        <v>56450</v>
      </c>
      <c r="H33" s="309">
        <v>62519.857000000004</v>
      </c>
      <c r="I33" s="309">
        <v>68898</v>
      </c>
      <c r="J33" s="309">
        <v>72566</v>
      </c>
      <c r="K33" s="309">
        <v>82715.167000000001</v>
      </c>
      <c r="L33" s="309">
        <v>87489.332999999999</v>
      </c>
      <c r="M33" s="309">
        <v>92339.167000000001</v>
      </c>
      <c r="N33" s="309">
        <v>99708.667000000001</v>
      </c>
      <c r="O33" s="309">
        <v>101065.5</v>
      </c>
      <c r="P33" s="309">
        <v>106547</v>
      </c>
      <c r="Q33" s="309">
        <v>112213.5</v>
      </c>
      <c r="R33" s="309">
        <v>118214</v>
      </c>
      <c r="S33" s="300" t="s">
        <v>704</v>
      </c>
      <c r="T33" s="296" t="s">
        <v>704</v>
      </c>
      <c r="U33" s="296" t="s">
        <v>704</v>
      </c>
      <c r="V33" s="296" t="s">
        <v>704</v>
      </c>
      <c r="W33" s="296" t="s">
        <v>704</v>
      </c>
      <c r="X33" s="296" t="s">
        <v>704</v>
      </c>
      <c r="Y33" s="296" t="s">
        <v>704</v>
      </c>
      <c r="Z33" s="296" t="s">
        <v>704</v>
      </c>
      <c r="AA33" s="296" t="s">
        <v>704</v>
      </c>
      <c r="AB33" s="296" t="s">
        <v>704</v>
      </c>
      <c r="AC33" s="296" t="s">
        <v>704</v>
      </c>
      <c r="AD33" s="296" t="s">
        <v>704</v>
      </c>
      <c r="AE33" s="296" t="s">
        <v>704</v>
      </c>
      <c r="AF33" s="296" t="s">
        <v>704</v>
      </c>
      <c r="AG33" s="296" t="s">
        <v>704</v>
      </c>
      <c r="AH33" s="296" t="s">
        <v>704</v>
      </c>
      <c r="AI33" s="296" t="s">
        <v>704</v>
      </c>
      <c r="AJ33" s="296" t="s">
        <v>704</v>
      </c>
      <c r="AK33" s="296" t="s">
        <v>704</v>
      </c>
      <c r="AL33" s="296" t="s">
        <v>704</v>
      </c>
      <c r="AM33" s="296" t="s">
        <v>704</v>
      </c>
      <c r="AN33" s="296" t="s">
        <v>704</v>
      </c>
      <c r="AO33" s="296" t="s">
        <v>704</v>
      </c>
      <c r="AP33" s="296" t="s">
        <v>704</v>
      </c>
      <c r="AQ33" s="296" t="s">
        <v>704</v>
      </c>
      <c r="AR33" s="296" t="s">
        <v>704</v>
      </c>
      <c r="AS33" s="296" t="s">
        <v>704</v>
      </c>
      <c r="AT33" s="296" t="s">
        <v>704</v>
      </c>
      <c r="AU33" s="296" t="s">
        <v>704</v>
      </c>
      <c r="AV33" s="296" t="s">
        <v>704</v>
      </c>
      <c r="AW33" s="296"/>
      <c r="AX33" s="296"/>
    </row>
    <row r="34" spans="1:50" x14ac:dyDescent="0.25">
      <c r="A34" s="299">
        <v>1</v>
      </c>
      <c r="C34" s="308" t="str">
        <f>"    Standard Deviation"</f>
        <v xml:space="preserve">    Standard Deviation</v>
      </c>
      <c r="D34" s="309">
        <v>0</v>
      </c>
      <c r="E34" s="309">
        <v>673.053</v>
      </c>
      <c r="F34" s="309">
        <v>374.166</v>
      </c>
      <c r="G34" s="309">
        <v>361.93900000000002</v>
      </c>
      <c r="H34" s="309">
        <v>486.649</v>
      </c>
      <c r="I34" s="309">
        <v>1102.827</v>
      </c>
      <c r="J34" s="309">
        <v>895.149</v>
      </c>
      <c r="K34" s="309">
        <v>952.67</v>
      </c>
      <c r="L34" s="309">
        <v>1534.367</v>
      </c>
      <c r="M34" s="309">
        <v>1531.2750000000001</v>
      </c>
      <c r="N34" s="309">
        <v>1998.152</v>
      </c>
      <c r="O34" s="309">
        <v>5608.0640000000003</v>
      </c>
      <c r="P34" s="309">
        <v>4309.1090000000004</v>
      </c>
      <c r="Q34" s="309">
        <v>1433.3050000000001</v>
      </c>
      <c r="R34" s="309">
        <v>3272.49</v>
      </c>
      <c r="S34" s="300" t="s">
        <v>704</v>
      </c>
      <c r="T34" s="296" t="s">
        <v>704</v>
      </c>
      <c r="U34" s="296" t="s">
        <v>704</v>
      </c>
      <c r="V34" s="296" t="s">
        <v>704</v>
      </c>
      <c r="W34" s="296" t="s">
        <v>704</v>
      </c>
      <c r="X34" s="296" t="s">
        <v>704</v>
      </c>
      <c r="Y34" s="296" t="s">
        <v>704</v>
      </c>
      <c r="Z34" s="296" t="s">
        <v>704</v>
      </c>
      <c r="AA34" s="296" t="s">
        <v>704</v>
      </c>
      <c r="AB34" s="296" t="s">
        <v>704</v>
      </c>
      <c r="AC34" s="296" t="s">
        <v>704</v>
      </c>
      <c r="AD34" s="296" t="s">
        <v>704</v>
      </c>
      <c r="AE34" s="296" t="s">
        <v>704</v>
      </c>
      <c r="AF34" s="296" t="s">
        <v>704</v>
      </c>
      <c r="AG34" s="296" t="s">
        <v>704</v>
      </c>
      <c r="AH34" s="296" t="s">
        <v>704</v>
      </c>
      <c r="AI34" s="296" t="s">
        <v>704</v>
      </c>
      <c r="AJ34" s="296" t="s">
        <v>704</v>
      </c>
      <c r="AK34" s="296" t="s">
        <v>704</v>
      </c>
      <c r="AL34" s="296" t="s">
        <v>704</v>
      </c>
      <c r="AM34" s="296" t="s">
        <v>704</v>
      </c>
      <c r="AN34" s="296" t="s">
        <v>704</v>
      </c>
      <c r="AO34" s="296" t="s">
        <v>704</v>
      </c>
      <c r="AP34" s="296" t="s">
        <v>704</v>
      </c>
      <c r="AQ34" s="296" t="s">
        <v>704</v>
      </c>
      <c r="AR34" s="296" t="s">
        <v>704</v>
      </c>
      <c r="AS34" s="296" t="s">
        <v>704</v>
      </c>
      <c r="AT34" s="296" t="s">
        <v>704</v>
      </c>
      <c r="AU34" s="296" t="s">
        <v>704</v>
      </c>
      <c r="AV34" s="296" t="s">
        <v>704</v>
      </c>
      <c r="AW34" s="296"/>
      <c r="AX34" s="296"/>
    </row>
    <row r="35" spans="1:50" x14ac:dyDescent="0.25">
      <c r="A35" s="299">
        <v>1</v>
      </c>
      <c r="C35" s="308" t="str">
        <f>"    Number of Estimates"</f>
        <v xml:space="preserve">    Number of Estimates</v>
      </c>
      <c r="D35" s="309">
        <v>5</v>
      </c>
      <c r="E35" s="309">
        <v>5</v>
      </c>
      <c r="F35" s="309">
        <v>6</v>
      </c>
      <c r="G35" s="309">
        <v>6</v>
      </c>
      <c r="H35" s="309">
        <v>7</v>
      </c>
      <c r="I35" s="309">
        <v>7</v>
      </c>
      <c r="J35" s="309">
        <v>7</v>
      </c>
      <c r="K35" s="309">
        <v>6</v>
      </c>
      <c r="L35" s="309">
        <v>6</v>
      </c>
      <c r="M35" s="309">
        <v>6</v>
      </c>
      <c r="N35" s="309">
        <v>6</v>
      </c>
      <c r="O35" s="309">
        <v>2</v>
      </c>
      <c r="P35" s="309">
        <v>2</v>
      </c>
      <c r="Q35" s="309">
        <v>2</v>
      </c>
      <c r="R35" s="309">
        <v>2</v>
      </c>
      <c r="S35" s="300" t="s">
        <v>704</v>
      </c>
      <c r="T35" s="296" t="s">
        <v>704</v>
      </c>
      <c r="U35" s="296" t="s">
        <v>704</v>
      </c>
      <c r="V35" s="296" t="s">
        <v>704</v>
      </c>
      <c r="W35" s="296" t="s">
        <v>704</v>
      </c>
      <c r="X35" s="296" t="s">
        <v>704</v>
      </c>
      <c r="Y35" s="296" t="s">
        <v>704</v>
      </c>
      <c r="Z35" s="296" t="s">
        <v>704</v>
      </c>
      <c r="AA35" s="296" t="s">
        <v>704</v>
      </c>
      <c r="AB35" s="296" t="s">
        <v>704</v>
      </c>
      <c r="AC35" s="296" t="s">
        <v>704</v>
      </c>
      <c r="AD35" s="296" t="s">
        <v>704</v>
      </c>
      <c r="AE35" s="296" t="s">
        <v>704</v>
      </c>
      <c r="AF35" s="296" t="s">
        <v>704</v>
      </c>
      <c r="AG35" s="296" t="s">
        <v>704</v>
      </c>
      <c r="AH35" s="296" t="s">
        <v>704</v>
      </c>
      <c r="AI35" s="296" t="s">
        <v>704</v>
      </c>
      <c r="AJ35" s="296" t="s">
        <v>704</v>
      </c>
      <c r="AK35" s="296" t="s">
        <v>704</v>
      </c>
      <c r="AL35" s="296" t="s">
        <v>704</v>
      </c>
      <c r="AM35" s="296" t="s">
        <v>704</v>
      </c>
      <c r="AN35" s="296" t="s">
        <v>704</v>
      </c>
      <c r="AO35" s="296" t="s">
        <v>704</v>
      </c>
      <c r="AP35" s="296" t="s">
        <v>704</v>
      </c>
      <c r="AQ35" s="296" t="s">
        <v>704</v>
      </c>
      <c r="AR35" s="296" t="s">
        <v>704</v>
      </c>
      <c r="AS35" s="296" t="s">
        <v>704</v>
      </c>
      <c r="AT35" s="296" t="s">
        <v>704</v>
      </c>
      <c r="AU35" s="296" t="s">
        <v>704</v>
      </c>
      <c r="AV35" s="296" t="s">
        <v>704</v>
      </c>
      <c r="AW35" s="296"/>
      <c r="AX35" s="296"/>
    </row>
    <row r="36" spans="1:50" x14ac:dyDescent="0.25">
      <c r="A36" s="299">
        <v>1</v>
      </c>
      <c r="C36" s="313" t="str">
        <f>"Normalized EBITDA"</f>
        <v>Normalized EBITDA</v>
      </c>
      <c r="D36" s="307" t="s">
        <v>704</v>
      </c>
      <c r="E36" s="307" t="s">
        <v>704</v>
      </c>
      <c r="F36" s="307" t="s">
        <v>704</v>
      </c>
      <c r="G36" s="307" t="s">
        <v>704</v>
      </c>
      <c r="H36" s="307" t="s">
        <v>704</v>
      </c>
      <c r="I36" s="307" t="s">
        <v>704</v>
      </c>
      <c r="J36" s="307" t="s">
        <v>704</v>
      </c>
      <c r="K36" s="307" t="s">
        <v>704</v>
      </c>
      <c r="L36" s="307" t="s">
        <v>704</v>
      </c>
      <c r="M36" s="307" t="s">
        <v>704</v>
      </c>
      <c r="N36" s="307" t="s">
        <v>704</v>
      </c>
      <c r="O36" s="307" t="s">
        <v>704</v>
      </c>
      <c r="P36" s="307" t="s">
        <v>704</v>
      </c>
      <c r="Q36" s="307" t="s">
        <v>704</v>
      </c>
      <c r="R36" s="307" t="s">
        <v>704</v>
      </c>
      <c r="S36" s="300" t="s">
        <v>704</v>
      </c>
      <c r="T36" s="296" t="s">
        <v>704</v>
      </c>
      <c r="U36" s="296" t="s">
        <v>704</v>
      </c>
      <c r="V36" s="296" t="s">
        <v>704</v>
      </c>
      <c r="W36" s="296" t="s">
        <v>704</v>
      </c>
      <c r="X36" s="296" t="s">
        <v>704</v>
      </c>
      <c r="Y36" s="296" t="s">
        <v>704</v>
      </c>
      <c r="Z36" s="296" t="s">
        <v>704</v>
      </c>
      <c r="AA36" s="296" t="s">
        <v>704</v>
      </c>
      <c r="AB36" s="296" t="s">
        <v>704</v>
      </c>
      <c r="AC36" s="296" t="s">
        <v>704</v>
      </c>
      <c r="AD36" s="296" t="s">
        <v>704</v>
      </c>
      <c r="AE36" s="296" t="s">
        <v>704</v>
      </c>
      <c r="AF36" s="296" t="s">
        <v>704</v>
      </c>
      <c r="AG36" s="296" t="s">
        <v>704</v>
      </c>
      <c r="AH36" s="296" t="s">
        <v>704</v>
      </c>
      <c r="AI36" s="296" t="s">
        <v>704</v>
      </c>
      <c r="AJ36" s="296" t="s">
        <v>704</v>
      </c>
      <c r="AK36" s="296" t="s">
        <v>704</v>
      </c>
      <c r="AL36" s="296" t="s">
        <v>704</v>
      </c>
      <c r="AM36" s="296" t="s">
        <v>704</v>
      </c>
      <c r="AN36" s="296" t="s">
        <v>704</v>
      </c>
      <c r="AO36" s="296" t="s">
        <v>704</v>
      </c>
      <c r="AP36" s="296" t="s">
        <v>704</v>
      </c>
      <c r="AQ36" s="296" t="s">
        <v>704</v>
      </c>
      <c r="AR36" s="296" t="s">
        <v>704</v>
      </c>
      <c r="AS36" s="296" t="s">
        <v>704</v>
      </c>
      <c r="AT36" s="296" t="s">
        <v>704</v>
      </c>
      <c r="AU36" s="296" t="s">
        <v>704</v>
      </c>
      <c r="AV36" s="296" t="s">
        <v>704</v>
      </c>
      <c r="AW36" s="296"/>
      <c r="AX36" s="296"/>
    </row>
    <row r="37" spans="1:50" x14ac:dyDescent="0.25">
      <c r="A37" s="299">
        <v>1</v>
      </c>
      <c r="C37" s="308" t="str">
        <f>"    Actual"</f>
        <v xml:space="preserve">    Actual</v>
      </c>
      <c r="D37" s="309">
        <v>3702</v>
      </c>
      <c r="E37" s="309">
        <v>-5968</v>
      </c>
      <c r="F37" s="309">
        <v>329</v>
      </c>
      <c r="G37" s="309">
        <v>3946</v>
      </c>
      <c r="H37" s="309">
        <v>4198</v>
      </c>
      <c r="I37" s="309">
        <v>2130</v>
      </c>
      <c r="J37" s="309">
        <v>5183</v>
      </c>
      <c r="K37" s="309" t="s">
        <v>704</v>
      </c>
      <c r="L37" s="309" t="s">
        <v>704</v>
      </c>
      <c r="M37" s="309" t="s">
        <v>704</v>
      </c>
      <c r="N37" s="309" t="s">
        <v>704</v>
      </c>
      <c r="O37" s="309" t="s">
        <v>704</v>
      </c>
      <c r="P37" s="309" t="s">
        <v>704</v>
      </c>
      <c r="Q37" s="309" t="s">
        <v>704</v>
      </c>
      <c r="R37" s="309" t="s">
        <v>704</v>
      </c>
      <c r="S37" s="300" t="s">
        <v>704</v>
      </c>
      <c r="T37" s="296" t="s">
        <v>704</v>
      </c>
      <c r="U37" s="296" t="s">
        <v>704</v>
      </c>
      <c r="V37" s="296" t="s">
        <v>704</v>
      </c>
      <c r="W37" s="296" t="s">
        <v>704</v>
      </c>
      <c r="X37" s="296" t="s">
        <v>704</v>
      </c>
      <c r="Y37" s="296" t="s">
        <v>704</v>
      </c>
      <c r="Z37" s="296" t="s">
        <v>704</v>
      </c>
      <c r="AA37" s="296" t="s">
        <v>704</v>
      </c>
      <c r="AB37" s="296" t="s">
        <v>704</v>
      </c>
      <c r="AC37" s="296" t="s">
        <v>704</v>
      </c>
      <c r="AD37" s="296" t="s">
        <v>704</v>
      </c>
      <c r="AE37" s="296" t="s">
        <v>704</v>
      </c>
      <c r="AF37" s="296" t="s">
        <v>704</v>
      </c>
      <c r="AG37" s="296" t="s">
        <v>704</v>
      </c>
      <c r="AH37" s="296" t="s">
        <v>704</v>
      </c>
      <c r="AI37" s="296" t="s">
        <v>704</v>
      </c>
      <c r="AJ37" s="296" t="s">
        <v>704</v>
      </c>
      <c r="AK37" s="296" t="s">
        <v>704</v>
      </c>
      <c r="AL37" s="296" t="s">
        <v>704</v>
      </c>
      <c r="AM37" s="296" t="s">
        <v>704</v>
      </c>
      <c r="AN37" s="296" t="s">
        <v>704</v>
      </c>
      <c r="AO37" s="296" t="s">
        <v>704</v>
      </c>
      <c r="AP37" s="296" t="s">
        <v>704</v>
      </c>
      <c r="AQ37" s="296" t="s">
        <v>704</v>
      </c>
      <c r="AR37" s="296" t="s">
        <v>704</v>
      </c>
      <c r="AS37" s="296" t="s">
        <v>704</v>
      </c>
      <c r="AT37" s="296" t="s">
        <v>704</v>
      </c>
      <c r="AU37" s="296" t="s">
        <v>704</v>
      </c>
      <c r="AV37" s="296" t="s">
        <v>704</v>
      </c>
      <c r="AW37" s="296"/>
      <c r="AX37" s="296"/>
    </row>
    <row r="38" spans="1:50" x14ac:dyDescent="0.25">
      <c r="A38" s="299">
        <v>1</v>
      </c>
      <c r="C38" s="308" t="str">
        <f>"    Median"</f>
        <v xml:space="preserve">    Median</v>
      </c>
      <c r="D38" s="309">
        <v>3700</v>
      </c>
      <c r="E38" s="309">
        <v>-10035</v>
      </c>
      <c r="F38" s="309">
        <v>-4200</v>
      </c>
      <c r="G38" s="309">
        <v>-4000</v>
      </c>
      <c r="H38" s="309">
        <v>-2100</v>
      </c>
      <c r="I38" s="309">
        <v>-2450</v>
      </c>
      <c r="J38" s="309">
        <v>-1497</v>
      </c>
      <c r="K38" s="309">
        <v>10650</v>
      </c>
      <c r="L38" s="309">
        <v>11137</v>
      </c>
      <c r="M38" s="309">
        <v>11532</v>
      </c>
      <c r="N38" s="309">
        <v>19850</v>
      </c>
      <c r="O38" s="309">
        <v>21113.5</v>
      </c>
      <c r="P38" s="309">
        <v>20735</v>
      </c>
      <c r="Q38" s="309">
        <v>21107.5</v>
      </c>
      <c r="R38" s="309">
        <v>22708.5</v>
      </c>
      <c r="S38" s="300" t="s">
        <v>704</v>
      </c>
      <c r="T38" s="296" t="s">
        <v>704</v>
      </c>
      <c r="U38" s="296" t="s">
        <v>704</v>
      </c>
      <c r="V38" s="296" t="s">
        <v>704</v>
      </c>
      <c r="W38" s="296" t="s">
        <v>704</v>
      </c>
      <c r="X38" s="296" t="s">
        <v>704</v>
      </c>
      <c r="Y38" s="296" t="s">
        <v>704</v>
      </c>
      <c r="Z38" s="296" t="s">
        <v>704</v>
      </c>
      <c r="AA38" s="296" t="s">
        <v>704</v>
      </c>
      <c r="AB38" s="296" t="s">
        <v>704</v>
      </c>
      <c r="AC38" s="296" t="s">
        <v>704</v>
      </c>
      <c r="AD38" s="296" t="s">
        <v>704</v>
      </c>
      <c r="AE38" s="296" t="s">
        <v>704</v>
      </c>
      <c r="AF38" s="296" t="s">
        <v>704</v>
      </c>
      <c r="AG38" s="296" t="s">
        <v>704</v>
      </c>
      <c r="AH38" s="296" t="s">
        <v>704</v>
      </c>
      <c r="AI38" s="296" t="s">
        <v>704</v>
      </c>
      <c r="AJ38" s="296" t="s">
        <v>704</v>
      </c>
      <c r="AK38" s="296" t="s">
        <v>704</v>
      </c>
      <c r="AL38" s="296" t="s">
        <v>704</v>
      </c>
      <c r="AM38" s="296" t="s">
        <v>704</v>
      </c>
      <c r="AN38" s="296" t="s">
        <v>704</v>
      </c>
      <c r="AO38" s="296" t="s">
        <v>704</v>
      </c>
      <c r="AP38" s="296" t="s">
        <v>704</v>
      </c>
      <c r="AQ38" s="296" t="s">
        <v>704</v>
      </c>
      <c r="AR38" s="296" t="s">
        <v>704</v>
      </c>
      <c r="AS38" s="296" t="s">
        <v>704</v>
      </c>
      <c r="AT38" s="296" t="s">
        <v>704</v>
      </c>
      <c r="AU38" s="296" t="s">
        <v>704</v>
      </c>
      <c r="AV38" s="296" t="s">
        <v>704</v>
      </c>
      <c r="AW38" s="296"/>
      <c r="AX38" s="296"/>
    </row>
    <row r="39" spans="1:50" x14ac:dyDescent="0.25">
      <c r="A39" s="299">
        <v>1</v>
      </c>
      <c r="C39" s="308" t="str">
        <f>"    High"</f>
        <v xml:space="preserve">    High</v>
      </c>
      <c r="D39" s="309">
        <v>3700</v>
      </c>
      <c r="E39" s="309">
        <v>-9900</v>
      </c>
      <c r="F39" s="309">
        <v>-3500</v>
      </c>
      <c r="G39" s="309">
        <v>-2900</v>
      </c>
      <c r="H39" s="309">
        <v>-500</v>
      </c>
      <c r="I39" s="309">
        <v>-1900</v>
      </c>
      <c r="J39" s="309">
        <v>100</v>
      </c>
      <c r="K39" s="309">
        <v>10800</v>
      </c>
      <c r="L39" s="309">
        <v>13500</v>
      </c>
      <c r="M39" s="309">
        <v>13500</v>
      </c>
      <c r="N39" s="309">
        <v>22300</v>
      </c>
      <c r="O39" s="309">
        <v>26127</v>
      </c>
      <c r="P39" s="309">
        <v>22970</v>
      </c>
      <c r="Q39" s="309">
        <v>21415</v>
      </c>
      <c r="R39" s="309">
        <v>23317</v>
      </c>
      <c r="S39" s="300" t="s">
        <v>704</v>
      </c>
      <c r="T39" s="296" t="s">
        <v>704</v>
      </c>
      <c r="U39" s="296" t="s">
        <v>704</v>
      </c>
      <c r="V39" s="296" t="s">
        <v>704</v>
      </c>
      <c r="W39" s="296" t="s">
        <v>704</v>
      </c>
      <c r="X39" s="296" t="s">
        <v>704</v>
      </c>
      <c r="Y39" s="296" t="s">
        <v>704</v>
      </c>
      <c r="Z39" s="296" t="s">
        <v>704</v>
      </c>
      <c r="AA39" s="296" t="s">
        <v>704</v>
      </c>
      <c r="AB39" s="296" t="s">
        <v>704</v>
      </c>
      <c r="AC39" s="296" t="s">
        <v>704</v>
      </c>
      <c r="AD39" s="296" t="s">
        <v>704</v>
      </c>
      <c r="AE39" s="296" t="s">
        <v>704</v>
      </c>
      <c r="AF39" s="296" t="s">
        <v>704</v>
      </c>
      <c r="AG39" s="296" t="s">
        <v>704</v>
      </c>
      <c r="AH39" s="296" t="s">
        <v>704</v>
      </c>
      <c r="AI39" s="296" t="s">
        <v>704</v>
      </c>
      <c r="AJ39" s="296" t="s">
        <v>704</v>
      </c>
      <c r="AK39" s="296" t="s">
        <v>704</v>
      </c>
      <c r="AL39" s="296" t="s">
        <v>704</v>
      </c>
      <c r="AM39" s="296" t="s">
        <v>704</v>
      </c>
      <c r="AN39" s="296" t="s">
        <v>704</v>
      </c>
      <c r="AO39" s="296" t="s">
        <v>704</v>
      </c>
      <c r="AP39" s="296" t="s">
        <v>704</v>
      </c>
      <c r="AQ39" s="296" t="s">
        <v>704</v>
      </c>
      <c r="AR39" s="296" t="s">
        <v>704</v>
      </c>
      <c r="AS39" s="296" t="s">
        <v>704</v>
      </c>
      <c r="AT39" s="296" t="s">
        <v>704</v>
      </c>
      <c r="AU39" s="296" t="s">
        <v>704</v>
      </c>
      <c r="AV39" s="296" t="s">
        <v>704</v>
      </c>
      <c r="AW39" s="296"/>
      <c r="AX39" s="296"/>
    </row>
    <row r="40" spans="1:50" x14ac:dyDescent="0.25">
      <c r="A40" s="299">
        <v>1</v>
      </c>
      <c r="C40" s="1040" t="str">
        <f>"    Low"</f>
        <v xml:space="preserve">    Low</v>
      </c>
      <c r="D40" s="1041">
        <v>3700</v>
      </c>
      <c r="E40" s="1041">
        <v>-12000</v>
      </c>
      <c r="F40" s="1041">
        <v>-5000</v>
      </c>
      <c r="G40" s="1041">
        <v>-4600</v>
      </c>
      <c r="H40" s="1041">
        <v>-2866</v>
      </c>
      <c r="I40" s="1041">
        <v>-3500</v>
      </c>
      <c r="J40" s="1041">
        <v>-3000</v>
      </c>
      <c r="K40" s="1041">
        <v>10400</v>
      </c>
      <c r="L40" s="1041">
        <v>10100</v>
      </c>
      <c r="M40" s="1041">
        <v>11000</v>
      </c>
      <c r="N40" s="1041">
        <v>15700</v>
      </c>
      <c r="O40" s="1041">
        <v>16100.000000000002</v>
      </c>
      <c r="P40" s="1041">
        <v>18500</v>
      </c>
      <c r="Q40" s="1041">
        <v>20800</v>
      </c>
      <c r="R40" s="1041">
        <v>22100</v>
      </c>
      <c r="S40" s="300" t="s">
        <v>704</v>
      </c>
      <c r="T40" s="296" t="s">
        <v>704</v>
      </c>
      <c r="U40" s="296" t="s">
        <v>704</v>
      </c>
      <c r="V40" s="296" t="s">
        <v>704</v>
      </c>
      <c r="W40" s="296" t="s">
        <v>704</v>
      </c>
      <c r="X40" s="296" t="s">
        <v>704</v>
      </c>
      <c r="Y40" s="296" t="s">
        <v>704</v>
      </c>
      <c r="Z40" s="296" t="s">
        <v>704</v>
      </c>
      <c r="AA40" s="296" t="s">
        <v>704</v>
      </c>
      <c r="AB40" s="296" t="s">
        <v>704</v>
      </c>
      <c r="AC40" s="296" t="s">
        <v>704</v>
      </c>
      <c r="AD40" s="296" t="s">
        <v>704</v>
      </c>
      <c r="AE40" s="296" t="s">
        <v>704</v>
      </c>
      <c r="AF40" s="296" t="s">
        <v>704</v>
      </c>
      <c r="AG40" s="296" t="s">
        <v>704</v>
      </c>
      <c r="AH40" s="296" t="s">
        <v>704</v>
      </c>
      <c r="AI40" s="296" t="s">
        <v>704</v>
      </c>
      <c r="AJ40" s="296" t="s">
        <v>704</v>
      </c>
      <c r="AK40" s="296" t="s">
        <v>704</v>
      </c>
      <c r="AL40" s="296" t="s">
        <v>704</v>
      </c>
      <c r="AM40" s="296" t="s">
        <v>704</v>
      </c>
      <c r="AN40" s="296" t="s">
        <v>704</v>
      </c>
      <c r="AO40" s="296" t="s">
        <v>704</v>
      </c>
      <c r="AP40" s="296" t="s">
        <v>704</v>
      </c>
      <c r="AQ40" s="296" t="s">
        <v>704</v>
      </c>
      <c r="AR40" s="296" t="s">
        <v>704</v>
      </c>
      <c r="AS40" s="296" t="s">
        <v>704</v>
      </c>
      <c r="AT40" s="296" t="s">
        <v>704</v>
      </c>
      <c r="AU40" s="296" t="s">
        <v>704</v>
      </c>
      <c r="AV40" s="296" t="s">
        <v>704</v>
      </c>
      <c r="AW40" s="296"/>
      <c r="AX40" s="296"/>
    </row>
    <row r="41" spans="1:50" x14ac:dyDescent="0.25">
      <c r="A41" s="299"/>
      <c r="C41" s="1042" t="s">
        <v>1016</v>
      </c>
      <c r="E41" s="309"/>
      <c r="F41" s="309"/>
      <c r="G41" s="309"/>
      <c r="H41" s="1037">
        <f>+H40/H$15</f>
        <v>-3.3717647058823533E-2</v>
      </c>
      <c r="I41" s="1037">
        <f t="shared" ref="I41:R41" si="2">+I40/I$15</f>
        <v>-3.755364806866953E-2</v>
      </c>
      <c r="J41" s="1037">
        <f t="shared" si="2"/>
        <v>-3.0503335539741272E-2</v>
      </c>
      <c r="K41" s="1037">
        <f t="shared" si="2"/>
        <v>9.3397010936430755E-2</v>
      </c>
      <c r="L41" s="1037">
        <f t="shared" si="2"/>
        <v>8.5811384876805438E-2</v>
      </c>
      <c r="M41" s="1037">
        <f t="shared" si="2"/>
        <v>9.0311986863711002E-2</v>
      </c>
      <c r="N41" s="1037">
        <f t="shared" si="2"/>
        <v>0.11921756826534641</v>
      </c>
      <c r="O41" s="1037">
        <f t="shared" si="2"/>
        <v>0.12005965697240867</v>
      </c>
      <c r="P41" s="1037">
        <f t="shared" si="2"/>
        <v>0.12982456140350876</v>
      </c>
      <c r="Q41" s="1037">
        <f t="shared" si="2"/>
        <v>0.13603662524525834</v>
      </c>
      <c r="R41" s="1037">
        <f t="shared" si="2"/>
        <v>0.13908118313404658</v>
      </c>
      <c r="S41" s="300"/>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row>
    <row r="42" spans="1:50" x14ac:dyDescent="0.25">
      <c r="A42" s="299">
        <v>1</v>
      </c>
      <c r="C42" s="308" t="str">
        <f>"    Mean"</f>
        <v xml:space="preserve">    Mean</v>
      </c>
      <c r="D42" s="309">
        <v>3700</v>
      </c>
      <c r="E42" s="309">
        <v>-10411.666999999999</v>
      </c>
      <c r="F42" s="309">
        <v>-4220</v>
      </c>
      <c r="G42" s="309">
        <v>-3740</v>
      </c>
      <c r="H42" s="309">
        <v>-1994.3330000000001</v>
      </c>
      <c r="I42" s="309">
        <v>-2540.1669999999999</v>
      </c>
      <c r="J42" s="309">
        <v>-1399</v>
      </c>
      <c r="K42" s="309">
        <v>10633.333000000001</v>
      </c>
      <c r="L42" s="309">
        <v>11362.333000000001</v>
      </c>
      <c r="M42" s="309">
        <v>11894</v>
      </c>
      <c r="N42" s="309">
        <v>19078.5</v>
      </c>
      <c r="O42" s="309">
        <v>21113.5</v>
      </c>
      <c r="P42" s="309">
        <v>20735</v>
      </c>
      <c r="Q42" s="309">
        <v>21107.5</v>
      </c>
      <c r="R42" s="309">
        <v>22708.5</v>
      </c>
      <c r="S42" s="300" t="s">
        <v>704</v>
      </c>
      <c r="T42" s="296" t="s">
        <v>704</v>
      </c>
      <c r="U42" s="296" t="s">
        <v>704</v>
      </c>
      <c r="V42" s="296" t="s">
        <v>704</v>
      </c>
      <c r="W42" s="296" t="s">
        <v>704</v>
      </c>
      <c r="X42" s="296" t="s">
        <v>704</v>
      </c>
      <c r="Y42" s="296" t="s">
        <v>704</v>
      </c>
      <c r="Z42" s="296" t="s">
        <v>704</v>
      </c>
      <c r="AA42" s="296" t="s">
        <v>704</v>
      </c>
      <c r="AB42" s="296" t="s">
        <v>704</v>
      </c>
      <c r="AC42" s="296" t="s">
        <v>704</v>
      </c>
      <c r="AD42" s="296" t="s">
        <v>704</v>
      </c>
      <c r="AE42" s="296" t="s">
        <v>704</v>
      </c>
      <c r="AF42" s="296" t="s">
        <v>704</v>
      </c>
      <c r="AG42" s="296" t="s">
        <v>704</v>
      </c>
      <c r="AH42" s="296" t="s">
        <v>704</v>
      </c>
      <c r="AI42" s="296" t="s">
        <v>704</v>
      </c>
      <c r="AJ42" s="296" t="s">
        <v>704</v>
      </c>
      <c r="AK42" s="296" t="s">
        <v>704</v>
      </c>
      <c r="AL42" s="296" t="s">
        <v>704</v>
      </c>
      <c r="AM42" s="296" t="s">
        <v>704</v>
      </c>
      <c r="AN42" s="296" t="s">
        <v>704</v>
      </c>
      <c r="AO42" s="296" t="s">
        <v>704</v>
      </c>
      <c r="AP42" s="296" t="s">
        <v>704</v>
      </c>
      <c r="AQ42" s="296" t="s">
        <v>704</v>
      </c>
      <c r="AR42" s="296" t="s">
        <v>704</v>
      </c>
      <c r="AS42" s="296" t="s">
        <v>704</v>
      </c>
      <c r="AT42" s="296" t="s">
        <v>704</v>
      </c>
      <c r="AU42" s="296" t="s">
        <v>704</v>
      </c>
      <c r="AV42" s="296" t="s">
        <v>704</v>
      </c>
      <c r="AW42" s="296"/>
      <c r="AX42" s="296"/>
    </row>
    <row r="43" spans="1:50" x14ac:dyDescent="0.25">
      <c r="A43" s="299">
        <v>1</v>
      </c>
      <c r="C43" s="308" t="str">
        <f>"    Standard Deviation"</f>
        <v xml:space="preserve">    Standard Deviation</v>
      </c>
      <c r="D43" s="309">
        <v>0</v>
      </c>
      <c r="E43" s="309">
        <v>805.98800000000006</v>
      </c>
      <c r="F43" s="309">
        <v>549.54499999999996</v>
      </c>
      <c r="G43" s="309">
        <v>684.10500000000002</v>
      </c>
      <c r="H43" s="309">
        <v>812.375</v>
      </c>
      <c r="I43" s="309">
        <v>671.26800000000003</v>
      </c>
      <c r="J43" s="309">
        <v>1226.2809999999999</v>
      </c>
      <c r="K43" s="309">
        <v>136.626</v>
      </c>
      <c r="L43" s="309">
        <v>1182.9929999999999</v>
      </c>
      <c r="M43" s="309">
        <v>913.83600000000001</v>
      </c>
      <c r="N43" s="309">
        <v>2680.652</v>
      </c>
      <c r="O43" s="309">
        <v>7090.16</v>
      </c>
      <c r="P43" s="309">
        <v>3160.7669999999998</v>
      </c>
      <c r="Q43" s="309">
        <v>434.87099999999998</v>
      </c>
      <c r="R43" s="309">
        <v>860.54899999999998</v>
      </c>
      <c r="S43" s="300" t="s">
        <v>704</v>
      </c>
      <c r="T43" s="296" t="s">
        <v>704</v>
      </c>
      <c r="U43" s="296" t="s">
        <v>704</v>
      </c>
      <c r="V43" s="296" t="s">
        <v>704</v>
      </c>
      <c r="W43" s="296" t="s">
        <v>704</v>
      </c>
      <c r="X43" s="296" t="s">
        <v>704</v>
      </c>
      <c r="Y43" s="296" t="s">
        <v>704</v>
      </c>
      <c r="Z43" s="296" t="s">
        <v>704</v>
      </c>
      <c r="AA43" s="296" t="s">
        <v>704</v>
      </c>
      <c r="AB43" s="296" t="s">
        <v>704</v>
      </c>
      <c r="AC43" s="296" t="s">
        <v>704</v>
      </c>
      <c r="AD43" s="296" t="s">
        <v>704</v>
      </c>
      <c r="AE43" s="296" t="s">
        <v>704</v>
      </c>
      <c r="AF43" s="296" t="s">
        <v>704</v>
      </c>
      <c r="AG43" s="296" t="s">
        <v>704</v>
      </c>
      <c r="AH43" s="296" t="s">
        <v>704</v>
      </c>
      <c r="AI43" s="296" t="s">
        <v>704</v>
      </c>
      <c r="AJ43" s="296" t="s">
        <v>704</v>
      </c>
      <c r="AK43" s="296" t="s">
        <v>704</v>
      </c>
      <c r="AL43" s="296" t="s">
        <v>704</v>
      </c>
      <c r="AM43" s="296" t="s">
        <v>704</v>
      </c>
      <c r="AN43" s="296" t="s">
        <v>704</v>
      </c>
      <c r="AO43" s="296" t="s">
        <v>704</v>
      </c>
      <c r="AP43" s="296" t="s">
        <v>704</v>
      </c>
      <c r="AQ43" s="296" t="s">
        <v>704</v>
      </c>
      <c r="AR43" s="296" t="s">
        <v>704</v>
      </c>
      <c r="AS43" s="296" t="s">
        <v>704</v>
      </c>
      <c r="AT43" s="296" t="s">
        <v>704</v>
      </c>
      <c r="AU43" s="296" t="s">
        <v>704</v>
      </c>
      <c r="AV43" s="296" t="s">
        <v>704</v>
      </c>
      <c r="AW43" s="296"/>
      <c r="AX43" s="296"/>
    </row>
    <row r="44" spans="1:50" x14ac:dyDescent="0.25">
      <c r="A44" s="299">
        <v>1</v>
      </c>
      <c r="C44" s="308" t="str">
        <f>"    Number of Estimates"</f>
        <v xml:space="preserve">    Number of Estimates</v>
      </c>
      <c r="D44" s="309">
        <v>6</v>
      </c>
      <c r="E44" s="309">
        <v>6</v>
      </c>
      <c r="F44" s="309">
        <v>5</v>
      </c>
      <c r="G44" s="309">
        <v>5</v>
      </c>
      <c r="H44" s="309">
        <v>6</v>
      </c>
      <c r="I44" s="309">
        <v>6</v>
      </c>
      <c r="J44" s="309">
        <v>6</v>
      </c>
      <c r="K44" s="309">
        <v>6</v>
      </c>
      <c r="L44" s="309">
        <v>6</v>
      </c>
      <c r="M44" s="309">
        <v>6</v>
      </c>
      <c r="N44" s="309">
        <v>6</v>
      </c>
      <c r="O44" s="309">
        <v>2</v>
      </c>
      <c r="P44" s="309">
        <v>2</v>
      </c>
      <c r="Q44" s="309">
        <v>2</v>
      </c>
      <c r="R44" s="309">
        <v>2</v>
      </c>
      <c r="S44" s="300" t="s">
        <v>704</v>
      </c>
      <c r="T44" s="296" t="s">
        <v>704</v>
      </c>
      <c r="U44" s="296" t="s">
        <v>704</v>
      </c>
      <c r="V44" s="296" t="s">
        <v>704</v>
      </c>
      <c r="W44" s="296" t="s">
        <v>704</v>
      </c>
      <c r="X44" s="296" t="s">
        <v>704</v>
      </c>
      <c r="Y44" s="296" t="s">
        <v>704</v>
      </c>
      <c r="Z44" s="296" t="s">
        <v>704</v>
      </c>
      <c r="AA44" s="296" t="s">
        <v>704</v>
      </c>
      <c r="AB44" s="296" t="s">
        <v>704</v>
      </c>
      <c r="AC44" s="296" t="s">
        <v>704</v>
      </c>
      <c r="AD44" s="296" t="s">
        <v>704</v>
      </c>
      <c r="AE44" s="296" t="s">
        <v>704</v>
      </c>
      <c r="AF44" s="296" t="s">
        <v>704</v>
      </c>
      <c r="AG44" s="296" t="s">
        <v>704</v>
      </c>
      <c r="AH44" s="296" t="s">
        <v>704</v>
      </c>
      <c r="AI44" s="296" t="s">
        <v>704</v>
      </c>
      <c r="AJ44" s="296" t="s">
        <v>704</v>
      </c>
      <c r="AK44" s="296" t="s">
        <v>704</v>
      </c>
      <c r="AL44" s="296" t="s">
        <v>704</v>
      </c>
      <c r="AM44" s="296" t="s">
        <v>704</v>
      </c>
      <c r="AN44" s="296" t="s">
        <v>704</v>
      </c>
      <c r="AO44" s="296" t="s">
        <v>704</v>
      </c>
      <c r="AP44" s="296" t="s">
        <v>704</v>
      </c>
      <c r="AQ44" s="296" t="s">
        <v>704</v>
      </c>
      <c r="AR44" s="296" t="s">
        <v>704</v>
      </c>
      <c r="AS44" s="296" t="s">
        <v>704</v>
      </c>
      <c r="AT44" s="296" t="s">
        <v>704</v>
      </c>
      <c r="AU44" s="296" t="s">
        <v>704</v>
      </c>
      <c r="AV44" s="296" t="s">
        <v>704</v>
      </c>
      <c r="AW44" s="296"/>
      <c r="AX44" s="296"/>
    </row>
    <row r="45" spans="1:50" x14ac:dyDescent="0.25">
      <c r="A45" s="299">
        <v>1</v>
      </c>
      <c r="C45" s="313" t="str">
        <f>"EBITDA"</f>
        <v>EBITDA</v>
      </c>
      <c r="D45" s="307" t="s">
        <v>704</v>
      </c>
      <c r="E45" s="307" t="s">
        <v>704</v>
      </c>
      <c r="F45" s="307" t="s">
        <v>704</v>
      </c>
      <c r="G45" s="307" t="s">
        <v>704</v>
      </c>
      <c r="H45" s="307" t="s">
        <v>704</v>
      </c>
      <c r="I45" s="307" t="s">
        <v>704</v>
      </c>
      <c r="J45" s="307" t="s">
        <v>704</v>
      </c>
      <c r="K45" s="307" t="s">
        <v>704</v>
      </c>
      <c r="L45" s="307" t="s">
        <v>704</v>
      </c>
      <c r="M45" s="307" t="s">
        <v>704</v>
      </c>
      <c r="N45" s="307" t="s">
        <v>704</v>
      </c>
      <c r="O45" s="307" t="s">
        <v>704</v>
      </c>
      <c r="P45" s="307" t="s">
        <v>704</v>
      </c>
      <c r="Q45" s="307" t="s">
        <v>704</v>
      </c>
      <c r="R45" s="307" t="s">
        <v>704</v>
      </c>
      <c r="S45" s="300" t="s">
        <v>704</v>
      </c>
      <c r="T45" s="296" t="s">
        <v>704</v>
      </c>
      <c r="U45" s="296" t="s">
        <v>704</v>
      </c>
      <c r="V45" s="296" t="s">
        <v>704</v>
      </c>
      <c r="W45" s="296" t="s">
        <v>704</v>
      </c>
      <c r="X45" s="296" t="s">
        <v>704</v>
      </c>
      <c r="Y45" s="296" t="s">
        <v>704</v>
      </c>
      <c r="Z45" s="296" t="s">
        <v>704</v>
      </c>
      <c r="AA45" s="296" t="s">
        <v>704</v>
      </c>
      <c r="AB45" s="296" t="s">
        <v>704</v>
      </c>
      <c r="AC45" s="296" t="s">
        <v>704</v>
      </c>
      <c r="AD45" s="296" t="s">
        <v>704</v>
      </c>
      <c r="AE45" s="296" t="s">
        <v>704</v>
      </c>
      <c r="AF45" s="296" t="s">
        <v>704</v>
      </c>
      <c r="AG45" s="296" t="s">
        <v>704</v>
      </c>
      <c r="AH45" s="296" t="s">
        <v>704</v>
      </c>
      <c r="AI45" s="296" t="s">
        <v>704</v>
      </c>
      <c r="AJ45" s="296" t="s">
        <v>704</v>
      </c>
      <c r="AK45" s="296" t="s">
        <v>704</v>
      </c>
      <c r="AL45" s="296" t="s">
        <v>704</v>
      </c>
      <c r="AM45" s="296" t="s">
        <v>704</v>
      </c>
      <c r="AN45" s="296" t="s">
        <v>704</v>
      </c>
      <c r="AO45" s="296" t="s">
        <v>704</v>
      </c>
      <c r="AP45" s="296" t="s">
        <v>704</v>
      </c>
      <c r="AQ45" s="296" t="s">
        <v>704</v>
      </c>
      <c r="AR45" s="296" t="s">
        <v>704</v>
      </c>
      <c r="AS45" s="296" t="s">
        <v>704</v>
      </c>
      <c r="AT45" s="296" t="s">
        <v>704</v>
      </c>
      <c r="AU45" s="296" t="s">
        <v>704</v>
      </c>
      <c r="AV45" s="296" t="s">
        <v>704</v>
      </c>
      <c r="AW45" s="296"/>
      <c r="AX45" s="296"/>
    </row>
    <row r="46" spans="1:50" x14ac:dyDescent="0.25">
      <c r="A46" s="299">
        <v>1</v>
      </c>
      <c r="C46" s="308" t="str">
        <f>"    Actual"</f>
        <v xml:space="preserve">    Actual</v>
      </c>
      <c r="D46" s="309">
        <v>461</v>
      </c>
      <c r="E46" s="309">
        <v>-28186</v>
      </c>
      <c r="F46" s="309">
        <v>-16652</v>
      </c>
      <c r="G46" s="309">
        <v>-11352</v>
      </c>
      <c r="H46" s="309">
        <v>-13734</v>
      </c>
      <c r="I46" s="309">
        <v>-16910</v>
      </c>
      <c r="J46" s="309">
        <v>-11770</v>
      </c>
      <c r="K46" s="309" t="s">
        <v>704</v>
      </c>
      <c r="L46" s="309" t="s">
        <v>704</v>
      </c>
      <c r="M46" s="309" t="s">
        <v>704</v>
      </c>
      <c r="N46" s="309" t="s">
        <v>704</v>
      </c>
      <c r="O46" s="309" t="s">
        <v>704</v>
      </c>
      <c r="P46" s="309" t="s">
        <v>704</v>
      </c>
      <c r="Q46" s="309" t="s">
        <v>704</v>
      </c>
      <c r="R46" s="309" t="s">
        <v>704</v>
      </c>
      <c r="S46" s="300" t="s">
        <v>704</v>
      </c>
      <c r="T46" s="296" t="s">
        <v>704</v>
      </c>
      <c r="U46" s="296" t="s">
        <v>704</v>
      </c>
      <c r="V46" s="296" t="s">
        <v>704</v>
      </c>
      <c r="W46" s="296" t="s">
        <v>704</v>
      </c>
      <c r="X46" s="296" t="s">
        <v>704</v>
      </c>
      <c r="Y46" s="296" t="s">
        <v>704</v>
      </c>
      <c r="Z46" s="296" t="s">
        <v>704</v>
      </c>
      <c r="AA46" s="296" t="s">
        <v>704</v>
      </c>
      <c r="AB46" s="296" t="s">
        <v>704</v>
      </c>
      <c r="AC46" s="296" t="s">
        <v>704</v>
      </c>
      <c r="AD46" s="296" t="s">
        <v>704</v>
      </c>
      <c r="AE46" s="296" t="s">
        <v>704</v>
      </c>
      <c r="AF46" s="296" t="s">
        <v>704</v>
      </c>
      <c r="AG46" s="296" t="s">
        <v>704</v>
      </c>
      <c r="AH46" s="296" t="s">
        <v>704</v>
      </c>
      <c r="AI46" s="296" t="s">
        <v>704</v>
      </c>
      <c r="AJ46" s="296" t="s">
        <v>704</v>
      </c>
      <c r="AK46" s="296" t="s">
        <v>704</v>
      </c>
      <c r="AL46" s="296" t="s">
        <v>704</v>
      </c>
      <c r="AM46" s="296" t="s">
        <v>704</v>
      </c>
      <c r="AN46" s="296" t="s">
        <v>704</v>
      </c>
      <c r="AO46" s="296" t="s">
        <v>704</v>
      </c>
      <c r="AP46" s="296" t="s">
        <v>704</v>
      </c>
      <c r="AQ46" s="296" t="s">
        <v>704</v>
      </c>
      <c r="AR46" s="296" t="s">
        <v>704</v>
      </c>
      <c r="AS46" s="296" t="s">
        <v>704</v>
      </c>
      <c r="AT46" s="296" t="s">
        <v>704</v>
      </c>
      <c r="AU46" s="296" t="s">
        <v>704</v>
      </c>
      <c r="AV46" s="296" t="s">
        <v>704</v>
      </c>
      <c r="AW46" s="296"/>
      <c r="AX46" s="296"/>
    </row>
    <row r="47" spans="1:50" x14ac:dyDescent="0.25">
      <c r="A47" s="299">
        <v>1</v>
      </c>
      <c r="C47" s="308" t="str">
        <f>"    Median"</f>
        <v xml:space="preserve">    Median</v>
      </c>
      <c r="D47" s="309">
        <v>3700</v>
      </c>
      <c r="E47" s="309">
        <v>-10000</v>
      </c>
      <c r="F47" s="309">
        <v>-4000</v>
      </c>
      <c r="G47" s="309">
        <v>-4000</v>
      </c>
      <c r="H47" s="309">
        <v>-2049.7939999999999</v>
      </c>
      <c r="I47" s="309">
        <v>-2450</v>
      </c>
      <c r="J47" s="309">
        <v>-1251.481</v>
      </c>
      <c r="K47" s="309">
        <v>10685.61</v>
      </c>
      <c r="L47" s="309">
        <v>11113.75</v>
      </c>
      <c r="M47" s="309">
        <v>11652</v>
      </c>
      <c r="N47" s="309">
        <v>19715</v>
      </c>
      <c r="O47" s="309">
        <v>21113.5</v>
      </c>
      <c r="P47" s="309">
        <v>20735</v>
      </c>
      <c r="Q47" s="309">
        <v>21107.5</v>
      </c>
      <c r="R47" s="309">
        <v>22708.5</v>
      </c>
      <c r="S47" s="300" t="s">
        <v>704</v>
      </c>
      <c r="T47" s="296" t="s">
        <v>704</v>
      </c>
      <c r="U47" s="296" t="s">
        <v>704</v>
      </c>
      <c r="V47" s="296" t="s">
        <v>704</v>
      </c>
      <c r="W47" s="296" t="s">
        <v>704</v>
      </c>
      <c r="X47" s="296" t="s">
        <v>704</v>
      </c>
      <c r="Y47" s="296" t="s">
        <v>704</v>
      </c>
      <c r="Z47" s="296" t="s">
        <v>704</v>
      </c>
      <c r="AA47" s="296" t="s">
        <v>704</v>
      </c>
      <c r="AB47" s="296" t="s">
        <v>704</v>
      </c>
      <c r="AC47" s="296" t="s">
        <v>704</v>
      </c>
      <c r="AD47" s="296" t="s">
        <v>704</v>
      </c>
      <c r="AE47" s="296" t="s">
        <v>704</v>
      </c>
      <c r="AF47" s="296" t="s">
        <v>704</v>
      </c>
      <c r="AG47" s="296" t="s">
        <v>704</v>
      </c>
      <c r="AH47" s="296" t="s">
        <v>704</v>
      </c>
      <c r="AI47" s="296" t="s">
        <v>704</v>
      </c>
      <c r="AJ47" s="296" t="s">
        <v>704</v>
      </c>
      <c r="AK47" s="296" t="s">
        <v>704</v>
      </c>
      <c r="AL47" s="296" t="s">
        <v>704</v>
      </c>
      <c r="AM47" s="296" t="s">
        <v>704</v>
      </c>
      <c r="AN47" s="296" t="s">
        <v>704</v>
      </c>
      <c r="AO47" s="296" t="s">
        <v>704</v>
      </c>
      <c r="AP47" s="296" t="s">
        <v>704</v>
      </c>
      <c r="AQ47" s="296" t="s">
        <v>704</v>
      </c>
      <c r="AR47" s="296" t="s">
        <v>704</v>
      </c>
      <c r="AS47" s="296" t="s">
        <v>704</v>
      </c>
      <c r="AT47" s="296" t="s">
        <v>704</v>
      </c>
      <c r="AU47" s="296" t="s">
        <v>704</v>
      </c>
      <c r="AV47" s="296" t="s">
        <v>704</v>
      </c>
      <c r="AW47" s="296"/>
      <c r="AX47" s="296"/>
    </row>
    <row r="48" spans="1:50" x14ac:dyDescent="0.25">
      <c r="A48" s="299">
        <v>1</v>
      </c>
      <c r="C48" s="308" t="str">
        <f>"    High"</f>
        <v xml:space="preserve">    High</v>
      </c>
      <c r="D48" s="309">
        <v>3700</v>
      </c>
      <c r="E48" s="309">
        <v>-8502.6730000000007</v>
      </c>
      <c r="F48" s="309">
        <v>-3500</v>
      </c>
      <c r="G48" s="309">
        <v>-774.79899999999998</v>
      </c>
      <c r="H48" s="309">
        <v>-500</v>
      </c>
      <c r="I48" s="309">
        <v>-1545.8820000000001</v>
      </c>
      <c r="J48" s="309">
        <v>100</v>
      </c>
      <c r="K48" s="309">
        <v>11251.409</v>
      </c>
      <c r="L48" s="309">
        <v>13500</v>
      </c>
      <c r="M48" s="309">
        <v>13500</v>
      </c>
      <c r="N48" s="309">
        <v>22342.008000000002</v>
      </c>
      <c r="O48" s="309">
        <v>26127</v>
      </c>
      <c r="P48" s="309">
        <v>22970</v>
      </c>
      <c r="Q48" s="309">
        <v>21415</v>
      </c>
      <c r="R48" s="309">
        <v>23317</v>
      </c>
      <c r="S48" s="300" t="s">
        <v>704</v>
      </c>
      <c r="T48" s="296" t="s">
        <v>704</v>
      </c>
      <c r="U48" s="296" t="s">
        <v>704</v>
      </c>
      <c r="V48" s="296" t="s">
        <v>704</v>
      </c>
      <c r="W48" s="296" t="s">
        <v>704</v>
      </c>
      <c r="X48" s="296" t="s">
        <v>704</v>
      </c>
      <c r="Y48" s="296" t="s">
        <v>704</v>
      </c>
      <c r="Z48" s="296" t="s">
        <v>704</v>
      </c>
      <c r="AA48" s="296" t="s">
        <v>704</v>
      </c>
      <c r="AB48" s="296" t="s">
        <v>704</v>
      </c>
      <c r="AC48" s="296" t="s">
        <v>704</v>
      </c>
      <c r="AD48" s="296" t="s">
        <v>704</v>
      </c>
      <c r="AE48" s="296" t="s">
        <v>704</v>
      </c>
      <c r="AF48" s="296" t="s">
        <v>704</v>
      </c>
      <c r="AG48" s="296" t="s">
        <v>704</v>
      </c>
      <c r="AH48" s="296" t="s">
        <v>704</v>
      </c>
      <c r="AI48" s="296" t="s">
        <v>704</v>
      </c>
      <c r="AJ48" s="296" t="s">
        <v>704</v>
      </c>
      <c r="AK48" s="296" t="s">
        <v>704</v>
      </c>
      <c r="AL48" s="296" t="s">
        <v>704</v>
      </c>
      <c r="AM48" s="296" t="s">
        <v>704</v>
      </c>
      <c r="AN48" s="296" t="s">
        <v>704</v>
      </c>
      <c r="AO48" s="296" t="s">
        <v>704</v>
      </c>
      <c r="AP48" s="296" t="s">
        <v>704</v>
      </c>
      <c r="AQ48" s="296" t="s">
        <v>704</v>
      </c>
      <c r="AR48" s="296" t="s">
        <v>704</v>
      </c>
      <c r="AS48" s="296" t="s">
        <v>704</v>
      </c>
      <c r="AT48" s="296" t="s">
        <v>704</v>
      </c>
      <c r="AU48" s="296" t="s">
        <v>704</v>
      </c>
      <c r="AV48" s="296" t="s">
        <v>704</v>
      </c>
      <c r="AW48" s="296"/>
      <c r="AX48" s="296"/>
    </row>
    <row r="49" spans="1:50" x14ac:dyDescent="0.25">
      <c r="A49" s="299">
        <v>1</v>
      </c>
      <c r="C49" s="308" t="str">
        <f>"    Low"</f>
        <v xml:space="preserve">    Low</v>
      </c>
      <c r="D49" s="309">
        <v>3700</v>
      </c>
      <c r="E49" s="309">
        <v>-12000</v>
      </c>
      <c r="F49" s="309">
        <v>-5000</v>
      </c>
      <c r="G49" s="309">
        <v>-4600</v>
      </c>
      <c r="H49" s="309">
        <v>-2866</v>
      </c>
      <c r="I49" s="309">
        <v>-3500</v>
      </c>
      <c r="J49" s="309">
        <v>-2967</v>
      </c>
      <c r="K49" s="309">
        <v>10400</v>
      </c>
      <c r="L49" s="309">
        <v>10131.641</v>
      </c>
      <c r="M49" s="309">
        <v>11008.873</v>
      </c>
      <c r="N49" s="309">
        <v>15684.8</v>
      </c>
      <c r="O49" s="309">
        <v>16100.000000000002</v>
      </c>
      <c r="P49" s="309">
        <v>18500</v>
      </c>
      <c r="Q49" s="309">
        <v>20800</v>
      </c>
      <c r="R49" s="309">
        <v>22100</v>
      </c>
      <c r="S49" s="300" t="s">
        <v>704</v>
      </c>
      <c r="T49" s="296" t="s">
        <v>704</v>
      </c>
      <c r="U49" s="296" t="s">
        <v>704</v>
      </c>
      <c r="V49" s="296" t="s">
        <v>704</v>
      </c>
      <c r="W49" s="296" t="s">
        <v>704</v>
      </c>
      <c r="X49" s="296" t="s">
        <v>704</v>
      </c>
      <c r="Y49" s="296" t="s">
        <v>704</v>
      </c>
      <c r="Z49" s="296" t="s">
        <v>704</v>
      </c>
      <c r="AA49" s="296" t="s">
        <v>704</v>
      </c>
      <c r="AB49" s="296" t="s">
        <v>704</v>
      </c>
      <c r="AC49" s="296" t="s">
        <v>704</v>
      </c>
      <c r="AD49" s="296" t="s">
        <v>704</v>
      </c>
      <c r="AE49" s="296" t="s">
        <v>704</v>
      </c>
      <c r="AF49" s="296" t="s">
        <v>704</v>
      </c>
      <c r="AG49" s="296" t="s">
        <v>704</v>
      </c>
      <c r="AH49" s="296" t="s">
        <v>704</v>
      </c>
      <c r="AI49" s="296" t="s">
        <v>704</v>
      </c>
      <c r="AJ49" s="296" t="s">
        <v>704</v>
      </c>
      <c r="AK49" s="296" t="s">
        <v>704</v>
      </c>
      <c r="AL49" s="296" t="s">
        <v>704</v>
      </c>
      <c r="AM49" s="296" t="s">
        <v>704</v>
      </c>
      <c r="AN49" s="296" t="s">
        <v>704</v>
      </c>
      <c r="AO49" s="296" t="s">
        <v>704</v>
      </c>
      <c r="AP49" s="296" t="s">
        <v>704</v>
      </c>
      <c r="AQ49" s="296" t="s">
        <v>704</v>
      </c>
      <c r="AR49" s="296" t="s">
        <v>704</v>
      </c>
      <c r="AS49" s="296" t="s">
        <v>704</v>
      </c>
      <c r="AT49" s="296" t="s">
        <v>704</v>
      </c>
      <c r="AU49" s="296" t="s">
        <v>704</v>
      </c>
      <c r="AV49" s="296" t="s">
        <v>704</v>
      </c>
      <c r="AW49" s="296"/>
      <c r="AX49" s="296"/>
    </row>
    <row r="50" spans="1:50" x14ac:dyDescent="0.25">
      <c r="A50" s="299">
        <v>1</v>
      </c>
      <c r="C50" s="308" t="str">
        <f>"    Mean"</f>
        <v xml:space="preserve">    Mean</v>
      </c>
      <c r="D50" s="309">
        <v>3700</v>
      </c>
      <c r="E50" s="309">
        <v>-10138.953</v>
      </c>
      <c r="F50" s="309">
        <v>-4085.1300000000006</v>
      </c>
      <c r="G50" s="309">
        <v>-3354.9229999999998</v>
      </c>
      <c r="H50" s="309">
        <v>-1911.857</v>
      </c>
      <c r="I50" s="309">
        <v>-2460.86</v>
      </c>
      <c r="J50" s="309">
        <v>-1296.847</v>
      </c>
      <c r="K50" s="309">
        <v>10733.954</v>
      </c>
      <c r="L50" s="309">
        <v>11325.949000000001</v>
      </c>
      <c r="M50" s="309">
        <v>11910.098</v>
      </c>
      <c r="N50" s="309">
        <v>18968.578000000001</v>
      </c>
      <c r="O50" s="309">
        <v>21113.5</v>
      </c>
      <c r="P50" s="309">
        <v>20735</v>
      </c>
      <c r="Q50" s="309">
        <v>21107.5</v>
      </c>
      <c r="R50" s="309">
        <v>22708.5</v>
      </c>
      <c r="S50" s="300" t="s">
        <v>704</v>
      </c>
      <c r="T50" s="296" t="s">
        <v>704</v>
      </c>
      <c r="U50" s="296" t="s">
        <v>704</v>
      </c>
      <c r="V50" s="296" t="s">
        <v>704</v>
      </c>
      <c r="W50" s="296" t="s">
        <v>704</v>
      </c>
      <c r="X50" s="296" t="s">
        <v>704</v>
      </c>
      <c r="Y50" s="296" t="s">
        <v>704</v>
      </c>
      <c r="Z50" s="296" t="s">
        <v>704</v>
      </c>
      <c r="AA50" s="296" t="s">
        <v>704</v>
      </c>
      <c r="AB50" s="296" t="s">
        <v>704</v>
      </c>
      <c r="AC50" s="296" t="s">
        <v>704</v>
      </c>
      <c r="AD50" s="296" t="s">
        <v>704</v>
      </c>
      <c r="AE50" s="296" t="s">
        <v>704</v>
      </c>
      <c r="AF50" s="296" t="s">
        <v>704</v>
      </c>
      <c r="AG50" s="296" t="s">
        <v>704</v>
      </c>
      <c r="AH50" s="296" t="s">
        <v>704</v>
      </c>
      <c r="AI50" s="296" t="s">
        <v>704</v>
      </c>
      <c r="AJ50" s="296" t="s">
        <v>704</v>
      </c>
      <c r="AK50" s="296" t="s">
        <v>704</v>
      </c>
      <c r="AL50" s="296" t="s">
        <v>704</v>
      </c>
      <c r="AM50" s="296" t="s">
        <v>704</v>
      </c>
      <c r="AN50" s="296" t="s">
        <v>704</v>
      </c>
      <c r="AO50" s="296" t="s">
        <v>704</v>
      </c>
      <c r="AP50" s="296" t="s">
        <v>704</v>
      </c>
      <c r="AQ50" s="296" t="s">
        <v>704</v>
      </c>
      <c r="AR50" s="296" t="s">
        <v>704</v>
      </c>
      <c r="AS50" s="296" t="s">
        <v>704</v>
      </c>
      <c r="AT50" s="296" t="s">
        <v>704</v>
      </c>
      <c r="AU50" s="296" t="s">
        <v>704</v>
      </c>
      <c r="AV50" s="296" t="s">
        <v>704</v>
      </c>
      <c r="AW50" s="296"/>
      <c r="AX50" s="296"/>
    </row>
    <row r="51" spans="1:50" x14ac:dyDescent="0.25">
      <c r="A51" s="299">
        <v>1</v>
      </c>
      <c r="C51" s="308" t="str">
        <f>"    Standard Deviation"</f>
        <v xml:space="preserve">    Standard Deviation</v>
      </c>
      <c r="D51" s="309">
        <v>0</v>
      </c>
      <c r="E51" s="309">
        <v>1030.5120000000002</v>
      </c>
      <c r="F51" s="309">
        <v>505.262</v>
      </c>
      <c r="G51" s="309">
        <v>1271.4259999999999</v>
      </c>
      <c r="H51" s="309">
        <v>740.83299999999997</v>
      </c>
      <c r="I51" s="309">
        <v>688.76400000000001</v>
      </c>
      <c r="J51" s="309">
        <v>1044.9259999999999</v>
      </c>
      <c r="K51" s="309">
        <v>250.245</v>
      </c>
      <c r="L51" s="309">
        <v>1037.271</v>
      </c>
      <c r="M51" s="309">
        <v>788.59299999999996</v>
      </c>
      <c r="N51" s="309">
        <v>2424.4690000000001</v>
      </c>
      <c r="O51" s="309">
        <v>7090.16</v>
      </c>
      <c r="P51" s="309">
        <v>3160.7669999999998</v>
      </c>
      <c r="Q51" s="309">
        <v>434.87099999999998</v>
      </c>
      <c r="R51" s="309">
        <v>860.54899999999998</v>
      </c>
      <c r="S51" s="300" t="s">
        <v>704</v>
      </c>
      <c r="T51" s="296" t="s">
        <v>704</v>
      </c>
      <c r="U51" s="296" t="s">
        <v>704</v>
      </c>
      <c r="V51" s="296" t="s">
        <v>704</v>
      </c>
      <c r="W51" s="296" t="s">
        <v>704</v>
      </c>
      <c r="X51" s="296" t="s">
        <v>704</v>
      </c>
      <c r="Y51" s="296" t="s">
        <v>704</v>
      </c>
      <c r="Z51" s="296" t="s">
        <v>704</v>
      </c>
      <c r="AA51" s="296" t="s">
        <v>704</v>
      </c>
      <c r="AB51" s="296" t="s">
        <v>704</v>
      </c>
      <c r="AC51" s="296" t="s">
        <v>704</v>
      </c>
      <c r="AD51" s="296" t="s">
        <v>704</v>
      </c>
      <c r="AE51" s="296" t="s">
        <v>704</v>
      </c>
      <c r="AF51" s="296" t="s">
        <v>704</v>
      </c>
      <c r="AG51" s="296" t="s">
        <v>704</v>
      </c>
      <c r="AH51" s="296" t="s">
        <v>704</v>
      </c>
      <c r="AI51" s="296" t="s">
        <v>704</v>
      </c>
      <c r="AJ51" s="296" t="s">
        <v>704</v>
      </c>
      <c r="AK51" s="296" t="s">
        <v>704</v>
      </c>
      <c r="AL51" s="296" t="s">
        <v>704</v>
      </c>
      <c r="AM51" s="296" t="s">
        <v>704</v>
      </c>
      <c r="AN51" s="296" t="s">
        <v>704</v>
      </c>
      <c r="AO51" s="296" t="s">
        <v>704</v>
      </c>
      <c r="AP51" s="296" t="s">
        <v>704</v>
      </c>
      <c r="AQ51" s="296" t="s">
        <v>704</v>
      </c>
      <c r="AR51" s="296" t="s">
        <v>704</v>
      </c>
      <c r="AS51" s="296" t="s">
        <v>704</v>
      </c>
      <c r="AT51" s="296" t="s">
        <v>704</v>
      </c>
      <c r="AU51" s="296" t="s">
        <v>704</v>
      </c>
      <c r="AV51" s="296" t="s">
        <v>704</v>
      </c>
      <c r="AW51" s="296"/>
      <c r="AX51" s="296"/>
    </row>
    <row r="52" spans="1:50" x14ac:dyDescent="0.25">
      <c r="A52" s="299">
        <v>1</v>
      </c>
      <c r="C52" s="308" t="str">
        <f>"    Number of Estimates"</f>
        <v xml:space="preserve">    Number of Estimates</v>
      </c>
      <c r="D52" s="309">
        <v>6</v>
      </c>
      <c r="E52" s="309">
        <v>7</v>
      </c>
      <c r="F52" s="309">
        <v>7</v>
      </c>
      <c r="G52" s="309">
        <v>7</v>
      </c>
      <c r="H52" s="309">
        <v>8</v>
      </c>
      <c r="I52" s="309">
        <v>8</v>
      </c>
      <c r="J52" s="309">
        <v>8</v>
      </c>
      <c r="K52" s="309">
        <v>8</v>
      </c>
      <c r="L52" s="309">
        <v>8</v>
      </c>
      <c r="M52" s="309">
        <v>8</v>
      </c>
      <c r="N52" s="309">
        <v>8</v>
      </c>
      <c r="O52" s="309">
        <v>2</v>
      </c>
      <c r="P52" s="309">
        <v>2</v>
      </c>
      <c r="Q52" s="309">
        <v>2</v>
      </c>
      <c r="R52" s="309">
        <v>2</v>
      </c>
      <c r="S52" s="300" t="s">
        <v>704</v>
      </c>
      <c r="T52" s="296" t="s">
        <v>704</v>
      </c>
      <c r="U52" s="296" t="s">
        <v>704</v>
      </c>
      <c r="V52" s="296" t="s">
        <v>704</v>
      </c>
      <c r="W52" s="296" t="s">
        <v>704</v>
      </c>
      <c r="X52" s="296" t="s">
        <v>704</v>
      </c>
      <c r="Y52" s="296" t="s">
        <v>704</v>
      </c>
      <c r="Z52" s="296" t="s">
        <v>704</v>
      </c>
      <c r="AA52" s="296" t="s">
        <v>704</v>
      </c>
      <c r="AB52" s="296" t="s">
        <v>704</v>
      </c>
      <c r="AC52" s="296" t="s">
        <v>704</v>
      </c>
      <c r="AD52" s="296" t="s">
        <v>704</v>
      </c>
      <c r="AE52" s="296" t="s">
        <v>704</v>
      </c>
      <c r="AF52" s="296" t="s">
        <v>704</v>
      </c>
      <c r="AG52" s="296" t="s">
        <v>704</v>
      </c>
      <c r="AH52" s="296" t="s">
        <v>704</v>
      </c>
      <c r="AI52" s="296" t="s">
        <v>704</v>
      </c>
      <c r="AJ52" s="296" t="s">
        <v>704</v>
      </c>
      <c r="AK52" s="296" t="s">
        <v>704</v>
      </c>
      <c r="AL52" s="296" t="s">
        <v>704</v>
      </c>
      <c r="AM52" s="296" t="s">
        <v>704</v>
      </c>
      <c r="AN52" s="296" t="s">
        <v>704</v>
      </c>
      <c r="AO52" s="296" t="s">
        <v>704</v>
      </c>
      <c r="AP52" s="296" t="s">
        <v>704</v>
      </c>
      <c r="AQ52" s="296" t="s">
        <v>704</v>
      </c>
      <c r="AR52" s="296" t="s">
        <v>704</v>
      </c>
      <c r="AS52" s="296" t="s">
        <v>704</v>
      </c>
      <c r="AT52" s="296" t="s">
        <v>704</v>
      </c>
      <c r="AU52" s="296" t="s">
        <v>704</v>
      </c>
      <c r="AV52" s="296" t="s">
        <v>704</v>
      </c>
      <c r="AW52" s="296"/>
      <c r="AX52" s="296"/>
    </row>
    <row r="53" spans="1:50" x14ac:dyDescent="0.25">
      <c r="A53" s="299">
        <v>1</v>
      </c>
      <c r="C53" s="306" t="str">
        <f>"EBIT"</f>
        <v>EBIT</v>
      </c>
      <c r="D53" s="307" t="s">
        <v>704</v>
      </c>
      <c r="E53" s="307" t="s">
        <v>704</v>
      </c>
      <c r="F53" s="307" t="s">
        <v>704</v>
      </c>
      <c r="G53" s="307" t="s">
        <v>704</v>
      </c>
      <c r="H53" s="307" t="s">
        <v>704</v>
      </c>
      <c r="I53" s="307" t="s">
        <v>704</v>
      </c>
      <c r="J53" s="307" t="s">
        <v>704</v>
      </c>
      <c r="K53" s="307" t="s">
        <v>704</v>
      </c>
      <c r="L53" s="307" t="s">
        <v>704</v>
      </c>
      <c r="M53" s="307" t="s">
        <v>704</v>
      </c>
      <c r="N53" s="307" t="s">
        <v>704</v>
      </c>
      <c r="O53" s="307" t="s">
        <v>704</v>
      </c>
      <c r="P53" s="307" t="s">
        <v>704</v>
      </c>
      <c r="Q53" s="307" t="s">
        <v>704</v>
      </c>
      <c r="R53" s="307" t="s">
        <v>704</v>
      </c>
      <c r="S53" s="300" t="s">
        <v>704</v>
      </c>
      <c r="T53" s="296" t="s">
        <v>704</v>
      </c>
      <c r="U53" s="296" t="s">
        <v>704</v>
      </c>
      <c r="V53" s="296" t="s">
        <v>704</v>
      </c>
      <c r="W53" s="296" t="s">
        <v>704</v>
      </c>
      <c r="X53" s="296" t="s">
        <v>704</v>
      </c>
      <c r="Y53" s="296" t="s">
        <v>704</v>
      </c>
      <c r="Z53" s="296" t="s">
        <v>704</v>
      </c>
      <c r="AA53" s="296" t="s">
        <v>704</v>
      </c>
      <c r="AB53" s="296" t="s">
        <v>704</v>
      </c>
      <c r="AC53" s="296" t="s">
        <v>704</v>
      </c>
      <c r="AD53" s="296" t="s">
        <v>704</v>
      </c>
      <c r="AE53" s="296" t="s">
        <v>704</v>
      </c>
      <c r="AF53" s="296" t="s">
        <v>704</v>
      </c>
      <c r="AG53" s="296" t="s">
        <v>704</v>
      </c>
      <c r="AH53" s="296" t="s">
        <v>704</v>
      </c>
      <c r="AI53" s="296" t="s">
        <v>704</v>
      </c>
      <c r="AJ53" s="296" t="s">
        <v>704</v>
      </c>
      <c r="AK53" s="296" t="s">
        <v>704</v>
      </c>
      <c r="AL53" s="296" t="s">
        <v>704</v>
      </c>
      <c r="AM53" s="296" t="s">
        <v>704</v>
      </c>
      <c r="AN53" s="296" t="s">
        <v>704</v>
      </c>
      <c r="AO53" s="296" t="s">
        <v>704</v>
      </c>
      <c r="AP53" s="296" t="s">
        <v>704</v>
      </c>
      <c r="AQ53" s="296" t="s">
        <v>704</v>
      </c>
      <c r="AR53" s="296" t="s">
        <v>704</v>
      </c>
      <c r="AS53" s="296" t="s">
        <v>704</v>
      </c>
      <c r="AT53" s="296" t="s">
        <v>704</v>
      </c>
      <c r="AU53" s="296" t="s">
        <v>704</v>
      </c>
      <c r="AV53" s="296" t="s">
        <v>704</v>
      </c>
      <c r="AW53" s="296"/>
      <c r="AX53" s="296"/>
    </row>
    <row r="54" spans="1:50" x14ac:dyDescent="0.25">
      <c r="A54" s="299">
        <v>1</v>
      </c>
      <c r="C54" s="308" t="str">
        <f>"    Actual"</f>
        <v xml:space="preserve">    Actual</v>
      </c>
      <c r="D54" s="309">
        <v>-175</v>
      </c>
      <c r="E54" s="309">
        <v>-28919</v>
      </c>
      <c r="F54" s="309">
        <v>-17409</v>
      </c>
      <c r="G54" s="309">
        <v>-12126</v>
      </c>
      <c r="H54" s="309">
        <v>-14904</v>
      </c>
      <c r="I54" s="309">
        <v>-18392</v>
      </c>
      <c r="J54" s="309">
        <v>-13214</v>
      </c>
      <c r="K54" s="309" t="s">
        <v>704</v>
      </c>
      <c r="L54" s="309" t="s">
        <v>704</v>
      </c>
      <c r="M54" s="309" t="s">
        <v>704</v>
      </c>
      <c r="N54" s="309" t="s">
        <v>704</v>
      </c>
      <c r="O54" s="309" t="s">
        <v>704</v>
      </c>
      <c r="P54" s="309" t="s">
        <v>704</v>
      </c>
      <c r="Q54" s="309" t="s">
        <v>704</v>
      </c>
      <c r="R54" s="309" t="s">
        <v>704</v>
      </c>
      <c r="S54" s="300" t="s">
        <v>704</v>
      </c>
      <c r="T54" s="296" t="s">
        <v>704</v>
      </c>
      <c r="U54" s="296" t="s">
        <v>704</v>
      </c>
      <c r="V54" s="296" t="s">
        <v>704</v>
      </c>
      <c r="W54" s="296" t="s">
        <v>704</v>
      </c>
      <c r="X54" s="296" t="s">
        <v>704</v>
      </c>
      <c r="Y54" s="296" t="s">
        <v>704</v>
      </c>
      <c r="Z54" s="296" t="s">
        <v>704</v>
      </c>
      <c r="AA54" s="296" t="s">
        <v>704</v>
      </c>
      <c r="AB54" s="296" t="s">
        <v>704</v>
      </c>
      <c r="AC54" s="296" t="s">
        <v>704</v>
      </c>
      <c r="AD54" s="296" t="s">
        <v>704</v>
      </c>
      <c r="AE54" s="296" t="s">
        <v>704</v>
      </c>
      <c r="AF54" s="296" t="s">
        <v>704</v>
      </c>
      <c r="AG54" s="296" t="s">
        <v>704</v>
      </c>
      <c r="AH54" s="296" t="s">
        <v>704</v>
      </c>
      <c r="AI54" s="296" t="s">
        <v>704</v>
      </c>
      <c r="AJ54" s="296" t="s">
        <v>704</v>
      </c>
      <c r="AK54" s="296" t="s">
        <v>704</v>
      </c>
      <c r="AL54" s="296" t="s">
        <v>704</v>
      </c>
      <c r="AM54" s="296" t="s">
        <v>704</v>
      </c>
      <c r="AN54" s="296" t="s">
        <v>704</v>
      </c>
      <c r="AO54" s="296" t="s">
        <v>704</v>
      </c>
      <c r="AP54" s="296" t="s">
        <v>704</v>
      </c>
      <c r="AQ54" s="296" t="s">
        <v>704</v>
      </c>
      <c r="AR54" s="296" t="s">
        <v>704</v>
      </c>
      <c r="AS54" s="296" t="s">
        <v>704</v>
      </c>
      <c r="AT54" s="296" t="s">
        <v>704</v>
      </c>
      <c r="AU54" s="296" t="s">
        <v>704</v>
      </c>
      <c r="AV54" s="296" t="s">
        <v>704</v>
      </c>
      <c r="AW54" s="296"/>
      <c r="AX54" s="296"/>
    </row>
    <row r="55" spans="1:50" x14ac:dyDescent="0.25">
      <c r="A55" s="299">
        <v>1</v>
      </c>
      <c r="C55" s="308" t="str">
        <f>"    Median"</f>
        <v xml:space="preserve">    Median</v>
      </c>
      <c r="D55" s="309">
        <v>-478</v>
      </c>
      <c r="E55" s="309">
        <v>-29900</v>
      </c>
      <c r="F55" s="309">
        <v>-17800</v>
      </c>
      <c r="G55" s="309">
        <v>-21300</v>
      </c>
      <c r="H55" s="309">
        <v>-20100</v>
      </c>
      <c r="I55" s="309">
        <v>-22672.5</v>
      </c>
      <c r="J55" s="309">
        <v>-22800</v>
      </c>
      <c r="K55" s="309">
        <v>-10950</v>
      </c>
      <c r="L55" s="309">
        <v>-9550</v>
      </c>
      <c r="M55" s="309">
        <v>-10411</v>
      </c>
      <c r="N55" s="309">
        <v>-5300</v>
      </c>
      <c r="O55" s="309">
        <v>4974</v>
      </c>
      <c r="P55" s="309">
        <v>2992.5</v>
      </c>
      <c r="Q55" s="309">
        <v>1655.5</v>
      </c>
      <c r="R55" s="309">
        <v>3504.5</v>
      </c>
      <c r="S55" s="300" t="s">
        <v>704</v>
      </c>
      <c r="T55" s="296" t="s">
        <v>704</v>
      </c>
      <c r="U55" s="296" t="s">
        <v>704</v>
      </c>
      <c r="V55" s="296" t="s">
        <v>704</v>
      </c>
      <c r="W55" s="296" t="s">
        <v>704</v>
      </c>
      <c r="X55" s="296" t="s">
        <v>704</v>
      </c>
      <c r="Y55" s="296" t="s">
        <v>704</v>
      </c>
      <c r="Z55" s="296" t="s">
        <v>704</v>
      </c>
      <c r="AA55" s="296" t="s">
        <v>704</v>
      </c>
      <c r="AB55" s="296" t="s">
        <v>704</v>
      </c>
      <c r="AC55" s="296" t="s">
        <v>704</v>
      </c>
      <c r="AD55" s="296" t="s">
        <v>704</v>
      </c>
      <c r="AE55" s="296" t="s">
        <v>704</v>
      </c>
      <c r="AF55" s="296" t="s">
        <v>704</v>
      </c>
      <c r="AG55" s="296" t="s">
        <v>704</v>
      </c>
      <c r="AH55" s="296" t="s">
        <v>704</v>
      </c>
      <c r="AI55" s="296" t="s">
        <v>704</v>
      </c>
      <c r="AJ55" s="296" t="s">
        <v>704</v>
      </c>
      <c r="AK55" s="296" t="s">
        <v>704</v>
      </c>
      <c r="AL55" s="296" t="s">
        <v>704</v>
      </c>
      <c r="AM55" s="296" t="s">
        <v>704</v>
      </c>
      <c r="AN55" s="296" t="s">
        <v>704</v>
      </c>
      <c r="AO55" s="296" t="s">
        <v>704</v>
      </c>
      <c r="AP55" s="296" t="s">
        <v>704</v>
      </c>
      <c r="AQ55" s="296" t="s">
        <v>704</v>
      </c>
      <c r="AR55" s="296" t="s">
        <v>704</v>
      </c>
      <c r="AS55" s="296" t="s">
        <v>704</v>
      </c>
      <c r="AT55" s="296" t="s">
        <v>704</v>
      </c>
      <c r="AU55" s="296" t="s">
        <v>704</v>
      </c>
      <c r="AV55" s="296" t="s">
        <v>704</v>
      </c>
      <c r="AW55" s="296"/>
      <c r="AX55" s="296"/>
    </row>
    <row r="56" spans="1:50" x14ac:dyDescent="0.25">
      <c r="A56" s="299">
        <v>1</v>
      </c>
      <c r="C56" s="308" t="str">
        <f>"    High"</f>
        <v xml:space="preserve">    High</v>
      </c>
      <c r="D56" s="309">
        <v>3400</v>
      </c>
      <c r="E56" s="309">
        <v>-29104</v>
      </c>
      <c r="F56" s="309">
        <v>-6001</v>
      </c>
      <c r="G56" s="309">
        <v>-19100</v>
      </c>
      <c r="H56" s="309">
        <v>-16300</v>
      </c>
      <c r="I56" s="309">
        <v>-21400</v>
      </c>
      <c r="J56" s="309">
        <v>-19100</v>
      </c>
      <c r="K56" s="309">
        <v>-4900</v>
      </c>
      <c r="L56" s="309">
        <v>-5300</v>
      </c>
      <c r="M56" s="309">
        <v>-5300</v>
      </c>
      <c r="N56" s="309">
        <v>2700</v>
      </c>
      <c r="O56" s="309">
        <v>9248</v>
      </c>
      <c r="P56" s="309">
        <v>3085</v>
      </c>
      <c r="Q56" s="309">
        <v>4300</v>
      </c>
      <c r="R56" s="309">
        <v>6800</v>
      </c>
      <c r="S56" s="300" t="s">
        <v>704</v>
      </c>
      <c r="T56" s="296" t="s">
        <v>704</v>
      </c>
      <c r="U56" s="296" t="s">
        <v>704</v>
      </c>
      <c r="V56" s="296" t="s">
        <v>704</v>
      </c>
      <c r="W56" s="296" t="s">
        <v>704</v>
      </c>
      <c r="X56" s="296" t="s">
        <v>704</v>
      </c>
      <c r="Y56" s="296" t="s">
        <v>704</v>
      </c>
      <c r="Z56" s="296" t="s">
        <v>704</v>
      </c>
      <c r="AA56" s="296" t="s">
        <v>704</v>
      </c>
      <c r="AB56" s="296" t="s">
        <v>704</v>
      </c>
      <c r="AC56" s="296" t="s">
        <v>704</v>
      </c>
      <c r="AD56" s="296" t="s">
        <v>704</v>
      </c>
      <c r="AE56" s="296" t="s">
        <v>704</v>
      </c>
      <c r="AF56" s="296" t="s">
        <v>704</v>
      </c>
      <c r="AG56" s="296" t="s">
        <v>704</v>
      </c>
      <c r="AH56" s="296" t="s">
        <v>704</v>
      </c>
      <c r="AI56" s="296" t="s">
        <v>704</v>
      </c>
      <c r="AJ56" s="296" t="s">
        <v>704</v>
      </c>
      <c r="AK56" s="296" t="s">
        <v>704</v>
      </c>
      <c r="AL56" s="296" t="s">
        <v>704</v>
      </c>
      <c r="AM56" s="296" t="s">
        <v>704</v>
      </c>
      <c r="AN56" s="296" t="s">
        <v>704</v>
      </c>
      <c r="AO56" s="296" t="s">
        <v>704</v>
      </c>
      <c r="AP56" s="296" t="s">
        <v>704</v>
      </c>
      <c r="AQ56" s="296" t="s">
        <v>704</v>
      </c>
      <c r="AR56" s="296" t="s">
        <v>704</v>
      </c>
      <c r="AS56" s="296" t="s">
        <v>704</v>
      </c>
      <c r="AT56" s="296" t="s">
        <v>704</v>
      </c>
      <c r="AU56" s="296" t="s">
        <v>704</v>
      </c>
      <c r="AV56" s="296" t="s">
        <v>704</v>
      </c>
      <c r="AW56" s="296"/>
      <c r="AX56" s="296"/>
    </row>
    <row r="57" spans="1:50" x14ac:dyDescent="0.25">
      <c r="A57" s="299">
        <v>1</v>
      </c>
      <c r="C57" s="308" t="str">
        <f>"    Low"</f>
        <v xml:space="preserve">    Low</v>
      </c>
      <c r="D57" s="309">
        <v>-500</v>
      </c>
      <c r="E57" s="309">
        <v>-32600</v>
      </c>
      <c r="F57" s="309">
        <v>-27600</v>
      </c>
      <c r="G57" s="309">
        <v>-22800</v>
      </c>
      <c r="H57" s="309">
        <v>-21600</v>
      </c>
      <c r="I57" s="309">
        <v>-24600</v>
      </c>
      <c r="J57" s="309">
        <v>-25100</v>
      </c>
      <c r="K57" s="309">
        <v>-15700</v>
      </c>
      <c r="L57" s="309">
        <v>-17500</v>
      </c>
      <c r="M57" s="309">
        <v>-19000</v>
      </c>
      <c r="N57" s="309">
        <v>-11000</v>
      </c>
      <c r="O57" s="309">
        <v>700</v>
      </c>
      <c r="P57" s="309">
        <v>2900</v>
      </c>
      <c r="Q57" s="309">
        <v>-989</v>
      </c>
      <c r="R57" s="309">
        <v>209</v>
      </c>
      <c r="S57" s="300" t="s">
        <v>704</v>
      </c>
      <c r="T57" s="296" t="s">
        <v>704</v>
      </c>
      <c r="U57" s="296" t="s">
        <v>704</v>
      </c>
      <c r="V57" s="296" t="s">
        <v>704</v>
      </c>
      <c r="W57" s="296" t="s">
        <v>704</v>
      </c>
      <c r="X57" s="296" t="s">
        <v>704</v>
      </c>
      <c r="Y57" s="296" t="s">
        <v>704</v>
      </c>
      <c r="Z57" s="296" t="s">
        <v>704</v>
      </c>
      <c r="AA57" s="296" t="s">
        <v>704</v>
      </c>
      <c r="AB57" s="296" t="s">
        <v>704</v>
      </c>
      <c r="AC57" s="296" t="s">
        <v>704</v>
      </c>
      <c r="AD57" s="296" t="s">
        <v>704</v>
      </c>
      <c r="AE57" s="296" t="s">
        <v>704</v>
      </c>
      <c r="AF57" s="296" t="s">
        <v>704</v>
      </c>
      <c r="AG57" s="296" t="s">
        <v>704</v>
      </c>
      <c r="AH57" s="296" t="s">
        <v>704</v>
      </c>
      <c r="AI57" s="296" t="s">
        <v>704</v>
      </c>
      <c r="AJ57" s="296" t="s">
        <v>704</v>
      </c>
      <c r="AK57" s="296" t="s">
        <v>704</v>
      </c>
      <c r="AL57" s="296" t="s">
        <v>704</v>
      </c>
      <c r="AM57" s="296" t="s">
        <v>704</v>
      </c>
      <c r="AN57" s="296" t="s">
        <v>704</v>
      </c>
      <c r="AO57" s="296" t="s">
        <v>704</v>
      </c>
      <c r="AP57" s="296" t="s">
        <v>704</v>
      </c>
      <c r="AQ57" s="296" t="s">
        <v>704</v>
      </c>
      <c r="AR57" s="296" t="s">
        <v>704</v>
      </c>
      <c r="AS57" s="296" t="s">
        <v>704</v>
      </c>
      <c r="AT57" s="296" t="s">
        <v>704</v>
      </c>
      <c r="AU57" s="296" t="s">
        <v>704</v>
      </c>
      <c r="AV57" s="296" t="s">
        <v>704</v>
      </c>
      <c r="AW57" s="296"/>
      <c r="AX57" s="296"/>
    </row>
    <row r="58" spans="1:50" x14ac:dyDescent="0.25">
      <c r="A58" s="299">
        <v>1</v>
      </c>
      <c r="C58" s="308" t="str">
        <f>"    Mean"</f>
        <v xml:space="preserve">    Mean</v>
      </c>
      <c r="D58" s="309">
        <v>807.33299999999997</v>
      </c>
      <c r="E58" s="309">
        <v>-30484</v>
      </c>
      <c r="F58" s="309">
        <v>-18016.832999999999</v>
      </c>
      <c r="G58" s="309">
        <v>-21200</v>
      </c>
      <c r="H58" s="309">
        <v>-19711</v>
      </c>
      <c r="I58" s="309">
        <v>-22740.832999999999</v>
      </c>
      <c r="J58" s="309">
        <v>-22811.832999999999</v>
      </c>
      <c r="K58" s="309">
        <v>-10130.666999999999</v>
      </c>
      <c r="L58" s="309">
        <v>-10532</v>
      </c>
      <c r="M58" s="309">
        <v>-11337</v>
      </c>
      <c r="N58" s="309">
        <v>-4826</v>
      </c>
      <c r="O58" s="309">
        <v>4974</v>
      </c>
      <c r="P58" s="309">
        <v>2992.5</v>
      </c>
      <c r="Q58" s="309">
        <v>1655.5</v>
      </c>
      <c r="R58" s="309">
        <v>3504.5</v>
      </c>
      <c r="S58" s="300" t="s">
        <v>704</v>
      </c>
      <c r="T58" s="296" t="s">
        <v>704</v>
      </c>
      <c r="U58" s="296" t="s">
        <v>704</v>
      </c>
      <c r="V58" s="296" t="s">
        <v>704</v>
      </c>
      <c r="W58" s="296" t="s">
        <v>704</v>
      </c>
      <c r="X58" s="296" t="s">
        <v>704</v>
      </c>
      <c r="Y58" s="296" t="s">
        <v>704</v>
      </c>
      <c r="Z58" s="296" t="s">
        <v>704</v>
      </c>
      <c r="AA58" s="296" t="s">
        <v>704</v>
      </c>
      <c r="AB58" s="296" t="s">
        <v>704</v>
      </c>
      <c r="AC58" s="296" t="s">
        <v>704</v>
      </c>
      <c r="AD58" s="296" t="s">
        <v>704</v>
      </c>
      <c r="AE58" s="296" t="s">
        <v>704</v>
      </c>
      <c r="AF58" s="296" t="s">
        <v>704</v>
      </c>
      <c r="AG58" s="296" t="s">
        <v>704</v>
      </c>
      <c r="AH58" s="296" t="s">
        <v>704</v>
      </c>
      <c r="AI58" s="296" t="s">
        <v>704</v>
      </c>
      <c r="AJ58" s="296" t="s">
        <v>704</v>
      </c>
      <c r="AK58" s="296" t="s">
        <v>704</v>
      </c>
      <c r="AL58" s="296" t="s">
        <v>704</v>
      </c>
      <c r="AM58" s="296" t="s">
        <v>704</v>
      </c>
      <c r="AN58" s="296" t="s">
        <v>704</v>
      </c>
      <c r="AO58" s="296" t="s">
        <v>704</v>
      </c>
      <c r="AP58" s="296" t="s">
        <v>704</v>
      </c>
      <c r="AQ58" s="296" t="s">
        <v>704</v>
      </c>
      <c r="AR58" s="296" t="s">
        <v>704</v>
      </c>
      <c r="AS58" s="296" t="s">
        <v>704</v>
      </c>
      <c r="AT58" s="296" t="s">
        <v>704</v>
      </c>
      <c r="AU58" s="296" t="s">
        <v>704</v>
      </c>
      <c r="AV58" s="296" t="s">
        <v>704</v>
      </c>
      <c r="AW58" s="296"/>
      <c r="AX58" s="296"/>
    </row>
    <row r="59" spans="1:50" x14ac:dyDescent="0.25">
      <c r="A59" s="299">
        <v>1</v>
      </c>
      <c r="C59" s="308" t="str">
        <f>"    Standard Deviation"</f>
        <v xml:space="preserve">    Standard Deviation</v>
      </c>
      <c r="D59" s="309">
        <v>2008.2950000000001</v>
      </c>
      <c r="E59" s="309">
        <v>1521.662</v>
      </c>
      <c r="F59" s="309">
        <v>7066.6019999999999</v>
      </c>
      <c r="G59" s="309">
        <v>1443.953</v>
      </c>
      <c r="H59" s="309">
        <v>2108.0050000000001</v>
      </c>
      <c r="I59" s="309">
        <v>1304.6849999999999</v>
      </c>
      <c r="J59" s="309">
        <v>2060.5820000000003</v>
      </c>
      <c r="K59" s="309">
        <v>4177.0469999999996</v>
      </c>
      <c r="L59" s="309">
        <v>4298.1930000000002</v>
      </c>
      <c r="M59" s="309">
        <v>4633.2510000000002</v>
      </c>
      <c r="N59" s="309">
        <v>4911.6570000000002</v>
      </c>
      <c r="O59" s="309">
        <v>6044.3490000000002</v>
      </c>
      <c r="P59" s="309">
        <v>130.815</v>
      </c>
      <c r="Q59" s="309">
        <v>3739.8879999999999</v>
      </c>
      <c r="R59" s="309">
        <v>4660.5410000000002</v>
      </c>
      <c r="S59" s="300" t="s">
        <v>704</v>
      </c>
      <c r="T59" s="296" t="s">
        <v>704</v>
      </c>
      <c r="U59" s="296" t="s">
        <v>704</v>
      </c>
      <c r="V59" s="296" t="s">
        <v>704</v>
      </c>
      <c r="W59" s="296" t="s">
        <v>704</v>
      </c>
      <c r="X59" s="296" t="s">
        <v>704</v>
      </c>
      <c r="Y59" s="296" t="s">
        <v>704</v>
      </c>
      <c r="Z59" s="296" t="s">
        <v>704</v>
      </c>
      <c r="AA59" s="296" t="s">
        <v>704</v>
      </c>
      <c r="AB59" s="296" t="s">
        <v>704</v>
      </c>
      <c r="AC59" s="296" t="s">
        <v>704</v>
      </c>
      <c r="AD59" s="296" t="s">
        <v>704</v>
      </c>
      <c r="AE59" s="296" t="s">
        <v>704</v>
      </c>
      <c r="AF59" s="296" t="s">
        <v>704</v>
      </c>
      <c r="AG59" s="296" t="s">
        <v>704</v>
      </c>
      <c r="AH59" s="296" t="s">
        <v>704</v>
      </c>
      <c r="AI59" s="296" t="s">
        <v>704</v>
      </c>
      <c r="AJ59" s="296" t="s">
        <v>704</v>
      </c>
      <c r="AK59" s="296" t="s">
        <v>704</v>
      </c>
      <c r="AL59" s="296" t="s">
        <v>704</v>
      </c>
      <c r="AM59" s="296" t="s">
        <v>704</v>
      </c>
      <c r="AN59" s="296" t="s">
        <v>704</v>
      </c>
      <c r="AO59" s="296" t="s">
        <v>704</v>
      </c>
      <c r="AP59" s="296" t="s">
        <v>704</v>
      </c>
      <c r="AQ59" s="296" t="s">
        <v>704</v>
      </c>
      <c r="AR59" s="296" t="s">
        <v>704</v>
      </c>
      <c r="AS59" s="296" t="s">
        <v>704</v>
      </c>
      <c r="AT59" s="296" t="s">
        <v>704</v>
      </c>
      <c r="AU59" s="296" t="s">
        <v>704</v>
      </c>
      <c r="AV59" s="296" t="s">
        <v>704</v>
      </c>
      <c r="AW59" s="296"/>
      <c r="AX59" s="296"/>
    </row>
    <row r="60" spans="1:50" x14ac:dyDescent="0.25">
      <c r="A60" s="299">
        <v>1</v>
      </c>
      <c r="C60" s="308" t="str">
        <f>"    Number of Estimates"</f>
        <v xml:space="preserve">    Number of Estimates</v>
      </c>
      <c r="D60" s="309">
        <v>6</v>
      </c>
      <c r="E60" s="309">
        <v>6</v>
      </c>
      <c r="F60" s="309">
        <v>6</v>
      </c>
      <c r="G60" s="309">
        <v>5</v>
      </c>
      <c r="H60" s="309">
        <v>6</v>
      </c>
      <c r="I60" s="309">
        <v>6</v>
      </c>
      <c r="J60" s="309">
        <v>6</v>
      </c>
      <c r="K60" s="309">
        <v>6</v>
      </c>
      <c r="L60" s="309">
        <v>6</v>
      </c>
      <c r="M60" s="309">
        <v>6</v>
      </c>
      <c r="N60" s="309">
        <v>6</v>
      </c>
      <c r="O60" s="309">
        <v>2</v>
      </c>
      <c r="P60" s="309">
        <v>2</v>
      </c>
      <c r="Q60" s="309">
        <v>2</v>
      </c>
      <c r="R60" s="309">
        <v>2</v>
      </c>
      <c r="S60" s="300" t="s">
        <v>704</v>
      </c>
      <c r="T60" s="296" t="s">
        <v>704</v>
      </c>
      <c r="U60" s="296" t="s">
        <v>704</v>
      </c>
      <c r="V60" s="296" t="s">
        <v>704</v>
      </c>
      <c r="W60" s="296" t="s">
        <v>704</v>
      </c>
      <c r="X60" s="296" t="s">
        <v>704</v>
      </c>
      <c r="Y60" s="296" t="s">
        <v>704</v>
      </c>
      <c r="Z60" s="296" t="s">
        <v>704</v>
      </c>
      <c r="AA60" s="296" t="s">
        <v>704</v>
      </c>
      <c r="AB60" s="296" t="s">
        <v>704</v>
      </c>
      <c r="AC60" s="296" t="s">
        <v>704</v>
      </c>
      <c r="AD60" s="296" t="s">
        <v>704</v>
      </c>
      <c r="AE60" s="296" t="s">
        <v>704</v>
      </c>
      <c r="AF60" s="296" t="s">
        <v>704</v>
      </c>
      <c r="AG60" s="296" t="s">
        <v>704</v>
      </c>
      <c r="AH60" s="296" t="s">
        <v>704</v>
      </c>
      <c r="AI60" s="296" t="s">
        <v>704</v>
      </c>
      <c r="AJ60" s="296" t="s">
        <v>704</v>
      </c>
      <c r="AK60" s="296" t="s">
        <v>704</v>
      </c>
      <c r="AL60" s="296" t="s">
        <v>704</v>
      </c>
      <c r="AM60" s="296" t="s">
        <v>704</v>
      </c>
      <c r="AN60" s="296" t="s">
        <v>704</v>
      </c>
      <c r="AO60" s="296" t="s">
        <v>704</v>
      </c>
      <c r="AP60" s="296" t="s">
        <v>704</v>
      </c>
      <c r="AQ60" s="296" t="s">
        <v>704</v>
      </c>
      <c r="AR60" s="296" t="s">
        <v>704</v>
      </c>
      <c r="AS60" s="296" t="s">
        <v>704</v>
      </c>
      <c r="AT60" s="296" t="s">
        <v>704</v>
      </c>
      <c r="AU60" s="296" t="s">
        <v>704</v>
      </c>
      <c r="AV60" s="296" t="s">
        <v>704</v>
      </c>
      <c r="AW60" s="296"/>
      <c r="AX60" s="296"/>
    </row>
    <row r="61" spans="1:50" x14ac:dyDescent="0.25">
      <c r="A61" s="299">
        <v>1</v>
      </c>
      <c r="C61" s="306" t="str">
        <f>"Free Cash Flow"</f>
        <v>Free Cash Flow</v>
      </c>
      <c r="D61" s="307" t="s">
        <v>704</v>
      </c>
      <c r="E61" s="307" t="s">
        <v>704</v>
      </c>
      <c r="F61" s="307" t="s">
        <v>704</v>
      </c>
      <c r="G61" s="307" t="s">
        <v>704</v>
      </c>
      <c r="H61" s="307" t="s">
        <v>704</v>
      </c>
      <c r="I61" s="307" t="s">
        <v>704</v>
      </c>
      <c r="J61" s="307" t="s">
        <v>704</v>
      </c>
      <c r="K61" s="307" t="s">
        <v>704</v>
      </c>
      <c r="L61" s="307" t="s">
        <v>704</v>
      </c>
      <c r="M61" s="307" t="s">
        <v>704</v>
      </c>
      <c r="N61" s="307" t="s">
        <v>704</v>
      </c>
      <c r="O61" s="307" t="s">
        <v>704</v>
      </c>
      <c r="P61" s="307" t="s">
        <v>704</v>
      </c>
      <c r="Q61" s="307" t="s">
        <v>704</v>
      </c>
      <c r="R61" s="307" t="s">
        <v>704</v>
      </c>
      <c r="S61" s="300" t="s">
        <v>704</v>
      </c>
      <c r="T61" s="296" t="s">
        <v>704</v>
      </c>
      <c r="U61" s="296" t="s">
        <v>704</v>
      </c>
      <c r="V61" s="296" t="s">
        <v>704</v>
      </c>
      <c r="W61" s="296" t="s">
        <v>704</v>
      </c>
      <c r="X61" s="296" t="s">
        <v>704</v>
      </c>
      <c r="Y61" s="296" t="s">
        <v>704</v>
      </c>
      <c r="Z61" s="296" t="s">
        <v>704</v>
      </c>
      <c r="AA61" s="296" t="s">
        <v>704</v>
      </c>
      <c r="AB61" s="296" t="s">
        <v>704</v>
      </c>
      <c r="AC61" s="296" t="s">
        <v>704</v>
      </c>
      <c r="AD61" s="296" t="s">
        <v>704</v>
      </c>
      <c r="AE61" s="296" t="s">
        <v>704</v>
      </c>
      <c r="AF61" s="296" t="s">
        <v>704</v>
      </c>
      <c r="AG61" s="296" t="s">
        <v>704</v>
      </c>
      <c r="AH61" s="296" t="s">
        <v>704</v>
      </c>
      <c r="AI61" s="296" t="s">
        <v>704</v>
      </c>
      <c r="AJ61" s="296" t="s">
        <v>704</v>
      </c>
      <c r="AK61" s="296" t="s">
        <v>704</v>
      </c>
      <c r="AL61" s="296" t="s">
        <v>704</v>
      </c>
      <c r="AM61" s="296" t="s">
        <v>704</v>
      </c>
      <c r="AN61" s="296" t="s">
        <v>704</v>
      </c>
      <c r="AO61" s="296" t="s">
        <v>704</v>
      </c>
      <c r="AP61" s="296" t="s">
        <v>704</v>
      </c>
      <c r="AQ61" s="296" t="s">
        <v>704</v>
      </c>
      <c r="AR61" s="296" t="s">
        <v>704</v>
      </c>
      <c r="AS61" s="296" t="s">
        <v>704</v>
      </c>
      <c r="AT61" s="296" t="s">
        <v>704</v>
      </c>
      <c r="AU61" s="296" t="s">
        <v>704</v>
      </c>
      <c r="AV61" s="296" t="s">
        <v>704</v>
      </c>
      <c r="AW61" s="296"/>
      <c r="AX61" s="296"/>
    </row>
    <row r="62" spans="1:50" x14ac:dyDescent="0.25">
      <c r="A62" s="299">
        <v>1</v>
      </c>
      <c r="C62" s="308" t="str">
        <f>"    Actual"</f>
        <v xml:space="preserve">    Actual</v>
      </c>
      <c r="D62" s="309">
        <v>1511</v>
      </c>
      <c r="E62" s="309">
        <v>-9039</v>
      </c>
      <c r="F62" s="309">
        <v>-3184</v>
      </c>
      <c r="G62" s="309">
        <v>762</v>
      </c>
      <c r="H62" s="309">
        <v>970</v>
      </c>
      <c r="I62" s="309">
        <v>9</v>
      </c>
      <c r="J62" s="309">
        <v>7251</v>
      </c>
      <c r="K62" s="309" t="s">
        <v>704</v>
      </c>
      <c r="L62" s="309" t="s">
        <v>704</v>
      </c>
      <c r="M62" s="309" t="s">
        <v>704</v>
      </c>
      <c r="N62" s="309" t="s">
        <v>704</v>
      </c>
      <c r="O62" s="309" t="s">
        <v>704</v>
      </c>
      <c r="P62" s="309" t="s">
        <v>704</v>
      </c>
      <c r="Q62" s="309" t="s">
        <v>704</v>
      </c>
      <c r="R62" s="309" t="s">
        <v>704</v>
      </c>
      <c r="S62" s="300" t="s">
        <v>704</v>
      </c>
      <c r="T62" s="296" t="s">
        <v>704</v>
      </c>
      <c r="U62" s="296" t="s">
        <v>704</v>
      </c>
      <c r="V62" s="296" t="s">
        <v>704</v>
      </c>
      <c r="W62" s="296" t="s">
        <v>704</v>
      </c>
      <c r="X62" s="296" t="s">
        <v>704</v>
      </c>
      <c r="Y62" s="296" t="s">
        <v>704</v>
      </c>
      <c r="Z62" s="296" t="s">
        <v>704</v>
      </c>
      <c r="AA62" s="296" t="s">
        <v>704</v>
      </c>
      <c r="AB62" s="296" t="s">
        <v>704</v>
      </c>
      <c r="AC62" s="296" t="s">
        <v>704</v>
      </c>
      <c r="AD62" s="296" t="s">
        <v>704</v>
      </c>
      <c r="AE62" s="296" t="s">
        <v>704</v>
      </c>
      <c r="AF62" s="296" t="s">
        <v>704</v>
      </c>
      <c r="AG62" s="296" t="s">
        <v>704</v>
      </c>
      <c r="AH62" s="296" t="s">
        <v>704</v>
      </c>
      <c r="AI62" s="296" t="s">
        <v>704</v>
      </c>
      <c r="AJ62" s="296" t="s">
        <v>704</v>
      </c>
      <c r="AK62" s="296" t="s">
        <v>704</v>
      </c>
      <c r="AL62" s="296" t="s">
        <v>704</v>
      </c>
      <c r="AM62" s="296" t="s">
        <v>704</v>
      </c>
      <c r="AN62" s="296" t="s">
        <v>704</v>
      </c>
      <c r="AO62" s="296" t="s">
        <v>704</v>
      </c>
      <c r="AP62" s="296" t="s">
        <v>704</v>
      </c>
      <c r="AQ62" s="296" t="s">
        <v>704</v>
      </c>
      <c r="AR62" s="296" t="s">
        <v>704</v>
      </c>
      <c r="AS62" s="296" t="s">
        <v>704</v>
      </c>
      <c r="AT62" s="296" t="s">
        <v>704</v>
      </c>
      <c r="AU62" s="296" t="s">
        <v>704</v>
      </c>
      <c r="AV62" s="296" t="s">
        <v>704</v>
      </c>
      <c r="AW62" s="296"/>
      <c r="AX62" s="296"/>
    </row>
    <row r="63" spans="1:50" x14ac:dyDescent="0.25">
      <c r="A63" s="299">
        <v>1</v>
      </c>
      <c r="C63" s="308" t="str">
        <f>"    Median"</f>
        <v xml:space="preserve">    Median</v>
      </c>
      <c r="D63" s="309">
        <v>6200</v>
      </c>
      <c r="E63" s="309">
        <v>1900</v>
      </c>
      <c r="F63" s="309">
        <v>-7550</v>
      </c>
      <c r="G63" s="309">
        <v>14900</v>
      </c>
      <c r="H63" s="309">
        <v>5650.5</v>
      </c>
      <c r="I63" s="309">
        <v>-5600</v>
      </c>
      <c r="J63" s="309">
        <v>-6900</v>
      </c>
      <c r="K63" s="309">
        <v>3667</v>
      </c>
      <c r="L63" s="309">
        <v>4289</v>
      </c>
      <c r="M63" s="309">
        <v>3154</v>
      </c>
      <c r="N63" s="309">
        <v>12718</v>
      </c>
      <c r="O63" s="309" t="s">
        <v>704</v>
      </c>
      <c r="P63" s="309" t="s">
        <v>704</v>
      </c>
      <c r="Q63" s="309" t="s">
        <v>704</v>
      </c>
      <c r="R63" s="309" t="s">
        <v>704</v>
      </c>
      <c r="S63" s="300" t="s">
        <v>704</v>
      </c>
      <c r="T63" s="296" t="s">
        <v>704</v>
      </c>
      <c r="U63" s="296" t="s">
        <v>704</v>
      </c>
      <c r="V63" s="296" t="s">
        <v>704</v>
      </c>
      <c r="W63" s="296" t="s">
        <v>704</v>
      </c>
      <c r="X63" s="296" t="s">
        <v>704</v>
      </c>
      <c r="Y63" s="296" t="s">
        <v>704</v>
      </c>
      <c r="Z63" s="296" t="s">
        <v>704</v>
      </c>
      <c r="AA63" s="296" t="s">
        <v>704</v>
      </c>
      <c r="AB63" s="296" t="s">
        <v>704</v>
      </c>
      <c r="AC63" s="296" t="s">
        <v>704</v>
      </c>
      <c r="AD63" s="296" t="s">
        <v>704</v>
      </c>
      <c r="AE63" s="296" t="s">
        <v>704</v>
      </c>
      <c r="AF63" s="296" t="s">
        <v>704</v>
      </c>
      <c r="AG63" s="296" t="s">
        <v>704</v>
      </c>
      <c r="AH63" s="296" t="s">
        <v>704</v>
      </c>
      <c r="AI63" s="296" t="s">
        <v>704</v>
      </c>
      <c r="AJ63" s="296" t="s">
        <v>704</v>
      </c>
      <c r="AK63" s="296" t="s">
        <v>704</v>
      </c>
      <c r="AL63" s="296" t="s">
        <v>704</v>
      </c>
      <c r="AM63" s="296" t="s">
        <v>704</v>
      </c>
      <c r="AN63" s="296" t="s">
        <v>704</v>
      </c>
      <c r="AO63" s="296" t="s">
        <v>704</v>
      </c>
      <c r="AP63" s="296" t="s">
        <v>704</v>
      </c>
      <c r="AQ63" s="296" t="s">
        <v>704</v>
      </c>
      <c r="AR63" s="296" t="s">
        <v>704</v>
      </c>
      <c r="AS63" s="296" t="s">
        <v>704</v>
      </c>
      <c r="AT63" s="296" t="s">
        <v>704</v>
      </c>
      <c r="AU63" s="296" t="s">
        <v>704</v>
      </c>
      <c r="AV63" s="296" t="s">
        <v>704</v>
      </c>
      <c r="AW63" s="296"/>
      <c r="AX63" s="296"/>
    </row>
    <row r="64" spans="1:50" x14ac:dyDescent="0.25">
      <c r="A64" s="299">
        <v>1</v>
      </c>
      <c r="C64" s="308" t="str">
        <f>"    High"</f>
        <v xml:space="preserve">    High</v>
      </c>
      <c r="D64" s="309">
        <v>6200</v>
      </c>
      <c r="E64" s="309">
        <v>3300</v>
      </c>
      <c r="F64" s="309">
        <v>-7100</v>
      </c>
      <c r="G64" s="309">
        <v>14900</v>
      </c>
      <c r="H64" s="309">
        <v>15600</v>
      </c>
      <c r="I64" s="309">
        <v>-5600</v>
      </c>
      <c r="J64" s="309">
        <v>-6900</v>
      </c>
      <c r="K64" s="309">
        <v>3667</v>
      </c>
      <c r="L64" s="309">
        <v>4289</v>
      </c>
      <c r="M64" s="309">
        <v>3154</v>
      </c>
      <c r="N64" s="309">
        <v>12718</v>
      </c>
      <c r="O64" s="309" t="s">
        <v>704</v>
      </c>
      <c r="P64" s="309" t="s">
        <v>704</v>
      </c>
      <c r="Q64" s="309" t="s">
        <v>704</v>
      </c>
      <c r="R64" s="309" t="s">
        <v>704</v>
      </c>
      <c r="S64" s="300" t="s">
        <v>704</v>
      </c>
      <c r="T64" s="296" t="s">
        <v>704</v>
      </c>
      <c r="U64" s="296" t="s">
        <v>704</v>
      </c>
      <c r="V64" s="296" t="s">
        <v>704</v>
      </c>
      <c r="W64" s="296" t="s">
        <v>704</v>
      </c>
      <c r="X64" s="296" t="s">
        <v>704</v>
      </c>
      <c r="Y64" s="296" t="s">
        <v>704</v>
      </c>
      <c r="Z64" s="296" t="s">
        <v>704</v>
      </c>
      <c r="AA64" s="296" t="s">
        <v>704</v>
      </c>
      <c r="AB64" s="296" t="s">
        <v>704</v>
      </c>
      <c r="AC64" s="296" t="s">
        <v>704</v>
      </c>
      <c r="AD64" s="296" t="s">
        <v>704</v>
      </c>
      <c r="AE64" s="296" t="s">
        <v>704</v>
      </c>
      <c r="AF64" s="296" t="s">
        <v>704</v>
      </c>
      <c r="AG64" s="296" t="s">
        <v>704</v>
      </c>
      <c r="AH64" s="296" t="s">
        <v>704</v>
      </c>
      <c r="AI64" s="296" t="s">
        <v>704</v>
      </c>
      <c r="AJ64" s="296" t="s">
        <v>704</v>
      </c>
      <c r="AK64" s="296" t="s">
        <v>704</v>
      </c>
      <c r="AL64" s="296" t="s">
        <v>704</v>
      </c>
      <c r="AM64" s="296" t="s">
        <v>704</v>
      </c>
      <c r="AN64" s="296" t="s">
        <v>704</v>
      </c>
      <c r="AO64" s="296" t="s">
        <v>704</v>
      </c>
      <c r="AP64" s="296" t="s">
        <v>704</v>
      </c>
      <c r="AQ64" s="296" t="s">
        <v>704</v>
      </c>
      <c r="AR64" s="296" t="s">
        <v>704</v>
      </c>
      <c r="AS64" s="296" t="s">
        <v>704</v>
      </c>
      <c r="AT64" s="296" t="s">
        <v>704</v>
      </c>
      <c r="AU64" s="296" t="s">
        <v>704</v>
      </c>
      <c r="AV64" s="296" t="s">
        <v>704</v>
      </c>
      <c r="AW64" s="296"/>
      <c r="AX64" s="296"/>
    </row>
    <row r="65" spans="1:50" x14ac:dyDescent="0.25">
      <c r="A65" s="299">
        <v>1</v>
      </c>
      <c r="C65" s="308" t="str">
        <f>"    Low"</f>
        <v xml:space="preserve">    Low</v>
      </c>
      <c r="D65" s="309">
        <v>6200</v>
      </c>
      <c r="E65" s="309">
        <v>500</v>
      </c>
      <c r="F65" s="309">
        <v>-8000</v>
      </c>
      <c r="G65" s="309">
        <v>14900</v>
      </c>
      <c r="H65" s="309">
        <v>-4299</v>
      </c>
      <c r="I65" s="309">
        <v>-5600</v>
      </c>
      <c r="J65" s="309">
        <v>-6900</v>
      </c>
      <c r="K65" s="309">
        <v>3667</v>
      </c>
      <c r="L65" s="309">
        <v>4289</v>
      </c>
      <c r="M65" s="309">
        <v>3154</v>
      </c>
      <c r="N65" s="309">
        <v>12718</v>
      </c>
      <c r="O65" s="309" t="s">
        <v>704</v>
      </c>
      <c r="P65" s="309" t="s">
        <v>704</v>
      </c>
      <c r="Q65" s="309" t="s">
        <v>704</v>
      </c>
      <c r="R65" s="309" t="s">
        <v>704</v>
      </c>
      <c r="S65" s="300" t="s">
        <v>704</v>
      </c>
      <c r="T65" s="296" t="s">
        <v>704</v>
      </c>
      <c r="U65" s="296" t="s">
        <v>704</v>
      </c>
      <c r="V65" s="296" t="s">
        <v>704</v>
      </c>
      <c r="W65" s="296" t="s">
        <v>704</v>
      </c>
      <c r="X65" s="296" t="s">
        <v>704</v>
      </c>
      <c r="Y65" s="296" t="s">
        <v>704</v>
      </c>
      <c r="Z65" s="296" t="s">
        <v>704</v>
      </c>
      <c r="AA65" s="296" t="s">
        <v>704</v>
      </c>
      <c r="AB65" s="296" t="s">
        <v>704</v>
      </c>
      <c r="AC65" s="296" t="s">
        <v>704</v>
      </c>
      <c r="AD65" s="296" t="s">
        <v>704</v>
      </c>
      <c r="AE65" s="296" t="s">
        <v>704</v>
      </c>
      <c r="AF65" s="296" t="s">
        <v>704</v>
      </c>
      <c r="AG65" s="296" t="s">
        <v>704</v>
      </c>
      <c r="AH65" s="296" t="s">
        <v>704</v>
      </c>
      <c r="AI65" s="296" t="s">
        <v>704</v>
      </c>
      <c r="AJ65" s="296" t="s">
        <v>704</v>
      </c>
      <c r="AK65" s="296" t="s">
        <v>704</v>
      </c>
      <c r="AL65" s="296" t="s">
        <v>704</v>
      </c>
      <c r="AM65" s="296" t="s">
        <v>704</v>
      </c>
      <c r="AN65" s="296" t="s">
        <v>704</v>
      </c>
      <c r="AO65" s="296" t="s">
        <v>704</v>
      </c>
      <c r="AP65" s="296" t="s">
        <v>704</v>
      </c>
      <c r="AQ65" s="296" t="s">
        <v>704</v>
      </c>
      <c r="AR65" s="296" t="s">
        <v>704</v>
      </c>
      <c r="AS65" s="296" t="s">
        <v>704</v>
      </c>
      <c r="AT65" s="296" t="s">
        <v>704</v>
      </c>
      <c r="AU65" s="296" t="s">
        <v>704</v>
      </c>
      <c r="AV65" s="296" t="s">
        <v>704</v>
      </c>
      <c r="AW65" s="296"/>
      <c r="AX65" s="296"/>
    </row>
    <row r="66" spans="1:50" x14ac:dyDescent="0.25">
      <c r="A66" s="299">
        <v>1</v>
      </c>
      <c r="C66" s="308" t="str">
        <f>"    Mean"</f>
        <v xml:space="preserve">    Mean</v>
      </c>
      <c r="D66" s="309">
        <v>6200</v>
      </c>
      <c r="E66" s="309">
        <v>1900</v>
      </c>
      <c r="F66" s="309">
        <v>-7550</v>
      </c>
      <c r="G66" s="309">
        <v>14900</v>
      </c>
      <c r="H66" s="309">
        <v>5650.5</v>
      </c>
      <c r="I66" s="309">
        <v>-5600</v>
      </c>
      <c r="J66" s="309">
        <v>-6900</v>
      </c>
      <c r="K66" s="309">
        <v>3667</v>
      </c>
      <c r="L66" s="309">
        <v>4289</v>
      </c>
      <c r="M66" s="309">
        <v>3154</v>
      </c>
      <c r="N66" s="309">
        <v>12718</v>
      </c>
      <c r="O66" s="309" t="s">
        <v>704</v>
      </c>
      <c r="P66" s="309" t="s">
        <v>704</v>
      </c>
      <c r="Q66" s="309" t="s">
        <v>704</v>
      </c>
      <c r="R66" s="309" t="s">
        <v>704</v>
      </c>
      <c r="S66" s="300" t="s">
        <v>704</v>
      </c>
      <c r="T66" s="296" t="s">
        <v>704</v>
      </c>
      <c r="U66" s="296" t="s">
        <v>704</v>
      </c>
      <c r="V66" s="296" t="s">
        <v>704</v>
      </c>
      <c r="W66" s="296" t="s">
        <v>704</v>
      </c>
      <c r="X66" s="296" t="s">
        <v>704</v>
      </c>
      <c r="Y66" s="296" t="s">
        <v>704</v>
      </c>
      <c r="Z66" s="296" t="s">
        <v>704</v>
      </c>
      <c r="AA66" s="296" t="s">
        <v>704</v>
      </c>
      <c r="AB66" s="296" t="s">
        <v>704</v>
      </c>
      <c r="AC66" s="296" t="s">
        <v>704</v>
      </c>
      <c r="AD66" s="296" t="s">
        <v>704</v>
      </c>
      <c r="AE66" s="296" t="s">
        <v>704</v>
      </c>
      <c r="AF66" s="296" t="s">
        <v>704</v>
      </c>
      <c r="AG66" s="296" t="s">
        <v>704</v>
      </c>
      <c r="AH66" s="296" t="s">
        <v>704</v>
      </c>
      <c r="AI66" s="296" t="s">
        <v>704</v>
      </c>
      <c r="AJ66" s="296" t="s">
        <v>704</v>
      </c>
      <c r="AK66" s="296" t="s">
        <v>704</v>
      </c>
      <c r="AL66" s="296" t="s">
        <v>704</v>
      </c>
      <c r="AM66" s="296" t="s">
        <v>704</v>
      </c>
      <c r="AN66" s="296" t="s">
        <v>704</v>
      </c>
      <c r="AO66" s="296" t="s">
        <v>704</v>
      </c>
      <c r="AP66" s="296" t="s">
        <v>704</v>
      </c>
      <c r="AQ66" s="296" t="s">
        <v>704</v>
      </c>
      <c r="AR66" s="296" t="s">
        <v>704</v>
      </c>
      <c r="AS66" s="296" t="s">
        <v>704</v>
      </c>
      <c r="AT66" s="296" t="s">
        <v>704</v>
      </c>
      <c r="AU66" s="296" t="s">
        <v>704</v>
      </c>
      <c r="AV66" s="296" t="s">
        <v>704</v>
      </c>
      <c r="AW66" s="296"/>
      <c r="AX66" s="296"/>
    </row>
    <row r="67" spans="1:50" x14ac:dyDescent="0.25">
      <c r="A67" s="299">
        <v>1</v>
      </c>
      <c r="C67" s="308" t="str">
        <f>"    Standard Deviation"</f>
        <v xml:space="preserve">    Standard Deviation</v>
      </c>
      <c r="D67" s="309">
        <v>0</v>
      </c>
      <c r="E67" s="309">
        <v>1979.8989999999999</v>
      </c>
      <c r="F67" s="309">
        <v>636.39599999999996</v>
      </c>
      <c r="G67" s="309" t="s">
        <v>704</v>
      </c>
      <c r="H67" s="309">
        <v>14070.718000000001</v>
      </c>
      <c r="I67" s="309" t="s">
        <v>704</v>
      </c>
      <c r="J67" s="309" t="s">
        <v>704</v>
      </c>
      <c r="K67" s="309" t="s">
        <v>704</v>
      </c>
      <c r="L67" s="309" t="s">
        <v>704</v>
      </c>
      <c r="M67" s="309" t="s">
        <v>704</v>
      </c>
      <c r="N67" s="309" t="s">
        <v>704</v>
      </c>
      <c r="O67" s="309" t="s">
        <v>704</v>
      </c>
      <c r="P67" s="309" t="s">
        <v>704</v>
      </c>
      <c r="Q67" s="309" t="s">
        <v>704</v>
      </c>
      <c r="R67" s="309" t="s">
        <v>704</v>
      </c>
      <c r="S67" s="300" t="s">
        <v>704</v>
      </c>
      <c r="T67" s="296" t="s">
        <v>704</v>
      </c>
      <c r="U67" s="296" t="s">
        <v>704</v>
      </c>
      <c r="V67" s="296" t="s">
        <v>704</v>
      </c>
      <c r="W67" s="296" t="s">
        <v>704</v>
      </c>
      <c r="X67" s="296" t="s">
        <v>704</v>
      </c>
      <c r="Y67" s="296" t="s">
        <v>704</v>
      </c>
      <c r="Z67" s="296" t="s">
        <v>704</v>
      </c>
      <c r="AA67" s="296" t="s">
        <v>704</v>
      </c>
      <c r="AB67" s="296" t="s">
        <v>704</v>
      </c>
      <c r="AC67" s="296" t="s">
        <v>704</v>
      </c>
      <c r="AD67" s="296" t="s">
        <v>704</v>
      </c>
      <c r="AE67" s="296" t="s">
        <v>704</v>
      </c>
      <c r="AF67" s="296" t="s">
        <v>704</v>
      </c>
      <c r="AG67" s="296" t="s">
        <v>704</v>
      </c>
      <c r="AH67" s="296" t="s">
        <v>704</v>
      </c>
      <c r="AI67" s="296" t="s">
        <v>704</v>
      </c>
      <c r="AJ67" s="296" t="s">
        <v>704</v>
      </c>
      <c r="AK67" s="296" t="s">
        <v>704</v>
      </c>
      <c r="AL67" s="296" t="s">
        <v>704</v>
      </c>
      <c r="AM67" s="296" t="s">
        <v>704</v>
      </c>
      <c r="AN67" s="296" t="s">
        <v>704</v>
      </c>
      <c r="AO67" s="296" t="s">
        <v>704</v>
      </c>
      <c r="AP67" s="296" t="s">
        <v>704</v>
      </c>
      <c r="AQ67" s="296" t="s">
        <v>704</v>
      </c>
      <c r="AR67" s="296" t="s">
        <v>704</v>
      </c>
      <c r="AS67" s="296" t="s">
        <v>704</v>
      </c>
      <c r="AT67" s="296" t="s">
        <v>704</v>
      </c>
      <c r="AU67" s="296" t="s">
        <v>704</v>
      </c>
      <c r="AV67" s="296" t="s">
        <v>704</v>
      </c>
      <c r="AW67" s="296"/>
      <c r="AX67" s="296"/>
    </row>
    <row r="68" spans="1:50" x14ac:dyDescent="0.25">
      <c r="A68" s="299">
        <v>1</v>
      </c>
      <c r="C68" s="308" t="str">
        <f>"    Number of Estimates"</f>
        <v xml:space="preserve">    Number of Estimates</v>
      </c>
      <c r="D68" s="309">
        <v>2</v>
      </c>
      <c r="E68" s="309">
        <v>2</v>
      </c>
      <c r="F68" s="309">
        <v>2</v>
      </c>
      <c r="G68" s="309">
        <v>1</v>
      </c>
      <c r="H68" s="309">
        <v>2</v>
      </c>
      <c r="I68" s="309">
        <v>1</v>
      </c>
      <c r="J68" s="309">
        <v>1</v>
      </c>
      <c r="K68" s="309">
        <v>1</v>
      </c>
      <c r="L68" s="309">
        <v>1</v>
      </c>
      <c r="M68" s="309">
        <v>1</v>
      </c>
      <c r="N68" s="309">
        <v>1</v>
      </c>
      <c r="O68" s="309" t="s">
        <v>704</v>
      </c>
      <c r="P68" s="309" t="s">
        <v>704</v>
      </c>
      <c r="Q68" s="309" t="s">
        <v>704</v>
      </c>
      <c r="R68" s="309" t="s">
        <v>704</v>
      </c>
      <c r="S68" s="300" t="s">
        <v>704</v>
      </c>
      <c r="T68" s="296" t="s">
        <v>704</v>
      </c>
      <c r="U68" s="296" t="s">
        <v>704</v>
      </c>
      <c r="V68" s="296" t="s">
        <v>704</v>
      </c>
      <c r="W68" s="296" t="s">
        <v>704</v>
      </c>
      <c r="X68" s="296" t="s">
        <v>704</v>
      </c>
      <c r="Y68" s="296" t="s">
        <v>704</v>
      </c>
      <c r="Z68" s="296" t="s">
        <v>704</v>
      </c>
      <c r="AA68" s="296" t="s">
        <v>704</v>
      </c>
      <c r="AB68" s="296" t="s">
        <v>704</v>
      </c>
      <c r="AC68" s="296" t="s">
        <v>704</v>
      </c>
      <c r="AD68" s="296" t="s">
        <v>704</v>
      </c>
      <c r="AE68" s="296" t="s">
        <v>704</v>
      </c>
      <c r="AF68" s="296" t="s">
        <v>704</v>
      </c>
      <c r="AG68" s="296" t="s">
        <v>704</v>
      </c>
      <c r="AH68" s="296" t="s">
        <v>704</v>
      </c>
      <c r="AI68" s="296" t="s">
        <v>704</v>
      </c>
      <c r="AJ68" s="296" t="s">
        <v>704</v>
      </c>
      <c r="AK68" s="296" t="s">
        <v>704</v>
      </c>
      <c r="AL68" s="296" t="s">
        <v>704</v>
      </c>
      <c r="AM68" s="296" t="s">
        <v>704</v>
      </c>
      <c r="AN68" s="296" t="s">
        <v>704</v>
      </c>
      <c r="AO68" s="296" t="s">
        <v>704</v>
      </c>
      <c r="AP68" s="296" t="s">
        <v>704</v>
      </c>
      <c r="AQ68" s="296" t="s">
        <v>704</v>
      </c>
      <c r="AR68" s="296" t="s">
        <v>704</v>
      </c>
      <c r="AS68" s="296" t="s">
        <v>704</v>
      </c>
      <c r="AT68" s="296" t="s">
        <v>704</v>
      </c>
      <c r="AU68" s="296" t="s">
        <v>704</v>
      </c>
      <c r="AV68" s="296" t="s">
        <v>704</v>
      </c>
      <c r="AW68" s="296"/>
      <c r="AX68" s="296"/>
    </row>
    <row r="69" spans="1:50" x14ac:dyDescent="0.25">
      <c r="A69" s="299">
        <v>1</v>
      </c>
      <c r="C69" s="306" t="str">
        <f>"Capital Expenditure"</f>
        <v>Capital Expenditure</v>
      </c>
      <c r="D69" s="307" t="s">
        <v>704</v>
      </c>
      <c r="E69" s="307" t="s">
        <v>704</v>
      </c>
      <c r="F69" s="307" t="s">
        <v>704</v>
      </c>
      <c r="G69" s="307" t="s">
        <v>704</v>
      </c>
      <c r="H69" s="307" t="s">
        <v>704</v>
      </c>
      <c r="I69" s="307" t="s">
        <v>704</v>
      </c>
      <c r="J69" s="307" t="s">
        <v>704</v>
      </c>
      <c r="K69" s="307" t="s">
        <v>704</v>
      </c>
      <c r="L69" s="307" t="s">
        <v>704</v>
      </c>
      <c r="M69" s="307" t="s">
        <v>704</v>
      </c>
      <c r="N69" s="307" t="s">
        <v>704</v>
      </c>
      <c r="O69" s="307" t="s">
        <v>704</v>
      </c>
      <c r="P69" s="307" t="s">
        <v>704</v>
      </c>
      <c r="Q69" s="307" t="s">
        <v>704</v>
      </c>
      <c r="R69" s="307" t="s">
        <v>704</v>
      </c>
      <c r="S69" s="300" t="s">
        <v>704</v>
      </c>
      <c r="T69" s="296" t="s">
        <v>704</v>
      </c>
      <c r="U69" s="296" t="s">
        <v>704</v>
      </c>
      <c r="V69" s="296" t="s">
        <v>704</v>
      </c>
      <c r="W69" s="296" t="s">
        <v>704</v>
      </c>
      <c r="X69" s="296" t="s">
        <v>704</v>
      </c>
      <c r="Y69" s="296" t="s">
        <v>704</v>
      </c>
      <c r="Z69" s="296" t="s">
        <v>704</v>
      </c>
      <c r="AA69" s="296" t="s">
        <v>704</v>
      </c>
      <c r="AB69" s="296" t="s">
        <v>704</v>
      </c>
      <c r="AC69" s="296" t="s">
        <v>704</v>
      </c>
      <c r="AD69" s="296" t="s">
        <v>704</v>
      </c>
      <c r="AE69" s="296" t="s">
        <v>704</v>
      </c>
      <c r="AF69" s="296" t="s">
        <v>704</v>
      </c>
      <c r="AG69" s="296" t="s">
        <v>704</v>
      </c>
      <c r="AH69" s="296" t="s">
        <v>704</v>
      </c>
      <c r="AI69" s="296" t="s">
        <v>704</v>
      </c>
      <c r="AJ69" s="296" t="s">
        <v>704</v>
      </c>
      <c r="AK69" s="296" t="s">
        <v>704</v>
      </c>
      <c r="AL69" s="296" t="s">
        <v>704</v>
      </c>
      <c r="AM69" s="296" t="s">
        <v>704</v>
      </c>
      <c r="AN69" s="296" t="s">
        <v>704</v>
      </c>
      <c r="AO69" s="296" t="s">
        <v>704</v>
      </c>
      <c r="AP69" s="296" t="s">
        <v>704</v>
      </c>
      <c r="AQ69" s="296" t="s">
        <v>704</v>
      </c>
      <c r="AR69" s="296" t="s">
        <v>704</v>
      </c>
      <c r="AS69" s="296" t="s">
        <v>704</v>
      </c>
      <c r="AT69" s="296" t="s">
        <v>704</v>
      </c>
      <c r="AU69" s="296" t="s">
        <v>704</v>
      </c>
      <c r="AV69" s="296" t="s">
        <v>704</v>
      </c>
      <c r="AW69" s="296"/>
      <c r="AX69" s="296"/>
    </row>
    <row r="70" spans="1:50" x14ac:dyDescent="0.25">
      <c r="A70" s="299">
        <v>1</v>
      </c>
      <c r="C70" s="308" t="str">
        <f>"    Actual"</f>
        <v xml:space="preserve">    Actual</v>
      </c>
      <c r="D70" s="309">
        <v>-717</v>
      </c>
      <c r="E70" s="309">
        <v>-379</v>
      </c>
      <c r="F70" s="309">
        <v>-585</v>
      </c>
      <c r="G70" s="309">
        <v>-1117</v>
      </c>
      <c r="H70" s="309">
        <v>-1405</v>
      </c>
      <c r="I70" s="309">
        <v>-1437</v>
      </c>
      <c r="J70" s="309">
        <v>-603</v>
      </c>
      <c r="K70" s="309" t="s">
        <v>704</v>
      </c>
      <c r="L70" s="309" t="s">
        <v>704</v>
      </c>
      <c r="M70" s="309" t="s">
        <v>704</v>
      </c>
      <c r="N70" s="309" t="s">
        <v>704</v>
      </c>
      <c r="O70" s="309" t="s">
        <v>704</v>
      </c>
      <c r="P70" s="309" t="s">
        <v>704</v>
      </c>
      <c r="Q70" s="309" t="s">
        <v>704</v>
      </c>
      <c r="R70" s="309" t="s">
        <v>704</v>
      </c>
      <c r="S70" s="300" t="s">
        <v>704</v>
      </c>
      <c r="T70" s="296" t="s">
        <v>704</v>
      </c>
      <c r="U70" s="296" t="s">
        <v>704</v>
      </c>
      <c r="V70" s="296" t="s">
        <v>704</v>
      </c>
      <c r="W70" s="296" t="s">
        <v>704</v>
      </c>
      <c r="X70" s="296" t="s">
        <v>704</v>
      </c>
      <c r="Y70" s="296" t="s">
        <v>704</v>
      </c>
      <c r="Z70" s="296" t="s">
        <v>704</v>
      </c>
      <c r="AA70" s="296" t="s">
        <v>704</v>
      </c>
      <c r="AB70" s="296" t="s">
        <v>704</v>
      </c>
      <c r="AC70" s="296" t="s">
        <v>704</v>
      </c>
      <c r="AD70" s="296" t="s">
        <v>704</v>
      </c>
      <c r="AE70" s="296" t="s">
        <v>704</v>
      </c>
      <c r="AF70" s="296" t="s">
        <v>704</v>
      </c>
      <c r="AG70" s="296" t="s">
        <v>704</v>
      </c>
      <c r="AH70" s="296" t="s">
        <v>704</v>
      </c>
      <c r="AI70" s="296" t="s">
        <v>704</v>
      </c>
      <c r="AJ70" s="296" t="s">
        <v>704</v>
      </c>
      <c r="AK70" s="296" t="s">
        <v>704</v>
      </c>
      <c r="AL70" s="296" t="s">
        <v>704</v>
      </c>
      <c r="AM70" s="296" t="s">
        <v>704</v>
      </c>
      <c r="AN70" s="296" t="s">
        <v>704</v>
      </c>
      <c r="AO70" s="296" t="s">
        <v>704</v>
      </c>
      <c r="AP70" s="296" t="s">
        <v>704</v>
      </c>
      <c r="AQ70" s="296" t="s">
        <v>704</v>
      </c>
      <c r="AR70" s="296" t="s">
        <v>704</v>
      </c>
      <c r="AS70" s="296" t="s">
        <v>704</v>
      </c>
      <c r="AT70" s="296" t="s">
        <v>704</v>
      </c>
      <c r="AU70" s="296" t="s">
        <v>704</v>
      </c>
      <c r="AV70" s="296" t="s">
        <v>704</v>
      </c>
      <c r="AW70" s="296"/>
      <c r="AX70" s="296"/>
    </row>
    <row r="71" spans="1:50" x14ac:dyDescent="0.25">
      <c r="A71" s="299">
        <v>1</v>
      </c>
      <c r="C71" s="308" t="str">
        <f>"    Median"</f>
        <v xml:space="preserve">    Median</v>
      </c>
      <c r="D71" s="309">
        <v>1100</v>
      </c>
      <c r="E71" s="309">
        <v>1000</v>
      </c>
      <c r="F71" s="309">
        <v>1100</v>
      </c>
      <c r="G71" s="309">
        <v>900</v>
      </c>
      <c r="H71" s="309">
        <v>1000</v>
      </c>
      <c r="I71" s="309">
        <v>1100</v>
      </c>
      <c r="J71" s="309">
        <v>1100</v>
      </c>
      <c r="K71" s="309">
        <v>1000</v>
      </c>
      <c r="L71" s="309">
        <v>1000</v>
      </c>
      <c r="M71" s="309">
        <v>1100</v>
      </c>
      <c r="N71" s="309">
        <v>1200</v>
      </c>
      <c r="O71" s="309">
        <v>1100</v>
      </c>
      <c r="P71" s="309">
        <v>1200</v>
      </c>
      <c r="Q71" s="309">
        <v>1300</v>
      </c>
      <c r="R71" s="309">
        <v>1400</v>
      </c>
      <c r="S71" s="300" t="s">
        <v>704</v>
      </c>
      <c r="T71" s="296" t="s">
        <v>704</v>
      </c>
      <c r="U71" s="296" t="s">
        <v>704</v>
      </c>
      <c r="V71" s="296" t="s">
        <v>704</v>
      </c>
      <c r="W71" s="296" t="s">
        <v>704</v>
      </c>
      <c r="X71" s="296" t="s">
        <v>704</v>
      </c>
      <c r="Y71" s="296" t="s">
        <v>704</v>
      </c>
      <c r="Z71" s="296" t="s">
        <v>704</v>
      </c>
      <c r="AA71" s="296" t="s">
        <v>704</v>
      </c>
      <c r="AB71" s="296" t="s">
        <v>704</v>
      </c>
      <c r="AC71" s="296" t="s">
        <v>704</v>
      </c>
      <c r="AD71" s="296" t="s">
        <v>704</v>
      </c>
      <c r="AE71" s="296" t="s">
        <v>704</v>
      </c>
      <c r="AF71" s="296" t="s">
        <v>704</v>
      </c>
      <c r="AG71" s="296" t="s">
        <v>704</v>
      </c>
      <c r="AH71" s="296" t="s">
        <v>704</v>
      </c>
      <c r="AI71" s="296" t="s">
        <v>704</v>
      </c>
      <c r="AJ71" s="296" t="s">
        <v>704</v>
      </c>
      <c r="AK71" s="296" t="s">
        <v>704</v>
      </c>
      <c r="AL71" s="296" t="s">
        <v>704</v>
      </c>
      <c r="AM71" s="296" t="s">
        <v>704</v>
      </c>
      <c r="AN71" s="296" t="s">
        <v>704</v>
      </c>
      <c r="AO71" s="296" t="s">
        <v>704</v>
      </c>
      <c r="AP71" s="296" t="s">
        <v>704</v>
      </c>
      <c r="AQ71" s="296" t="s">
        <v>704</v>
      </c>
      <c r="AR71" s="296" t="s">
        <v>704</v>
      </c>
      <c r="AS71" s="296" t="s">
        <v>704</v>
      </c>
      <c r="AT71" s="296" t="s">
        <v>704</v>
      </c>
      <c r="AU71" s="296" t="s">
        <v>704</v>
      </c>
      <c r="AV71" s="296" t="s">
        <v>704</v>
      </c>
      <c r="AW71" s="296"/>
      <c r="AX71" s="296"/>
    </row>
    <row r="72" spans="1:50" x14ac:dyDescent="0.25">
      <c r="A72" s="299">
        <v>1</v>
      </c>
      <c r="C72" s="308" t="str">
        <f>"    High"</f>
        <v xml:space="preserve">    High</v>
      </c>
      <c r="D72" s="309">
        <v>1100</v>
      </c>
      <c r="E72" s="309">
        <v>1000</v>
      </c>
      <c r="F72" s="309">
        <v>1100</v>
      </c>
      <c r="G72" s="309">
        <v>900</v>
      </c>
      <c r="H72" s="309">
        <v>1000</v>
      </c>
      <c r="I72" s="309">
        <v>1100</v>
      </c>
      <c r="J72" s="309">
        <v>1100</v>
      </c>
      <c r="K72" s="309">
        <v>1000</v>
      </c>
      <c r="L72" s="309">
        <v>1000</v>
      </c>
      <c r="M72" s="309">
        <v>1100</v>
      </c>
      <c r="N72" s="309">
        <v>1200</v>
      </c>
      <c r="O72" s="309">
        <v>1100</v>
      </c>
      <c r="P72" s="309">
        <v>1200</v>
      </c>
      <c r="Q72" s="309">
        <v>1300</v>
      </c>
      <c r="R72" s="309">
        <v>1400</v>
      </c>
      <c r="S72" s="300" t="s">
        <v>704</v>
      </c>
      <c r="T72" s="296" t="s">
        <v>704</v>
      </c>
      <c r="U72" s="296" t="s">
        <v>704</v>
      </c>
      <c r="V72" s="296" t="s">
        <v>704</v>
      </c>
      <c r="W72" s="296" t="s">
        <v>704</v>
      </c>
      <c r="X72" s="296" t="s">
        <v>704</v>
      </c>
      <c r="Y72" s="296" t="s">
        <v>704</v>
      </c>
      <c r="Z72" s="296" t="s">
        <v>704</v>
      </c>
      <c r="AA72" s="296" t="s">
        <v>704</v>
      </c>
      <c r="AB72" s="296" t="s">
        <v>704</v>
      </c>
      <c r="AC72" s="296" t="s">
        <v>704</v>
      </c>
      <c r="AD72" s="296" t="s">
        <v>704</v>
      </c>
      <c r="AE72" s="296" t="s">
        <v>704</v>
      </c>
      <c r="AF72" s="296" t="s">
        <v>704</v>
      </c>
      <c r="AG72" s="296" t="s">
        <v>704</v>
      </c>
      <c r="AH72" s="296" t="s">
        <v>704</v>
      </c>
      <c r="AI72" s="296" t="s">
        <v>704</v>
      </c>
      <c r="AJ72" s="296" t="s">
        <v>704</v>
      </c>
      <c r="AK72" s="296" t="s">
        <v>704</v>
      </c>
      <c r="AL72" s="296" t="s">
        <v>704</v>
      </c>
      <c r="AM72" s="296" t="s">
        <v>704</v>
      </c>
      <c r="AN72" s="296" t="s">
        <v>704</v>
      </c>
      <c r="AO72" s="296" t="s">
        <v>704</v>
      </c>
      <c r="AP72" s="296" t="s">
        <v>704</v>
      </c>
      <c r="AQ72" s="296" t="s">
        <v>704</v>
      </c>
      <c r="AR72" s="296" t="s">
        <v>704</v>
      </c>
      <c r="AS72" s="296" t="s">
        <v>704</v>
      </c>
      <c r="AT72" s="296" t="s">
        <v>704</v>
      </c>
      <c r="AU72" s="296" t="s">
        <v>704</v>
      </c>
      <c r="AV72" s="296" t="s">
        <v>704</v>
      </c>
      <c r="AW72" s="296"/>
      <c r="AX72" s="296"/>
    </row>
    <row r="73" spans="1:50" x14ac:dyDescent="0.25">
      <c r="A73" s="299">
        <v>1</v>
      </c>
      <c r="C73" s="308" t="str">
        <f>"    Low"</f>
        <v xml:space="preserve">    Low</v>
      </c>
      <c r="D73" s="309">
        <v>1100</v>
      </c>
      <c r="E73" s="309">
        <v>1000</v>
      </c>
      <c r="F73" s="309">
        <v>1100</v>
      </c>
      <c r="G73" s="309">
        <v>900</v>
      </c>
      <c r="H73" s="309">
        <v>900</v>
      </c>
      <c r="I73" s="309">
        <v>1100</v>
      </c>
      <c r="J73" s="309">
        <v>1100</v>
      </c>
      <c r="K73" s="309">
        <v>1000</v>
      </c>
      <c r="L73" s="309">
        <v>1000</v>
      </c>
      <c r="M73" s="309">
        <v>1100</v>
      </c>
      <c r="N73" s="309">
        <v>1200</v>
      </c>
      <c r="O73" s="309">
        <v>1100</v>
      </c>
      <c r="P73" s="309">
        <v>1200</v>
      </c>
      <c r="Q73" s="309">
        <v>1300</v>
      </c>
      <c r="R73" s="309">
        <v>1400</v>
      </c>
      <c r="S73" s="300" t="s">
        <v>704</v>
      </c>
      <c r="T73" s="296" t="s">
        <v>704</v>
      </c>
      <c r="U73" s="296" t="s">
        <v>704</v>
      </c>
      <c r="V73" s="296" t="s">
        <v>704</v>
      </c>
      <c r="W73" s="296" t="s">
        <v>704</v>
      </c>
      <c r="X73" s="296" t="s">
        <v>704</v>
      </c>
      <c r="Y73" s="296" t="s">
        <v>704</v>
      </c>
      <c r="Z73" s="296" t="s">
        <v>704</v>
      </c>
      <c r="AA73" s="296" t="s">
        <v>704</v>
      </c>
      <c r="AB73" s="296" t="s">
        <v>704</v>
      </c>
      <c r="AC73" s="296" t="s">
        <v>704</v>
      </c>
      <c r="AD73" s="296" t="s">
        <v>704</v>
      </c>
      <c r="AE73" s="296" t="s">
        <v>704</v>
      </c>
      <c r="AF73" s="296" t="s">
        <v>704</v>
      </c>
      <c r="AG73" s="296" t="s">
        <v>704</v>
      </c>
      <c r="AH73" s="296" t="s">
        <v>704</v>
      </c>
      <c r="AI73" s="296" t="s">
        <v>704</v>
      </c>
      <c r="AJ73" s="296" t="s">
        <v>704</v>
      </c>
      <c r="AK73" s="296" t="s">
        <v>704</v>
      </c>
      <c r="AL73" s="296" t="s">
        <v>704</v>
      </c>
      <c r="AM73" s="296" t="s">
        <v>704</v>
      </c>
      <c r="AN73" s="296" t="s">
        <v>704</v>
      </c>
      <c r="AO73" s="296" t="s">
        <v>704</v>
      </c>
      <c r="AP73" s="296" t="s">
        <v>704</v>
      </c>
      <c r="AQ73" s="296" t="s">
        <v>704</v>
      </c>
      <c r="AR73" s="296" t="s">
        <v>704</v>
      </c>
      <c r="AS73" s="296" t="s">
        <v>704</v>
      </c>
      <c r="AT73" s="296" t="s">
        <v>704</v>
      </c>
      <c r="AU73" s="296" t="s">
        <v>704</v>
      </c>
      <c r="AV73" s="296" t="s">
        <v>704</v>
      </c>
      <c r="AW73" s="296"/>
      <c r="AX73" s="296"/>
    </row>
    <row r="74" spans="1:50" x14ac:dyDescent="0.25">
      <c r="A74" s="299">
        <v>1</v>
      </c>
      <c r="C74" s="308" t="str">
        <f>"    Mean"</f>
        <v xml:space="preserve">    Mean</v>
      </c>
      <c r="D74" s="309">
        <v>1100</v>
      </c>
      <c r="E74" s="309">
        <v>1000</v>
      </c>
      <c r="F74" s="309">
        <v>1100</v>
      </c>
      <c r="G74" s="309">
        <v>900</v>
      </c>
      <c r="H74" s="309">
        <v>966.66700000000003</v>
      </c>
      <c r="I74" s="309">
        <v>1100</v>
      </c>
      <c r="J74" s="309">
        <v>1100</v>
      </c>
      <c r="K74" s="309">
        <v>1000</v>
      </c>
      <c r="L74" s="309">
        <v>1000</v>
      </c>
      <c r="M74" s="309">
        <v>1100</v>
      </c>
      <c r="N74" s="309">
        <v>1200</v>
      </c>
      <c r="O74" s="309">
        <v>1100</v>
      </c>
      <c r="P74" s="309">
        <v>1200</v>
      </c>
      <c r="Q74" s="309">
        <v>1300</v>
      </c>
      <c r="R74" s="309">
        <v>1400</v>
      </c>
      <c r="S74" s="300" t="s">
        <v>704</v>
      </c>
      <c r="T74" s="296" t="s">
        <v>704</v>
      </c>
      <c r="U74" s="296" t="s">
        <v>704</v>
      </c>
      <c r="V74" s="296" t="s">
        <v>704</v>
      </c>
      <c r="W74" s="296" t="s">
        <v>704</v>
      </c>
      <c r="X74" s="296" t="s">
        <v>704</v>
      </c>
      <c r="Y74" s="296" t="s">
        <v>704</v>
      </c>
      <c r="Z74" s="296" t="s">
        <v>704</v>
      </c>
      <c r="AA74" s="296" t="s">
        <v>704</v>
      </c>
      <c r="AB74" s="296" t="s">
        <v>704</v>
      </c>
      <c r="AC74" s="296" t="s">
        <v>704</v>
      </c>
      <c r="AD74" s="296" t="s">
        <v>704</v>
      </c>
      <c r="AE74" s="296" t="s">
        <v>704</v>
      </c>
      <c r="AF74" s="296" t="s">
        <v>704</v>
      </c>
      <c r="AG74" s="296" t="s">
        <v>704</v>
      </c>
      <c r="AH74" s="296" t="s">
        <v>704</v>
      </c>
      <c r="AI74" s="296" t="s">
        <v>704</v>
      </c>
      <c r="AJ74" s="296" t="s">
        <v>704</v>
      </c>
      <c r="AK74" s="296" t="s">
        <v>704</v>
      </c>
      <c r="AL74" s="296" t="s">
        <v>704</v>
      </c>
      <c r="AM74" s="296" t="s">
        <v>704</v>
      </c>
      <c r="AN74" s="296" t="s">
        <v>704</v>
      </c>
      <c r="AO74" s="296" t="s">
        <v>704</v>
      </c>
      <c r="AP74" s="296" t="s">
        <v>704</v>
      </c>
      <c r="AQ74" s="296" t="s">
        <v>704</v>
      </c>
      <c r="AR74" s="296" t="s">
        <v>704</v>
      </c>
      <c r="AS74" s="296" t="s">
        <v>704</v>
      </c>
      <c r="AT74" s="296" t="s">
        <v>704</v>
      </c>
      <c r="AU74" s="296" t="s">
        <v>704</v>
      </c>
      <c r="AV74" s="296" t="s">
        <v>704</v>
      </c>
      <c r="AW74" s="296"/>
      <c r="AX74" s="296"/>
    </row>
    <row r="75" spans="1:50" x14ac:dyDescent="0.25">
      <c r="A75" s="299">
        <v>1</v>
      </c>
      <c r="C75" s="308" t="str">
        <f>"    Standard Deviation"</f>
        <v xml:space="preserve">    Standard Deviation</v>
      </c>
      <c r="D75" s="309">
        <v>0</v>
      </c>
      <c r="E75" s="309">
        <v>0</v>
      </c>
      <c r="F75" s="309" t="s">
        <v>704</v>
      </c>
      <c r="G75" s="309" t="s">
        <v>704</v>
      </c>
      <c r="H75" s="309">
        <v>57.734999999999999</v>
      </c>
      <c r="I75" s="309" t="s">
        <v>704</v>
      </c>
      <c r="J75" s="309" t="s">
        <v>704</v>
      </c>
      <c r="K75" s="309" t="s">
        <v>704</v>
      </c>
      <c r="L75" s="309" t="s">
        <v>704</v>
      </c>
      <c r="M75" s="309" t="s">
        <v>704</v>
      </c>
      <c r="N75" s="309" t="s">
        <v>704</v>
      </c>
      <c r="O75" s="309" t="s">
        <v>704</v>
      </c>
      <c r="P75" s="309" t="s">
        <v>704</v>
      </c>
      <c r="Q75" s="309" t="s">
        <v>704</v>
      </c>
      <c r="R75" s="309" t="s">
        <v>704</v>
      </c>
      <c r="S75" s="300" t="s">
        <v>704</v>
      </c>
      <c r="T75" s="296" t="s">
        <v>704</v>
      </c>
      <c r="U75" s="296" t="s">
        <v>704</v>
      </c>
      <c r="V75" s="296" t="s">
        <v>704</v>
      </c>
      <c r="W75" s="296" t="s">
        <v>704</v>
      </c>
      <c r="X75" s="296" t="s">
        <v>704</v>
      </c>
      <c r="Y75" s="296" t="s">
        <v>704</v>
      </c>
      <c r="Z75" s="296" t="s">
        <v>704</v>
      </c>
      <c r="AA75" s="296" t="s">
        <v>704</v>
      </c>
      <c r="AB75" s="296" t="s">
        <v>704</v>
      </c>
      <c r="AC75" s="296" t="s">
        <v>704</v>
      </c>
      <c r="AD75" s="296" t="s">
        <v>704</v>
      </c>
      <c r="AE75" s="296" t="s">
        <v>704</v>
      </c>
      <c r="AF75" s="296" t="s">
        <v>704</v>
      </c>
      <c r="AG75" s="296" t="s">
        <v>704</v>
      </c>
      <c r="AH75" s="296" t="s">
        <v>704</v>
      </c>
      <c r="AI75" s="296" t="s">
        <v>704</v>
      </c>
      <c r="AJ75" s="296" t="s">
        <v>704</v>
      </c>
      <c r="AK75" s="296" t="s">
        <v>704</v>
      </c>
      <c r="AL75" s="296" t="s">
        <v>704</v>
      </c>
      <c r="AM75" s="296" t="s">
        <v>704</v>
      </c>
      <c r="AN75" s="296" t="s">
        <v>704</v>
      </c>
      <c r="AO75" s="296" t="s">
        <v>704</v>
      </c>
      <c r="AP75" s="296" t="s">
        <v>704</v>
      </c>
      <c r="AQ75" s="296" t="s">
        <v>704</v>
      </c>
      <c r="AR75" s="296" t="s">
        <v>704</v>
      </c>
      <c r="AS75" s="296" t="s">
        <v>704</v>
      </c>
      <c r="AT75" s="296" t="s">
        <v>704</v>
      </c>
      <c r="AU75" s="296" t="s">
        <v>704</v>
      </c>
      <c r="AV75" s="296" t="s">
        <v>704</v>
      </c>
      <c r="AW75" s="296"/>
      <c r="AX75" s="296"/>
    </row>
    <row r="76" spans="1:50" x14ac:dyDescent="0.25">
      <c r="A76" s="299">
        <v>1</v>
      </c>
      <c r="C76" s="308" t="str">
        <f>"    Number of Estimates"</f>
        <v xml:space="preserve">    Number of Estimates</v>
      </c>
      <c r="D76" s="309">
        <v>4</v>
      </c>
      <c r="E76" s="309">
        <v>4</v>
      </c>
      <c r="F76" s="309">
        <v>1</v>
      </c>
      <c r="G76" s="309">
        <v>1</v>
      </c>
      <c r="H76" s="309">
        <v>3</v>
      </c>
      <c r="I76" s="309">
        <v>1</v>
      </c>
      <c r="J76" s="309">
        <v>1</v>
      </c>
      <c r="K76" s="309">
        <v>1</v>
      </c>
      <c r="L76" s="309">
        <v>1</v>
      </c>
      <c r="M76" s="309">
        <v>1</v>
      </c>
      <c r="N76" s="309">
        <v>1</v>
      </c>
      <c r="O76" s="309">
        <v>1</v>
      </c>
      <c r="P76" s="309">
        <v>1</v>
      </c>
      <c r="Q76" s="309">
        <v>1</v>
      </c>
      <c r="R76" s="309">
        <v>1</v>
      </c>
      <c r="S76" s="300" t="s">
        <v>704</v>
      </c>
      <c r="T76" s="296" t="s">
        <v>704</v>
      </c>
      <c r="U76" s="296" t="s">
        <v>704</v>
      </c>
      <c r="V76" s="296" t="s">
        <v>704</v>
      </c>
      <c r="W76" s="296" t="s">
        <v>704</v>
      </c>
      <c r="X76" s="296" t="s">
        <v>704</v>
      </c>
      <c r="Y76" s="296" t="s">
        <v>704</v>
      </c>
      <c r="Z76" s="296" t="s">
        <v>704</v>
      </c>
      <c r="AA76" s="296" t="s">
        <v>704</v>
      </c>
      <c r="AB76" s="296" t="s">
        <v>704</v>
      </c>
      <c r="AC76" s="296" t="s">
        <v>704</v>
      </c>
      <c r="AD76" s="296" t="s">
        <v>704</v>
      </c>
      <c r="AE76" s="296" t="s">
        <v>704</v>
      </c>
      <c r="AF76" s="296" t="s">
        <v>704</v>
      </c>
      <c r="AG76" s="296" t="s">
        <v>704</v>
      </c>
      <c r="AH76" s="296" t="s">
        <v>704</v>
      </c>
      <c r="AI76" s="296" t="s">
        <v>704</v>
      </c>
      <c r="AJ76" s="296" t="s">
        <v>704</v>
      </c>
      <c r="AK76" s="296" t="s">
        <v>704</v>
      </c>
      <c r="AL76" s="296" t="s">
        <v>704</v>
      </c>
      <c r="AM76" s="296" t="s">
        <v>704</v>
      </c>
      <c r="AN76" s="296" t="s">
        <v>704</v>
      </c>
      <c r="AO76" s="296" t="s">
        <v>704</v>
      </c>
      <c r="AP76" s="296" t="s">
        <v>704</v>
      </c>
      <c r="AQ76" s="296" t="s">
        <v>704</v>
      </c>
      <c r="AR76" s="296" t="s">
        <v>704</v>
      </c>
      <c r="AS76" s="296" t="s">
        <v>704</v>
      </c>
      <c r="AT76" s="296" t="s">
        <v>704</v>
      </c>
      <c r="AU76" s="296" t="s">
        <v>704</v>
      </c>
      <c r="AV76" s="296" t="s">
        <v>704</v>
      </c>
      <c r="AW76" s="296"/>
      <c r="AX76" s="296"/>
    </row>
    <row r="77" spans="1:50" x14ac:dyDescent="0.25">
      <c r="A77" s="299">
        <v>1</v>
      </c>
      <c r="C77" s="306" t="str">
        <f>"Diluted EPS (Normalized)"</f>
        <v>Diluted EPS (Normalized)</v>
      </c>
      <c r="D77" s="307" t="s">
        <v>704</v>
      </c>
      <c r="E77" s="307" t="s">
        <v>704</v>
      </c>
      <c r="F77" s="307" t="s">
        <v>704</v>
      </c>
      <c r="G77" s="307" t="s">
        <v>704</v>
      </c>
      <c r="H77" s="307" t="s">
        <v>704</v>
      </c>
      <c r="I77" s="307" t="s">
        <v>704</v>
      </c>
      <c r="J77" s="307" t="s">
        <v>704</v>
      </c>
      <c r="K77" s="307" t="s">
        <v>704</v>
      </c>
      <c r="L77" s="307" t="s">
        <v>704</v>
      </c>
      <c r="M77" s="307" t="s">
        <v>704</v>
      </c>
      <c r="N77" s="307" t="s">
        <v>704</v>
      </c>
      <c r="O77" s="307" t="s">
        <v>704</v>
      </c>
      <c r="P77" s="307" t="s">
        <v>704</v>
      </c>
      <c r="Q77" s="307" t="s">
        <v>704</v>
      </c>
      <c r="R77" s="307" t="s">
        <v>704</v>
      </c>
      <c r="S77" s="300" t="s">
        <v>704</v>
      </c>
      <c r="T77" s="296" t="s">
        <v>704</v>
      </c>
      <c r="U77" s="296" t="s">
        <v>704</v>
      </c>
      <c r="V77" s="296" t="s">
        <v>704</v>
      </c>
      <c r="W77" s="296" t="s">
        <v>704</v>
      </c>
      <c r="X77" s="296" t="s">
        <v>704</v>
      </c>
      <c r="Y77" s="296" t="s">
        <v>704</v>
      </c>
      <c r="Z77" s="296" t="s">
        <v>704</v>
      </c>
      <c r="AA77" s="296" t="s">
        <v>704</v>
      </c>
      <c r="AB77" s="296" t="s">
        <v>704</v>
      </c>
      <c r="AC77" s="296" t="s">
        <v>704</v>
      </c>
      <c r="AD77" s="296" t="s">
        <v>704</v>
      </c>
      <c r="AE77" s="296" t="s">
        <v>704</v>
      </c>
      <c r="AF77" s="296" t="s">
        <v>704</v>
      </c>
      <c r="AG77" s="296" t="s">
        <v>704</v>
      </c>
      <c r="AH77" s="296" t="s">
        <v>704</v>
      </c>
      <c r="AI77" s="296" t="s">
        <v>704</v>
      </c>
      <c r="AJ77" s="296" t="s">
        <v>704</v>
      </c>
      <c r="AK77" s="296" t="s">
        <v>704</v>
      </c>
      <c r="AL77" s="296" t="s">
        <v>704</v>
      </c>
      <c r="AM77" s="296" t="s">
        <v>704</v>
      </c>
      <c r="AN77" s="296" t="s">
        <v>704</v>
      </c>
      <c r="AO77" s="296" t="s">
        <v>704</v>
      </c>
      <c r="AP77" s="296" t="s">
        <v>704</v>
      </c>
      <c r="AQ77" s="296" t="s">
        <v>704</v>
      </c>
      <c r="AR77" s="296" t="s">
        <v>704</v>
      </c>
      <c r="AS77" s="296" t="s">
        <v>704</v>
      </c>
      <c r="AT77" s="296" t="s">
        <v>704</v>
      </c>
      <c r="AU77" s="296" t="s">
        <v>704</v>
      </c>
      <c r="AV77" s="296" t="s">
        <v>704</v>
      </c>
      <c r="AW77" s="296"/>
      <c r="AX77" s="296"/>
    </row>
    <row r="78" spans="1:50" x14ac:dyDescent="0.25">
      <c r="A78" s="299">
        <v>1</v>
      </c>
      <c r="C78" s="308" t="str">
        <f>"    Actual"</f>
        <v xml:space="preserve">    Actual</v>
      </c>
      <c r="D78" s="310">
        <v>6.0831520630157544E-2</v>
      </c>
      <c r="E78" s="310">
        <v>-0.46923978192407978</v>
      </c>
      <c r="F78" s="310">
        <v>0.01</v>
      </c>
      <c r="G78" s="310">
        <v>-3.4079295154185008E-2</v>
      </c>
      <c r="H78" s="310">
        <v>-4.3308550185873596E-2</v>
      </c>
      <c r="I78" s="310">
        <v>-8.377078459487336E-2</v>
      </c>
      <c r="J78" s="310">
        <v>2.4195279503105627E-2</v>
      </c>
      <c r="K78" s="310" t="s">
        <v>704</v>
      </c>
      <c r="L78" s="310" t="s">
        <v>704</v>
      </c>
      <c r="M78" s="310" t="s">
        <v>704</v>
      </c>
      <c r="N78" s="310" t="s">
        <v>704</v>
      </c>
      <c r="O78" s="310" t="s">
        <v>704</v>
      </c>
      <c r="P78" s="310" t="s">
        <v>704</v>
      </c>
      <c r="Q78" s="310" t="s">
        <v>704</v>
      </c>
      <c r="R78" s="310" t="s">
        <v>704</v>
      </c>
      <c r="S78" s="300" t="s">
        <v>704</v>
      </c>
      <c r="T78" s="296" t="s">
        <v>704</v>
      </c>
      <c r="U78" s="296" t="s">
        <v>704</v>
      </c>
      <c r="V78" s="296" t="s">
        <v>704</v>
      </c>
      <c r="W78" s="296" t="s">
        <v>704</v>
      </c>
      <c r="X78" s="296" t="s">
        <v>704</v>
      </c>
      <c r="Y78" s="296" t="s">
        <v>704</v>
      </c>
      <c r="Z78" s="296" t="s">
        <v>704</v>
      </c>
      <c r="AA78" s="296" t="s">
        <v>704</v>
      </c>
      <c r="AB78" s="296" t="s">
        <v>704</v>
      </c>
      <c r="AC78" s="296" t="s">
        <v>704</v>
      </c>
      <c r="AD78" s="296" t="s">
        <v>704</v>
      </c>
      <c r="AE78" s="296" t="s">
        <v>704</v>
      </c>
      <c r="AF78" s="296" t="s">
        <v>704</v>
      </c>
      <c r="AG78" s="296" t="s">
        <v>704</v>
      </c>
      <c r="AH78" s="296" t="s">
        <v>704</v>
      </c>
      <c r="AI78" s="296" t="s">
        <v>704</v>
      </c>
      <c r="AJ78" s="296" t="s">
        <v>704</v>
      </c>
      <c r="AK78" s="296" t="s">
        <v>704</v>
      </c>
      <c r="AL78" s="296" t="s">
        <v>704</v>
      </c>
      <c r="AM78" s="296" t="s">
        <v>704</v>
      </c>
      <c r="AN78" s="296" t="s">
        <v>704</v>
      </c>
      <c r="AO78" s="296" t="s">
        <v>704</v>
      </c>
      <c r="AP78" s="296" t="s">
        <v>704</v>
      </c>
      <c r="AQ78" s="296" t="s">
        <v>704</v>
      </c>
      <c r="AR78" s="296" t="s">
        <v>704</v>
      </c>
      <c r="AS78" s="296" t="s">
        <v>704</v>
      </c>
      <c r="AT78" s="296" t="s">
        <v>704</v>
      </c>
      <c r="AU78" s="296" t="s">
        <v>704</v>
      </c>
      <c r="AV78" s="296" t="s">
        <v>704</v>
      </c>
      <c r="AW78" s="296"/>
      <c r="AX78" s="296"/>
    </row>
    <row r="79" spans="1:50" x14ac:dyDescent="0.25">
      <c r="A79" s="299">
        <v>1</v>
      </c>
      <c r="C79" s="308" t="str">
        <f>"    Median"</f>
        <v xml:space="preserve">    Median</v>
      </c>
      <c r="D79" s="310">
        <v>-0.01</v>
      </c>
      <c r="E79" s="310">
        <v>-0.90500000000000003</v>
      </c>
      <c r="F79" s="310">
        <v>-0.51500000000000001</v>
      </c>
      <c r="G79" s="310">
        <v>-0.56499999999999995</v>
      </c>
      <c r="H79" s="310">
        <v>-0.49</v>
      </c>
      <c r="I79" s="310">
        <v>-0.56999999999999995</v>
      </c>
      <c r="J79" s="310">
        <v>-0.56499999999999995</v>
      </c>
      <c r="K79" s="310">
        <v>-0.26</v>
      </c>
      <c r="L79" s="310">
        <v>-0.25</v>
      </c>
      <c r="M79" s="310">
        <v>-0.24</v>
      </c>
      <c r="N79" s="310">
        <v>-0.12</v>
      </c>
      <c r="O79" s="310">
        <v>0.02</v>
      </c>
      <c r="P79" s="310">
        <v>0.05</v>
      </c>
      <c r="Q79" s="310">
        <v>-0.03</v>
      </c>
      <c r="R79" s="310">
        <v>7.4999999999999997E-2</v>
      </c>
      <c r="S79" s="300" t="s">
        <v>704</v>
      </c>
      <c r="T79" s="296" t="s">
        <v>704</v>
      </c>
      <c r="U79" s="296" t="s">
        <v>704</v>
      </c>
      <c r="V79" s="296" t="s">
        <v>704</v>
      </c>
      <c r="W79" s="296" t="s">
        <v>704</v>
      </c>
      <c r="X79" s="296" t="s">
        <v>704</v>
      </c>
      <c r="Y79" s="296" t="s">
        <v>704</v>
      </c>
      <c r="Z79" s="296" t="s">
        <v>704</v>
      </c>
      <c r="AA79" s="296" t="s">
        <v>704</v>
      </c>
      <c r="AB79" s="296" t="s">
        <v>704</v>
      </c>
      <c r="AC79" s="296" t="s">
        <v>704</v>
      </c>
      <c r="AD79" s="296" t="s">
        <v>704</v>
      </c>
      <c r="AE79" s="296" t="s">
        <v>704</v>
      </c>
      <c r="AF79" s="296" t="s">
        <v>704</v>
      </c>
      <c r="AG79" s="296" t="s">
        <v>704</v>
      </c>
      <c r="AH79" s="296" t="s">
        <v>704</v>
      </c>
      <c r="AI79" s="296" t="s">
        <v>704</v>
      </c>
      <c r="AJ79" s="296" t="s">
        <v>704</v>
      </c>
      <c r="AK79" s="296" t="s">
        <v>704</v>
      </c>
      <c r="AL79" s="296" t="s">
        <v>704</v>
      </c>
      <c r="AM79" s="296" t="s">
        <v>704</v>
      </c>
      <c r="AN79" s="296" t="s">
        <v>704</v>
      </c>
      <c r="AO79" s="296" t="s">
        <v>704</v>
      </c>
      <c r="AP79" s="296" t="s">
        <v>704</v>
      </c>
      <c r="AQ79" s="296" t="s">
        <v>704</v>
      </c>
      <c r="AR79" s="296" t="s">
        <v>704</v>
      </c>
      <c r="AS79" s="296" t="s">
        <v>704</v>
      </c>
      <c r="AT79" s="296" t="s">
        <v>704</v>
      </c>
      <c r="AU79" s="296" t="s">
        <v>704</v>
      </c>
      <c r="AV79" s="296" t="s">
        <v>704</v>
      </c>
      <c r="AW79" s="296"/>
      <c r="AX79" s="296"/>
    </row>
    <row r="80" spans="1:50" x14ac:dyDescent="0.25">
      <c r="A80" s="299">
        <v>1</v>
      </c>
      <c r="C80" s="308" t="str">
        <f>"    High"</f>
        <v xml:space="preserve">    High</v>
      </c>
      <c r="D80" s="310">
        <v>0</v>
      </c>
      <c r="E80" s="310">
        <v>-0.46</v>
      </c>
      <c r="F80" s="310">
        <v>-0.38</v>
      </c>
      <c r="G80" s="310">
        <v>-0.45</v>
      </c>
      <c r="H80" s="310">
        <v>-0.42</v>
      </c>
      <c r="I80" s="310">
        <v>-0.37</v>
      </c>
      <c r="J80" s="310">
        <v>-0.35</v>
      </c>
      <c r="K80" s="310">
        <v>-0.12</v>
      </c>
      <c r="L80" s="310">
        <v>-0.13</v>
      </c>
      <c r="M80" s="310">
        <v>-0.13</v>
      </c>
      <c r="N80" s="310">
        <v>7.0000000000000007E-2</v>
      </c>
      <c r="O80" s="310">
        <v>0.22</v>
      </c>
      <c r="P80" s="310">
        <v>7.0000000000000007E-2</v>
      </c>
      <c r="Q80" s="310">
        <v>0.1</v>
      </c>
      <c r="R80" s="310">
        <v>0.16</v>
      </c>
      <c r="S80" s="300" t="s">
        <v>704</v>
      </c>
      <c r="T80" s="296" t="s">
        <v>704</v>
      </c>
      <c r="U80" s="296" t="s">
        <v>704</v>
      </c>
      <c r="V80" s="296" t="s">
        <v>704</v>
      </c>
      <c r="W80" s="296" t="s">
        <v>704</v>
      </c>
      <c r="X80" s="296" t="s">
        <v>704</v>
      </c>
      <c r="Y80" s="296" t="s">
        <v>704</v>
      </c>
      <c r="Z80" s="296" t="s">
        <v>704</v>
      </c>
      <c r="AA80" s="296" t="s">
        <v>704</v>
      </c>
      <c r="AB80" s="296" t="s">
        <v>704</v>
      </c>
      <c r="AC80" s="296" t="s">
        <v>704</v>
      </c>
      <c r="AD80" s="296" t="s">
        <v>704</v>
      </c>
      <c r="AE80" s="296" t="s">
        <v>704</v>
      </c>
      <c r="AF80" s="296" t="s">
        <v>704</v>
      </c>
      <c r="AG80" s="296" t="s">
        <v>704</v>
      </c>
      <c r="AH80" s="296" t="s">
        <v>704</v>
      </c>
      <c r="AI80" s="296" t="s">
        <v>704</v>
      </c>
      <c r="AJ80" s="296" t="s">
        <v>704</v>
      </c>
      <c r="AK80" s="296" t="s">
        <v>704</v>
      </c>
      <c r="AL80" s="296" t="s">
        <v>704</v>
      </c>
      <c r="AM80" s="296" t="s">
        <v>704</v>
      </c>
      <c r="AN80" s="296" t="s">
        <v>704</v>
      </c>
      <c r="AO80" s="296" t="s">
        <v>704</v>
      </c>
      <c r="AP80" s="296" t="s">
        <v>704</v>
      </c>
      <c r="AQ80" s="296" t="s">
        <v>704</v>
      </c>
      <c r="AR80" s="296" t="s">
        <v>704</v>
      </c>
      <c r="AS80" s="296" t="s">
        <v>704</v>
      </c>
      <c r="AT80" s="296" t="s">
        <v>704</v>
      </c>
      <c r="AU80" s="296" t="s">
        <v>704</v>
      </c>
      <c r="AV80" s="296" t="s">
        <v>704</v>
      </c>
      <c r="AW80" s="296"/>
      <c r="AX80" s="296"/>
    </row>
    <row r="81" spans="1:50" x14ac:dyDescent="0.25">
      <c r="A81" s="299">
        <v>1</v>
      </c>
      <c r="C81" s="308" t="str">
        <f>"    Low"</f>
        <v xml:space="preserve">    Low</v>
      </c>
      <c r="D81" s="310">
        <v>-0.01</v>
      </c>
      <c r="E81" s="310">
        <v>-2.14</v>
      </c>
      <c r="F81" s="310">
        <v>-0.92</v>
      </c>
      <c r="G81" s="310">
        <v>-0.69</v>
      </c>
      <c r="H81" s="310">
        <v>-0.65</v>
      </c>
      <c r="I81" s="310">
        <v>-0.64</v>
      </c>
      <c r="J81" s="310">
        <v>-0.63</v>
      </c>
      <c r="K81" s="310">
        <v>-0.39</v>
      </c>
      <c r="L81" s="310">
        <v>-0.43</v>
      </c>
      <c r="M81" s="310">
        <v>-0.47</v>
      </c>
      <c r="N81" s="310">
        <v>-0.23</v>
      </c>
      <c r="O81" s="310">
        <v>-0.23</v>
      </c>
      <c r="P81" s="310">
        <v>-0.23</v>
      </c>
      <c r="Q81" s="310">
        <v>-0.24</v>
      </c>
      <c r="R81" s="310">
        <v>-0.01</v>
      </c>
      <c r="S81" s="300" t="s">
        <v>704</v>
      </c>
      <c r="T81" s="296" t="s">
        <v>704</v>
      </c>
      <c r="U81" s="296" t="s">
        <v>704</v>
      </c>
      <c r="V81" s="296" t="s">
        <v>704</v>
      </c>
      <c r="W81" s="296" t="s">
        <v>704</v>
      </c>
      <c r="X81" s="296" t="s">
        <v>704</v>
      </c>
      <c r="Y81" s="296" t="s">
        <v>704</v>
      </c>
      <c r="Z81" s="296" t="s">
        <v>704</v>
      </c>
      <c r="AA81" s="296" t="s">
        <v>704</v>
      </c>
      <c r="AB81" s="296" t="s">
        <v>704</v>
      </c>
      <c r="AC81" s="296" t="s">
        <v>704</v>
      </c>
      <c r="AD81" s="296" t="s">
        <v>704</v>
      </c>
      <c r="AE81" s="296" t="s">
        <v>704</v>
      </c>
      <c r="AF81" s="296" t="s">
        <v>704</v>
      </c>
      <c r="AG81" s="296" t="s">
        <v>704</v>
      </c>
      <c r="AH81" s="296" t="s">
        <v>704</v>
      </c>
      <c r="AI81" s="296" t="s">
        <v>704</v>
      </c>
      <c r="AJ81" s="296" t="s">
        <v>704</v>
      </c>
      <c r="AK81" s="296" t="s">
        <v>704</v>
      </c>
      <c r="AL81" s="296" t="s">
        <v>704</v>
      </c>
      <c r="AM81" s="296" t="s">
        <v>704</v>
      </c>
      <c r="AN81" s="296" t="s">
        <v>704</v>
      </c>
      <c r="AO81" s="296" t="s">
        <v>704</v>
      </c>
      <c r="AP81" s="296" t="s">
        <v>704</v>
      </c>
      <c r="AQ81" s="296" t="s">
        <v>704</v>
      </c>
      <c r="AR81" s="296" t="s">
        <v>704</v>
      </c>
      <c r="AS81" s="296" t="s">
        <v>704</v>
      </c>
      <c r="AT81" s="296" t="s">
        <v>704</v>
      </c>
      <c r="AU81" s="296" t="s">
        <v>704</v>
      </c>
      <c r="AV81" s="296" t="s">
        <v>704</v>
      </c>
      <c r="AW81" s="296"/>
      <c r="AX81" s="296"/>
    </row>
    <row r="82" spans="1:50" x14ac:dyDescent="0.25">
      <c r="A82" s="299">
        <v>1</v>
      </c>
      <c r="C82" s="308" t="str">
        <f>"    Mean"</f>
        <v xml:space="preserve">    Mean</v>
      </c>
      <c r="D82" s="310">
        <v>-0.01</v>
      </c>
      <c r="E82" s="310">
        <v>-0.97124999999999995</v>
      </c>
      <c r="F82" s="310">
        <v>-0.55500000000000005</v>
      </c>
      <c r="G82" s="310">
        <v>-0.56999999999999995</v>
      </c>
      <c r="H82" s="310">
        <v>-0.51555600000000001</v>
      </c>
      <c r="I82" s="310">
        <v>-0.55125000000000002</v>
      </c>
      <c r="J82" s="310">
        <v>-0.54125000000000001</v>
      </c>
      <c r="K82" s="310">
        <v>-0.24111099999999999</v>
      </c>
      <c r="L82" s="310">
        <v>-0.247778</v>
      </c>
      <c r="M82" s="310">
        <v>-0.26333299999999998</v>
      </c>
      <c r="N82" s="310">
        <v>-0.107778</v>
      </c>
      <c r="O82" s="310">
        <v>0.01</v>
      </c>
      <c r="P82" s="310">
        <v>-3.6666999999999998E-2</v>
      </c>
      <c r="Q82" s="310">
        <v>-5.6667000000000002E-2</v>
      </c>
      <c r="R82" s="310">
        <v>7.4999999999999997E-2</v>
      </c>
      <c r="S82" s="300" t="s">
        <v>704</v>
      </c>
      <c r="T82" s="296" t="s">
        <v>704</v>
      </c>
      <c r="U82" s="296" t="s">
        <v>704</v>
      </c>
      <c r="V82" s="296" t="s">
        <v>704</v>
      </c>
      <c r="W82" s="296" t="s">
        <v>704</v>
      </c>
      <c r="X82" s="296" t="s">
        <v>704</v>
      </c>
      <c r="Y82" s="296" t="s">
        <v>704</v>
      </c>
      <c r="Z82" s="296" t="s">
        <v>704</v>
      </c>
      <c r="AA82" s="296" t="s">
        <v>704</v>
      </c>
      <c r="AB82" s="296" t="s">
        <v>704</v>
      </c>
      <c r="AC82" s="296" t="s">
        <v>704</v>
      </c>
      <c r="AD82" s="296" t="s">
        <v>704</v>
      </c>
      <c r="AE82" s="296" t="s">
        <v>704</v>
      </c>
      <c r="AF82" s="296" t="s">
        <v>704</v>
      </c>
      <c r="AG82" s="296" t="s">
        <v>704</v>
      </c>
      <c r="AH82" s="296" t="s">
        <v>704</v>
      </c>
      <c r="AI82" s="296" t="s">
        <v>704</v>
      </c>
      <c r="AJ82" s="296" t="s">
        <v>704</v>
      </c>
      <c r="AK82" s="296" t="s">
        <v>704</v>
      </c>
      <c r="AL82" s="296" t="s">
        <v>704</v>
      </c>
      <c r="AM82" s="296" t="s">
        <v>704</v>
      </c>
      <c r="AN82" s="296" t="s">
        <v>704</v>
      </c>
      <c r="AO82" s="296" t="s">
        <v>704</v>
      </c>
      <c r="AP82" s="296" t="s">
        <v>704</v>
      </c>
      <c r="AQ82" s="296" t="s">
        <v>704</v>
      </c>
      <c r="AR82" s="296" t="s">
        <v>704</v>
      </c>
      <c r="AS82" s="296" t="s">
        <v>704</v>
      </c>
      <c r="AT82" s="296" t="s">
        <v>704</v>
      </c>
      <c r="AU82" s="296" t="s">
        <v>704</v>
      </c>
      <c r="AV82" s="296" t="s">
        <v>704</v>
      </c>
      <c r="AW82" s="296"/>
      <c r="AX82" s="296"/>
    </row>
    <row r="83" spans="1:50" x14ac:dyDescent="0.25">
      <c r="A83" s="299">
        <v>1</v>
      </c>
      <c r="C83" s="308" t="str">
        <f>"    Standard Deviation"</f>
        <v xml:space="preserve">    Standard Deviation</v>
      </c>
      <c r="D83" s="310">
        <v>0.01</v>
      </c>
      <c r="E83" s="310">
        <v>0.51720200000000005</v>
      </c>
      <c r="F83" s="310">
        <v>0.17687800000000001</v>
      </c>
      <c r="G83" s="310">
        <v>8.0711000000000005E-2</v>
      </c>
      <c r="H83" s="310">
        <v>6.6165000000000002E-2</v>
      </c>
      <c r="I83" s="310">
        <v>8.0612000000000003E-2</v>
      </c>
      <c r="J83" s="310">
        <v>9.1094999999999995E-2</v>
      </c>
      <c r="K83" s="310">
        <v>8.9784000000000003E-2</v>
      </c>
      <c r="L83" s="310">
        <v>9.3779000000000001E-2</v>
      </c>
      <c r="M83" s="310">
        <v>9.5394000000000007E-2</v>
      </c>
      <c r="N83" s="310">
        <v>9.1484999999999997E-2</v>
      </c>
      <c r="O83" s="310">
        <v>0.225462</v>
      </c>
      <c r="P83" s="310">
        <v>0.16772999999999999</v>
      </c>
      <c r="Q83" s="310">
        <v>0.17156099999999999</v>
      </c>
      <c r="R83" s="310">
        <v>0.120208</v>
      </c>
      <c r="S83" s="300" t="s">
        <v>704</v>
      </c>
      <c r="T83" s="296" t="s">
        <v>704</v>
      </c>
      <c r="U83" s="296" t="s">
        <v>704</v>
      </c>
      <c r="V83" s="296" t="s">
        <v>704</v>
      </c>
      <c r="W83" s="296" t="s">
        <v>704</v>
      </c>
      <c r="X83" s="296" t="s">
        <v>704</v>
      </c>
      <c r="Y83" s="296" t="s">
        <v>704</v>
      </c>
      <c r="Z83" s="296" t="s">
        <v>704</v>
      </c>
      <c r="AA83" s="296" t="s">
        <v>704</v>
      </c>
      <c r="AB83" s="296" t="s">
        <v>704</v>
      </c>
      <c r="AC83" s="296" t="s">
        <v>704</v>
      </c>
      <c r="AD83" s="296" t="s">
        <v>704</v>
      </c>
      <c r="AE83" s="296" t="s">
        <v>704</v>
      </c>
      <c r="AF83" s="296" t="s">
        <v>704</v>
      </c>
      <c r="AG83" s="296" t="s">
        <v>704</v>
      </c>
      <c r="AH83" s="296" t="s">
        <v>704</v>
      </c>
      <c r="AI83" s="296" t="s">
        <v>704</v>
      </c>
      <c r="AJ83" s="296" t="s">
        <v>704</v>
      </c>
      <c r="AK83" s="296" t="s">
        <v>704</v>
      </c>
      <c r="AL83" s="296" t="s">
        <v>704</v>
      </c>
      <c r="AM83" s="296" t="s">
        <v>704</v>
      </c>
      <c r="AN83" s="296" t="s">
        <v>704</v>
      </c>
      <c r="AO83" s="296" t="s">
        <v>704</v>
      </c>
      <c r="AP83" s="296" t="s">
        <v>704</v>
      </c>
      <c r="AQ83" s="296" t="s">
        <v>704</v>
      </c>
      <c r="AR83" s="296" t="s">
        <v>704</v>
      </c>
      <c r="AS83" s="296" t="s">
        <v>704</v>
      </c>
      <c r="AT83" s="296" t="s">
        <v>704</v>
      </c>
      <c r="AU83" s="296" t="s">
        <v>704</v>
      </c>
      <c r="AV83" s="296" t="s">
        <v>704</v>
      </c>
      <c r="AW83" s="296"/>
      <c r="AX83" s="296"/>
    </row>
    <row r="84" spans="1:50" x14ac:dyDescent="0.25">
      <c r="A84" s="299">
        <v>1</v>
      </c>
      <c r="C84" s="308" t="str">
        <f>"    Number of Estimates"</f>
        <v xml:space="preserve">    Number of Estimates</v>
      </c>
      <c r="D84" s="309">
        <v>6</v>
      </c>
      <c r="E84" s="309">
        <v>8</v>
      </c>
      <c r="F84" s="309">
        <v>8</v>
      </c>
      <c r="G84" s="309">
        <v>8</v>
      </c>
      <c r="H84" s="309">
        <v>9</v>
      </c>
      <c r="I84" s="309">
        <v>8</v>
      </c>
      <c r="J84" s="309">
        <v>8</v>
      </c>
      <c r="K84" s="309">
        <v>9</v>
      </c>
      <c r="L84" s="309">
        <v>9</v>
      </c>
      <c r="M84" s="309">
        <v>9</v>
      </c>
      <c r="N84" s="309">
        <v>9</v>
      </c>
      <c r="O84" s="309">
        <v>3</v>
      </c>
      <c r="P84" s="309">
        <v>3</v>
      </c>
      <c r="Q84" s="309">
        <v>3</v>
      </c>
      <c r="R84" s="309">
        <v>2</v>
      </c>
      <c r="S84" s="300" t="s">
        <v>704</v>
      </c>
      <c r="T84" s="296" t="s">
        <v>704</v>
      </c>
      <c r="U84" s="296" t="s">
        <v>704</v>
      </c>
      <c r="V84" s="296" t="s">
        <v>704</v>
      </c>
      <c r="W84" s="296" t="s">
        <v>704</v>
      </c>
      <c r="X84" s="296" t="s">
        <v>704</v>
      </c>
      <c r="Y84" s="296" t="s">
        <v>704</v>
      </c>
      <c r="Z84" s="296" t="s">
        <v>704</v>
      </c>
      <c r="AA84" s="296" t="s">
        <v>704</v>
      </c>
      <c r="AB84" s="296" t="s">
        <v>704</v>
      </c>
      <c r="AC84" s="296" t="s">
        <v>704</v>
      </c>
      <c r="AD84" s="296" t="s">
        <v>704</v>
      </c>
      <c r="AE84" s="296" t="s">
        <v>704</v>
      </c>
      <c r="AF84" s="296" t="s">
        <v>704</v>
      </c>
      <c r="AG84" s="296" t="s">
        <v>704</v>
      </c>
      <c r="AH84" s="296" t="s">
        <v>704</v>
      </c>
      <c r="AI84" s="296" t="s">
        <v>704</v>
      </c>
      <c r="AJ84" s="296" t="s">
        <v>704</v>
      </c>
      <c r="AK84" s="296" t="s">
        <v>704</v>
      </c>
      <c r="AL84" s="296" t="s">
        <v>704</v>
      </c>
      <c r="AM84" s="296" t="s">
        <v>704</v>
      </c>
      <c r="AN84" s="296" t="s">
        <v>704</v>
      </c>
      <c r="AO84" s="296" t="s">
        <v>704</v>
      </c>
      <c r="AP84" s="296" t="s">
        <v>704</v>
      </c>
      <c r="AQ84" s="296" t="s">
        <v>704</v>
      </c>
      <c r="AR84" s="296" t="s">
        <v>704</v>
      </c>
      <c r="AS84" s="296" t="s">
        <v>704</v>
      </c>
      <c r="AT84" s="296" t="s">
        <v>704</v>
      </c>
      <c r="AU84" s="296" t="s">
        <v>704</v>
      </c>
      <c r="AV84" s="296" t="s">
        <v>704</v>
      </c>
      <c r="AW84" s="296"/>
      <c r="AX84" s="296"/>
    </row>
    <row r="85" spans="1:50" x14ac:dyDescent="0.25">
      <c r="A85" s="299">
        <v>1</v>
      </c>
      <c r="C85" s="306" t="str">
        <f>"Diluted EPS"</f>
        <v>Diluted EPS</v>
      </c>
      <c r="D85" s="307" t="s">
        <v>704</v>
      </c>
      <c r="E85" s="307" t="s">
        <v>704</v>
      </c>
      <c r="F85" s="307" t="s">
        <v>704</v>
      </c>
      <c r="G85" s="307" t="s">
        <v>704</v>
      </c>
      <c r="H85" s="307" t="s">
        <v>704</v>
      </c>
      <c r="I85" s="307" t="s">
        <v>704</v>
      </c>
      <c r="J85" s="307" t="s">
        <v>704</v>
      </c>
      <c r="K85" s="307" t="s">
        <v>704</v>
      </c>
      <c r="L85" s="307" t="s">
        <v>704</v>
      </c>
      <c r="M85" s="307" t="s">
        <v>704</v>
      </c>
      <c r="N85" s="307" t="s">
        <v>704</v>
      </c>
      <c r="O85" s="307" t="s">
        <v>704</v>
      </c>
      <c r="P85" s="307" t="s">
        <v>704</v>
      </c>
      <c r="Q85" s="307" t="s">
        <v>704</v>
      </c>
      <c r="R85" s="307" t="s">
        <v>704</v>
      </c>
      <c r="S85" s="300" t="s">
        <v>704</v>
      </c>
      <c r="T85" s="296" t="s">
        <v>704</v>
      </c>
      <c r="U85" s="296" t="s">
        <v>704</v>
      </c>
      <c r="V85" s="296" t="s">
        <v>704</v>
      </c>
      <c r="W85" s="296" t="s">
        <v>704</v>
      </c>
      <c r="X85" s="296" t="s">
        <v>704</v>
      </c>
      <c r="Y85" s="296" t="s">
        <v>704</v>
      </c>
      <c r="Z85" s="296" t="s">
        <v>704</v>
      </c>
      <c r="AA85" s="296" t="s">
        <v>704</v>
      </c>
      <c r="AB85" s="296" t="s">
        <v>704</v>
      </c>
      <c r="AC85" s="296" t="s">
        <v>704</v>
      </c>
      <c r="AD85" s="296" t="s">
        <v>704</v>
      </c>
      <c r="AE85" s="296" t="s">
        <v>704</v>
      </c>
      <c r="AF85" s="296" t="s">
        <v>704</v>
      </c>
      <c r="AG85" s="296" t="s">
        <v>704</v>
      </c>
      <c r="AH85" s="296" t="s">
        <v>704</v>
      </c>
      <c r="AI85" s="296" t="s">
        <v>704</v>
      </c>
      <c r="AJ85" s="296" t="s">
        <v>704</v>
      </c>
      <c r="AK85" s="296" t="s">
        <v>704</v>
      </c>
      <c r="AL85" s="296" t="s">
        <v>704</v>
      </c>
      <c r="AM85" s="296" t="s">
        <v>704</v>
      </c>
      <c r="AN85" s="296" t="s">
        <v>704</v>
      </c>
      <c r="AO85" s="296" t="s">
        <v>704</v>
      </c>
      <c r="AP85" s="296" t="s">
        <v>704</v>
      </c>
      <c r="AQ85" s="296" t="s">
        <v>704</v>
      </c>
      <c r="AR85" s="296" t="s">
        <v>704</v>
      </c>
      <c r="AS85" s="296" t="s">
        <v>704</v>
      </c>
      <c r="AT85" s="296" t="s">
        <v>704</v>
      </c>
      <c r="AU85" s="296" t="s">
        <v>704</v>
      </c>
      <c r="AV85" s="296" t="s">
        <v>704</v>
      </c>
      <c r="AW85" s="296"/>
      <c r="AX85" s="296"/>
    </row>
    <row r="86" spans="1:50" x14ac:dyDescent="0.25">
      <c r="A86" s="299">
        <v>1</v>
      </c>
      <c r="C86" s="308" t="str">
        <f>"    Actual"</f>
        <v xml:space="preserve">    Actual</v>
      </c>
      <c r="D86" s="310">
        <v>-0.01</v>
      </c>
      <c r="E86" s="310">
        <v>-0.98</v>
      </c>
      <c r="F86" s="310">
        <v>-0.46</v>
      </c>
      <c r="G86" s="310">
        <v>-0.31</v>
      </c>
      <c r="H86" s="310">
        <v>-0.38</v>
      </c>
      <c r="I86" s="310">
        <v>-0.46</v>
      </c>
      <c r="J86" s="310">
        <v>-0.35</v>
      </c>
      <c r="K86" s="310" t="s">
        <v>704</v>
      </c>
      <c r="L86" s="310" t="s">
        <v>704</v>
      </c>
      <c r="M86" s="310" t="s">
        <v>704</v>
      </c>
      <c r="N86" s="310" t="s">
        <v>704</v>
      </c>
      <c r="O86" s="310" t="s">
        <v>704</v>
      </c>
      <c r="P86" s="310" t="s">
        <v>704</v>
      </c>
      <c r="Q86" s="310" t="s">
        <v>704</v>
      </c>
      <c r="R86" s="310" t="s">
        <v>704</v>
      </c>
      <c r="S86" s="300" t="s">
        <v>704</v>
      </c>
      <c r="T86" s="296" t="s">
        <v>704</v>
      </c>
      <c r="U86" s="296" t="s">
        <v>704</v>
      </c>
      <c r="V86" s="296" t="s">
        <v>704</v>
      </c>
      <c r="W86" s="296" t="s">
        <v>704</v>
      </c>
      <c r="X86" s="296" t="s">
        <v>704</v>
      </c>
      <c r="Y86" s="296" t="s">
        <v>704</v>
      </c>
      <c r="Z86" s="296" t="s">
        <v>704</v>
      </c>
      <c r="AA86" s="296" t="s">
        <v>704</v>
      </c>
      <c r="AB86" s="296" t="s">
        <v>704</v>
      </c>
      <c r="AC86" s="296" t="s">
        <v>704</v>
      </c>
      <c r="AD86" s="296" t="s">
        <v>704</v>
      </c>
      <c r="AE86" s="296" t="s">
        <v>704</v>
      </c>
      <c r="AF86" s="296" t="s">
        <v>704</v>
      </c>
      <c r="AG86" s="296" t="s">
        <v>704</v>
      </c>
      <c r="AH86" s="296" t="s">
        <v>704</v>
      </c>
      <c r="AI86" s="296" t="s">
        <v>704</v>
      </c>
      <c r="AJ86" s="296" t="s">
        <v>704</v>
      </c>
      <c r="AK86" s="296" t="s">
        <v>704</v>
      </c>
      <c r="AL86" s="296" t="s">
        <v>704</v>
      </c>
      <c r="AM86" s="296" t="s">
        <v>704</v>
      </c>
      <c r="AN86" s="296" t="s">
        <v>704</v>
      </c>
      <c r="AO86" s="296" t="s">
        <v>704</v>
      </c>
      <c r="AP86" s="296" t="s">
        <v>704</v>
      </c>
      <c r="AQ86" s="296" t="s">
        <v>704</v>
      </c>
      <c r="AR86" s="296" t="s">
        <v>704</v>
      </c>
      <c r="AS86" s="296" t="s">
        <v>704</v>
      </c>
      <c r="AT86" s="296" t="s">
        <v>704</v>
      </c>
      <c r="AU86" s="296" t="s">
        <v>704</v>
      </c>
      <c r="AV86" s="296" t="s">
        <v>704</v>
      </c>
      <c r="AW86" s="296"/>
      <c r="AX86" s="296"/>
    </row>
    <row r="87" spans="1:50" x14ac:dyDescent="0.25">
      <c r="A87" s="299">
        <v>1</v>
      </c>
      <c r="C87" s="308" t="str">
        <f>"    Median"</f>
        <v xml:space="preserve">    Median</v>
      </c>
      <c r="D87" s="310">
        <v>-0.01</v>
      </c>
      <c r="E87" s="310">
        <v>-1.27</v>
      </c>
      <c r="F87" s="310">
        <v>-0.59</v>
      </c>
      <c r="G87" s="310">
        <v>-0.63</v>
      </c>
      <c r="H87" s="310">
        <v>-0.51</v>
      </c>
      <c r="I87" s="310">
        <v>-0.56999999999999995</v>
      </c>
      <c r="J87" s="310">
        <v>-0.56499999999999995</v>
      </c>
      <c r="K87" s="310">
        <v>-0.26</v>
      </c>
      <c r="L87" s="310">
        <v>-0.25</v>
      </c>
      <c r="M87" s="310">
        <v>-0.24</v>
      </c>
      <c r="N87" s="310">
        <v>-0.12</v>
      </c>
      <c r="O87" s="310">
        <v>0.02</v>
      </c>
      <c r="P87" s="310">
        <v>0.05</v>
      </c>
      <c r="Q87" s="310">
        <v>-0.03</v>
      </c>
      <c r="R87" s="310">
        <v>7.4999999999999997E-2</v>
      </c>
      <c r="S87" s="300" t="s">
        <v>704</v>
      </c>
      <c r="T87" s="296" t="s">
        <v>704</v>
      </c>
      <c r="U87" s="296" t="s">
        <v>704</v>
      </c>
      <c r="V87" s="296" t="s">
        <v>704</v>
      </c>
      <c r="W87" s="296" t="s">
        <v>704</v>
      </c>
      <c r="X87" s="296" t="s">
        <v>704</v>
      </c>
      <c r="Y87" s="296" t="s">
        <v>704</v>
      </c>
      <c r="Z87" s="296" t="s">
        <v>704</v>
      </c>
      <c r="AA87" s="296" t="s">
        <v>704</v>
      </c>
      <c r="AB87" s="296" t="s">
        <v>704</v>
      </c>
      <c r="AC87" s="296" t="s">
        <v>704</v>
      </c>
      <c r="AD87" s="296" t="s">
        <v>704</v>
      </c>
      <c r="AE87" s="296" t="s">
        <v>704</v>
      </c>
      <c r="AF87" s="296" t="s">
        <v>704</v>
      </c>
      <c r="AG87" s="296" t="s">
        <v>704</v>
      </c>
      <c r="AH87" s="296" t="s">
        <v>704</v>
      </c>
      <c r="AI87" s="296" t="s">
        <v>704</v>
      </c>
      <c r="AJ87" s="296" t="s">
        <v>704</v>
      </c>
      <c r="AK87" s="296" t="s">
        <v>704</v>
      </c>
      <c r="AL87" s="296" t="s">
        <v>704</v>
      </c>
      <c r="AM87" s="296" t="s">
        <v>704</v>
      </c>
      <c r="AN87" s="296" t="s">
        <v>704</v>
      </c>
      <c r="AO87" s="296" t="s">
        <v>704</v>
      </c>
      <c r="AP87" s="296" t="s">
        <v>704</v>
      </c>
      <c r="AQ87" s="296" t="s">
        <v>704</v>
      </c>
      <c r="AR87" s="296" t="s">
        <v>704</v>
      </c>
      <c r="AS87" s="296" t="s">
        <v>704</v>
      </c>
      <c r="AT87" s="296" t="s">
        <v>704</v>
      </c>
      <c r="AU87" s="296" t="s">
        <v>704</v>
      </c>
      <c r="AV87" s="296" t="s">
        <v>704</v>
      </c>
      <c r="AW87" s="296"/>
      <c r="AX87" s="296"/>
    </row>
    <row r="88" spans="1:50" x14ac:dyDescent="0.25">
      <c r="A88" s="299">
        <v>1</v>
      </c>
      <c r="C88" s="308" t="str">
        <f>"    High"</f>
        <v xml:space="preserve">    High</v>
      </c>
      <c r="D88" s="310">
        <v>0</v>
      </c>
      <c r="E88" s="310">
        <v>-0.63</v>
      </c>
      <c r="F88" s="310">
        <v>-0.38</v>
      </c>
      <c r="G88" s="310">
        <v>-0.53</v>
      </c>
      <c r="H88" s="310">
        <v>-0.42</v>
      </c>
      <c r="I88" s="310">
        <v>-0.37</v>
      </c>
      <c r="J88" s="310">
        <v>-0.35</v>
      </c>
      <c r="K88" s="310">
        <v>-0.12</v>
      </c>
      <c r="L88" s="310">
        <v>-0.13</v>
      </c>
      <c r="M88" s="310">
        <v>-0.13</v>
      </c>
      <c r="N88" s="310">
        <v>7.0000000000000007E-2</v>
      </c>
      <c r="O88" s="310">
        <v>0.22</v>
      </c>
      <c r="P88" s="310">
        <v>7.0000000000000007E-2</v>
      </c>
      <c r="Q88" s="310">
        <v>0.1</v>
      </c>
      <c r="R88" s="310">
        <v>0.16</v>
      </c>
      <c r="S88" s="300" t="s">
        <v>704</v>
      </c>
      <c r="T88" s="296" t="s">
        <v>704</v>
      </c>
      <c r="U88" s="296" t="s">
        <v>704</v>
      </c>
      <c r="V88" s="296" t="s">
        <v>704</v>
      </c>
      <c r="W88" s="296" t="s">
        <v>704</v>
      </c>
      <c r="X88" s="296" t="s">
        <v>704</v>
      </c>
      <c r="Y88" s="296" t="s">
        <v>704</v>
      </c>
      <c r="Z88" s="296" t="s">
        <v>704</v>
      </c>
      <c r="AA88" s="296" t="s">
        <v>704</v>
      </c>
      <c r="AB88" s="296" t="s">
        <v>704</v>
      </c>
      <c r="AC88" s="296" t="s">
        <v>704</v>
      </c>
      <c r="AD88" s="296" t="s">
        <v>704</v>
      </c>
      <c r="AE88" s="296" t="s">
        <v>704</v>
      </c>
      <c r="AF88" s="296" t="s">
        <v>704</v>
      </c>
      <c r="AG88" s="296" t="s">
        <v>704</v>
      </c>
      <c r="AH88" s="296" t="s">
        <v>704</v>
      </c>
      <c r="AI88" s="296" t="s">
        <v>704</v>
      </c>
      <c r="AJ88" s="296" t="s">
        <v>704</v>
      </c>
      <c r="AK88" s="296" t="s">
        <v>704</v>
      </c>
      <c r="AL88" s="296" t="s">
        <v>704</v>
      </c>
      <c r="AM88" s="296" t="s">
        <v>704</v>
      </c>
      <c r="AN88" s="296" t="s">
        <v>704</v>
      </c>
      <c r="AO88" s="296" t="s">
        <v>704</v>
      </c>
      <c r="AP88" s="296" t="s">
        <v>704</v>
      </c>
      <c r="AQ88" s="296" t="s">
        <v>704</v>
      </c>
      <c r="AR88" s="296" t="s">
        <v>704</v>
      </c>
      <c r="AS88" s="296" t="s">
        <v>704</v>
      </c>
      <c r="AT88" s="296" t="s">
        <v>704</v>
      </c>
      <c r="AU88" s="296" t="s">
        <v>704</v>
      </c>
      <c r="AV88" s="296" t="s">
        <v>704</v>
      </c>
      <c r="AW88" s="296"/>
      <c r="AX88" s="296"/>
    </row>
    <row r="89" spans="1:50" x14ac:dyDescent="0.25">
      <c r="A89" s="299">
        <v>1</v>
      </c>
      <c r="C89" s="308" t="str">
        <f>"    Low"</f>
        <v xml:space="preserve">    Low</v>
      </c>
      <c r="D89" s="310">
        <v>-0.01</v>
      </c>
      <c r="E89" s="310">
        <v>-2.14</v>
      </c>
      <c r="F89" s="310">
        <v>-1.43</v>
      </c>
      <c r="G89" s="310">
        <v>-0.69</v>
      </c>
      <c r="H89" s="310">
        <v>-0.65</v>
      </c>
      <c r="I89" s="310">
        <v>-0.64</v>
      </c>
      <c r="J89" s="310">
        <v>-0.63</v>
      </c>
      <c r="K89" s="310">
        <v>-0.39</v>
      </c>
      <c r="L89" s="310">
        <v>-0.43</v>
      </c>
      <c r="M89" s="310">
        <v>-0.47</v>
      </c>
      <c r="N89" s="310">
        <v>-0.23</v>
      </c>
      <c r="O89" s="310">
        <v>-0.23</v>
      </c>
      <c r="P89" s="310">
        <v>-0.23</v>
      </c>
      <c r="Q89" s="310">
        <v>-0.24</v>
      </c>
      <c r="R89" s="310">
        <v>-0.01</v>
      </c>
      <c r="S89" s="300" t="s">
        <v>704</v>
      </c>
      <c r="T89" s="296" t="s">
        <v>704</v>
      </c>
      <c r="U89" s="296" t="s">
        <v>704</v>
      </c>
      <c r="V89" s="296" t="s">
        <v>704</v>
      </c>
      <c r="W89" s="296" t="s">
        <v>704</v>
      </c>
      <c r="X89" s="296" t="s">
        <v>704</v>
      </c>
      <c r="Y89" s="296" t="s">
        <v>704</v>
      </c>
      <c r="Z89" s="296" t="s">
        <v>704</v>
      </c>
      <c r="AA89" s="296" t="s">
        <v>704</v>
      </c>
      <c r="AB89" s="296" t="s">
        <v>704</v>
      </c>
      <c r="AC89" s="296" t="s">
        <v>704</v>
      </c>
      <c r="AD89" s="296" t="s">
        <v>704</v>
      </c>
      <c r="AE89" s="296" t="s">
        <v>704</v>
      </c>
      <c r="AF89" s="296" t="s">
        <v>704</v>
      </c>
      <c r="AG89" s="296" t="s">
        <v>704</v>
      </c>
      <c r="AH89" s="296" t="s">
        <v>704</v>
      </c>
      <c r="AI89" s="296" t="s">
        <v>704</v>
      </c>
      <c r="AJ89" s="296" t="s">
        <v>704</v>
      </c>
      <c r="AK89" s="296" t="s">
        <v>704</v>
      </c>
      <c r="AL89" s="296" t="s">
        <v>704</v>
      </c>
      <c r="AM89" s="296" t="s">
        <v>704</v>
      </c>
      <c r="AN89" s="296" t="s">
        <v>704</v>
      </c>
      <c r="AO89" s="296" t="s">
        <v>704</v>
      </c>
      <c r="AP89" s="296" t="s">
        <v>704</v>
      </c>
      <c r="AQ89" s="296" t="s">
        <v>704</v>
      </c>
      <c r="AR89" s="296" t="s">
        <v>704</v>
      </c>
      <c r="AS89" s="296" t="s">
        <v>704</v>
      </c>
      <c r="AT89" s="296" t="s">
        <v>704</v>
      </c>
      <c r="AU89" s="296" t="s">
        <v>704</v>
      </c>
      <c r="AV89" s="296" t="s">
        <v>704</v>
      </c>
      <c r="AW89" s="296"/>
      <c r="AX89" s="296"/>
    </row>
    <row r="90" spans="1:50" x14ac:dyDescent="0.25">
      <c r="A90" s="299">
        <v>1</v>
      </c>
      <c r="C90" s="308" t="str">
        <f>"    Mean"</f>
        <v xml:space="preserve">    Mean</v>
      </c>
      <c r="D90" s="310">
        <v>-0.01</v>
      </c>
      <c r="E90" s="310">
        <v>-1.3274999999999999</v>
      </c>
      <c r="F90" s="310">
        <v>-0.71199999999999997</v>
      </c>
      <c r="G90" s="310">
        <v>-0.62</v>
      </c>
      <c r="H90" s="310">
        <v>-0.52</v>
      </c>
      <c r="I90" s="310">
        <v>-0.55125000000000002</v>
      </c>
      <c r="J90" s="310">
        <v>-0.54125000000000001</v>
      </c>
      <c r="K90" s="310">
        <v>-0.24111099999999999</v>
      </c>
      <c r="L90" s="310">
        <v>-0.247778</v>
      </c>
      <c r="M90" s="310">
        <v>-0.26333299999999998</v>
      </c>
      <c r="N90" s="310">
        <v>-0.107778</v>
      </c>
      <c r="O90" s="310">
        <v>0.01</v>
      </c>
      <c r="P90" s="310">
        <v>-3.6666999999999998E-2</v>
      </c>
      <c r="Q90" s="310">
        <v>-5.6667000000000002E-2</v>
      </c>
      <c r="R90" s="310">
        <v>7.4999999999999997E-2</v>
      </c>
      <c r="S90" s="300" t="s">
        <v>704</v>
      </c>
      <c r="T90" s="296" t="s">
        <v>704</v>
      </c>
      <c r="U90" s="296" t="s">
        <v>704</v>
      </c>
      <c r="V90" s="296" t="s">
        <v>704</v>
      </c>
      <c r="W90" s="296" t="s">
        <v>704</v>
      </c>
      <c r="X90" s="296" t="s">
        <v>704</v>
      </c>
      <c r="Y90" s="296" t="s">
        <v>704</v>
      </c>
      <c r="Z90" s="296" t="s">
        <v>704</v>
      </c>
      <c r="AA90" s="296" t="s">
        <v>704</v>
      </c>
      <c r="AB90" s="296" t="s">
        <v>704</v>
      </c>
      <c r="AC90" s="296" t="s">
        <v>704</v>
      </c>
      <c r="AD90" s="296" t="s">
        <v>704</v>
      </c>
      <c r="AE90" s="296" t="s">
        <v>704</v>
      </c>
      <c r="AF90" s="296" t="s">
        <v>704</v>
      </c>
      <c r="AG90" s="296" t="s">
        <v>704</v>
      </c>
      <c r="AH90" s="296" t="s">
        <v>704</v>
      </c>
      <c r="AI90" s="296" t="s">
        <v>704</v>
      </c>
      <c r="AJ90" s="296" t="s">
        <v>704</v>
      </c>
      <c r="AK90" s="296" t="s">
        <v>704</v>
      </c>
      <c r="AL90" s="296" t="s">
        <v>704</v>
      </c>
      <c r="AM90" s="296" t="s">
        <v>704</v>
      </c>
      <c r="AN90" s="296" t="s">
        <v>704</v>
      </c>
      <c r="AO90" s="296" t="s">
        <v>704</v>
      </c>
      <c r="AP90" s="296" t="s">
        <v>704</v>
      </c>
      <c r="AQ90" s="296" t="s">
        <v>704</v>
      </c>
      <c r="AR90" s="296" t="s">
        <v>704</v>
      </c>
      <c r="AS90" s="296" t="s">
        <v>704</v>
      </c>
      <c r="AT90" s="296" t="s">
        <v>704</v>
      </c>
      <c r="AU90" s="296" t="s">
        <v>704</v>
      </c>
      <c r="AV90" s="296" t="s">
        <v>704</v>
      </c>
      <c r="AW90" s="296"/>
      <c r="AX90" s="296"/>
    </row>
    <row r="91" spans="1:50" x14ac:dyDescent="0.25">
      <c r="A91" s="299">
        <v>1</v>
      </c>
      <c r="C91" s="308" t="str">
        <f>"    Standard Deviation"</f>
        <v xml:space="preserve">    Standard Deviation</v>
      </c>
      <c r="D91" s="310">
        <v>0.01</v>
      </c>
      <c r="E91" s="310">
        <v>0.65275700000000003</v>
      </c>
      <c r="F91" s="310">
        <v>0.41583700000000001</v>
      </c>
      <c r="G91" s="310">
        <v>7.0710999999999996E-2</v>
      </c>
      <c r="H91" s="310">
        <v>6.9281999999999996E-2</v>
      </c>
      <c r="I91" s="310">
        <v>8.0612000000000003E-2</v>
      </c>
      <c r="J91" s="310">
        <v>9.1094999999999995E-2</v>
      </c>
      <c r="K91" s="310">
        <v>8.9784000000000003E-2</v>
      </c>
      <c r="L91" s="310">
        <v>9.3779000000000001E-2</v>
      </c>
      <c r="M91" s="310">
        <v>9.5394000000000007E-2</v>
      </c>
      <c r="N91" s="310">
        <v>9.1484999999999997E-2</v>
      </c>
      <c r="O91" s="310">
        <v>0.225462</v>
      </c>
      <c r="P91" s="310">
        <v>0.16772999999999999</v>
      </c>
      <c r="Q91" s="310">
        <v>0.17156099999999999</v>
      </c>
      <c r="R91" s="310">
        <v>0.120208</v>
      </c>
      <c r="S91" s="300" t="s">
        <v>704</v>
      </c>
      <c r="T91" s="296" t="s">
        <v>704</v>
      </c>
      <c r="U91" s="296" t="s">
        <v>704</v>
      </c>
      <c r="V91" s="296" t="s">
        <v>704</v>
      </c>
      <c r="W91" s="296" t="s">
        <v>704</v>
      </c>
      <c r="X91" s="296" t="s">
        <v>704</v>
      </c>
      <c r="Y91" s="296" t="s">
        <v>704</v>
      </c>
      <c r="Z91" s="296" t="s">
        <v>704</v>
      </c>
      <c r="AA91" s="296" t="s">
        <v>704</v>
      </c>
      <c r="AB91" s="296" t="s">
        <v>704</v>
      </c>
      <c r="AC91" s="296" t="s">
        <v>704</v>
      </c>
      <c r="AD91" s="296" t="s">
        <v>704</v>
      </c>
      <c r="AE91" s="296" t="s">
        <v>704</v>
      </c>
      <c r="AF91" s="296" t="s">
        <v>704</v>
      </c>
      <c r="AG91" s="296" t="s">
        <v>704</v>
      </c>
      <c r="AH91" s="296" t="s">
        <v>704</v>
      </c>
      <c r="AI91" s="296" t="s">
        <v>704</v>
      </c>
      <c r="AJ91" s="296" t="s">
        <v>704</v>
      </c>
      <c r="AK91" s="296" t="s">
        <v>704</v>
      </c>
      <c r="AL91" s="296" t="s">
        <v>704</v>
      </c>
      <c r="AM91" s="296" t="s">
        <v>704</v>
      </c>
      <c r="AN91" s="296" t="s">
        <v>704</v>
      </c>
      <c r="AO91" s="296" t="s">
        <v>704</v>
      </c>
      <c r="AP91" s="296" t="s">
        <v>704</v>
      </c>
      <c r="AQ91" s="296" t="s">
        <v>704</v>
      </c>
      <c r="AR91" s="296" t="s">
        <v>704</v>
      </c>
      <c r="AS91" s="296" t="s">
        <v>704</v>
      </c>
      <c r="AT91" s="296" t="s">
        <v>704</v>
      </c>
      <c r="AU91" s="296" t="s">
        <v>704</v>
      </c>
      <c r="AV91" s="296" t="s">
        <v>704</v>
      </c>
      <c r="AW91" s="296"/>
      <c r="AX91" s="296"/>
    </row>
    <row r="92" spans="1:50" x14ac:dyDescent="0.25">
      <c r="A92" s="299">
        <v>1</v>
      </c>
      <c r="C92" s="308" t="str">
        <f>"    Number of Estimates"</f>
        <v xml:space="preserve">    Number of Estimates</v>
      </c>
      <c r="D92" s="309">
        <v>3</v>
      </c>
      <c r="E92" s="309">
        <v>4</v>
      </c>
      <c r="F92" s="309">
        <v>5</v>
      </c>
      <c r="G92" s="309">
        <v>4</v>
      </c>
      <c r="H92" s="309">
        <v>8</v>
      </c>
      <c r="I92" s="309">
        <v>8</v>
      </c>
      <c r="J92" s="309">
        <v>8</v>
      </c>
      <c r="K92" s="309">
        <v>9</v>
      </c>
      <c r="L92" s="309">
        <v>9</v>
      </c>
      <c r="M92" s="309">
        <v>9</v>
      </c>
      <c r="N92" s="309">
        <v>9</v>
      </c>
      <c r="O92" s="309">
        <v>3</v>
      </c>
      <c r="P92" s="309">
        <v>3</v>
      </c>
      <c r="Q92" s="309">
        <v>3</v>
      </c>
      <c r="R92" s="309">
        <v>2</v>
      </c>
      <c r="S92" s="300" t="s">
        <v>704</v>
      </c>
      <c r="T92" s="296" t="s">
        <v>704</v>
      </c>
      <c r="U92" s="296" t="s">
        <v>704</v>
      </c>
      <c r="V92" s="296" t="s">
        <v>704</v>
      </c>
      <c r="W92" s="296" t="s">
        <v>704</v>
      </c>
      <c r="X92" s="296" t="s">
        <v>704</v>
      </c>
      <c r="Y92" s="296" t="s">
        <v>704</v>
      </c>
      <c r="Z92" s="296" t="s">
        <v>704</v>
      </c>
      <c r="AA92" s="296" t="s">
        <v>704</v>
      </c>
      <c r="AB92" s="296" t="s">
        <v>704</v>
      </c>
      <c r="AC92" s="296" t="s">
        <v>704</v>
      </c>
      <c r="AD92" s="296" t="s">
        <v>704</v>
      </c>
      <c r="AE92" s="296" t="s">
        <v>704</v>
      </c>
      <c r="AF92" s="296" t="s">
        <v>704</v>
      </c>
      <c r="AG92" s="296" t="s">
        <v>704</v>
      </c>
      <c r="AH92" s="296" t="s">
        <v>704</v>
      </c>
      <c r="AI92" s="296" t="s">
        <v>704</v>
      </c>
      <c r="AJ92" s="296" t="s">
        <v>704</v>
      </c>
      <c r="AK92" s="296" t="s">
        <v>704</v>
      </c>
      <c r="AL92" s="296" t="s">
        <v>704</v>
      </c>
      <c r="AM92" s="296" t="s">
        <v>704</v>
      </c>
      <c r="AN92" s="296" t="s">
        <v>704</v>
      </c>
      <c r="AO92" s="296" t="s">
        <v>704</v>
      </c>
      <c r="AP92" s="296" t="s">
        <v>704</v>
      </c>
      <c r="AQ92" s="296" t="s">
        <v>704</v>
      </c>
      <c r="AR92" s="296" t="s">
        <v>704</v>
      </c>
      <c r="AS92" s="296" t="s">
        <v>704</v>
      </c>
      <c r="AT92" s="296" t="s">
        <v>704</v>
      </c>
      <c r="AU92" s="296" t="s">
        <v>704</v>
      </c>
      <c r="AV92" s="296" t="s">
        <v>704</v>
      </c>
      <c r="AW92" s="296"/>
      <c r="AX92" s="296"/>
    </row>
    <row r="93" spans="1:50" x14ac:dyDescent="0.25">
      <c r="A93" s="299">
        <v>1</v>
      </c>
      <c r="C93" s="306" t="str">
        <f>"Diluted EPS from Continuing Operations"</f>
        <v>Diluted EPS from Continuing Operations</v>
      </c>
      <c r="D93" s="307" t="s">
        <v>704</v>
      </c>
      <c r="E93" s="307" t="s">
        <v>704</v>
      </c>
      <c r="F93" s="307" t="s">
        <v>704</v>
      </c>
      <c r="G93" s="307" t="s">
        <v>704</v>
      </c>
      <c r="H93" s="307" t="s">
        <v>704</v>
      </c>
      <c r="I93" s="307" t="s">
        <v>704</v>
      </c>
      <c r="J93" s="307" t="s">
        <v>704</v>
      </c>
      <c r="K93" s="307" t="s">
        <v>704</v>
      </c>
      <c r="L93" s="307" t="s">
        <v>704</v>
      </c>
      <c r="M93" s="307" t="s">
        <v>704</v>
      </c>
      <c r="N93" s="307" t="s">
        <v>704</v>
      </c>
      <c r="O93" s="307" t="s">
        <v>704</v>
      </c>
      <c r="P93" s="307" t="s">
        <v>704</v>
      </c>
      <c r="Q93" s="307" t="s">
        <v>704</v>
      </c>
      <c r="R93" s="307" t="s">
        <v>704</v>
      </c>
      <c r="S93" s="300" t="s">
        <v>704</v>
      </c>
      <c r="T93" s="296" t="s">
        <v>704</v>
      </c>
      <c r="U93" s="296" t="s">
        <v>704</v>
      </c>
      <c r="V93" s="296" t="s">
        <v>704</v>
      </c>
      <c r="W93" s="296" t="s">
        <v>704</v>
      </c>
      <c r="X93" s="296" t="s">
        <v>704</v>
      </c>
      <c r="Y93" s="296" t="s">
        <v>704</v>
      </c>
      <c r="Z93" s="296" t="s">
        <v>704</v>
      </c>
      <c r="AA93" s="296" t="s">
        <v>704</v>
      </c>
      <c r="AB93" s="296" t="s">
        <v>704</v>
      </c>
      <c r="AC93" s="296" t="s">
        <v>704</v>
      </c>
      <c r="AD93" s="296" t="s">
        <v>704</v>
      </c>
      <c r="AE93" s="296" t="s">
        <v>704</v>
      </c>
      <c r="AF93" s="296" t="s">
        <v>704</v>
      </c>
      <c r="AG93" s="296" t="s">
        <v>704</v>
      </c>
      <c r="AH93" s="296" t="s">
        <v>704</v>
      </c>
      <c r="AI93" s="296" t="s">
        <v>704</v>
      </c>
      <c r="AJ93" s="296" t="s">
        <v>704</v>
      </c>
      <c r="AK93" s="296" t="s">
        <v>704</v>
      </c>
      <c r="AL93" s="296" t="s">
        <v>704</v>
      </c>
      <c r="AM93" s="296" t="s">
        <v>704</v>
      </c>
      <c r="AN93" s="296" t="s">
        <v>704</v>
      </c>
      <c r="AO93" s="296" t="s">
        <v>704</v>
      </c>
      <c r="AP93" s="296" t="s">
        <v>704</v>
      </c>
      <c r="AQ93" s="296" t="s">
        <v>704</v>
      </c>
      <c r="AR93" s="296" t="s">
        <v>704</v>
      </c>
      <c r="AS93" s="296" t="s">
        <v>704</v>
      </c>
      <c r="AT93" s="296" t="s">
        <v>704</v>
      </c>
      <c r="AU93" s="296" t="s">
        <v>704</v>
      </c>
      <c r="AV93" s="296" t="s">
        <v>704</v>
      </c>
      <c r="AW93" s="296"/>
      <c r="AX93" s="296"/>
    </row>
    <row r="94" spans="1:50" x14ac:dyDescent="0.25">
      <c r="A94" s="299">
        <v>1</v>
      </c>
      <c r="C94" s="308" t="str">
        <f>"    Actual"</f>
        <v xml:space="preserve">    Actual</v>
      </c>
      <c r="D94" s="310">
        <v>-0.01</v>
      </c>
      <c r="E94" s="310">
        <v>-0.98</v>
      </c>
      <c r="F94" s="310">
        <v>-0.28000000000000003</v>
      </c>
      <c r="G94" s="310">
        <v>-0.31</v>
      </c>
      <c r="H94" s="310">
        <v>-0.38</v>
      </c>
      <c r="I94" s="310">
        <v>-0.46</v>
      </c>
      <c r="J94" s="310">
        <v>-0.35</v>
      </c>
      <c r="K94" s="310" t="s">
        <v>704</v>
      </c>
      <c r="L94" s="310" t="s">
        <v>704</v>
      </c>
      <c r="M94" s="310" t="s">
        <v>704</v>
      </c>
      <c r="N94" s="310" t="s">
        <v>704</v>
      </c>
      <c r="O94" s="310" t="s">
        <v>704</v>
      </c>
      <c r="P94" s="310" t="s">
        <v>704</v>
      </c>
      <c r="Q94" s="310" t="s">
        <v>704</v>
      </c>
      <c r="R94" s="310" t="s">
        <v>704</v>
      </c>
      <c r="S94" s="300" t="s">
        <v>704</v>
      </c>
      <c r="T94" s="296" t="s">
        <v>704</v>
      </c>
      <c r="U94" s="296" t="s">
        <v>704</v>
      </c>
      <c r="V94" s="296" t="s">
        <v>704</v>
      </c>
      <c r="W94" s="296" t="s">
        <v>704</v>
      </c>
      <c r="X94" s="296" t="s">
        <v>704</v>
      </c>
      <c r="Y94" s="296" t="s">
        <v>704</v>
      </c>
      <c r="Z94" s="296" t="s">
        <v>704</v>
      </c>
      <c r="AA94" s="296" t="s">
        <v>704</v>
      </c>
      <c r="AB94" s="296" t="s">
        <v>704</v>
      </c>
      <c r="AC94" s="296" t="s">
        <v>704</v>
      </c>
      <c r="AD94" s="296" t="s">
        <v>704</v>
      </c>
      <c r="AE94" s="296" t="s">
        <v>704</v>
      </c>
      <c r="AF94" s="296" t="s">
        <v>704</v>
      </c>
      <c r="AG94" s="296" t="s">
        <v>704</v>
      </c>
      <c r="AH94" s="296" t="s">
        <v>704</v>
      </c>
      <c r="AI94" s="296" t="s">
        <v>704</v>
      </c>
      <c r="AJ94" s="296" t="s">
        <v>704</v>
      </c>
      <c r="AK94" s="296" t="s">
        <v>704</v>
      </c>
      <c r="AL94" s="296" t="s">
        <v>704</v>
      </c>
      <c r="AM94" s="296" t="s">
        <v>704</v>
      </c>
      <c r="AN94" s="296" t="s">
        <v>704</v>
      </c>
      <c r="AO94" s="296" t="s">
        <v>704</v>
      </c>
      <c r="AP94" s="296" t="s">
        <v>704</v>
      </c>
      <c r="AQ94" s="296" t="s">
        <v>704</v>
      </c>
      <c r="AR94" s="296" t="s">
        <v>704</v>
      </c>
      <c r="AS94" s="296" t="s">
        <v>704</v>
      </c>
      <c r="AT94" s="296" t="s">
        <v>704</v>
      </c>
      <c r="AU94" s="296" t="s">
        <v>704</v>
      </c>
      <c r="AV94" s="296" t="s">
        <v>704</v>
      </c>
      <c r="AW94" s="296"/>
      <c r="AX94" s="296"/>
    </row>
    <row r="95" spans="1:50" x14ac:dyDescent="0.25">
      <c r="A95" s="299">
        <v>1</v>
      </c>
      <c r="C95" s="306" t="str">
        <f>"Operating Cash Flow per Share"</f>
        <v>Operating Cash Flow per Share</v>
      </c>
      <c r="D95" s="307" t="s">
        <v>704</v>
      </c>
      <c r="E95" s="307" t="s">
        <v>704</v>
      </c>
      <c r="F95" s="307" t="s">
        <v>704</v>
      </c>
      <c r="G95" s="307" t="s">
        <v>704</v>
      </c>
      <c r="H95" s="307" t="s">
        <v>704</v>
      </c>
      <c r="I95" s="307" t="s">
        <v>704</v>
      </c>
      <c r="J95" s="307" t="s">
        <v>704</v>
      </c>
      <c r="K95" s="307" t="s">
        <v>704</v>
      </c>
      <c r="L95" s="307" t="s">
        <v>704</v>
      </c>
      <c r="M95" s="307" t="s">
        <v>704</v>
      </c>
      <c r="N95" s="307" t="s">
        <v>704</v>
      </c>
      <c r="O95" s="307" t="s">
        <v>704</v>
      </c>
      <c r="P95" s="307" t="s">
        <v>704</v>
      </c>
      <c r="Q95" s="307" t="s">
        <v>704</v>
      </c>
      <c r="R95" s="307" t="s">
        <v>704</v>
      </c>
      <c r="S95" s="300" t="s">
        <v>704</v>
      </c>
      <c r="T95" s="296" t="s">
        <v>704</v>
      </c>
      <c r="U95" s="296" t="s">
        <v>704</v>
      </c>
      <c r="V95" s="296" t="s">
        <v>704</v>
      </c>
      <c r="W95" s="296" t="s">
        <v>704</v>
      </c>
      <c r="X95" s="296" t="s">
        <v>704</v>
      </c>
      <c r="Y95" s="296" t="s">
        <v>704</v>
      </c>
      <c r="Z95" s="296" t="s">
        <v>704</v>
      </c>
      <c r="AA95" s="296" t="s">
        <v>704</v>
      </c>
      <c r="AB95" s="296" t="s">
        <v>704</v>
      </c>
      <c r="AC95" s="296" t="s">
        <v>704</v>
      </c>
      <c r="AD95" s="296" t="s">
        <v>704</v>
      </c>
      <c r="AE95" s="296" t="s">
        <v>704</v>
      </c>
      <c r="AF95" s="296" t="s">
        <v>704</v>
      </c>
      <c r="AG95" s="296" t="s">
        <v>704</v>
      </c>
      <c r="AH95" s="296" t="s">
        <v>704</v>
      </c>
      <c r="AI95" s="296" t="s">
        <v>704</v>
      </c>
      <c r="AJ95" s="296" t="s">
        <v>704</v>
      </c>
      <c r="AK95" s="296" t="s">
        <v>704</v>
      </c>
      <c r="AL95" s="296" t="s">
        <v>704</v>
      </c>
      <c r="AM95" s="296" t="s">
        <v>704</v>
      </c>
      <c r="AN95" s="296" t="s">
        <v>704</v>
      </c>
      <c r="AO95" s="296" t="s">
        <v>704</v>
      </c>
      <c r="AP95" s="296" t="s">
        <v>704</v>
      </c>
      <c r="AQ95" s="296" t="s">
        <v>704</v>
      </c>
      <c r="AR95" s="296" t="s">
        <v>704</v>
      </c>
      <c r="AS95" s="296" t="s">
        <v>704</v>
      </c>
      <c r="AT95" s="296" t="s">
        <v>704</v>
      </c>
      <c r="AU95" s="296" t="s">
        <v>704</v>
      </c>
      <c r="AV95" s="296" t="s">
        <v>704</v>
      </c>
      <c r="AW95" s="296"/>
      <c r="AX95" s="296"/>
    </row>
    <row r="96" spans="1:50" x14ac:dyDescent="0.25">
      <c r="A96" s="299">
        <v>1</v>
      </c>
      <c r="C96" s="308" t="str">
        <f>"    Actual"</f>
        <v xml:space="preserve">    Actual</v>
      </c>
      <c r="D96" s="310">
        <v>0.10524506126531633</v>
      </c>
      <c r="E96" s="310">
        <v>-0.25651010802207852</v>
      </c>
      <c r="F96" s="310">
        <v>-5.4243311036789296E-2</v>
      </c>
      <c r="G96" s="310">
        <v>8.3078517750712622E-2</v>
      </c>
      <c r="H96" s="310">
        <v>0.10793400213881958</v>
      </c>
      <c r="I96" s="310">
        <v>8.8672553014866803E-2</v>
      </c>
      <c r="J96" s="310">
        <v>0.20238509316770187</v>
      </c>
      <c r="K96" s="310" t="s">
        <v>704</v>
      </c>
      <c r="L96" s="310" t="s">
        <v>704</v>
      </c>
      <c r="M96" s="310" t="s">
        <v>704</v>
      </c>
      <c r="N96" s="310" t="s">
        <v>704</v>
      </c>
      <c r="O96" s="310" t="s">
        <v>704</v>
      </c>
      <c r="P96" s="310" t="s">
        <v>704</v>
      </c>
      <c r="Q96" s="310" t="s">
        <v>704</v>
      </c>
      <c r="R96" s="310" t="s">
        <v>704</v>
      </c>
      <c r="S96" s="300" t="s">
        <v>704</v>
      </c>
      <c r="T96" s="296" t="s">
        <v>704</v>
      </c>
      <c r="U96" s="296" t="s">
        <v>704</v>
      </c>
      <c r="V96" s="296" t="s">
        <v>704</v>
      </c>
      <c r="W96" s="296" t="s">
        <v>704</v>
      </c>
      <c r="X96" s="296" t="s">
        <v>704</v>
      </c>
      <c r="Y96" s="296" t="s">
        <v>704</v>
      </c>
      <c r="Z96" s="296" t="s">
        <v>704</v>
      </c>
      <c r="AA96" s="296" t="s">
        <v>704</v>
      </c>
      <c r="AB96" s="296" t="s">
        <v>704</v>
      </c>
      <c r="AC96" s="296" t="s">
        <v>704</v>
      </c>
      <c r="AD96" s="296" t="s">
        <v>704</v>
      </c>
      <c r="AE96" s="296" t="s">
        <v>704</v>
      </c>
      <c r="AF96" s="296" t="s">
        <v>704</v>
      </c>
      <c r="AG96" s="296" t="s">
        <v>704</v>
      </c>
      <c r="AH96" s="296" t="s">
        <v>704</v>
      </c>
      <c r="AI96" s="296" t="s">
        <v>704</v>
      </c>
      <c r="AJ96" s="296" t="s">
        <v>704</v>
      </c>
      <c r="AK96" s="296" t="s">
        <v>704</v>
      </c>
      <c r="AL96" s="296" t="s">
        <v>704</v>
      </c>
      <c r="AM96" s="296" t="s">
        <v>704</v>
      </c>
      <c r="AN96" s="296" t="s">
        <v>704</v>
      </c>
      <c r="AO96" s="296" t="s">
        <v>704</v>
      </c>
      <c r="AP96" s="296" t="s">
        <v>704</v>
      </c>
      <c r="AQ96" s="296" t="s">
        <v>704</v>
      </c>
      <c r="AR96" s="296" t="s">
        <v>704</v>
      </c>
      <c r="AS96" s="296" t="s">
        <v>704</v>
      </c>
      <c r="AT96" s="296" t="s">
        <v>704</v>
      </c>
      <c r="AU96" s="296" t="s">
        <v>704</v>
      </c>
      <c r="AV96" s="296" t="s">
        <v>704</v>
      </c>
      <c r="AW96" s="296"/>
      <c r="AX96" s="296"/>
    </row>
    <row r="97" spans="1:50" x14ac:dyDescent="0.25">
      <c r="A97" s="299">
        <v>1</v>
      </c>
      <c r="C97" s="308" t="str">
        <f>"    Median"</f>
        <v xml:space="preserve">    Median</v>
      </c>
      <c r="D97" s="310" t="s">
        <v>704</v>
      </c>
      <c r="E97" s="310">
        <v>0.42241800000000002</v>
      </c>
      <c r="F97" s="310">
        <v>1.0319999999999999E-2</v>
      </c>
      <c r="G97" s="310">
        <v>-0.329878</v>
      </c>
      <c r="H97" s="310">
        <v>-0.456926</v>
      </c>
      <c r="I97" s="310">
        <v>-0.55057299999999998</v>
      </c>
      <c r="J97" s="310">
        <v>-0.24812999999999999</v>
      </c>
      <c r="K97" s="310">
        <v>0.22253999999999999</v>
      </c>
      <c r="L97" s="310">
        <v>0.60536500000000004</v>
      </c>
      <c r="M97" s="310">
        <v>0.31442999999999999</v>
      </c>
      <c r="N97" s="310">
        <v>0.32716899999999999</v>
      </c>
      <c r="O97" s="310" t="s">
        <v>704</v>
      </c>
      <c r="P97" s="310" t="s">
        <v>704</v>
      </c>
      <c r="Q97" s="310" t="s">
        <v>704</v>
      </c>
      <c r="R97" s="310" t="s">
        <v>704</v>
      </c>
      <c r="S97" s="300" t="s">
        <v>704</v>
      </c>
      <c r="T97" s="296" t="s">
        <v>704</v>
      </c>
      <c r="U97" s="296" t="s">
        <v>704</v>
      </c>
      <c r="V97" s="296" t="s">
        <v>704</v>
      </c>
      <c r="W97" s="296" t="s">
        <v>704</v>
      </c>
      <c r="X97" s="296" t="s">
        <v>704</v>
      </c>
      <c r="Y97" s="296" t="s">
        <v>704</v>
      </c>
      <c r="Z97" s="296" t="s">
        <v>704</v>
      </c>
      <c r="AA97" s="296" t="s">
        <v>704</v>
      </c>
      <c r="AB97" s="296" t="s">
        <v>704</v>
      </c>
      <c r="AC97" s="296" t="s">
        <v>704</v>
      </c>
      <c r="AD97" s="296" t="s">
        <v>704</v>
      </c>
      <c r="AE97" s="296" t="s">
        <v>704</v>
      </c>
      <c r="AF97" s="296" t="s">
        <v>704</v>
      </c>
      <c r="AG97" s="296" t="s">
        <v>704</v>
      </c>
      <c r="AH97" s="296" t="s">
        <v>704</v>
      </c>
      <c r="AI97" s="296" t="s">
        <v>704</v>
      </c>
      <c r="AJ97" s="296" t="s">
        <v>704</v>
      </c>
      <c r="AK97" s="296" t="s">
        <v>704</v>
      </c>
      <c r="AL97" s="296" t="s">
        <v>704</v>
      </c>
      <c r="AM97" s="296" t="s">
        <v>704</v>
      </c>
      <c r="AN97" s="296" t="s">
        <v>704</v>
      </c>
      <c r="AO97" s="296" t="s">
        <v>704</v>
      </c>
      <c r="AP97" s="296" t="s">
        <v>704</v>
      </c>
      <c r="AQ97" s="296" t="s">
        <v>704</v>
      </c>
      <c r="AR97" s="296" t="s">
        <v>704</v>
      </c>
      <c r="AS97" s="296" t="s">
        <v>704</v>
      </c>
      <c r="AT97" s="296" t="s">
        <v>704</v>
      </c>
      <c r="AU97" s="296" t="s">
        <v>704</v>
      </c>
      <c r="AV97" s="296" t="s">
        <v>704</v>
      </c>
      <c r="AW97" s="296"/>
      <c r="AX97" s="296"/>
    </row>
    <row r="98" spans="1:50" x14ac:dyDescent="0.25">
      <c r="A98" s="299">
        <v>1</v>
      </c>
      <c r="C98" s="308" t="str">
        <f>"    High"</f>
        <v xml:space="preserve">    High</v>
      </c>
      <c r="D98" s="310" t="s">
        <v>704</v>
      </c>
      <c r="E98" s="310">
        <v>0.42241800000000002</v>
      </c>
      <c r="F98" s="310">
        <v>1.0319999999999999E-2</v>
      </c>
      <c r="G98" s="310">
        <v>-0.329878</v>
      </c>
      <c r="H98" s="310">
        <v>-0.456926</v>
      </c>
      <c r="I98" s="310">
        <v>-0.55057299999999998</v>
      </c>
      <c r="J98" s="310">
        <v>-0.24812999999999999</v>
      </c>
      <c r="K98" s="310">
        <v>0.22253999999999999</v>
      </c>
      <c r="L98" s="310">
        <v>0.60536500000000004</v>
      </c>
      <c r="M98" s="310">
        <v>0.31442999999999999</v>
      </c>
      <c r="N98" s="310">
        <v>0.32716899999999999</v>
      </c>
      <c r="O98" s="310" t="s">
        <v>704</v>
      </c>
      <c r="P98" s="310" t="s">
        <v>704</v>
      </c>
      <c r="Q98" s="310" t="s">
        <v>704</v>
      </c>
      <c r="R98" s="310" t="s">
        <v>704</v>
      </c>
      <c r="S98" s="300" t="s">
        <v>704</v>
      </c>
      <c r="T98" s="296" t="s">
        <v>704</v>
      </c>
      <c r="U98" s="296" t="s">
        <v>704</v>
      </c>
      <c r="V98" s="296" t="s">
        <v>704</v>
      </c>
      <c r="W98" s="296" t="s">
        <v>704</v>
      </c>
      <c r="X98" s="296" t="s">
        <v>704</v>
      </c>
      <c r="Y98" s="296" t="s">
        <v>704</v>
      </c>
      <c r="Z98" s="296" t="s">
        <v>704</v>
      </c>
      <c r="AA98" s="296" t="s">
        <v>704</v>
      </c>
      <c r="AB98" s="296" t="s">
        <v>704</v>
      </c>
      <c r="AC98" s="296" t="s">
        <v>704</v>
      </c>
      <c r="AD98" s="296" t="s">
        <v>704</v>
      </c>
      <c r="AE98" s="296" t="s">
        <v>704</v>
      </c>
      <c r="AF98" s="296" t="s">
        <v>704</v>
      </c>
      <c r="AG98" s="296" t="s">
        <v>704</v>
      </c>
      <c r="AH98" s="296" t="s">
        <v>704</v>
      </c>
      <c r="AI98" s="296" t="s">
        <v>704</v>
      </c>
      <c r="AJ98" s="296" t="s">
        <v>704</v>
      </c>
      <c r="AK98" s="296" t="s">
        <v>704</v>
      </c>
      <c r="AL98" s="296" t="s">
        <v>704</v>
      </c>
      <c r="AM98" s="296" t="s">
        <v>704</v>
      </c>
      <c r="AN98" s="296" t="s">
        <v>704</v>
      </c>
      <c r="AO98" s="296" t="s">
        <v>704</v>
      </c>
      <c r="AP98" s="296" t="s">
        <v>704</v>
      </c>
      <c r="AQ98" s="296" t="s">
        <v>704</v>
      </c>
      <c r="AR98" s="296" t="s">
        <v>704</v>
      </c>
      <c r="AS98" s="296" t="s">
        <v>704</v>
      </c>
      <c r="AT98" s="296" t="s">
        <v>704</v>
      </c>
      <c r="AU98" s="296" t="s">
        <v>704</v>
      </c>
      <c r="AV98" s="296" t="s">
        <v>704</v>
      </c>
      <c r="AW98" s="296"/>
      <c r="AX98" s="296"/>
    </row>
    <row r="99" spans="1:50" x14ac:dyDescent="0.25">
      <c r="A99" s="299">
        <v>1</v>
      </c>
      <c r="C99" s="308" t="str">
        <f>"    Low"</f>
        <v xml:space="preserve">    Low</v>
      </c>
      <c r="D99" s="310" t="s">
        <v>704</v>
      </c>
      <c r="E99" s="310">
        <v>0.42241800000000002</v>
      </c>
      <c r="F99" s="310">
        <v>1.0319999999999999E-2</v>
      </c>
      <c r="G99" s="310">
        <v>-0.329878</v>
      </c>
      <c r="H99" s="310">
        <v>-0.456926</v>
      </c>
      <c r="I99" s="310">
        <v>-0.55057299999999998</v>
      </c>
      <c r="J99" s="310">
        <v>-0.24812999999999999</v>
      </c>
      <c r="K99" s="310">
        <v>0.22253999999999999</v>
      </c>
      <c r="L99" s="310">
        <v>0.60536500000000004</v>
      </c>
      <c r="M99" s="310">
        <v>0.31442999999999999</v>
      </c>
      <c r="N99" s="310">
        <v>0.32716899999999999</v>
      </c>
      <c r="O99" s="310" t="s">
        <v>704</v>
      </c>
      <c r="P99" s="310" t="s">
        <v>704</v>
      </c>
      <c r="Q99" s="310" t="s">
        <v>704</v>
      </c>
      <c r="R99" s="310" t="s">
        <v>704</v>
      </c>
      <c r="S99" s="300" t="s">
        <v>704</v>
      </c>
      <c r="T99" s="296" t="s">
        <v>704</v>
      </c>
      <c r="U99" s="296" t="s">
        <v>704</v>
      </c>
      <c r="V99" s="296" t="s">
        <v>704</v>
      </c>
      <c r="W99" s="296" t="s">
        <v>704</v>
      </c>
      <c r="X99" s="296" t="s">
        <v>704</v>
      </c>
      <c r="Y99" s="296" t="s">
        <v>704</v>
      </c>
      <c r="Z99" s="296" t="s">
        <v>704</v>
      </c>
      <c r="AA99" s="296" t="s">
        <v>704</v>
      </c>
      <c r="AB99" s="296" t="s">
        <v>704</v>
      </c>
      <c r="AC99" s="296" t="s">
        <v>704</v>
      </c>
      <c r="AD99" s="296" t="s">
        <v>704</v>
      </c>
      <c r="AE99" s="296" t="s">
        <v>704</v>
      </c>
      <c r="AF99" s="296" t="s">
        <v>704</v>
      </c>
      <c r="AG99" s="296" t="s">
        <v>704</v>
      </c>
      <c r="AH99" s="296" t="s">
        <v>704</v>
      </c>
      <c r="AI99" s="296" t="s">
        <v>704</v>
      </c>
      <c r="AJ99" s="296" t="s">
        <v>704</v>
      </c>
      <c r="AK99" s="296" t="s">
        <v>704</v>
      </c>
      <c r="AL99" s="296" t="s">
        <v>704</v>
      </c>
      <c r="AM99" s="296" t="s">
        <v>704</v>
      </c>
      <c r="AN99" s="296" t="s">
        <v>704</v>
      </c>
      <c r="AO99" s="296" t="s">
        <v>704</v>
      </c>
      <c r="AP99" s="296" t="s">
        <v>704</v>
      </c>
      <c r="AQ99" s="296" t="s">
        <v>704</v>
      </c>
      <c r="AR99" s="296" t="s">
        <v>704</v>
      </c>
      <c r="AS99" s="296" t="s">
        <v>704</v>
      </c>
      <c r="AT99" s="296" t="s">
        <v>704</v>
      </c>
      <c r="AU99" s="296" t="s">
        <v>704</v>
      </c>
      <c r="AV99" s="296" t="s">
        <v>704</v>
      </c>
      <c r="AW99" s="296"/>
      <c r="AX99" s="296"/>
    </row>
    <row r="100" spans="1:50" x14ac:dyDescent="0.25">
      <c r="A100" s="299">
        <v>1</v>
      </c>
      <c r="C100" s="308" t="str">
        <f>"    Mean"</f>
        <v xml:space="preserve">    Mean</v>
      </c>
      <c r="D100" s="310" t="s">
        <v>704</v>
      </c>
      <c r="E100" s="310">
        <v>0.42241800000000002</v>
      </c>
      <c r="F100" s="310">
        <v>1.0319999999999999E-2</v>
      </c>
      <c r="G100" s="310">
        <v>-0.329878</v>
      </c>
      <c r="H100" s="310">
        <v>-0.456926</v>
      </c>
      <c r="I100" s="310">
        <v>-0.55057299999999998</v>
      </c>
      <c r="J100" s="310">
        <v>-0.24812999999999999</v>
      </c>
      <c r="K100" s="310">
        <v>0.22253999999999999</v>
      </c>
      <c r="L100" s="310">
        <v>0.60536500000000004</v>
      </c>
      <c r="M100" s="310">
        <v>0.31442999999999999</v>
      </c>
      <c r="N100" s="310">
        <v>0.32716899999999999</v>
      </c>
      <c r="O100" s="310" t="s">
        <v>704</v>
      </c>
      <c r="P100" s="310" t="s">
        <v>704</v>
      </c>
      <c r="Q100" s="310" t="s">
        <v>704</v>
      </c>
      <c r="R100" s="310" t="s">
        <v>704</v>
      </c>
      <c r="S100" s="300" t="s">
        <v>704</v>
      </c>
      <c r="T100" s="296" t="s">
        <v>704</v>
      </c>
      <c r="U100" s="296" t="s">
        <v>704</v>
      </c>
      <c r="V100" s="296" t="s">
        <v>704</v>
      </c>
      <c r="W100" s="296" t="s">
        <v>704</v>
      </c>
      <c r="X100" s="296" t="s">
        <v>704</v>
      </c>
      <c r="Y100" s="296" t="s">
        <v>704</v>
      </c>
      <c r="Z100" s="296" t="s">
        <v>704</v>
      </c>
      <c r="AA100" s="296" t="s">
        <v>704</v>
      </c>
      <c r="AB100" s="296" t="s">
        <v>704</v>
      </c>
      <c r="AC100" s="296" t="s">
        <v>704</v>
      </c>
      <c r="AD100" s="296" t="s">
        <v>704</v>
      </c>
      <c r="AE100" s="296" t="s">
        <v>704</v>
      </c>
      <c r="AF100" s="296" t="s">
        <v>704</v>
      </c>
      <c r="AG100" s="296" t="s">
        <v>704</v>
      </c>
      <c r="AH100" s="296" t="s">
        <v>704</v>
      </c>
      <c r="AI100" s="296" t="s">
        <v>704</v>
      </c>
      <c r="AJ100" s="296" t="s">
        <v>704</v>
      </c>
      <c r="AK100" s="296" t="s">
        <v>704</v>
      </c>
      <c r="AL100" s="296" t="s">
        <v>704</v>
      </c>
      <c r="AM100" s="296" t="s">
        <v>704</v>
      </c>
      <c r="AN100" s="296" t="s">
        <v>704</v>
      </c>
      <c r="AO100" s="296" t="s">
        <v>704</v>
      </c>
      <c r="AP100" s="296" t="s">
        <v>704</v>
      </c>
      <c r="AQ100" s="296" t="s">
        <v>704</v>
      </c>
      <c r="AR100" s="296" t="s">
        <v>704</v>
      </c>
      <c r="AS100" s="296" t="s">
        <v>704</v>
      </c>
      <c r="AT100" s="296" t="s">
        <v>704</v>
      </c>
      <c r="AU100" s="296" t="s">
        <v>704</v>
      </c>
      <c r="AV100" s="296" t="s">
        <v>704</v>
      </c>
      <c r="AW100" s="296"/>
      <c r="AX100" s="296"/>
    </row>
    <row r="101" spans="1:50" x14ac:dyDescent="0.25">
      <c r="A101" s="299">
        <v>1</v>
      </c>
      <c r="C101" s="308" t="str">
        <f>"    Number of Estimates"</f>
        <v xml:space="preserve">    Number of Estimates</v>
      </c>
      <c r="D101" s="309" t="s">
        <v>704</v>
      </c>
      <c r="E101" s="309">
        <v>1</v>
      </c>
      <c r="F101" s="309">
        <v>1</v>
      </c>
      <c r="G101" s="309">
        <v>1</v>
      </c>
      <c r="H101" s="309">
        <v>1</v>
      </c>
      <c r="I101" s="309">
        <v>1</v>
      </c>
      <c r="J101" s="309">
        <v>1</v>
      </c>
      <c r="K101" s="309">
        <v>1</v>
      </c>
      <c r="L101" s="309">
        <v>1</v>
      </c>
      <c r="M101" s="309">
        <v>1</v>
      </c>
      <c r="N101" s="309">
        <v>1</v>
      </c>
      <c r="O101" s="309" t="s">
        <v>704</v>
      </c>
      <c r="P101" s="309" t="s">
        <v>704</v>
      </c>
      <c r="Q101" s="309" t="s">
        <v>704</v>
      </c>
      <c r="R101" s="309" t="s">
        <v>704</v>
      </c>
      <c r="S101" s="300" t="s">
        <v>704</v>
      </c>
      <c r="T101" s="296" t="s">
        <v>704</v>
      </c>
      <c r="U101" s="296" t="s">
        <v>704</v>
      </c>
      <c r="V101" s="296" t="s">
        <v>704</v>
      </c>
      <c r="W101" s="296" t="s">
        <v>704</v>
      </c>
      <c r="X101" s="296" t="s">
        <v>704</v>
      </c>
      <c r="Y101" s="296" t="s">
        <v>704</v>
      </c>
      <c r="Z101" s="296" t="s">
        <v>704</v>
      </c>
      <c r="AA101" s="296" t="s">
        <v>704</v>
      </c>
      <c r="AB101" s="296" t="s">
        <v>704</v>
      </c>
      <c r="AC101" s="296" t="s">
        <v>704</v>
      </c>
      <c r="AD101" s="296" t="s">
        <v>704</v>
      </c>
      <c r="AE101" s="296" t="s">
        <v>704</v>
      </c>
      <c r="AF101" s="296" t="s">
        <v>704</v>
      </c>
      <c r="AG101" s="296" t="s">
        <v>704</v>
      </c>
      <c r="AH101" s="296" t="s">
        <v>704</v>
      </c>
      <c r="AI101" s="296" t="s">
        <v>704</v>
      </c>
      <c r="AJ101" s="296" t="s">
        <v>704</v>
      </c>
      <c r="AK101" s="296" t="s">
        <v>704</v>
      </c>
      <c r="AL101" s="296" t="s">
        <v>704</v>
      </c>
      <c r="AM101" s="296" t="s">
        <v>704</v>
      </c>
      <c r="AN101" s="296" t="s">
        <v>704</v>
      </c>
      <c r="AO101" s="296" t="s">
        <v>704</v>
      </c>
      <c r="AP101" s="296" t="s">
        <v>704</v>
      </c>
      <c r="AQ101" s="296" t="s">
        <v>704</v>
      </c>
      <c r="AR101" s="296" t="s">
        <v>704</v>
      </c>
      <c r="AS101" s="296" t="s">
        <v>704</v>
      </c>
      <c r="AT101" s="296" t="s">
        <v>704</v>
      </c>
      <c r="AU101" s="296" t="s">
        <v>704</v>
      </c>
      <c r="AV101" s="296" t="s">
        <v>704</v>
      </c>
      <c r="AW101" s="296"/>
      <c r="AX101" s="296"/>
    </row>
    <row r="102" spans="1:50" x14ac:dyDescent="0.25">
      <c r="A102" s="299"/>
      <c r="S102" s="300" t="s">
        <v>704</v>
      </c>
      <c r="T102" s="296" t="s">
        <v>704</v>
      </c>
      <c r="U102" s="296" t="s">
        <v>704</v>
      </c>
      <c r="V102" s="296" t="s">
        <v>704</v>
      </c>
      <c r="W102" s="296" t="s">
        <v>704</v>
      </c>
      <c r="X102" s="296" t="s">
        <v>704</v>
      </c>
      <c r="Y102" s="296" t="s">
        <v>704</v>
      </c>
      <c r="Z102" s="296" t="s">
        <v>704</v>
      </c>
      <c r="AA102" s="296" t="s">
        <v>704</v>
      </c>
      <c r="AB102" s="296" t="s">
        <v>704</v>
      </c>
      <c r="AC102" s="296" t="s">
        <v>704</v>
      </c>
      <c r="AD102" s="296" t="s">
        <v>704</v>
      </c>
      <c r="AE102" s="296" t="s">
        <v>704</v>
      </c>
      <c r="AF102" s="296" t="s">
        <v>704</v>
      </c>
      <c r="AG102" s="296" t="s">
        <v>704</v>
      </c>
      <c r="AH102" s="296" t="s">
        <v>704</v>
      </c>
      <c r="AI102" s="296" t="s">
        <v>704</v>
      </c>
      <c r="AJ102" s="296" t="s">
        <v>704</v>
      </c>
      <c r="AK102" s="296" t="s">
        <v>704</v>
      </c>
      <c r="AL102" s="296" t="s">
        <v>704</v>
      </c>
      <c r="AM102" s="296" t="s">
        <v>704</v>
      </c>
      <c r="AN102" s="296" t="s">
        <v>704</v>
      </c>
      <c r="AO102" s="296" t="s">
        <v>704</v>
      </c>
      <c r="AP102" s="296" t="s">
        <v>704</v>
      </c>
      <c r="AQ102" s="296" t="s">
        <v>704</v>
      </c>
      <c r="AR102" s="296" t="s">
        <v>704</v>
      </c>
      <c r="AS102" s="296" t="s">
        <v>704</v>
      </c>
      <c r="AT102" s="296" t="s">
        <v>704</v>
      </c>
      <c r="AU102" s="296" t="s">
        <v>704</v>
      </c>
      <c r="AV102" s="296" t="s">
        <v>704</v>
      </c>
      <c r="AW102" s="296"/>
      <c r="AX102" s="296"/>
    </row>
    <row r="103" spans="1:50" x14ac:dyDescent="0.25">
      <c r="A103" s="299"/>
      <c r="S103" s="300" t="s">
        <v>704</v>
      </c>
      <c r="T103" s="296" t="s">
        <v>704</v>
      </c>
      <c r="U103" s="296" t="s">
        <v>704</v>
      </c>
      <c r="V103" s="296" t="s">
        <v>704</v>
      </c>
      <c r="W103" s="296" t="s">
        <v>704</v>
      </c>
      <c r="X103" s="296" t="s">
        <v>704</v>
      </c>
      <c r="Y103" s="296" t="s">
        <v>704</v>
      </c>
      <c r="Z103" s="296" t="s">
        <v>704</v>
      </c>
      <c r="AA103" s="296" t="s">
        <v>704</v>
      </c>
      <c r="AB103" s="296" t="s">
        <v>704</v>
      </c>
      <c r="AC103" s="296" t="s">
        <v>704</v>
      </c>
      <c r="AD103" s="296" t="s">
        <v>704</v>
      </c>
      <c r="AE103" s="296" t="s">
        <v>704</v>
      </c>
      <c r="AF103" s="296" t="s">
        <v>704</v>
      </c>
      <c r="AG103" s="296" t="s">
        <v>704</v>
      </c>
      <c r="AH103" s="296" t="s">
        <v>704</v>
      </c>
      <c r="AI103" s="296" t="s">
        <v>704</v>
      </c>
      <c r="AJ103" s="296" t="s">
        <v>704</v>
      </c>
      <c r="AK103" s="296" t="s">
        <v>704</v>
      </c>
      <c r="AL103" s="296" t="s">
        <v>704</v>
      </c>
      <c r="AM103" s="296" t="s">
        <v>704</v>
      </c>
      <c r="AN103" s="296" t="s">
        <v>704</v>
      </c>
      <c r="AO103" s="296" t="s">
        <v>704</v>
      </c>
      <c r="AP103" s="296" t="s">
        <v>704</v>
      </c>
      <c r="AQ103" s="296" t="s">
        <v>704</v>
      </c>
      <c r="AR103" s="296" t="s">
        <v>704</v>
      </c>
      <c r="AS103" s="296" t="s">
        <v>704</v>
      </c>
      <c r="AT103" s="296" t="s">
        <v>704</v>
      </c>
      <c r="AU103" s="296" t="s">
        <v>704</v>
      </c>
      <c r="AV103" s="296" t="s">
        <v>704</v>
      </c>
      <c r="AW103" s="296"/>
      <c r="AX103" s="296"/>
    </row>
    <row r="104" spans="1:50" x14ac:dyDescent="0.25">
      <c r="A104" s="299"/>
      <c r="C104" s="311" t="s">
        <v>996</v>
      </c>
      <c r="S104" s="300" t="s">
        <v>704</v>
      </c>
      <c r="T104" s="296" t="s">
        <v>704</v>
      </c>
      <c r="U104" s="296" t="s">
        <v>704</v>
      </c>
      <c r="V104" s="296" t="s">
        <v>704</v>
      </c>
      <c r="W104" s="296" t="s">
        <v>704</v>
      </c>
      <c r="X104" s="296" t="s">
        <v>704</v>
      </c>
      <c r="Y104" s="296" t="s">
        <v>704</v>
      </c>
      <c r="Z104" s="296" t="s">
        <v>704</v>
      </c>
      <c r="AA104" s="296" t="s">
        <v>704</v>
      </c>
      <c r="AB104" s="296" t="s">
        <v>704</v>
      </c>
      <c r="AC104" s="296" t="s">
        <v>704</v>
      </c>
      <c r="AD104" s="296" t="s">
        <v>704</v>
      </c>
      <c r="AE104" s="296" t="s">
        <v>704</v>
      </c>
      <c r="AF104" s="296" t="s">
        <v>704</v>
      </c>
      <c r="AG104" s="296" t="s">
        <v>704</v>
      </c>
      <c r="AH104" s="296" t="s">
        <v>704</v>
      </c>
      <c r="AI104" s="296" t="s">
        <v>704</v>
      </c>
      <c r="AJ104" s="296" t="s">
        <v>704</v>
      </c>
      <c r="AK104" s="296" t="s">
        <v>704</v>
      </c>
      <c r="AL104" s="296" t="s">
        <v>704</v>
      </c>
      <c r="AM104" s="296" t="s">
        <v>704</v>
      </c>
      <c r="AN104" s="296" t="s">
        <v>704</v>
      </c>
      <c r="AO104" s="296" t="s">
        <v>704</v>
      </c>
      <c r="AP104" s="296" t="s">
        <v>704</v>
      </c>
      <c r="AQ104" s="296" t="s">
        <v>704</v>
      </c>
      <c r="AR104" s="296" t="s">
        <v>704</v>
      </c>
      <c r="AS104" s="296" t="s">
        <v>704</v>
      </c>
      <c r="AT104" s="296" t="s">
        <v>704</v>
      </c>
      <c r="AU104" s="296" t="s">
        <v>704</v>
      </c>
      <c r="AV104" s="296" t="s">
        <v>704</v>
      </c>
      <c r="AW104" s="296"/>
      <c r="AX104" s="296"/>
    </row>
    <row r="105" spans="1:50" x14ac:dyDescent="0.25">
      <c r="A105" s="299"/>
      <c r="C105" s="311" t="s">
        <v>997</v>
      </c>
      <c r="S105" s="300" t="s">
        <v>704</v>
      </c>
      <c r="T105" s="296" t="s">
        <v>704</v>
      </c>
      <c r="U105" s="296" t="s">
        <v>704</v>
      </c>
      <c r="V105" s="296" t="s">
        <v>704</v>
      </c>
      <c r="W105" s="296" t="s">
        <v>704</v>
      </c>
      <c r="X105" s="296" t="s">
        <v>704</v>
      </c>
      <c r="Y105" s="296" t="s">
        <v>704</v>
      </c>
      <c r="Z105" s="296" t="s">
        <v>704</v>
      </c>
      <c r="AA105" s="296" t="s">
        <v>704</v>
      </c>
      <c r="AB105" s="296" t="s">
        <v>704</v>
      </c>
      <c r="AC105" s="296" t="s">
        <v>704</v>
      </c>
      <c r="AD105" s="296" t="s">
        <v>704</v>
      </c>
      <c r="AE105" s="296" t="s">
        <v>704</v>
      </c>
      <c r="AF105" s="296" t="s">
        <v>704</v>
      </c>
      <c r="AG105" s="296" t="s">
        <v>704</v>
      </c>
      <c r="AH105" s="296" t="s">
        <v>704</v>
      </c>
      <c r="AI105" s="296" t="s">
        <v>704</v>
      </c>
      <c r="AJ105" s="296" t="s">
        <v>704</v>
      </c>
      <c r="AK105" s="296" t="s">
        <v>704</v>
      </c>
      <c r="AL105" s="296" t="s">
        <v>704</v>
      </c>
      <c r="AM105" s="296" t="s">
        <v>704</v>
      </c>
      <c r="AN105" s="296" t="s">
        <v>704</v>
      </c>
      <c r="AO105" s="296" t="s">
        <v>704</v>
      </c>
      <c r="AP105" s="296" t="s">
        <v>704</v>
      </c>
      <c r="AQ105" s="296" t="s">
        <v>704</v>
      </c>
      <c r="AR105" s="296" t="s">
        <v>704</v>
      </c>
      <c r="AS105" s="296" t="s">
        <v>704</v>
      </c>
      <c r="AT105" s="296" t="s">
        <v>704</v>
      </c>
      <c r="AU105" s="296" t="s">
        <v>704</v>
      </c>
      <c r="AV105" s="296" t="s">
        <v>704</v>
      </c>
      <c r="AW105" s="296"/>
      <c r="AX105" s="296"/>
    </row>
    <row r="106" spans="1:50" ht="15.75" thickBot="1" x14ac:dyDescent="0.3">
      <c r="A106" s="299"/>
      <c r="S106" s="300" t="s">
        <v>704</v>
      </c>
      <c r="T106" s="296" t="s">
        <v>704</v>
      </c>
      <c r="U106" s="296" t="s">
        <v>704</v>
      </c>
      <c r="V106" s="296" t="s">
        <v>704</v>
      </c>
      <c r="W106" s="296" t="s">
        <v>704</v>
      </c>
      <c r="X106" s="296" t="s">
        <v>704</v>
      </c>
      <c r="Y106" s="296" t="s">
        <v>704</v>
      </c>
      <c r="Z106" s="296" t="s">
        <v>704</v>
      </c>
      <c r="AA106" s="296" t="s">
        <v>704</v>
      </c>
      <c r="AB106" s="296" t="s">
        <v>704</v>
      </c>
      <c r="AC106" s="296" t="s">
        <v>704</v>
      </c>
      <c r="AD106" s="296" t="s">
        <v>704</v>
      </c>
      <c r="AE106" s="296" t="s">
        <v>704</v>
      </c>
      <c r="AF106" s="296" t="s">
        <v>704</v>
      </c>
      <c r="AG106" s="296" t="s">
        <v>704</v>
      </c>
      <c r="AH106" s="296" t="s">
        <v>704</v>
      </c>
      <c r="AI106" s="296" t="s">
        <v>704</v>
      </c>
      <c r="AJ106" s="296" t="s">
        <v>704</v>
      </c>
      <c r="AK106" s="296" t="s">
        <v>704</v>
      </c>
      <c r="AL106" s="296" t="s">
        <v>704</v>
      </c>
      <c r="AM106" s="296" t="s">
        <v>704</v>
      </c>
      <c r="AN106" s="296" t="s">
        <v>704</v>
      </c>
      <c r="AO106" s="296" t="s">
        <v>704</v>
      </c>
      <c r="AP106" s="296" t="s">
        <v>704</v>
      </c>
      <c r="AQ106" s="296" t="s">
        <v>704</v>
      </c>
      <c r="AR106" s="296" t="s">
        <v>704</v>
      </c>
      <c r="AS106" s="296" t="s">
        <v>704</v>
      </c>
      <c r="AT106" s="296" t="s">
        <v>704</v>
      </c>
      <c r="AU106" s="296" t="s">
        <v>704</v>
      </c>
      <c r="AV106" s="296" t="s">
        <v>704</v>
      </c>
      <c r="AW106" s="296"/>
      <c r="AX106" s="296"/>
    </row>
    <row r="107" spans="1:50" x14ac:dyDescent="0.25">
      <c r="A107" s="296"/>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row>
  </sheetData>
  <conditionalFormatting sqref="D10:AA10 D35:AA35 D44:AA44 D52:AA52 D60:AA60 D68:AA68 D76:AA76 D84:AA84 D92:AA92 D94:AA94">
    <cfRule type="expression" dxfId="16" priority="1">
      <formula>NOT(SUBTOTAL(109,$A11)=$A11)</formula>
    </cfRule>
  </conditionalFormatting>
  <conditionalFormatting sqref="D25:AA25">
    <cfRule type="expression" dxfId="15" priority="2">
      <formula>NOT(SUBTOTAL(109,$A27)=$A27)</formula>
    </cfRule>
  </conditionalFormatting>
  <conditionalFormatting sqref="D24:AA24">
    <cfRule type="expression" dxfId="14" priority="3">
      <formula>NOT(SUBTOTAL(109,$A27)=$A27)</formula>
    </cfRule>
  </conditionalFormatting>
  <conditionalFormatting sqref="D23:AA23">
    <cfRule type="expression" dxfId="13" priority="4">
      <formula>NOT(SUBTOTAL(109,$A27)=$A27)</formula>
    </cfRule>
  </conditionalFormatting>
  <conditionalFormatting sqref="D22:AA22">
    <cfRule type="expression" dxfId="12" priority="5">
      <formula>NOT(SUBTOTAL(109,$A27)=$A27)</formula>
    </cfRule>
  </conditionalFormatting>
  <conditionalFormatting sqref="D20:AA21">
    <cfRule type="expression" dxfId="11" priority="6">
      <formula>NOT(SUBTOTAL(109,$A26)=$A26)</formula>
    </cfRule>
  </conditionalFormatting>
  <hyperlinks>
    <hyperlink ref="D5" r:id="rId1"/>
    <hyperlink ref="E5" r:id="rId2"/>
    <hyperlink ref="F5" r:id="rId3"/>
    <hyperlink ref="G5" r:id="rId4"/>
    <hyperlink ref="H5" r:id="rId5"/>
    <hyperlink ref="I5" r:id="rId6"/>
    <hyperlink ref="J5" r:id="rId7"/>
    <hyperlink ref="K5" r:id="rId8"/>
    <hyperlink ref="L5" r:id="rId9"/>
    <hyperlink ref="M5" r:id="rId10"/>
    <hyperlink ref="N5" r:id="rId11"/>
    <hyperlink ref="O5" r:id="rId12"/>
    <hyperlink ref="P5" r:id="rId13"/>
    <hyperlink ref="Q5" r:id="rId14"/>
    <hyperlink ref="R5" r:id="rId15"/>
  </hyperlinks>
  <pageMargins left="0.7" right="0.7" top="0.75" bottom="0.75" header="0.51180555555555496" footer="0.51180555555555496"/>
  <pageSetup paperSize="9" firstPageNumber="0" pageOrder="overThenDown" orientation="portrait" horizontalDpi="300" verticalDpi="300" r:id="rId16"/>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MK102"/>
  <sheetViews>
    <sheetView showGridLines="0" zoomScaleNormal="100" workbookViewId="0">
      <pane xSplit="3" ySplit="10" topLeftCell="E95" activePane="bottomRight" state="frozen"/>
      <selection pane="topRight" activeCell="F14" sqref="F14"/>
      <selection pane="bottomLeft" activeCell="F14" sqref="F14"/>
      <selection pane="bottomRight" activeCell="F14" sqref="F14"/>
    </sheetView>
  </sheetViews>
  <sheetFormatPr defaultColWidth="8.85546875" defaultRowHeight="15" x14ac:dyDescent="0.25"/>
  <cols>
    <col min="1" max="1" width="1" style="298" customWidth="1"/>
    <col min="2" max="2" width="2" style="298" customWidth="1"/>
    <col min="3" max="3" width="50.7109375" style="298" customWidth="1"/>
    <col min="4" max="27" width="14.7109375" style="298" customWidth="1" collapsed="1"/>
    <col min="28" max="28" width="2" style="298" customWidth="1"/>
    <col min="29" max="1025" width="14.7109375" style="298" customWidth="1" collapsed="1"/>
    <col min="1026" max="16384" width="8.85546875" style="298"/>
  </cols>
  <sheetData>
    <row r="1" spans="1:50" ht="6.4" customHeight="1" x14ac:dyDescent="0.25">
      <c r="A1" s="296"/>
      <c r="B1" s="297"/>
      <c r="C1" s="297"/>
      <c r="D1" s="297" t="s">
        <v>704</v>
      </c>
      <c r="E1" s="297" t="s">
        <v>704</v>
      </c>
      <c r="F1" s="297" t="s">
        <v>704</v>
      </c>
      <c r="G1" s="297" t="s">
        <v>704</v>
      </c>
      <c r="H1" s="297" t="s">
        <v>704</v>
      </c>
      <c r="I1" s="297" t="s">
        <v>704</v>
      </c>
      <c r="J1" s="297" t="s">
        <v>704</v>
      </c>
      <c r="K1" s="297" t="s">
        <v>704</v>
      </c>
      <c r="L1" s="297" t="s">
        <v>704</v>
      </c>
      <c r="M1" s="297" t="s">
        <v>704</v>
      </c>
      <c r="N1" s="297" t="s">
        <v>704</v>
      </c>
      <c r="O1" s="297" t="s">
        <v>704</v>
      </c>
      <c r="P1" s="297" t="s">
        <v>704</v>
      </c>
      <c r="Q1" s="297" t="s">
        <v>704</v>
      </c>
      <c r="R1" s="297" t="s">
        <v>704</v>
      </c>
      <c r="S1" s="296" t="s">
        <v>704</v>
      </c>
      <c r="T1" s="296" t="s">
        <v>704</v>
      </c>
      <c r="U1" s="296" t="s">
        <v>704</v>
      </c>
      <c r="V1" s="296" t="s">
        <v>704</v>
      </c>
      <c r="W1" s="296" t="s">
        <v>704</v>
      </c>
      <c r="X1" s="296" t="s">
        <v>704</v>
      </c>
      <c r="Y1" s="296" t="s">
        <v>704</v>
      </c>
      <c r="Z1" s="296" t="s">
        <v>704</v>
      </c>
      <c r="AA1" s="296" t="s">
        <v>704</v>
      </c>
      <c r="AB1" s="296" t="s">
        <v>704</v>
      </c>
      <c r="AC1" s="296" t="s">
        <v>704</v>
      </c>
      <c r="AD1" s="296" t="s">
        <v>704</v>
      </c>
      <c r="AE1" s="296" t="s">
        <v>704</v>
      </c>
      <c r="AF1" s="296" t="s">
        <v>704</v>
      </c>
      <c r="AG1" s="296" t="s">
        <v>704</v>
      </c>
      <c r="AH1" s="296" t="s">
        <v>704</v>
      </c>
      <c r="AI1" s="296" t="s">
        <v>704</v>
      </c>
      <c r="AJ1" s="296" t="s">
        <v>704</v>
      </c>
      <c r="AK1" s="296" t="s">
        <v>704</v>
      </c>
      <c r="AL1" s="296" t="s">
        <v>704</v>
      </c>
      <c r="AM1" s="296" t="s">
        <v>704</v>
      </c>
      <c r="AN1" s="296" t="s">
        <v>704</v>
      </c>
      <c r="AO1" s="296" t="s">
        <v>704</v>
      </c>
      <c r="AP1" s="296" t="s">
        <v>704</v>
      </c>
      <c r="AQ1" s="296" t="s">
        <v>704</v>
      </c>
      <c r="AR1" s="296" t="s">
        <v>704</v>
      </c>
      <c r="AS1" s="296" t="s">
        <v>704</v>
      </c>
      <c r="AT1" s="296" t="s">
        <v>704</v>
      </c>
      <c r="AU1" s="296" t="s">
        <v>704</v>
      </c>
      <c r="AV1" s="296" t="s">
        <v>704</v>
      </c>
      <c r="AW1" s="296"/>
      <c r="AX1" s="296"/>
    </row>
    <row r="2" spans="1:50" ht="39.75" customHeight="1" x14ac:dyDescent="0.25">
      <c r="A2" s="299"/>
      <c r="D2" s="298" t="s">
        <v>508</v>
      </c>
      <c r="E2" s="298" t="s">
        <v>508</v>
      </c>
      <c r="F2" s="298" t="s">
        <v>508</v>
      </c>
      <c r="G2" s="298" t="s">
        <v>508</v>
      </c>
      <c r="H2" s="298" t="s">
        <v>508</v>
      </c>
      <c r="I2" s="298" t="s">
        <v>508</v>
      </c>
      <c r="J2" s="298" t="s">
        <v>508</v>
      </c>
      <c r="K2" s="298" t="s">
        <v>508</v>
      </c>
      <c r="L2" s="298" t="s">
        <v>508</v>
      </c>
      <c r="S2" s="300" t="s">
        <v>704</v>
      </c>
      <c r="T2" s="296" t="s">
        <v>704</v>
      </c>
      <c r="U2" s="296" t="s">
        <v>704</v>
      </c>
      <c r="V2" s="296" t="s">
        <v>704</v>
      </c>
      <c r="W2" s="296" t="s">
        <v>704</v>
      </c>
      <c r="X2" s="296" t="s">
        <v>704</v>
      </c>
      <c r="Y2" s="296" t="s">
        <v>704</v>
      </c>
      <c r="Z2" s="296" t="s">
        <v>704</v>
      </c>
      <c r="AA2" s="296" t="s">
        <v>704</v>
      </c>
      <c r="AB2" s="296" t="s">
        <v>704</v>
      </c>
      <c r="AC2" s="296" t="s">
        <v>704</v>
      </c>
      <c r="AD2" s="296" t="s">
        <v>704</v>
      </c>
      <c r="AE2" s="296" t="s">
        <v>704</v>
      </c>
      <c r="AF2" s="296" t="s">
        <v>704</v>
      </c>
      <c r="AG2" s="296" t="s">
        <v>704</v>
      </c>
      <c r="AH2" s="296" t="s">
        <v>704</v>
      </c>
      <c r="AI2" s="296" t="s">
        <v>704</v>
      </c>
      <c r="AJ2" s="296" t="s">
        <v>704</v>
      </c>
      <c r="AK2" s="296" t="s">
        <v>704</v>
      </c>
      <c r="AL2" s="296" t="s">
        <v>704</v>
      </c>
      <c r="AM2" s="296" t="s">
        <v>704</v>
      </c>
      <c r="AN2" s="296" t="s">
        <v>704</v>
      </c>
      <c r="AO2" s="296" t="s">
        <v>704</v>
      </c>
      <c r="AP2" s="296" t="s">
        <v>704</v>
      </c>
      <c r="AQ2" s="296" t="s">
        <v>704</v>
      </c>
      <c r="AR2" s="296" t="s">
        <v>704</v>
      </c>
      <c r="AS2" s="296" t="s">
        <v>704</v>
      </c>
      <c r="AT2" s="296" t="s">
        <v>704</v>
      </c>
      <c r="AU2" s="296" t="s">
        <v>704</v>
      </c>
      <c r="AV2" s="296" t="s">
        <v>704</v>
      </c>
      <c r="AW2" s="296"/>
      <c r="AX2" s="296"/>
    </row>
    <row r="3" spans="1:50" ht="18.75" customHeight="1" x14ac:dyDescent="0.25">
      <c r="A3" s="299"/>
      <c r="C3" s="301" t="s">
        <v>998</v>
      </c>
      <c r="D3" s="298" t="s">
        <v>508</v>
      </c>
      <c r="E3" s="298" t="s">
        <v>508</v>
      </c>
      <c r="F3" s="298" t="s">
        <v>508</v>
      </c>
      <c r="G3" s="298" t="s">
        <v>508</v>
      </c>
      <c r="H3" s="298" t="s">
        <v>508</v>
      </c>
      <c r="I3" s="298" t="s">
        <v>508</v>
      </c>
      <c r="J3" s="298" t="s">
        <v>508</v>
      </c>
      <c r="K3" s="298" t="s">
        <v>508</v>
      </c>
      <c r="L3" s="298" t="s">
        <v>508</v>
      </c>
      <c r="S3" s="300" t="s">
        <v>704</v>
      </c>
      <c r="T3" s="296" t="s">
        <v>704</v>
      </c>
      <c r="U3" s="296" t="s">
        <v>704</v>
      </c>
      <c r="V3" s="296" t="s">
        <v>704</v>
      </c>
      <c r="W3" s="296" t="s">
        <v>704</v>
      </c>
      <c r="X3" s="296" t="s">
        <v>704</v>
      </c>
      <c r="Y3" s="296" t="s">
        <v>704</v>
      </c>
      <c r="Z3" s="296" t="s">
        <v>704</v>
      </c>
      <c r="AA3" s="296" t="s">
        <v>704</v>
      </c>
      <c r="AB3" s="296" t="s">
        <v>704</v>
      </c>
      <c r="AC3" s="296" t="s">
        <v>704</v>
      </c>
      <c r="AD3" s="296" t="s">
        <v>704</v>
      </c>
      <c r="AE3" s="296" t="s">
        <v>704</v>
      </c>
      <c r="AF3" s="296" t="s">
        <v>704</v>
      </c>
      <c r="AG3" s="296" t="s">
        <v>704</v>
      </c>
      <c r="AH3" s="296" t="s">
        <v>704</v>
      </c>
      <c r="AI3" s="296" t="s">
        <v>704</v>
      </c>
      <c r="AJ3" s="296" t="s">
        <v>704</v>
      </c>
      <c r="AK3" s="296" t="s">
        <v>704</v>
      </c>
      <c r="AL3" s="296" t="s">
        <v>704</v>
      </c>
      <c r="AM3" s="296" t="s">
        <v>704</v>
      </c>
      <c r="AN3" s="296" t="s">
        <v>704</v>
      </c>
      <c r="AO3" s="296" t="s">
        <v>704</v>
      </c>
      <c r="AP3" s="296" t="s">
        <v>704</v>
      </c>
      <c r="AQ3" s="296" t="s">
        <v>704</v>
      </c>
      <c r="AR3" s="296" t="s">
        <v>704</v>
      </c>
      <c r="AS3" s="296" t="s">
        <v>704</v>
      </c>
      <c r="AT3" s="296" t="s">
        <v>704</v>
      </c>
      <c r="AU3" s="296" t="s">
        <v>704</v>
      </c>
      <c r="AV3" s="296" t="s">
        <v>704</v>
      </c>
      <c r="AW3" s="296"/>
      <c r="AX3" s="296"/>
    </row>
    <row r="4" spans="1:50" x14ac:dyDescent="0.25">
      <c r="A4" s="299"/>
      <c r="C4" s="302" t="s">
        <v>990</v>
      </c>
      <c r="D4" s="298" t="s">
        <v>704</v>
      </c>
      <c r="E4" s="298" t="s">
        <v>704</v>
      </c>
      <c r="F4" s="298" t="s">
        <v>704</v>
      </c>
      <c r="G4" s="298" t="s">
        <v>704</v>
      </c>
      <c r="H4" s="298" t="s">
        <v>704</v>
      </c>
      <c r="I4" s="298" t="s">
        <v>704</v>
      </c>
      <c r="J4" s="298" t="s">
        <v>704</v>
      </c>
      <c r="S4" s="300" t="s">
        <v>704</v>
      </c>
      <c r="T4" s="296" t="s">
        <v>704</v>
      </c>
      <c r="U4" s="296" t="s">
        <v>704</v>
      </c>
      <c r="V4" s="296" t="s">
        <v>704</v>
      </c>
      <c r="W4" s="296" t="s">
        <v>704</v>
      </c>
      <c r="X4" s="296" t="s">
        <v>704</v>
      </c>
      <c r="Y4" s="296" t="s">
        <v>704</v>
      </c>
      <c r="Z4" s="296" t="s">
        <v>704</v>
      </c>
      <c r="AA4" s="296" t="s">
        <v>704</v>
      </c>
      <c r="AB4" s="296" t="s">
        <v>704</v>
      </c>
      <c r="AC4" s="296" t="s">
        <v>704</v>
      </c>
      <c r="AD4" s="296" t="s">
        <v>704</v>
      </c>
      <c r="AE4" s="296" t="s">
        <v>704</v>
      </c>
      <c r="AF4" s="296" t="s">
        <v>704</v>
      </c>
      <c r="AG4" s="296" t="s">
        <v>704</v>
      </c>
      <c r="AH4" s="296" t="s">
        <v>704</v>
      </c>
      <c r="AI4" s="296" t="s">
        <v>704</v>
      </c>
      <c r="AJ4" s="296" t="s">
        <v>704</v>
      </c>
      <c r="AK4" s="296" t="s">
        <v>704</v>
      </c>
      <c r="AL4" s="296" t="s">
        <v>704</v>
      </c>
      <c r="AM4" s="296" t="s">
        <v>704</v>
      </c>
      <c r="AN4" s="296" t="s">
        <v>704</v>
      </c>
      <c r="AO4" s="296" t="s">
        <v>704</v>
      </c>
      <c r="AP4" s="296" t="s">
        <v>704</v>
      </c>
      <c r="AQ4" s="296" t="s">
        <v>704</v>
      </c>
      <c r="AR4" s="296" t="s">
        <v>704</v>
      </c>
      <c r="AS4" s="296" t="s">
        <v>704</v>
      </c>
      <c r="AT4" s="296" t="s">
        <v>704</v>
      </c>
      <c r="AU4" s="296" t="s">
        <v>704</v>
      </c>
      <c r="AV4" s="296" t="s">
        <v>704</v>
      </c>
      <c r="AW4" s="296"/>
      <c r="AX4" s="296"/>
    </row>
    <row r="5" spans="1:50" x14ac:dyDescent="0.25">
      <c r="A5" s="299"/>
      <c r="C5" s="302" t="s">
        <v>991</v>
      </c>
      <c r="D5" s="331" t="s">
        <v>999</v>
      </c>
      <c r="E5" s="331" t="s">
        <v>1000</v>
      </c>
      <c r="F5" s="331" t="s">
        <v>1001</v>
      </c>
      <c r="G5" s="331" t="s">
        <v>1002</v>
      </c>
      <c r="H5" s="331" t="s">
        <v>1003</v>
      </c>
      <c r="I5" s="331" t="s">
        <v>1004</v>
      </c>
      <c r="J5" s="331" t="s">
        <v>1005</v>
      </c>
      <c r="K5" s="331" t="s">
        <v>1006</v>
      </c>
      <c r="L5" s="331" t="s">
        <v>1007</v>
      </c>
      <c r="M5" s="331" t="s">
        <v>1008</v>
      </c>
      <c r="N5" s="331" t="s">
        <v>1009</v>
      </c>
      <c r="O5" s="331" t="s">
        <v>1010</v>
      </c>
      <c r="P5" s="331" t="s">
        <v>1011</v>
      </c>
      <c r="Q5" s="331" t="s">
        <v>1012</v>
      </c>
      <c r="R5" s="331" t="s">
        <v>1013</v>
      </c>
      <c r="S5" s="300" t="s">
        <v>704</v>
      </c>
      <c r="T5" s="296" t="s">
        <v>704</v>
      </c>
      <c r="U5" s="296" t="s">
        <v>704</v>
      </c>
      <c r="V5" s="296" t="s">
        <v>704</v>
      </c>
      <c r="W5" s="296" t="s">
        <v>704</v>
      </c>
      <c r="X5" s="296" t="s">
        <v>704</v>
      </c>
      <c r="Y5" s="296" t="s">
        <v>704</v>
      </c>
      <c r="Z5" s="296" t="s">
        <v>704</v>
      </c>
      <c r="AA5" s="296" t="s">
        <v>704</v>
      </c>
      <c r="AB5" s="296" t="s">
        <v>704</v>
      </c>
      <c r="AC5" s="296" t="s">
        <v>704</v>
      </c>
      <c r="AD5" s="296" t="s">
        <v>704</v>
      </c>
      <c r="AE5" s="296" t="s">
        <v>704</v>
      </c>
      <c r="AF5" s="296" t="s">
        <v>704</v>
      </c>
      <c r="AG5" s="296" t="s">
        <v>704</v>
      </c>
      <c r="AH5" s="296" t="s">
        <v>704</v>
      </c>
      <c r="AI5" s="296" t="s">
        <v>704</v>
      </c>
      <c r="AJ5" s="296" t="s">
        <v>704</v>
      </c>
      <c r="AK5" s="296" t="s">
        <v>704</v>
      </c>
      <c r="AL5" s="296" t="s">
        <v>704</v>
      </c>
      <c r="AM5" s="296" t="s">
        <v>704</v>
      </c>
      <c r="AN5" s="296" t="s">
        <v>704</v>
      </c>
      <c r="AO5" s="296" t="s">
        <v>704</v>
      </c>
      <c r="AP5" s="296" t="s">
        <v>704</v>
      </c>
      <c r="AQ5" s="296" t="s">
        <v>704</v>
      </c>
      <c r="AR5" s="296" t="s">
        <v>704</v>
      </c>
      <c r="AS5" s="296" t="s">
        <v>704</v>
      </c>
      <c r="AT5" s="296" t="s">
        <v>704</v>
      </c>
      <c r="AU5" s="296" t="s">
        <v>704</v>
      </c>
      <c r="AV5" s="296" t="s">
        <v>704</v>
      </c>
      <c r="AW5" s="296"/>
      <c r="AX5" s="296"/>
    </row>
    <row r="6" spans="1:50" x14ac:dyDescent="0.25">
      <c r="A6" s="299"/>
      <c r="D6" s="298" t="s">
        <v>704</v>
      </c>
      <c r="E6" s="298" t="s">
        <v>704</v>
      </c>
      <c r="F6" s="298" t="s">
        <v>704</v>
      </c>
      <c r="G6" s="298" t="s">
        <v>704</v>
      </c>
      <c r="H6" s="298" t="s">
        <v>704</v>
      </c>
      <c r="I6" s="298" t="s">
        <v>704</v>
      </c>
      <c r="J6" s="298" t="s">
        <v>704</v>
      </c>
      <c r="S6" s="300" t="s">
        <v>704</v>
      </c>
      <c r="T6" s="296" t="s">
        <v>704</v>
      </c>
      <c r="U6" s="296" t="s">
        <v>704</v>
      </c>
      <c r="V6" s="296" t="s">
        <v>704</v>
      </c>
      <c r="W6" s="296" t="s">
        <v>704</v>
      </c>
      <c r="X6" s="296" t="s">
        <v>704</v>
      </c>
      <c r="Y6" s="296" t="s">
        <v>704</v>
      </c>
      <c r="Z6" s="296" t="s">
        <v>704</v>
      </c>
      <c r="AA6" s="296" t="s">
        <v>704</v>
      </c>
      <c r="AB6" s="296" t="s">
        <v>704</v>
      </c>
      <c r="AC6" s="296" t="s">
        <v>704</v>
      </c>
      <c r="AD6" s="296" t="s">
        <v>704</v>
      </c>
      <c r="AE6" s="296" t="s">
        <v>704</v>
      </c>
      <c r="AF6" s="296" t="s">
        <v>704</v>
      </c>
      <c r="AG6" s="296" t="s">
        <v>704</v>
      </c>
      <c r="AH6" s="296" t="s">
        <v>704</v>
      </c>
      <c r="AI6" s="296" t="s">
        <v>704</v>
      </c>
      <c r="AJ6" s="296" t="s">
        <v>704</v>
      </c>
      <c r="AK6" s="296" t="s">
        <v>704</v>
      </c>
      <c r="AL6" s="296" t="s">
        <v>704</v>
      </c>
      <c r="AM6" s="296" t="s">
        <v>704</v>
      </c>
      <c r="AN6" s="296" t="s">
        <v>704</v>
      </c>
      <c r="AO6" s="296" t="s">
        <v>704</v>
      </c>
      <c r="AP6" s="296" t="s">
        <v>704</v>
      </c>
      <c r="AQ6" s="296" t="s">
        <v>704</v>
      </c>
      <c r="AR6" s="296" t="s">
        <v>704</v>
      </c>
      <c r="AS6" s="296" t="s">
        <v>704</v>
      </c>
      <c r="AT6" s="296" t="s">
        <v>704</v>
      </c>
      <c r="AU6" s="296" t="s">
        <v>704</v>
      </c>
      <c r="AV6" s="296" t="s">
        <v>704</v>
      </c>
      <c r="AW6" s="296"/>
      <c r="AX6" s="296"/>
    </row>
    <row r="7" spans="1:50" ht="24" x14ac:dyDescent="0.25">
      <c r="A7" s="299"/>
      <c r="C7" s="304" t="s">
        <v>995</v>
      </c>
      <c r="D7" s="298" t="s">
        <v>704</v>
      </c>
      <c r="E7" s="298" t="s">
        <v>704</v>
      </c>
      <c r="F7" s="298" t="s">
        <v>704</v>
      </c>
      <c r="G7" s="298" t="s">
        <v>704</v>
      </c>
      <c r="H7" s="298" t="s">
        <v>704</v>
      </c>
      <c r="I7" s="298" t="s">
        <v>704</v>
      </c>
      <c r="J7" s="298" t="s">
        <v>704</v>
      </c>
      <c r="S7" s="300" t="s">
        <v>704</v>
      </c>
      <c r="T7" s="296" t="s">
        <v>704</v>
      </c>
      <c r="U7" s="296" t="s">
        <v>704</v>
      </c>
      <c r="V7" s="296" t="s">
        <v>704</v>
      </c>
      <c r="W7" s="296" t="s">
        <v>704</v>
      </c>
      <c r="X7" s="296" t="s">
        <v>704</v>
      </c>
      <c r="Y7" s="296" t="s">
        <v>704</v>
      </c>
      <c r="Z7" s="296" t="s">
        <v>704</v>
      </c>
      <c r="AA7" s="296" t="s">
        <v>704</v>
      </c>
      <c r="AB7" s="296" t="s">
        <v>704</v>
      </c>
      <c r="AC7" s="296" t="s">
        <v>704</v>
      </c>
      <c r="AD7" s="296" t="s">
        <v>704</v>
      </c>
      <c r="AE7" s="296" t="s">
        <v>704</v>
      </c>
      <c r="AF7" s="296" t="s">
        <v>704</v>
      </c>
      <c r="AG7" s="296" t="s">
        <v>704</v>
      </c>
      <c r="AH7" s="296" t="s">
        <v>704</v>
      </c>
      <c r="AI7" s="296" t="s">
        <v>704</v>
      </c>
      <c r="AJ7" s="296" t="s">
        <v>704</v>
      </c>
      <c r="AK7" s="296" t="s">
        <v>704</v>
      </c>
      <c r="AL7" s="296" t="s">
        <v>704</v>
      </c>
      <c r="AM7" s="296" t="s">
        <v>704</v>
      </c>
      <c r="AN7" s="296" t="s">
        <v>704</v>
      </c>
      <c r="AO7" s="296" t="s">
        <v>704</v>
      </c>
      <c r="AP7" s="296" t="s">
        <v>704</v>
      </c>
      <c r="AQ7" s="296" t="s">
        <v>704</v>
      </c>
      <c r="AR7" s="296" t="s">
        <v>704</v>
      </c>
      <c r="AS7" s="296" t="s">
        <v>704</v>
      </c>
      <c r="AT7" s="296" t="s">
        <v>704</v>
      </c>
      <c r="AU7" s="296" t="s">
        <v>704</v>
      </c>
      <c r="AV7" s="296" t="s">
        <v>704</v>
      </c>
      <c r="AW7" s="296"/>
      <c r="AX7" s="296"/>
    </row>
    <row r="8" spans="1:50" x14ac:dyDescent="0.25">
      <c r="A8" s="299"/>
      <c r="D8" s="298" t="s">
        <v>704</v>
      </c>
      <c r="E8" s="298" t="s">
        <v>704</v>
      </c>
      <c r="F8" s="298" t="s">
        <v>704</v>
      </c>
      <c r="G8" s="298" t="s">
        <v>704</v>
      </c>
      <c r="H8" s="298" t="s">
        <v>704</v>
      </c>
      <c r="I8" s="298" t="s">
        <v>704</v>
      </c>
      <c r="J8" s="298" t="s">
        <v>704</v>
      </c>
      <c r="S8" s="300" t="s">
        <v>704</v>
      </c>
      <c r="T8" s="296" t="s">
        <v>704</v>
      </c>
      <c r="U8" s="296" t="s">
        <v>704</v>
      </c>
      <c r="V8" s="296" t="s">
        <v>704</v>
      </c>
      <c r="W8" s="296" t="s">
        <v>704</v>
      </c>
      <c r="X8" s="296" t="s">
        <v>704</v>
      </c>
      <c r="Y8" s="296" t="s">
        <v>704</v>
      </c>
      <c r="Z8" s="296" t="s">
        <v>704</v>
      </c>
      <c r="AA8" s="296" t="s">
        <v>704</v>
      </c>
      <c r="AB8" s="296" t="s">
        <v>704</v>
      </c>
      <c r="AC8" s="296" t="s">
        <v>704</v>
      </c>
      <c r="AD8" s="296" t="s">
        <v>704</v>
      </c>
      <c r="AE8" s="296" t="s">
        <v>704</v>
      </c>
      <c r="AF8" s="296" t="s">
        <v>704</v>
      </c>
      <c r="AG8" s="296" t="s">
        <v>704</v>
      </c>
      <c r="AH8" s="296" t="s">
        <v>704</v>
      </c>
      <c r="AI8" s="296" t="s">
        <v>704</v>
      </c>
      <c r="AJ8" s="296" t="s">
        <v>704</v>
      </c>
      <c r="AK8" s="296" t="s">
        <v>704</v>
      </c>
      <c r="AL8" s="296" t="s">
        <v>704</v>
      </c>
      <c r="AM8" s="296" t="s">
        <v>704</v>
      </c>
      <c r="AN8" s="296" t="s">
        <v>704</v>
      </c>
      <c r="AO8" s="296" t="s">
        <v>704</v>
      </c>
      <c r="AP8" s="296" t="s">
        <v>704</v>
      </c>
      <c r="AQ8" s="296" t="s">
        <v>704</v>
      </c>
      <c r="AR8" s="296" t="s">
        <v>704</v>
      </c>
      <c r="AS8" s="296" t="s">
        <v>704</v>
      </c>
      <c r="AT8" s="296" t="s">
        <v>704</v>
      </c>
      <c r="AU8" s="296" t="s">
        <v>704</v>
      </c>
      <c r="AV8" s="296" t="s">
        <v>704</v>
      </c>
      <c r="AW8" s="296"/>
      <c r="AX8" s="296"/>
    </row>
    <row r="9" spans="1:50" x14ac:dyDescent="0.25">
      <c r="A9" s="299"/>
      <c r="D9" s="305" t="s">
        <v>704</v>
      </c>
      <c r="E9" s="305" t="s">
        <v>704</v>
      </c>
      <c r="F9" s="305" t="s">
        <v>704</v>
      </c>
      <c r="G9" s="305" t="s">
        <v>704</v>
      </c>
      <c r="H9" s="305" t="s">
        <v>704</v>
      </c>
      <c r="I9" s="305" t="s">
        <v>704</v>
      </c>
      <c r="J9" s="305" t="s">
        <v>704</v>
      </c>
      <c r="K9" s="305" t="s">
        <v>704</v>
      </c>
      <c r="L9" s="305" t="s">
        <v>704</v>
      </c>
      <c r="M9" s="305" t="s">
        <v>704</v>
      </c>
      <c r="N9" s="305" t="s">
        <v>704</v>
      </c>
      <c r="O9" s="305" t="s">
        <v>704</v>
      </c>
      <c r="P9" s="305" t="s">
        <v>704</v>
      </c>
      <c r="Q9" s="305" t="s">
        <v>704</v>
      </c>
      <c r="R9" s="305" t="s">
        <v>704</v>
      </c>
      <c r="S9" s="300" t="s">
        <v>704</v>
      </c>
      <c r="T9" s="296" t="s">
        <v>704</v>
      </c>
      <c r="U9" s="296" t="s">
        <v>704</v>
      </c>
      <c r="V9" s="296" t="s">
        <v>704</v>
      </c>
      <c r="W9" s="296" t="s">
        <v>704</v>
      </c>
      <c r="X9" s="296" t="s">
        <v>704</v>
      </c>
      <c r="Y9" s="296" t="s">
        <v>704</v>
      </c>
      <c r="Z9" s="296" t="s">
        <v>704</v>
      </c>
      <c r="AA9" s="296" t="s">
        <v>704</v>
      </c>
      <c r="AB9" s="296" t="s">
        <v>704</v>
      </c>
      <c r="AC9" s="296" t="s">
        <v>704</v>
      </c>
      <c r="AD9" s="296" t="s">
        <v>704</v>
      </c>
      <c r="AE9" s="296" t="s">
        <v>704</v>
      </c>
      <c r="AF9" s="296" t="s">
        <v>704</v>
      </c>
      <c r="AG9" s="296" t="s">
        <v>704</v>
      </c>
      <c r="AH9" s="296" t="s">
        <v>704</v>
      </c>
      <c r="AI9" s="296" t="s">
        <v>704</v>
      </c>
      <c r="AJ9" s="296" t="s">
        <v>704</v>
      </c>
      <c r="AK9" s="296" t="s">
        <v>704</v>
      </c>
      <c r="AL9" s="296" t="s">
        <v>704</v>
      </c>
      <c r="AM9" s="296" t="s">
        <v>704</v>
      </c>
      <c r="AN9" s="296" t="s">
        <v>704</v>
      </c>
      <c r="AO9" s="296" t="s">
        <v>704</v>
      </c>
      <c r="AP9" s="296" t="s">
        <v>704</v>
      </c>
      <c r="AQ9" s="296" t="s">
        <v>704</v>
      </c>
      <c r="AR9" s="296" t="s">
        <v>704</v>
      </c>
      <c r="AS9" s="296" t="s">
        <v>704</v>
      </c>
      <c r="AT9" s="296" t="s">
        <v>704</v>
      </c>
      <c r="AU9" s="296" t="s">
        <v>704</v>
      </c>
      <c r="AV9" s="296" t="s">
        <v>704</v>
      </c>
      <c r="AW9" s="296"/>
      <c r="AX9" s="296"/>
    </row>
    <row r="10" spans="1:50" x14ac:dyDescent="0.25">
      <c r="A10" s="299"/>
      <c r="D10" s="298" t="s">
        <v>704</v>
      </c>
      <c r="E10" s="298" t="s">
        <v>704</v>
      </c>
      <c r="F10" s="298" t="s">
        <v>704</v>
      </c>
      <c r="G10" s="298" t="s">
        <v>704</v>
      </c>
      <c r="H10" s="298" t="s">
        <v>704</v>
      </c>
      <c r="I10" s="298" t="s">
        <v>704</v>
      </c>
      <c r="J10" s="298" t="s">
        <v>704</v>
      </c>
      <c r="S10" s="300" t="s">
        <v>704</v>
      </c>
      <c r="T10" s="296" t="s">
        <v>704</v>
      </c>
      <c r="U10" s="296" t="s">
        <v>704</v>
      </c>
      <c r="V10" s="296" t="s">
        <v>704</v>
      </c>
      <c r="W10" s="296" t="s">
        <v>704</v>
      </c>
      <c r="X10" s="296" t="s">
        <v>704</v>
      </c>
      <c r="Y10" s="296" t="s">
        <v>704</v>
      </c>
      <c r="Z10" s="296" t="s">
        <v>704</v>
      </c>
      <c r="AA10" s="296" t="s">
        <v>704</v>
      </c>
      <c r="AB10" s="296" t="s">
        <v>704</v>
      </c>
      <c r="AC10" s="296" t="s">
        <v>704</v>
      </c>
      <c r="AD10" s="296" t="s">
        <v>704</v>
      </c>
      <c r="AE10" s="296" t="s">
        <v>704</v>
      </c>
      <c r="AF10" s="296" t="s">
        <v>704</v>
      </c>
      <c r="AG10" s="296" t="s">
        <v>704</v>
      </c>
      <c r="AH10" s="296" t="s">
        <v>704</v>
      </c>
      <c r="AI10" s="296" t="s">
        <v>704</v>
      </c>
      <c r="AJ10" s="296" t="s">
        <v>704</v>
      </c>
      <c r="AK10" s="296" t="s">
        <v>704</v>
      </c>
      <c r="AL10" s="296" t="s">
        <v>704</v>
      </c>
      <c r="AM10" s="296" t="s">
        <v>704</v>
      </c>
      <c r="AN10" s="296" t="s">
        <v>704</v>
      </c>
      <c r="AO10" s="296" t="s">
        <v>704</v>
      </c>
      <c r="AP10" s="296" t="s">
        <v>704</v>
      </c>
      <c r="AQ10" s="296" t="s">
        <v>704</v>
      </c>
      <c r="AR10" s="296" t="s">
        <v>704</v>
      </c>
      <c r="AS10" s="296" t="s">
        <v>704</v>
      </c>
      <c r="AT10" s="296" t="s">
        <v>704</v>
      </c>
      <c r="AU10" s="296" t="s">
        <v>704</v>
      </c>
      <c r="AV10" s="296" t="s">
        <v>704</v>
      </c>
      <c r="AW10" s="296"/>
      <c r="AX10" s="296"/>
    </row>
    <row r="11" spans="1:50" x14ac:dyDescent="0.25">
      <c r="A11" s="299">
        <v>1</v>
      </c>
      <c r="C11" s="313" t="str">
        <f>"Total Revenue"</f>
        <v>Total Revenue</v>
      </c>
      <c r="D11" s="307" t="s">
        <v>704</v>
      </c>
      <c r="E11" s="307" t="s">
        <v>704</v>
      </c>
      <c r="F11" s="307" t="s">
        <v>704</v>
      </c>
      <c r="G11" s="307" t="s">
        <v>704</v>
      </c>
      <c r="H11" s="307" t="s">
        <v>704</v>
      </c>
      <c r="I11" s="307" t="s">
        <v>704</v>
      </c>
      <c r="J11" s="307" t="s">
        <v>704</v>
      </c>
      <c r="K11" s="307" t="s">
        <v>704</v>
      </c>
      <c r="L11" s="307" t="s">
        <v>704</v>
      </c>
      <c r="M11" s="307" t="s">
        <v>704</v>
      </c>
      <c r="N11" s="307" t="s">
        <v>704</v>
      </c>
      <c r="O11" s="307" t="s">
        <v>704</v>
      </c>
      <c r="P11" s="307" t="s">
        <v>704</v>
      </c>
      <c r="Q11" s="307" t="s">
        <v>704</v>
      </c>
      <c r="R11" s="307" t="s">
        <v>704</v>
      </c>
      <c r="S11" s="300" t="s">
        <v>704</v>
      </c>
      <c r="T11" s="296" t="s">
        <v>704</v>
      </c>
      <c r="U11" s="296" t="s">
        <v>704</v>
      </c>
      <c r="V11" s="296" t="s">
        <v>704</v>
      </c>
      <c r="W11" s="296" t="s">
        <v>704</v>
      </c>
      <c r="X11" s="296" t="s">
        <v>704</v>
      </c>
      <c r="Y11" s="296" t="s">
        <v>704</v>
      </c>
      <c r="Z11" s="296" t="s">
        <v>704</v>
      </c>
      <c r="AA11" s="296" t="s">
        <v>704</v>
      </c>
      <c r="AB11" s="296" t="s">
        <v>704</v>
      </c>
      <c r="AC11" s="296" t="s">
        <v>704</v>
      </c>
      <c r="AD11" s="296" t="s">
        <v>704</v>
      </c>
      <c r="AE11" s="296" t="s">
        <v>704</v>
      </c>
      <c r="AF11" s="296" t="s">
        <v>704</v>
      </c>
      <c r="AG11" s="296" t="s">
        <v>704</v>
      </c>
      <c r="AH11" s="296" t="s">
        <v>704</v>
      </c>
      <c r="AI11" s="296" t="s">
        <v>704</v>
      </c>
      <c r="AJ11" s="296" t="s">
        <v>704</v>
      </c>
      <c r="AK11" s="296" t="s">
        <v>704</v>
      </c>
      <c r="AL11" s="296" t="s">
        <v>704</v>
      </c>
      <c r="AM11" s="296" t="s">
        <v>704</v>
      </c>
      <c r="AN11" s="296" t="s">
        <v>704</v>
      </c>
      <c r="AO11" s="296" t="s">
        <v>704</v>
      </c>
      <c r="AP11" s="296" t="s">
        <v>704</v>
      </c>
      <c r="AQ11" s="296" t="s">
        <v>704</v>
      </c>
      <c r="AR11" s="296" t="s">
        <v>704</v>
      </c>
      <c r="AS11" s="296" t="s">
        <v>704</v>
      </c>
      <c r="AT11" s="296" t="s">
        <v>704</v>
      </c>
      <c r="AU11" s="296" t="s">
        <v>704</v>
      </c>
      <c r="AV11" s="296" t="s">
        <v>704</v>
      </c>
      <c r="AW11" s="296"/>
      <c r="AX11" s="296"/>
    </row>
    <row r="12" spans="1:50" x14ac:dyDescent="0.25">
      <c r="A12" s="299">
        <v>1</v>
      </c>
      <c r="C12" s="308" t="str">
        <f>"    Actual"</f>
        <v xml:space="preserve">    Actual</v>
      </c>
      <c r="D12" s="309">
        <v>58803</v>
      </c>
      <c r="E12" s="309">
        <v>63595</v>
      </c>
      <c r="F12" s="309">
        <v>73014</v>
      </c>
      <c r="G12" s="309">
        <v>81220</v>
      </c>
      <c r="H12" s="309">
        <v>88386</v>
      </c>
      <c r="I12" s="309">
        <v>96065</v>
      </c>
      <c r="J12" s="309">
        <v>103824</v>
      </c>
      <c r="K12" s="309" t="s">
        <v>704</v>
      </c>
      <c r="L12" s="309" t="s">
        <v>704</v>
      </c>
      <c r="M12" s="309" t="s">
        <v>704</v>
      </c>
      <c r="N12" s="309" t="s">
        <v>704</v>
      </c>
      <c r="O12" s="309" t="s">
        <v>704</v>
      </c>
      <c r="P12" s="309" t="s">
        <v>704</v>
      </c>
      <c r="Q12" s="309" t="s">
        <v>704</v>
      </c>
      <c r="R12" s="309" t="s">
        <v>704</v>
      </c>
      <c r="S12" s="300" t="s">
        <v>704</v>
      </c>
      <c r="T12" s="296" t="s">
        <v>704</v>
      </c>
      <c r="U12" s="296" t="s">
        <v>704</v>
      </c>
      <c r="V12" s="296" t="s">
        <v>704</v>
      </c>
      <c r="W12" s="296" t="s">
        <v>704</v>
      </c>
      <c r="X12" s="296" t="s">
        <v>704</v>
      </c>
      <c r="Y12" s="296" t="s">
        <v>704</v>
      </c>
      <c r="Z12" s="296" t="s">
        <v>704</v>
      </c>
      <c r="AA12" s="296" t="s">
        <v>704</v>
      </c>
      <c r="AB12" s="296" t="s">
        <v>704</v>
      </c>
      <c r="AC12" s="296" t="s">
        <v>704</v>
      </c>
      <c r="AD12" s="296" t="s">
        <v>704</v>
      </c>
      <c r="AE12" s="296" t="s">
        <v>704</v>
      </c>
      <c r="AF12" s="296" t="s">
        <v>704</v>
      </c>
      <c r="AG12" s="296" t="s">
        <v>704</v>
      </c>
      <c r="AH12" s="296" t="s">
        <v>704</v>
      </c>
      <c r="AI12" s="296" t="s">
        <v>704</v>
      </c>
      <c r="AJ12" s="296" t="s">
        <v>704</v>
      </c>
      <c r="AK12" s="296" t="s">
        <v>704</v>
      </c>
      <c r="AL12" s="296" t="s">
        <v>704</v>
      </c>
      <c r="AM12" s="296" t="s">
        <v>704</v>
      </c>
      <c r="AN12" s="296" t="s">
        <v>704</v>
      </c>
      <c r="AO12" s="296" t="s">
        <v>704</v>
      </c>
      <c r="AP12" s="296" t="s">
        <v>704</v>
      </c>
      <c r="AQ12" s="296" t="s">
        <v>704</v>
      </c>
      <c r="AR12" s="296" t="s">
        <v>704</v>
      </c>
      <c r="AS12" s="296" t="s">
        <v>704</v>
      </c>
      <c r="AT12" s="296" t="s">
        <v>704</v>
      </c>
      <c r="AU12" s="296" t="s">
        <v>704</v>
      </c>
      <c r="AV12" s="296" t="s">
        <v>704</v>
      </c>
      <c r="AW12" s="296"/>
      <c r="AX12" s="296"/>
    </row>
    <row r="13" spans="1:50" x14ac:dyDescent="0.25">
      <c r="A13" s="299">
        <v>1</v>
      </c>
      <c r="C13" s="308" t="str">
        <f>"    Median"</f>
        <v xml:space="preserve">    Median</v>
      </c>
      <c r="D13" s="309">
        <v>58800</v>
      </c>
      <c r="E13" s="309">
        <v>60600</v>
      </c>
      <c r="F13" s="309">
        <v>69000</v>
      </c>
      <c r="G13" s="309">
        <v>77439.067999999999</v>
      </c>
      <c r="H13" s="309">
        <v>85800</v>
      </c>
      <c r="I13" s="309">
        <v>95200</v>
      </c>
      <c r="J13" s="309">
        <v>100000</v>
      </c>
      <c r="K13" s="309">
        <v>113000</v>
      </c>
      <c r="L13" s="309">
        <v>119000</v>
      </c>
      <c r="M13" s="309">
        <v>125938</v>
      </c>
      <c r="N13" s="309">
        <v>134386</v>
      </c>
      <c r="O13" s="309">
        <v>138017</v>
      </c>
      <c r="P13" s="309">
        <v>146314.5</v>
      </c>
      <c r="Q13" s="309">
        <v>154003</v>
      </c>
      <c r="R13" s="309">
        <v>160887.5</v>
      </c>
      <c r="S13" s="300" t="s">
        <v>704</v>
      </c>
      <c r="T13" s="296" t="s">
        <v>704</v>
      </c>
      <c r="U13" s="296" t="s">
        <v>704</v>
      </c>
      <c r="V13" s="296" t="s">
        <v>704</v>
      </c>
      <c r="W13" s="296" t="s">
        <v>704</v>
      </c>
      <c r="X13" s="296" t="s">
        <v>704</v>
      </c>
      <c r="Y13" s="296" t="s">
        <v>704</v>
      </c>
      <c r="Z13" s="296" t="s">
        <v>704</v>
      </c>
      <c r="AA13" s="296" t="s">
        <v>704</v>
      </c>
      <c r="AB13" s="296" t="s">
        <v>704</v>
      </c>
      <c r="AC13" s="296" t="s">
        <v>704</v>
      </c>
      <c r="AD13" s="296" t="s">
        <v>704</v>
      </c>
      <c r="AE13" s="296" t="s">
        <v>704</v>
      </c>
      <c r="AF13" s="296" t="s">
        <v>704</v>
      </c>
      <c r="AG13" s="296" t="s">
        <v>704</v>
      </c>
      <c r="AH13" s="296" t="s">
        <v>704</v>
      </c>
      <c r="AI13" s="296" t="s">
        <v>704</v>
      </c>
      <c r="AJ13" s="296" t="s">
        <v>704</v>
      </c>
      <c r="AK13" s="296" t="s">
        <v>704</v>
      </c>
      <c r="AL13" s="296" t="s">
        <v>704</v>
      </c>
      <c r="AM13" s="296" t="s">
        <v>704</v>
      </c>
      <c r="AN13" s="296" t="s">
        <v>704</v>
      </c>
      <c r="AO13" s="296" t="s">
        <v>704</v>
      </c>
      <c r="AP13" s="296" t="s">
        <v>704</v>
      </c>
      <c r="AQ13" s="296" t="s">
        <v>704</v>
      </c>
      <c r="AR13" s="296" t="s">
        <v>704</v>
      </c>
      <c r="AS13" s="296" t="s">
        <v>704</v>
      </c>
      <c r="AT13" s="296" t="s">
        <v>704</v>
      </c>
      <c r="AU13" s="296" t="s">
        <v>704</v>
      </c>
      <c r="AV13" s="296" t="s">
        <v>704</v>
      </c>
      <c r="AW13" s="296"/>
      <c r="AX13" s="296"/>
    </row>
    <row r="14" spans="1:50" x14ac:dyDescent="0.25">
      <c r="A14" s="299">
        <v>1</v>
      </c>
      <c r="C14" s="308" t="str">
        <f>"    High"</f>
        <v xml:space="preserve">    High</v>
      </c>
      <c r="D14" s="309">
        <v>59000</v>
      </c>
      <c r="E14" s="309">
        <v>61679</v>
      </c>
      <c r="F14" s="309">
        <v>69734.194000000003</v>
      </c>
      <c r="G14" s="309">
        <v>78500</v>
      </c>
      <c r="H14" s="309">
        <v>86600</v>
      </c>
      <c r="I14" s="309">
        <v>97225.266000000003</v>
      </c>
      <c r="J14" s="309">
        <v>101200</v>
      </c>
      <c r="K14" s="309">
        <v>113650.6</v>
      </c>
      <c r="L14" s="309">
        <v>121900</v>
      </c>
      <c r="M14" s="309">
        <v>128500</v>
      </c>
      <c r="N14" s="309">
        <v>138700</v>
      </c>
      <c r="O14" s="309">
        <v>141934</v>
      </c>
      <c r="P14" s="309">
        <v>150129</v>
      </c>
      <c r="Q14" s="309">
        <v>155106</v>
      </c>
      <c r="R14" s="309">
        <v>162875</v>
      </c>
      <c r="S14" s="300" t="s">
        <v>704</v>
      </c>
      <c r="T14" s="296" t="s">
        <v>704</v>
      </c>
      <c r="U14" s="296" t="s">
        <v>704</v>
      </c>
      <c r="V14" s="296" t="s">
        <v>704</v>
      </c>
      <c r="W14" s="296" t="s">
        <v>704</v>
      </c>
      <c r="X14" s="296" t="s">
        <v>704</v>
      </c>
      <c r="Y14" s="296" t="s">
        <v>704</v>
      </c>
      <c r="Z14" s="296" t="s">
        <v>704</v>
      </c>
      <c r="AA14" s="296" t="s">
        <v>704</v>
      </c>
      <c r="AB14" s="296" t="s">
        <v>704</v>
      </c>
      <c r="AC14" s="296" t="s">
        <v>704</v>
      </c>
      <c r="AD14" s="296" t="s">
        <v>704</v>
      </c>
      <c r="AE14" s="296" t="s">
        <v>704</v>
      </c>
      <c r="AF14" s="296" t="s">
        <v>704</v>
      </c>
      <c r="AG14" s="296" t="s">
        <v>704</v>
      </c>
      <c r="AH14" s="296" t="s">
        <v>704</v>
      </c>
      <c r="AI14" s="296" t="s">
        <v>704</v>
      </c>
      <c r="AJ14" s="296" t="s">
        <v>704</v>
      </c>
      <c r="AK14" s="296" t="s">
        <v>704</v>
      </c>
      <c r="AL14" s="296" t="s">
        <v>704</v>
      </c>
      <c r="AM14" s="296" t="s">
        <v>704</v>
      </c>
      <c r="AN14" s="296" t="s">
        <v>704</v>
      </c>
      <c r="AO14" s="296" t="s">
        <v>704</v>
      </c>
      <c r="AP14" s="296" t="s">
        <v>704</v>
      </c>
      <c r="AQ14" s="296" t="s">
        <v>704</v>
      </c>
      <c r="AR14" s="296" t="s">
        <v>704</v>
      </c>
      <c r="AS14" s="296" t="s">
        <v>704</v>
      </c>
      <c r="AT14" s="296" t="s">
        <v>704</v>
      </c>
      <c r="AU14" s="296" t="s">
        <v>704</v>
      </c>
      <c r="AV14" s="296" t="s">
        <v>704</v>
      </c>
      <c r="AW14" s="296"/>
      <c r="AX14" s="296"/>
    </row>
    <row r="15" spans="1:50" x14ac:dyDescent="0.25">
      <c r="A15" s="299">
        <v>1</v>
      </c>
      <c r="C15" s="308" t="str">
        <f>"    Low"</f>
        <v xml:space="preserve">    Low</v>
      </c>
      <c r="D15" s="309">
        <v>58800</v>
      </c>
      <c r="E15" s="309">
        <v>58500</v>
      </c>
      <c r="F15" s="309">
        <v>68000</v>
      </c>
      <c r="G15" s="309">
        <v>77000</v>
      </c>
      <c r="H15" s="309">
        <v>85000</v>
      </c>
      <c r="I15" s="309">
        <v>93200</v>
      </c>
      <c r="J15" s="309">
        <v>98349.9</v>
      </c>
      <c r="K15" s="309">
        <v>111352.6</v>
      </c>
      <c r="L15" s="309">
        <v>117700</v>
      </c>
      <c r="M15" s="309">
        <v>121800</v>
      </c>
      <c r="N15" s="309">
        <v>131692</v>
      </c>
      <c r="O15" s="309">
        <v>134100</v>
      </c>
      <c r="P15" s="309">
        <v>142500</v>
      </c>
      <c r="Q15" s="309">
        <v>152900</v>
      </c>
      <c r="R15" s="309">
        <v>158900</v>
      </c>
      <c r="S15" s="300" t="s">
        <v>704</v>
      </c>
      <c r="T15" s="296" t="s">
        <v>704</v>
      </c>
      <c r="U15" s="296" t="s">
        <v>704</v>
      </c>
      <c r="V15" s="296" t="s">
        <v>704</v>
      </c>
      <c r="W15" s="296" t="s">
        <v>704</v>
      </c>
      <c r="X15" s="296" t="s">
        <v>704</v>
      </c>
      <c r="Y15" s="296" t="s">
        <v>704</v>
      </c>
      <c r="Z15" s="296" t="s">
        <v>704</v>
      </c>
      <c r="AA15" s="296" t="s">
        <v>704</v>
      </c>
      <c r="AB15" s="296" t="s">
        <v>704</v>
      </c>
      <c r="AC15" s="296" t="s">
        <v>704</v>
      </c>
      <c r="AD15" s="296" t="s">
        <v>704</v>
      </c>
      <c r="AE15" s="296" t="s">
        <v>704</v>
      </c>
      <c r="AF15" s="296" t="s">
        <v>704</v>
      </c>
      <c r="AG15" s="296" t="s">
        <v>704</v>
      </c>
      <c r="AH15" s="296" t="s">
        <v>704</v>
      </c>
      <c r="AI15" s="296" t="s">
        <v>704</v>
      </c>
      <c r="AJ15" s="296" t="s">
        <v>704</v>
      </c>
      <c r="AK15" s="296" t="s">
        <v>704</v>
      </c>
      <c r="AL15" s="296" t="s">
        <v>704</v>
      </c>
      <c r="AM15" s="296" t="s">
        <v>704</v>
      </c>
      <c r="AN15" s="296" t="s">
        <v>704</v>
      </c>
      <c r="AO15" s="296" t="s">
        <v>704</v>
      </c>
      <c r="AP15" s="296" t="s">
        <v>704</v>
      </c>
      <c r="AQ15" s="296" t="s">
        <v>704</v>
      </c>
      <c r="AR15" s="296" t="s">
        <v>704</v>
      </c>
      <c r="AS15" s="296" t="s">
        <v>704</v>
      </c>
      <c r="AT15" s="296" t="s">
        <v>704</v>
      </c>
      <c r="AU15" s="296" t="s">
        <v>704</v>
      </c>
      <c r="AV15" s="296" t="s">
        <v>704</v>
      </c>
      <c r="AW15" s="296"/>
      <c r="AX15" s="296"/>
    </row>
    <row r="16" spans="1:50" x14ac:dyDescent="0.25">
      <c r="A16" s="299">
        <v>1</v>
      </c>
      <c r="C16" s="308" t="str">
        <f>"    Mean"</f>
        <v xml:space="preserve">    Mean</v>
      </c>
      <c r="D16" s="309">
        <v>58829</v>
      </c>
      <c r="E16" s="309">
        <v>60464.046999999999</v>
      </c>
      <c r="F16" s="309">
        <v>68989.399000000005</v>
      </c>
      <c r="G16" s="309">
        <v>77559.017000000007</v>
      </c>
      <c r="H16" s="309">
        <v>85703.255000000005</v>
      </c>
      <c r="I16" s="309">
        <v>95309.807000000001</v>
      </c>
      <c r="J16" s="309">
        <v>99892.987999999998</v>
      </c>
      <c r="K16" s="309">
        <v>112744.57799999999</v>
      </c>
      <c r="L16" s="309">
        <v>119464.482</v>
      </c>
      <c r="M16" s="309">
        <v>126021.228</v>
      </c>
      <c r="N16" s="309">
        <v>134852.353</v>
      </c>
      <c r="O16" s="309">
        <v>138017</v>
      </c>
      <c r="P16" s="309">
        <v>146314.5</v>
      </c>
      <c r="Q16" s="309">
        <v>154003</v>
      </c>
      <c r="R16" s="309">
        <v>160887.5</v>
      </c>
      <c r="S16" s="300" t="s">
        <v>704</v>
      </c>
      <c r="T16" s="296" t="s">
        <v>704</v>
      </c>
      <c r="U16" s="296" t="s">
        <v>704</v>
      </c>
      <c r="V16" s="296" t="s">
        <v>704</v>
      </c>
      <c r="W16" s="296" t="s">
        <v>704</v>
      </c>
      <c r="X16" s="296" t="s">
        <v>704</v>
      </c>
      <c r="Y16" s="296" t="s">
        <v>704</v>
      </c>
      <c r="Z16" s="296" t="s">
        <v>704</v>
      </c>
      <c r="AA16" s="296" t="s">
        <v>704</v>
      </c>
      <c r="AB16" s="296" t="s">
        <v>704</v>
      </c>
      <c r="AC16" s="296" t="s">
        <v>704</v>
      </c>
      <c r="AD16" s="296" t="s">
        <v>704</v>
      </c>
      <c r="AE16" s="296" t="s">
        <v>704</v>
      </c>
      <c r="AF16" s="296" t="s">
        <v>704</v>
      </c>
      <c r="AG16" s="296" t="s">
        <v>704</v>
      </c>
      <c r="AH16" s="296" t="s">
        <v>704</v>
      </c>
      <c r="AI16" s="296" t="s">
        <v>704</v>
      </c>
      <c r="AJ16" s="296" t="s">
        <v>704</v>
      </c>
      <c r="AK16" s="296" t="s">
        <v>704</v>
      </c>
      <c r="AL16" s="296" t="s">
        <v>704</v>
      </c>
      <c r="AM16" s="296" t="s">
        <v>704</v>
      </c>
      <c r="AN16" s="296" t="s">
        <v>704</v>
      </c>
      <c r="AO16" s="296" t="s">
        <v>704</v>
      </c>
      <c r="AP16" s="296" t="s">
        <v>704</v>
      </c>
      <c r="AQ16" s="296" t="s">
        <v>704</v>
      </c>
      <c r="AR16" s="296" t="s">
        <v>704</v>
      </c>
      <c r="AS16" s="296" t="s">
        <v>704</v>
      </c>
      <c r="AT16" s="296" t="s">
        <v>704</v>
      </c>
      <c r="AU16" s="296" t="s">
        <v>704</v>
      </c>
      <c r="AV16" s="296" t="s">
        <v>704</v>
      </c>
      <c r="AW16" s="296"/>
      <c r="AX16" s="296"/>
    </row>
    <row r="17" spans="1:50" x14ac:dyDescent="0.25">
      <c r="A17" s="299">
        <v>1</v>
      </c>
      <c r="C17" s="308" t="str">
        <f>"    Standard Deviation"</f>
        <v xml:space="preserve">    Standard Deviation</v>
      </c>
      <c r="D17" s="309">
        <v>75.412000000000006</v>
      </c>
      <c r="E17" s="309">
        <v>954.99900000000002</v>
      </c>
      <c r="F17" s="309">
        <v>583.5</v>
      </c>
      <c r="G17" s="309">
        <v>481.81900000000002</v>
      </c>
      <c r="H17" s="309">
        <v>503.99700000000001</v>
      </c>
      <c r="I17" s="309">
        <v>1277.5609999999999</v>
      </c>
      <c r="J17" s="309">
        <v>889.82500000000005</v>
      </c>
      <c r="K17" s="309">
        <v>738.23400000000004</v>
      </c>
      <c r="L17" s="309">
        <v>1712.684</v>
      </c>
      <c r="M17" s="309">
        <v>2024.3820000000003</v>
      </c>
      <c r="N17" s="309">
        <v>2042.6090000000002</v>
      </c>
      <c r="O17" s="309">
        <v>5539.4750000000004</v>
      </c>
      <c r="P17" s="309">
        <v>5394.518</v>
      </c>
      <c r="Q17" s="309">
        <v>1559.8779999999999</v>
      </c>
      <c r="R17" s="309">
        <v>2810.7489999999998</v>
      </c>
      <c r="S17" s="300" t="s">
        <v>704</v>
      </c>
      <c r="T17" s="296" t="s">
        <v>704</v>
      </c>
      <c r="U17" s="296" t="s">
        <v>704</v>
      </c>
      <c r="V17" s="296" t="s">
        <v>704</v>
      </c>
      <c r="W17" s="296" t="s">
        <v>704</v>
      </c>
      <c r="X17" s="296" t="s">
        <v>704</v>
      </c>
      <c r="Y17" s="296" t="s">
        <v>704</v>
      </c>
      <c r="Z17" s="296" t="s">
        <v>704</v>
      </c>
      <c r="AA17" s="296" t="s">
        <v>704</v>
      </c>
      <c r="AB17" s="296" t="s">
        <v>704</v>
      </c>
      <c r="AC17" s="296" t="s">
        <v>704</v>
      </c>
      <c r="AD17" s="296" t="s">
        <v>704</v>
      </c>
      <c r="AE17" s="296" t="s">
        <v>704</v>
      </c>
      <c r="AF17" s="296" t="s">
        <v>704</v>
      </c>
      <c r="AG17" s="296" t="s">
        <v>704</v>
      </c>
      <c r="AH17" s="296" t="s">
        <v>704</v>
      </c>
      <c r="AI17" s="296" t="s">
        <v>704</v>
      </c>
      <c r="AJ17" s="296" t="s">
        <v>704</v>
      </c>
      <c r="AK17" s="296" t="s">
        <v>704</v>
      </c>
      <c r="AL17" s="296" t="s">
        <v>704</v>
      </c>
      <c r="AM17" s="296" t="s">
        <v>704</v>
      </c>
      <c r="AN17" s="296" t="s">
        <v>704</v>
      </c>
      <c r="AO17" s="296" t="s">
        <v>704</v>
      </c>
      <c r="AP17" s="296" t="s">
        <v>704</v>
      </c>
      <c r="AQ17" s="296" t="s">
        <v>704</v>
      </c>
      <c r="AR17" s="296" t="s">
        <v>704</v>
      </c>
      <c r="AS17" s="296" t="s">
        <v>704</v>
      </c>
      <c r="AT17" s="296" t="s">
        <v>704</v>
      </c>
      <c r="AU17" s="296" t="s">
        <v>704</v>
      </c>
      <c r="AV17" s="296" t="s">
        <v>704</v>
      </c>
      <c r="AW17" s="296"/>
      <c r="AX17" s="296"/>
    </row>
    <row r="18" spans="1:50" x14ac:dyDescent="0.25">
      <c r="A18" s="299">
        <v>1</v>
      </c>
      <c r="C18" s="308" t="str">
        <f>"    Number of Estimates"</f>
        <v xml:space="preserve">    Number of Estimates</v>
      </c>
      <c r="D18" s="309">
        <v>7</v>
      </c>
      <c r="E18" s="309">
        <v>8</v>
      </c>
      <c r="F18" s="309">
        <v>8</v>
      </c>
      <c r="G18" s="309">
        <v>8</v>
      </c>
      <c r="H18" s="309">
        <v>9</v>
      </c>
      <c r="I18" s="309">
        <v>9</v>
      </c>
      <c r="J18" s="309">
        <v>9</v>
      </c>
      <c r="K18" s="309">
        <v>9</v>
      </c>
      <c r="L18" s="309">
        <v>9</v>
      </c>
      <c r="M18" s="309">
        <v>9</v>
      </c>
      <c r="N18" s="309">
        <v>9</v>
      </c>
      <c r="O18" s="309">
        <v>2</v>
      </c>
      <c r="P18" s="309">
        <v>2</v>
      </c>
      <c r="Q18" s="309">
        <v>2</v>
      </c>
      <c r="R18" s="309">
        <v>2</v>
      </c>
      <c r="S18" s="300" t="s">
        <v>704</v>
      </c>
      <c r="T18" s="296" t="s">
        <v>704</v>
      </c>
      <c r="U18" s="296" t="s">
        <v>704</v>
      </c>
      <c r="V18" s="296" t="s">
        <v>704</v>
      </c>
      <c r="W18" s="296" t="s">
        <v>704</v>
      </c>
      <c r="X18" s="296" t="s">
        <v>704</v>
      </c>
      <c r="Y18" s="296" t="s">
        <v>704</v>
      </c>
      <c r="Z18" s="296" t="s">
        <v>704</v>
      </c>
      <c r="AA18" s="296" t="s">
        <v>704</v>
      </c>
      <c r="AB18" s="296" t="s">
        <v>704</v>
      </c>
      <c r="AC18" s="296" t="s">
        <v>704</v>
      </c>
      <c r="AD18" s="296" t="s">
        <v>704</v>
      </c>
      <c r="AE18" s="296" t="s">
        <v>704</v>
      </c>
      <c r="AF18" s="296" t="s">
        <v>704</v>
      </c>
      <c r="AG18" s="296" t="s">
        <v>704</v>
      </c>
      <c r="AH18" s="296" t="s">
        <v>704</v>
      </c>
      <c r="AI18" s="296" t="s">
        <v>704</v>
      </c>
      <c r="AJ18" s="296" t="s">
        <v>704</v>
      </c>
      <c r="AK18" s="296" t="s">
        <v>704</v>
      </c>
      <c r="AL18" s="296" t="s">
        <v>704</v>
      </c>
      <c r="AM18" s="296" t="s">
        <v>704</v>
      </c>
      <c r="AN18" s="296" t="s">
        <v>704</v>
      </c>
      <c r="AO18" s="296" t="s">
        <v>704</v>
      </c>
      <c r="AP18" s="296" t="s">
        <v>704</v>
      </c>
      <c r="AQ18" s="296" t="s">
        <v>704</v>
      </c>
      <c r="AR18" s="296" t="s">
        <v>704</v>
      </c>
      <c r="AS18" s="296" t="s">
        <v>704</v>
      </c>
      <c r="AT18" s="296" t="s">
        <v>704</v>
      </c>
      <c r="AU18" s="296" t="s">
        <v>704</v>
      </c>
      <c r="AV18" s="296" t="s">
        <v>704</v>
      </c>
      <c r="AW18" s="296"/>
      <c r="AX18" s="296"/>
    </row>
    <row r="19" spans="1:50" x14ac:dyDescent="0.25">
      <c r="A19" s="299"/>
      <c r="C19" s="308"/>
      <c r="D19" s="309"/>
      <c r="E19" s="309"/>
      <c r="F19" s="309"/>
      <c r="G19" s="309"/>
      <c r="H19" s="309"/>
      <c r="I19" s="309"/>
      <c r="J19" s="309"/>
      <c r="K19" s="309"/>
      <c r="L19" s="309"/>
      <c r="M19" s="309"/>
      <c r="N19" s="309"/>
      <c r="O19" s="309"/>
      <c r="P19" s="309"/>
      <c r="Q19" s="309"/>
      <c r="R19" s="309"/>
      <c r="S19" s="300"/>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row>
    <row r="20" spans="1:50" x14ac:dyDescent="0.25">
      <c r="A20" s="299"/>
      <c r="C20" s="308"/>
      <c r="D20" s="309"/>
      <c r="E20" s="309"/>
      <c r="F20" s="309"/>
      <c r="G20" s="309"/>
      <c r="H20" s="309"/>
      <c r="I20" s="309"/>
      <c r="J20" s="309"/>
      <c r="K20" s="309"/>
      <c r="L20" s="309"/>
      <c r="M20" s="309"/>
      <c r="N20" s="309"/>
      <c r="O20" s="309"/>
      <c r="P20" s="309"/>
      <c r="Q20" s="309"/>
      <c r="R20" s="309"/>
      <c r="S20" s="300"/>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row>
    <row r="21" spans="1:50" x14ac:dyDescent="0.25">
      <c r="A21" s="299"/>
      <c r="C21" s="308"/>
      <c r="D21" s="309"/>
      <c r="E21" s="309"/>
      <c r="F21" s="309"/>
      <c r="G21" s="309"/>
      <c r="H21" s="309"/>
      <c r="I21" s="309"/>
      <c r="J21" s="309"/>
      <c r="K21" s="309"/>
      <c r="L21" s="309"/>
      <c r="M21" s="309"/>
      <c r="N21" s="309"/>
      <c r="O21" s="309"/>
      <c r="P21" s="309"/>
      <c r="Q21" s="309"/>
      <c r="R21" s="309"/>
      <c r="S21" s="300"/>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row>
    <row r="22" spans="1:50" x14ac:dyDescent="0.25">
      <c r="A22" s="299"/>
      <c r="C22" s="308"/>
      <c r="D22" s="309"/>
      <c r="E22" s="309"/>
      <c r="F22" s="309"/>
      <c r="G22" s="309"/>
      <c r="H22" s="309"/>
      <c r="I22" s="309"/>
      <c r="J22" s="309"/>
      <c r="K22" s="309"/>
      <c r="L22" s="309"/>
      <c r="M22" s="309"/>
      <c r="N22" s="309"/>
      <c r="O22" s="309"/>
      <c r="P22" s="309"/>
      <c r="Q22" s="309"/>
      <c r="R22" s="309"/>
      <c r="S22" s="300"/>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row>
    <row r="23" spans="1:50" x14ac:dyDescent="0.25">
      <c r="A23" s="299"/>
      <c r="C23" s="308"/>
      <c r="D23" s="309"/>
      <c r="E23" s="309"/>
      <c r="F23" s="309"/>
      <c r="G23" s="309"/>
      <c r="H23" s="309"/>
      <c r="I23" s="309"/>
      <c r="J23" s="309"/>
      <c r="K23" s="309"/>
      <c r="L23" s="309"/>
      <c r="M23" s="309"/>
      <c r="N23" s="309"/>
      <c r="O23" s="309"/>
      <c r="P23" s="309"/>
      <c r="Q23" s="309"/>
      <c r="R23" s="309"/>
      <c r="S23" s="300"/>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row>
    <row r="24" spans="1:50" x14ac:dyDescent="0.25">
      <c r="A24" s="299">
        <v>1</v>
      </c>
      <c r="C24" s="313" t="str">
        <f>"Total Gross Profit"</f>
        <v>Total Gross Profit</v>
      </c>
      <c r="D24" s="307" t="s">
        <v>704</v>
      </c>
      <c r="E24" s="307" t="s">
        <v>704</v>
      </c>
      <c r="F24" s="307" t="s">
        <v>704</v>
      </c>
      <c r="G24" s="307" t="s">
        <v>704</v>
      </c>
      <c r="H24" s="307" t="s">
        <v>704</v>
      </c>
      <c r="I24" s="307" t="s">
        <v>704</v>
      </c>
      <c r="J24" s="307" t="s">
        <v>704</v>
      </c>
      <c r="K24" s="307" t="s">
        <v>704</v>
      </c>
      <c r="L24" s="307" t="s">
        <v>704</v>
      </c>
      <c r="M24" s="307" t="s">
        <v>704</v>
      </c>
      <c r="N24" s="307" t="s">
        <v>704</v>
      </c>
      <c r="O24" s="307" t="s">
        <v>704</v>
      </c>
      <c r="P24" s="307" t="s">
        <v>704</v>
      </c>
      <c r="Q24" s="307" t="s">
        <v>704</v>
      </c>
      <c r="R24" s="307" t="s">
        <v>704</v>
      </c>
      <c r="S24" s="300" t="s">
        <v>704</v>
      </c>
      <c r="T24" s="296" t="s">
        <v>704</v>
      </c>
      <c r="U24" s="296" t="s">
        <v>704</v>
      </c>
      <c r="V24" s="296" t="s">
        <v>704</v>
      </c>
      <c r="W24" s="296" t="s">
        <v>704</v>
      </c>
      <c r="X24" s="296" t="s">
        <v>704</v>
      </c>
      <c r="Y24" s="296" t="s">
        <v>704</v>
      </c>
      <c r="Z24" s="296" t="s">
        <v>704</v>
      </c>
      <c r="AA24" s="296" t="s">
        <v>704</v>
      </c>
      <c r="AB24" s="296" t="s">
        <v>704</v>
      </c>
      <c r="AC24" s="296" t="s">
        <v>704</v>
      </c>
      <c r="AD24" s="296" t="s">
        <v>704</v>
      </c>
      <c r="AE24" s="296" t="s">
        <v>704</v>
      </c>
      <c r="AF24" s="296" t="s">
        <v>704</v>
      </c>
      <c r="AG24" s="296" t="s">
        <v>704</v>
      </c>
      <c r="AH24" s="296" t="s">
        <v>704</v>
      </c>
      <c r="AI24" s="296" t="s">
        <v>704</v>
      </c>
      <c r="AJ24" s="296" t="s">
        <v>704</v>
      </c>
      <c r="AK24" s="296" t="s">
        <v>704</v>
      </c>
      <c r="AL24" s="296" t="s">
        <v>704</v>
      </c>
      <c r="AM24" s="296" t="s">
        <v>704</v>
      </c>
      <c r="AN24" s="296" t="s">
        <v>704</v>
      </c>
      <c r="AO24" s="296" t="s">
        <v>704</v>
      </c>
      <c r="AP24" s="296" t="s">
        <v>704</v>
      </c>
      <c r="AQ24" s="296" t="s">
        <v>704</v>
      </c>
      <c r="AR24" s="296" t="s">
        <v>704</v>
      </c>
      <c r="AS24" s="296" t="s">
        <v>704</v>
      </c>
      <c r="AT24" s="296" t="s">
        <v>704</v>
      </c>
      <c r="AU24" s="296" t="s">
        <v>704</v>
      </c>
      <c r="AV24" s="296" t="s">
        <v>704</v>
      </c>
      <c r="AW24" s="296"/>
      <c r="AX24" s="296"/>
    </row>
    <row r="25" spans="1:50" x14ac:dyDescent="0.25">
      <c r="A25" s="299">
        <v>1</v>
      </c>
      <c r="C25" s="308" t="str">
        <f>"    Actual"</f>
        <v xml:space="preserve">    Actual</v>
      </c>
      <c r="D25" s="309">
        <v>42666</v>
      </c>
      <c r="E25" s="309">
        <v>45517</v>
      </c>
      <c r="F25" s="309">
        <v>53062</v>
      </c>
      <c r="G25" s="309">
        <v>59730</v>
      </c>
      <c r="H25" s="309">
        <v>64517</v>
      </c>
      <c r="I25" s="309">
        <v>69763</v>
      </c>
      <c r="J25" s="309">
        <v>76054</v>
      </c>
      <c r="K25" s="309" t="s">
        <v>704</v>
      </c>
      <c r="L25" s="309" t="s">
        <v>704</v>
      </c>
      <c r="M25" s="309" t="s">
        <v>704</v>
      </c>
      <c r="N25" s="309" t="s">
        <v>704</v>
      </c>
      <c r="O25" s="309" t="s">
        <v>704</v>
      </c>
      <c r="P25" s="309" t="s">
        <v>704</v>
      </c>
      <c r="Q25" s="309" t="s">
        <v>704</v>
      </c>
      <c r="R25" s="309" t="s">
        <v>704</v>
      </c>
      <c r="S25" s="300" t="s">
        <v>704</v>
      </c>
      <c r="T25" s="296" t="s">
        <v>704</v>
      </c>
      <c r="U25" s="296" t="s">
        <v>704</v>
      </c>
      <c r="V25" s="296" t="s">
        <v>704</v>
      </c>
      <c r="W25" s="296" t="s">
        <v>704</v>
      </c>
      <c r="X25" s="296" t="s">
        <v>704</v>
      </c>
      <c r="Y25" s="296" t="s">
        <v>704</v>
      </c>
      <c r="Z25" s="296" t="s">
        <v>704</v>
      </c>
      <c r="AA25" s="296" t="s">
        <v>704</v>
      </c>
      <c r="AB25" s="296" t="s">
        <v>704</v>
      </c>
      <c r="AC25" s="296" t="s">
        <v>704</v>
      </c>
      <c r="AD25" s="296" t="s">
        <v>704</v>
      </c>
      <c r="AE25" s="296" t="s">
        <v>704</v>
      </c>
      <c r="AF25" s="296" t="s">
        <v>704</v>
      </c>
      <c r="AG25" s="296" t="s">
        <v>704</v>
      </c>
      <c r="AH25" s="296" t="s">
        <v>704</v>
      </c>
      <c r="AI25" s="296" t="s">
        <v>704</v>
      </c>
      <c r="AJ25" s="296" t="s">
        <v>704</v>
      </c>
      <c r="AK25" s="296" t="s">
        <v>704</v>
      </c>
      <c r="AL25" s="296" t="s">
        <v>704</v>
      </c>
      <c r="AM25" s="296" t="s">
        <v>704</v>
      </c>
      <c r="AN25" s="296" t="s">
        <v>704</v>
      </c>
      <c r="AO25" s="296" t="s">
        <v>704</v>
      </c>
      <c r="AP25" s="296" t="s">
        <v>704</v>
      </c>
      <c r="AQ25" s="296" t="s">
        <v>704</v>
      </c>
      <c r="AR25" s="296" t="s">
        <v>704</v>
      </c>
      <c r="AS25" s="296" t="s">
        <v>704</v>
      </c>
      <c r="AT25" s="296" t="s">
        <v>704</v>
      </c>
      <c r="AU25" s="296" t="s">
        <v>704</v>
      </c>
      <c r="AV25" s="296" t="s">
        <v>704</v>
      </c>
      <c r="AW25" s="296"/>
      <c r="AX25" s="296"/>
    </row>
    <row r="26" spans="1:50" x14ac:dyDescent="0.25">
      <c r="A26" s="299">
        <v>1</v>
      </c>
      <c r="C26" s="308" t="str">
        <f>"    Median"</f>
        <v xml:space="preserve">    Median</v>
      </c>
      <c r="D26" s="309">
        <v>42700</v>
      </c>
      <c r="E26" s="309">
        <v>43400</v>
      </c>
      <c r="F26" s="309">
        <v>49450</v>
      </c>
      <c r="G26" s="309">
        <v>56500</v>
      </c>
      <c r="H26" s="309">
        <v>62439</v>
      </c>
      <c r="I26" s="309">
        <v>68986</v>
      </c>
      <c r="J26" s="309">
        <v>72700</v>
      </c>
      <c r="K26" s="309">
        <v>82950</v>
      </c>
      <c r="L26" s="309">
        <v>87150</v>
      </c>
      <c r="M26" s="309">
        <v>91767.5</v>
      </c>
      <c r="N26" s="309">
        <v>99400</v>
      </c>
      <c r="O26" s="309">
        <v>101065.5</v>
      </c>
      <c r="P26" s="309">
        <v>106547</v>
      </c>
      <c r="Q26" s="309">
        <v>112213.5</v>
      </c>
      <c r="R26" s="309">
        <v>118214</v>
      </c>
      <c r="S26" s="300" t="s">
        <v>704</v>
      </c>
      <c r="T26" s="296" t="s">
        <v>704</v>
      </c>
      <c r="U26" s="296" t="s">
        <v>704</v>
      </c>
      <c r="V26" s="296" t="s">
        <v>704</v>
      </c>
      <c r="W26" s="296" t="s">
        <v>704</v>
      </c>
      <c r="X26" s="296" t="s">
        <v>704</v>
      </c>
      <c r="Y26" s="296" t="s">
        <v>704</v>
      </c>
      <c r="Z26" s="296" t="s">
        <v>704</v>
      </c>
      <c r="AA26" s="296" t="s">
        <v>704</v>
      </c>
      <c r="AB26" s="296" t="s">
        <v>704</v>
      </c>
      <c r="AC26" s="296" t="s">
        <v>704</v>
      </c>
      <c r="AD26" s="296" t="s">
        <v>704</v>
      </c>
      <c r="AE26" s="296" t="s">
        <v>704</v>
      </c>
      <c r="AF26" s="296" t="s">
        <v>704</v>
      </c>
      <c r="AG26" s="296" t="s">
        <v>704</v>
      </c>
      <c r="AH26" s="296" t="s">
        <v>704</v>
      </c>
      <c r="AI26" s="296" t="s">
        <v>704</v>
      </c>
      <c r="AJ26" s="296" t="s">
        <v>704</v>
      </c>
      <c r="AK26" s="296" t="s">
        <v>704</v>
      </c>
      <c r="AL26" s="296" t="s">
        <v>704</v>
      </c>
      <c r="AM26" s="296" t="s">
        <v>704</v>
      </c>
      <c r="AN26" s="296" t="s">
        <v>704</v>
      </c>
      <c r="AO26" s="296" t="s">
        <v>704</v>
      </c>
      <c r="AP26" s="296" t="s">
        <v>704</v>
      </c>
      <c r="AQ26" s="296" t="s">
        <v>704</v>
      </c>
      <c r="AR26" s="296" t="s">
        <v>704</v>
      </c>
      <c r="AS26" s="296" t="s">
        <v>704</v>
      </c>
      <c r="AT26" s="296" t="s">
        <v>704</v>
      </c>
      <c r="AU26" s="296" t="s">
        <v>704</v>
      </c>
      <c r="AV26" s="296" t="s">
        <v>704</v>
      </c>
      <c r="AW26" s="296"/>
      <c r="AX26" s="296"/>
    </row>
    <row r="27" spans="1:50" x14ac:dyDescent="0.25">
      <c r="A27" s="299">
        <v>1</v>
      </c>
      <c r="C27" s="308" t="str">
        <f>"    High"</f>
        <v xml:space="preserve">    High</v>
      </c>
      <c r="D27" s="309">
        <v>42700</v>
      </c>
      <c r="E27" s="309">
        <v>43900</v>
      </c>
      <c r="F27" s="309">
        <v>50100</v>
      </c>
      <c r="G27" s="309">
        <v>56900</v>
      </c>
      <c r="H27" s="309">
        <v>63100</v>
      </c>
      <c r="I27" s="309">
        <v>70700</v>
      </c>
      <c r="J27" s="309">
        <v>73400</v>
      </c>
      <c r="K27" s="309">
        <v>83800</v>
      </c>
      <c r="L27" s="309">
        <v>89600</v>
      </c>
      <c r="M27" s="309">
        <v>94400</v>
      </c>
      <c r="N27" s="309">
        <v>103300</v>
      </c>
      <c r="O27" s="309">
        <v>105031</v>
      </c>
      <c r="P27" s="309">
        <v>109594</v>
      </c>
      <c r="Q27" s="309">
        <v>113227</v>
      </c>
      <c r="R27" s="309">
        <v>120528</v>
      </c>
      <c r="S27" s="300" t="s">
        <v>704</v>
      </c>
      <c r="T27" s="296" t="s">
        <v>704</v>
      </c>
      <c r="U27" s="296" t="s">
        <v>704</v>
      </c>
      <c r="V27" s="296" t="s">
        <v>704</v>
      </c>
      <c r="W27" s="296" t="s">
        <v>704</v>
      </c>
      <c r="X27" s="296" t="s">
        <v>704</v>
      </c>
      <c r="Y27" s="296" t="s">
        <v>704</v>
      </c>
      <c r="Z27" s="296" t="s">
        <v>704</v>
      </c>
      <c r="AA27" s="296" t="s">
        <v>704</v>
      </c>
      <c r="AB27" s="296" t="s">
        <v>704</v>
      </c>
      <c r="AC27" s="296" t="s">
        <v>704</v>
      </c>
      <c r="AD27" s="296" t="s">
        <v>704</v>
      </c>
      <c r="AE27" s="296" t="s">
        <v>704</v>
      </c>
      <c r="AF27" s="296" t="s">
        <v>704</v>
      </c>
      <c r="AG27" s="296" t="s">
        <v>704</v>
      </c>
      <c r="AH27" s="296" t="s">
        <v>704</v>
      </c>
      <c r="AI27" s="296" t="s">
        <v>704</v>
      </c>
      <c r="AJ27" s="296" t="s">
        <v>704</v>
      </c>
      <c r="AK27" s="296" t="s">
        <v>704</v>
      </c>
      <c r="AL27" s="296" t="s">
        <v>704</v>
      </c>
      <c r="AM27" s="296" t="s">
        <v>704</v>
      </c>
      <c r="AN27" s="296" t="s">
        <v>704</v>
      </c>
      <c r="AO27" s="296" t="s">
        <v>704</v>
      </c>
      <c r="AP27" s="296" t="s">
        <v>704</v>
      </c>
      <c r="AQ27" s="296" t="s">
        <v>704</v>
      </c>
      <c r="AR27" s="296" t="s">
        <v>704</v>
      </c>
      <c r="AS27" s="296" t="s">
        <v>704</v>
      </c>
      <c r="AT27" s="296" t="s">
        <v>704</v>
      </c>
      <c r="AU27" s="296" t="s">
        <v>704</v>
      </c>
      <c r="AV27" s="296" t="s">
        <v>704</v>
      </c>
      <c r="AW27" s="296"/>
      <c r="AX27" s="296"/>
    </row>
    <row r="28" spans="1:50" x14ac:dyDescent="0.25">
      <c r="A28" s="299">
        <v>1</v>
      </c>
      <c r="C28" s="308" t="str">
        <f>"    Low"</f>
        <v xml:space="preserve">    Low</v>
      </c>
      <c r="D28" s="309">
        <v>42700</v>
      </c>
      <c r="E28" s="309">
        <v>42100</v>
      </c>
      <c r="F28" s="309">
        <v>49000</v>
      </c>
      <c r="G28" s="309">
        <v>55800</v>
      </c>
      <c r="H28" s="309">
        <v>61700</v>
      </c>
      <c r="I28" s="309">
        <v>67400</v>
      </c>
      <c r="J28" s="309">
        <v>70800</v>
      </c>
      <c r="K28" s="309">
        <v>81100</v>
      </c>
      <c r="L28" s="309">
        <v>85700</v>
      </c>
      <c r="M28" s="309">
        <v>90800</v>
      </c>
      <c r="N28" s="309">
        <v>97452</v>
      </c>
      <c r="O28" s="309">
        <v>97100</v>
      </c>
      <c r="P28" s="309">
        <v>103500</v>
      </c>
      <c r="Q28" s="309">
        <v>111200</v>
      </c>
      <c r="R28" s="309">
        <v>115900</v>
      </c>
      <c r="S28" s="300" t="s">
        <v>704</v>
      </c>
      <c r="T28" s="296" t="s">
        <v>704</v>
      </c>
      <c r="U28" s="296" t="s">
        <v>704</v>
      </c>
      <c r="V28" s="296" t="s">
        <v>704</v>
      </c>
      <c r="W28" s="296" t="s">
        <v>704</v>
      </c>
      <c r="X28" s="296" t="s">
        <v>704</v>
      </c>
      <c r="Y28" s="296" t="s">
        <v>704</v>
      </c>
      <c r="Z28" s="296" t="s">
        <v>704</v>
      </c>
      <c r="AA28" s="296" t="s">
        <v>704</v>
      </c>
      <c r="AB28" s="296" t="s">
        <v>704</v>
      </c>
      <c r="AC28" s="296" t="s">
        <v>704</v>
      </c>
      <c r="AD28" s="296" t="s">
        <v>704</v>
      </c>
      <c r="AE28" s="296" t="s">
        <v>704</v>
      </c>
      <c r="AF28" s="296" t="s">
        <v>704</v>
      </c>
      <c r="AG28" s="296" t="s">
        <v>704</v>
      </c>
      <c r="AH28" s="296" t="s">
        <v>704</v>
      </c>
      <c r="AI28" s="296" t="s">
        <v>704</v>
      </c>
      <c r="AJ28" s="296" t="s">
        <v>704</v>
      </c>
      <c r="AK28" s="296" t="s">
        <v>704</v>
      </c>
      <c r="AL28" s="296" t="s">
        <v>704</v>
      </c>
      <c r="AM28" s="296" t="s">
        <v>704</v>
      </c>
      <c r="AN28" s="296" t="s">
        <v>704</v>
      </c>
      <c r="AO28" s="296" t="s">
        <v>704</v>
      </c>
      <c r="AP28" s="296" t="s">
        <v>704</v>
      </c>
      <c r="AQ28" s="296" t="s">
        <v>704</v>
      </c>
      <c r="AR28" s="296" t="s">
        <v>704</v>
      </c>
      <c r="AS28" s="296" t="s">
        <v>704</v>
      </c>
      <c r="AT28" s="296" t="s">
        <v>704</v>
      </c>
      <c r="AU28" s="296" t="s">
        <v>704</v>
      </c>
      <c r="AV28" s="296" t="s">
        <v>704</v>
      </c>
      <c r="AW28" s="296"/>
      <c r="AX28" s="296"/>
    </row>
    <row r="29" spans="1:50" x14ac:dyDescent="0.25">
      <c r="A29" s="299">
        <v>1</v>
      </c>
      <c r="C29" s="308" t="str">
        <f>"    Mean"</f>
        <v xml:space="preserve">    Mean</v>
      </c>
      <c r="D29" s="309">
        <v>42700</v>
      </c>
      <c r="E29" s="309">
        <v>43240</v>
      </c>
      <c r="F29" s="309">
        <v>49500</v>
      </c>
      <c r="G29" s="309">
        <v>56450</v>
      </c>
      <c r="H29" s="309">
        <v>62519.857000000004</v>
      </c>
      <c r="I29" s="309">
        <v>68898</v>
      </c>
      <c r="J29" s="309">
        <v>72566</v>
      </c>
      <c r="K29" s="309">
        <v>82715.167000000001</v>
      </c>
      <c r="L29" s="309">
        <v>87489.332999999999</v>
      </c>
      <c r="M29" s="309">
        <v>92339.167000000001</v>
      </c>
      <c r="N29" s="309">
        <v>99708.667000000001</v>
      </c>
      <c r="O29" s="309">
        <v>101065.5</v>
      </c>
      <c r="P29" s="309">
        <v>106547</v>
      </c>
      <c r="Q29" s="309">
        <v>112213.5</v>
      </c>
      <c r="R29" s="309">
        <v>118214</v>
      </c>
      <c r="S29" s="300" t="s">
        <v>704</v>
      </c>
      <c r="T29" s="296" t="s">
        <v>704</v>
      </c>
      <c r="U29" s="296" t="s">
        <v>704</v>
      </c>
      <c r="V29" s="296" t="s">
        <v>704</v>
      </c>
      <c r="W29" s="296" t="s">
        <v>704</v>
      </c>
      <c r="X29" s="296" t="s">
        <v>704</v>
      </c>
      <c r="Y29" s="296" t="s">
        <v>704</v>
      </c>
      <c r="Z29" s="296" t="s">
        <v>704</v>
      </c>
      <c r="AA29" s="296" t="s">
        <v>704</v>
      </c>
      <c r="AB29" s="296" t="s">
        <v>704</v>
      </c>
      <c r="AC29" s="296" t="s">
        <v>704</v>
      </c>
      <c r="AD29" s="296" t="s">
        <v>704</v>
      </c>
      <c r="AE29" s="296" t="s">
        <v>704</v>
      </c>
      <c r="AF29" s="296" t="s">
        <v>704</v>
      </c>
      <c r="AG29" s="296" t="s">
        <v>704</v>
      </c>
      <c r="AH29" s="296" t="s">
        <v>704</v>
      </c>
      <c r="AI29" s="296" t="s">
        <v>704</v>
      </c>
      <c r="AJ29" s="296" t="s">
        <v>704</v>
      </c>
      <c r="AK29" s="296" t="s">
        <v>704</v>
      </c>
      <c r="AL29" s="296" t="s">
        <v>704</v>
      </c>
      <c r="AM29" s="296" t="s">
        <v>704</v>
      </c>
      <c r="AN29" s="296" t="s">
        <v>704</v>
      </c>
      <c r="AO29" s="296" t="s">
        <v>704</v>
      </c>
      <c r="AP29" s="296" t="s">
        <v>704</v>
      </c>
      <c r="AQ29" s="296" t="s">
        <v>704</v>
      </c>
      <c r="AR29" s="296" t="s">
        <v>704</v>
      </c>
      <c r="AS29" s="296" t="s">
        <v>704</v>
      </c>
      <c r="AT29" s="296" t="s">
        <v>704</v>
      </c>
      <c r="AU29" s="296" t="s">
        <v>704</v>
      </c>
      <c r="AV29" s="296" t="s">
        <v>704</v>
      </c>
      <c r="AW29" s="296"/>
      <c r="AX29" s="296"/>
    </row>
    <row r="30" spans="1:50" x14ac:dyDescent="0.25">
      <c r="A30" s="299">
        <v>1</v>
      </c>
      <c r="C30" s="308" t="str">
        <f>"    Standard Deviation"</f>
        <v xml:space="preserve">    Standard Deviation</v>
      </c>
      <c r="D30" s="309">
        <v>0</v>
      </c>
      <c r="E30" s="309">
        <v>673.053</v>
      </c>
      <c r="F30" s="309">
        <v>374.166</v>
      </c>
      <c r="G30" s="309">
        <v>361.93900000000002</v>
      </c>
      <c r="H30" s="309">
        <v>486.649</v>
      </c>
      <c r="I30" s="309">
        <v>1102.827</v>
      </c>
      <c r="J30" s="309">
        <v>895.149</v>
      </c>
      <c r="K30" s="309">
        <v>952.67</v>
      </c>
      <c r="L30" s="309">
        <v>1534.367</v>
      </c>
      <c r="M30" s="309">
        <v>1531.2750000000001</v>
      </c>
      <c r="N30" s="309">
        <v>1998.152</v>
      </c>
      <c r="O30" s="309">
        <v>5608.0640000000003</v>
      </c>
      <c r="P30" s="309">
        <v>4309.1090000000004</v>
      </c>
      <c r="Q30" s="309">
        <v>1433.3050000000001</v>
      </c>
      <c r="R30" s="309">
        <v>3272.49</v>
      </c>
      <c r="S30" s="300" t="s">
        <v>704</v>
      </c>
      <c r="T30" s="296" t="s">
        <v>704</v>
      </c>
      <c r="U30" s="296" t="s">
        <v>704</v>
      </c>
      <c r="V30" s="296" t="s">
        <v>704</v>
      </c>
      <c r="W30" s="296" t="s">
        <v>704</v>
      </c>
      <c r="X30" s="296" t="s">
        <v>704</v>
      </c>
      <c r="Y30" s="296" t="s">
        <v>704</v>
      </c>
      <c r="Z30" s="296" t="s">
        <v>704</v>
      </c>
      <c r="AA30" s="296" t="s">
        <v>704</v>
      </c>
      <c r="AB30" s="296" t="s">
        <v>704</v>
      </c>
      <c r="AC30" s="296" t="s">
        <v>704</v>
      </c>
      <c r="AD30" s="296" t="s">
        <v>704</v>
      </c>
      <c r="AE30" s="296" t="s">
        <v>704</v>
      </c>
      <c r="AF30" s="296" t="s">
        <v>704</v>
      </c>
      <c r="AG30" s="296" t="s">
        <v>704</v>
      </c>
      <c r="AH30" s="296" t="s">
        <v>704</v>
      </c>
      <c r="AI30" s="296" t="s">
        <v>704</v>
      </c>
      <c r="AJ30" s="296" t="s">
        <v>704</v>
      </c>
      <c r="AK30" s="296" t="s">
        <v>704</v>
      </c>
      <c r="AL30" s="296" t="s">
        <v>704</v>
      </c>
      <c r="AM30" s="296" t="s">
        <v>704</v>
      </c>
      <c r="AN30" s="296" t="s">
        <v>704</v>
      </c>
      <c r="AO30" s="296" t="s">
        <v>704</v>
      </c>
      <c r="AP30" s="296" t="s">
        <v>704</v>
      </c>
      <c r="AQ30" s="296" t="s">
        <v>704</v>
      </c>
      <c r="AR30" s="296" t="s">
        <v>704</v>
      </c>
      <c r="AS30" s="296" t="s">
        <v>704</v>
      </c>
      <c r="AT30" s="296" t="s">
        <v>704</v>
      </c>
      <c r="AU30" s="296" t="s">
        <v>704</v>
      </c>
      <c r="AV30" s="296" t="s">
        <v>704</v>
      </c>
      <c r="AW30" s="296"/>
      <c r="AX30" s="296"/>
    </row>
    <row r="31" spans="1:50" x14ac:dyDescent="0.25">
      <c r="A31" s="299">
        <v>1</v>
      </c>
      <c r="C31" s="308" t="str">
        <f>"    Number of Estimates"</f>
        <v xml:space="preserve">    Number of Estimates</v>
      </c>
      <c r="D31" s="309">
        <v>5</v>
      </c>
      <c r="E31" s="309">
        <v>5</v>
      </c>
      <c r="F31" s="309">
        <v>6</v>
      </c>
      <c r="G31" s="309">
        <v>6</v>
      </c>
      <c r="H31" s="309">
        <v>7</v>
      </c>
      <c r="I31" s="309">
        <v>7</v>
      </c>
      <c r="J31" s="309">
        <v>7</v>
      </c>
      <c r="K31" s="309">
        <v>6</v>
      </c>
      <c r="L31" s="309">
        <v>6</v>
      </c>
      <c r="M31" s="309">
        <v>6</v>
      </c>
      <c r="N31" s="309">
        <v>6</v>
      </c>
      <c r="O31" s="309">
        <v>2</v>
      </c>
      <c r="P31" s="309">
        <v>2</v>
      </c>
      <c r="Q31" s="309">
        <v>2</v>
      </c>
      <c r="R31" s="309">
        <v>2</v>
      </c>
      <c r="S31" s="300" t="s">
        <v>704</v>
      </c>
      <c r="T31" s="296" t="s">
        <v>704</v>
      </c>
      <c r="U31" s="296" t="s">
        <v>704</v>
      </c>
      <c r="V31" s="296" t="s">
        <v>704</v>
      </c>
      <c r="W31" s="296" t="s">
        <v>704</v>
      </c>
      <c r="X31" s="296" t="s">
        <v>704</v>
      </c>
      <c r="Y31" s="296" t="s">
        <v>704</v>
      </c>
      <c r="Z31" s="296" t="s">
        <v>704</v>
      </c>
      <c r="AA31" s="296" t="s">
        <v>704</v>
      </c>
      <c r="AB31" s="296" t="s">
        <v>704</v>
      </c>
      <c r="AC31" s="296" t="s">
        <v>704</v>
      </c>
      <c r="AD31" s="296" t="s">
        <v>704</v>
      </c>
      <c r="AE31" s="296" t="s">
        <v>704</v>
      </c>
      <c r="AF31" s="296" t="s">
        <v>704</v>
      </c>
      <c r="AG31" s="296" t="s">
        <v>704</v>
      </c>
      <c r="AH31" s="296" t="s">
        <v>704</v>
      </c>
      <c r="AI31" s="296" t="s">
        <v>704</v>
      </c>
      <c r="AJ31" s="296" t="s">
        <v>704</v>
      </c>
      <c r="AK31" s="296" t="s">
        <v>704</v>
      </c>
      <c r="AL31" s="296" t="s">
        <v>704</v>
      </c>
      <c r="AM31" s="296" t="s">
        <v>704</v>
      </c>
      <c r="AN31" s="296" t="s">
        <v>704</v>
      </c>
      <c r="AO31" s="296" t="s">
        <v>704</v>
      </c>
      <c r="AP31" s="296" t="s">
        <v>704</v>
      </c>
      <c r="AQ31" s="296" t="s">
        <v>704</v>
      </c>
      <c r="AR31" s="296" t="s">
        <v>704</v>
      </c>
      <c r="AS31" s="296" t="s">
        <v>704</v>
      </c>
      <c r="AT31" s="296" t="s">
        <v>704</v>
      </c>
      <c r="AU31" s="296" t="s">
        <v>704</v>
      </c>
      <c r="AV31" s="296" t="s">
        <v>704</v>
      </c>
      <c r="AW31" s="296"/>
      <c r="AX31" s="296"/>
    </row>
    <row r="32" spans="1:50" x14ac:dyDescent="0.25">
      <c r="A32" s="299">
        <v>1</v>
      </c>
      <c r="C32" s="313" t="str">
        <f>"Normalized EBITDA"</f>
        <v>Normalized EBITDA</v>
      </c>
      <c r="D32" s="307" t="s">
        <v>704</v>
      </c>
      <c r="E32" s="307" t="s">
        <v>704</v>
      </c>
      <c r="F32" s="307" t="s">
        <v>704</v>
      </c>
      <c r="G32" s="307" t="s">
        <v>704</v>
      </c>
      <c r="H32" s="307" t="s">
        <v>704</v>
      </c>
      <c r="I32" s="307" t="s">
        <v>704</v>
      </c>
      <c r="J32" s="307" t="s">
        <v>704</v>
      </c>
      <c r="K32" s="307" t="s">
        <v>704</v>
      </c>
      <c r="L32" s="307" t="s">
        <v>704</v>
      </c>
      <c r="M32" s="307" t="s">
        <v>704</v>
      </c>
      <c r="N32" s="307" t="s">
        <v>704</v>
      </c>
      <c r="O32" s="307" t="s">
        <v>704</v>
      </c>
      <c r="P32" s="307" t="s">
        <v>704</v>
      </c>
      <c r="Q32" s="307" t="s">
        <v>704</v>
      </c>
      <c r="R32" s="307" t="s">
        <v>704</v>
      </c>
      <c r="S32" s="300" t="s">
        <v>704</v>
      </c>
      <c r="T32" s="296" t="s">
        <v>704</v>
      </c>
      <c r="U32" s="296" t="s">
        <v>704</v>
      </c>
      <c r="V32" s="296" t="s">
        <v>704</v>
      </c>
      <c r="W32" s="296" t="s">
        <v>704</v>
      </c>
      <c r="X32" s="296" t="s">
        <v>704</v>
      </c>
      <c r="Y32" s="296" t="s">
        <v>704</v>
      </c>
      <c r="Z32" s="296" t="s">
        <v>704</v>
      </c>
      <c r="AA32" s="296" t="s">
        <v>704</v>
      </c>
      <c r="AB32" s="296" t="s">
        <v>704</v>
      </c>
      <c r="AC32" s="296" t="s">
        <v>704</v>
      </c>
      <c r="AD32" s="296" t="s">
        <v>704</v>
      </c>
      <c r="AE32" s="296" t="s">
        <v>704</v>
      </c>
      <c r="AF32" s="296" t="s">
        <v>704</v>
      </c>
      <c r="AG32" s="296" t="s">
        <v>704</v>
      </c>
      <c r="AH32" s="296" t="s">
        <v>704</v>
      </c>
      <c r="AI32" s="296" t="s">
        <v>704</v>
      </c>
      <c r="AJ32" s="296" t="s">
        <v>704</v>
      </c>
      <c r="AK32" s="296" t="s">
        <v>704</v>
      </c>
      <c r="AL32" s="296" t="s">
        <v>704</v>
      </c>
      <c r="AM32" s="296" t="s">
        <v>704</v>
      </c>
      <c r="AN32" s="296" t="s">
        <v>704</v>
      </c>
      <c r="AO32" s="296" t="s">
        <v>704</v>
      </c>
      <c r="AP32" s="296" t="s">
        <v>704</v>
      </c>
      <c r="AQ32" s="296" t="s">
        <v>704</v>
      </c>
      <c r="AR32" s="296" t="s">
        <v>704</v>
      </c>
      <c r="AS32" s="296" t="s">
        <v>704</v>
      </c>
      <c r="AT32" s="296" t="s">
        <v>704</v>
      </c>
      <c r="AU32" s="296" t="s">
        <v>704</v>
      </c>
      <c r="AV32" s="296" t="s">
        <v>704</v>
      </c>
      <c r="AW32" s="296"/>
      <c r="AX32" s="296"/>
    </row>
    <row r="33" spans="1:50" x14ac:dyDescent="0.25">
      <c r="A33" s="299">
        <v>1</v>
      </c>
      <c r="C33" s="308" t="str">
        <f>"    Actual"</f>
        <v xml:space="preserve">    Actual</v>
      </c>
      <c r="D33" s="309">
        <v>3702</v>
      </c>
      <c r="E33" s="309">
        <v>-5968</v>
      </c>
      <c r="F33" s="309">
        <v>329</v>
      </c>
      <c r="G33" s="309">
        <v>3946</v>
      </c>
      <c r="H33" s="309">
        <v>4198</v>
      </c>
      <c r="I33" s="309">
        <v>2130</v>
      </c>
      <c r="J33" s="309">
        <v>5183</v>
      </c>
      <c r="K33" s="309" t="s">
        <v>704</v>
      </c>
      <c r="L33" s="309" t="s">
        <v>704</v>
      </c>
      <c r="M33" s="309" t="s">
        <v>704</v>
      </c>
      <c r="N33" s="309" t="s">
        <v>704</v>
      </c>
      <c r="O33" s="309" t="s">
        <v>704</v>
      </c>
      <c r="P33" s="309" t="s">
        <v>704</v>
      </c>
      <c r="Q33" s="309" t="s">
        <v>704</v>
      </c>
      <c r="R33" s="309" t="s">
        <v>704</v>
      </c>
      <c r="S33" s="300" t="s">
        <v>704</v>
      </c>
      <c r="T33" s="296" t="s">
        <v>704</v>
      </c>
      <c r="U33" s="296" t="s">
        <v>704</v>
      </c>
      <c r="V33" s="296" t="s">
        <v>704</v>
      </c>
      <c r="W33" s="296" t="s">
        <v>704</v>
      </c>
      <c r="X33" s="296" t="s">
        <v>704</v>
      </c>
      <c r="Y33" s="296" t="s">
        <v>704</v>
      </c>
      <c r="Z33" s="296" t="s">
        <v>704</v>
      </c>
      <c r="AA33" s="296" t="s">
        <v>704</v>
      </c>
      <c r="AB33" s="296" t="s">
        <v>704</v>
      </c>
      <c r="AC33" s="296" t="s">
        <v>704</v>
      </c>
      <c r="AD33" s="296" t="s">
        <v>704</v>
      </c>
      <c r="AE33" s="296" t="s">
        <v>704</v>
      </c>
      <c r="AF33" s="296" t="s">
        <v>704</v>
      </c>
      <c r="AG33" s="296" t="s">
        <v>704</v>
      </c>
      <c r="AH33" s="296" t="s">
        <v>704</v>
      </c>
      <c r="AI33" s="296" t="s">
        <v>704</v>
      </c>
      <c r="AJ33" s="296" t="s">
        <v>704</v>
      </c>
      <c r="AK33" s="296" t="s">
        <v>704</v>
      </c>
      <c r="AL33" s="296" t="s">
        <v>704</v>
      </c>
      <c r="AM33" s="296" t="s">
        <v>704</v>
      </c>
      <c r="AN33" s="296" t="s">
        <v>704</v>
      </c>
      <c r="AO33" s="296" t="s">
        <v>704</v>
      </c>
      <c r="AP33" s="296" t="s">
        <v>704</v>
      </c>
      <c r="AQ33" s="296" t="s">
        <v>704</v>
      </c>
      <c r="AR33" s="296" t="s">
        <v>704</v>
      </c>
      <c r="AS33" s="296" t="s">
        <v>704</v>
      </c>
      <c r="AT33" s="296" t="s">
        <v>704</v>
      </c>
      <c r="AU33" s="296" t="s">
        <v>704</v>
      </c>
      <c r="AV33" s="296" t="s">
        <v>704</v>
      </c>
      <c r="AW33" s="296"/>
      <c r="AX33" s="296"/>
    </row>
    <row r="34" spans="1:50" x14ac:dyDescent="0.25">
      <c r="A34" s="299">
        <v>1</v>
      </c>
      <c r="C34" s="308" t="str">
        <f>"    Median"</f>
        <v xml:space="preserve">    Median</v>
      </c>
      <c r="D34" s="309">
        <v>3700</v>
      </c>
      <c r="E34" s="309">
        <v>-10035</v>
      </c>
      <c r="F34" s="309">
        <v>-4200</v>
      </c>
      <c r="G34" s="309">
        <v>-4000</v>
      </c>
      <c r="H34" s="309">
        <v>-2100</v>
      </c>
      <c r="I34" s="309">
        <v>-2450</v>
      </c>
      <c r="J34" s="309">
        <v>-1497</v>
      </c>
      <c r="K34" s="309">
        <v>10650</v>
      </c>
      <c r="L34" s="309">
        <v>11137</v>
      </c>
      <c r="M34" s="309">
        <v>11532</v>
      </c>
      <c r="N34" s="309">
        <v>19850</v>
      </c>
      <c r="O34" s="309">
        <v>21113.5</v>
      </c>
      <c r="P34" s="309">
        <v>20735</v>
      </c>
      <c r="Q34" s="309">
        <v>21107.5</v>
      </c>
      <c r="R34" s="309">
        <v>22708.5</v>
      </c>
      <c r="S34" s="300" t="s">
        <v>704</v>
      </c>
      <c r="T34" s="296" t="s">
        <v>704</v>
      </c>
      <c r="U34" s="296" t="s">
        <v>704</v>
      </c>
      <c r="V34" s="296" t="s">
        <v>704</v>
      </c>
      <c r="W34" s="296" t="s">
        <v>704</v>
      </c>
      <c r="X34" s="296" t="s">
        <v>704</v>
      </c>
      <c r="Y34" s="296" t="s">
        <v>704</v>
      </c>
      <c r="Z34" s="296" t="s">
        <v>704</v>
      </c>
      <c r="AA34" s="296" t="s">
        <v>704</v>
      </c>
      <c r="AB34" s="296" t="s">
        <v>704</v>
      </c>
      <c r="AC34" s="296" t="s">
        <v>704</v>
      </c>
      <c r="AD34" s="296" t="s">
        <v>704</v>
      </c>
      <c r="AE34" s="296" t="s">
        <v>704</v>
      </c>
      <c r="AF34" s="296" t="s">
        <v>704</v>
      </c>
      <c r="AG34" s="296" t="s">
        <v>704</v>
      </c>
      <c r="AH34" s="296" t="s">
        <v>704</v>
      </c>
      <c r="AI34" s="296" t="s">
        <v>704</v>
      </c>
      <c r="AJ34" s="296" t="s">
        <v>704</v>
      </c>
      <c r="AK34" s="296" t="s">
        <v>704</v>
      </c>
      <c r="AL34" s="296" t="s">
        <v>704</v>
      </c>
      <c r="AM34" s="296" t="s">
        <v>704</v>
      </c>
      <c r="AN34" s="296" t="s">
        <v>704</v>
      </c>
      <c r="AO34" s="296" t="s">
        <v>704</v>
      </c>
      <c r="AP34" s="296" t="s">
        <v>704</v>
      </c>
      <c r="AQ34" s="296" t="s">
        <v>704</v>
      </c>
      <c r="AR34" s="296" t="s">
        <v>704</v>
      </c>
      <c r="AS34" s="296" t="s">
        <v>704</v>
      </c>
      <c r="AT34" s="296" t="s">
        <v>704</v>
      </c>
      <c r="AU34" s="296" t="s">
        <v>704</v>
      </c>
      <c r="AV34" s="296" t="s">
        <v>704</v>
      </c>
      <c r="AW34" s="296"/>
      <c r="AX34" s="296"/>
    </row>
    <row r="35" spans="1:50" x14ac:dyDescent="0.25">
      <c r="A35" s="299">
        <v>1</v>
      </c>
      <c r="C35" s="308" t="str">
        <f>"    High"</f>
        <v xml:space="preserve">    High</v>
      </c>
      <c r="D35" s="309">
        <v>3700</v>
      </c>
      <c r="E35" s="309">
        <v>-9900</v>
      </c>
      <c r="F35" s="309">
        <v>-3500</v>
      </c>
      <c r="G35" s="309">
        <v>-2900</v>
      </c>
      <c r="H35" s="309">
        <v>-500</v>
      </c>
      <c r="I35" s="309">
        <v>-1900</v>
      </c>
      <c r="J35" s="309">
        <v>100</v>
      </c>
      <c r="K35" s="309">
        <v>10800</v>
      </c>
      <c r="L35" s="309">
        <v>13500</v>
      </c>
      <c r="M35" s="309">
        <v>13500</v>
      </c>
      <c r="N35" s="309">
        <v>22300</v>
      </c>
      <c r="O35" s="309">
        <v>26127</v>
      </c>
      <c r="P35" s="309">
        <v>22970</v>
      </c>
      <c r="Q35" s="309">
        <v>21415</v>
      </c>
      <c r="R35" s="309">
        <v>23317</v>
      </c>
      <c r="S35" s="300" t="s">
        <v>704</v>
      </c>
      <c r="T35" s="296" t="s">
        <v>704</v>
      </c>
      <c r="U35" s="296" t="s">
        <v>704</v>
      </c>
      <c r="V35" s="296" t="s">
        <v>704</v>
      </c>
      <c r="W35" s="296" t="s">
        <v>704</v>
      </c>
      <c r="X35" s="296" t="s">
        <v>704</v>
      </c>
      <c r="Y35" s="296" t="s">
        <v>704</v>
      </c>
      <c r="Z35" s="296" t="s">
        <v>704</v>
      </c>
      <c r="AA35" s="296" t="s">
        <v>704</v>
      </c>
      <c r="AB35" s="296" t="s">
        <v>704</v>
      </c>
      <c r="AC35" s="296" t="s">
        <v>704</v>
      </c>
      <c r="AD35" s="296" t="s">
        <v>704</v>
      </c>
      <c r="AE35" s="296" t="s">
        <v>704</v>
      </c>
      <c r="AF35" s="296" t="s">
        <v>704</v>
      </c>
      <c r="AG35" s="296" t="s">
        <v>704</v>
      </c>
      <c r="AH35" s="296" t="s">
        <v>704</v>
      </c>
      <c r="AI35" s="296" t="s">
        <v>704</v>
      </c>
      <c r="AJ35" s="296" t="s">
        <v>704</v>
      </c>
      <c r="AK35" s="296" t="s">
        <v>704</v>
      </c>
      <c r="AL35" s="296" t="s">
        <v>704</v>
      </c>
      <c r="AM35" s="296" t="s">
        <v>704</v>
      </c>
      <c r="AN35" s="296" t="s">
        <v>704</v>
      </c>
      <c r="AO35" s="296" t="s">
        <v>704</v>
      </c>
      <c r="AP35" s="296" t="s">
        <v>704</v>
      </c>
      <c r="AQ35" s="296" t="s">
        <v>704</v>
      </c>
      <c r="AR35" s="296" t="s">
        <v>704</v>
      </c>
      <c r="AS35" s="296" t="s">
        <v>704</v>
      </c>
      <c r="AT35" s="296" t="s">
        <v>704</v>
      </c>
      <c r="AU35" s="296" t="s">
        <v>704</v>
      </c>
      <c r="AV35" s="296" t="s">
        <v>704</v>
      </c>
      <c r="AW35" s="296"/>
      <c r="AX35" s="296"/>
    </row>
    <row r="36" spans="1:50" x14ac:dyDescent="0.25">
      <c r="A36" s="299">
        <v>1</v>
      </c>
      <c r="C36" s="308" t="str">
        <f>"    Low"</f>
        <v xml:space="preserve">    Low</v>
      </c>
      <c r="D36" s="309">
        <v>3700</v>
      </c>
      <c r="E36" s="309">
        <v>-12000</v>
      </c>
      <c r="F36" s="309">
        <v>-5000</v>
      </c>
      <c r="G36" s="309">
        <v>-4600</v>
      </c>
      <c r="H36" s="309">
        <v>-2866</v>
      </c>
      <c r="I36" s="309">
        <v>-3500</v>
      </c>
      <c r="J36" s="309">
        <v>-3000</v>
      </c>
      <c r="K36" s="309">
        <v>10400</v>
      </c>
      <c r="L36" s="309">
        <v>10100</v>
      </c>
      <c r="M36" s="309">
        <v>11000</v>
      </c>
      <c r="N36" s="309">
        <v>15700</v>
      </c>
      <c r="O36" s="309">
        <v>16100.000000000002</v>
      </c>
      <c r="P36" s="309">
        <v>18500</v>
      </c>
      <c r="Q36" s="309">
        <v>20800</v>
      </c>
      <c r="R36" s="309">
        <v>22100</v>
      </c>
      <c r="S36" s="300" t="s">
        <v>704</v>
      </c>
      <c r="T36" s="296" t="s">
        <v>704</v>
      </c>
      <c r="U36" s="296" t="s">
        <v>704</v>
      </c>
      <c r="V36" s="296" t="s">
        <v>704</v>
      </c>
      <c r="W36" s="296" t="s">
        <v>704</v>
      </c>
      <c r="X36" s="296" t="s">
        <v>704</v>
      </c>
      <c r="Y36" s="296" t="s">
        <v>704</v>
      </c>
      <c r="Z36" s="296" t="s">
        <v>704</v>
      </c>
      <c r="AA36" s="296" t="s">
        <v>704</v>
      </c>
      <c r="AB36" s="296" t="s">
        <v>704</v>
      </c>
      <c r="AC36" s="296" t="s">
        <v>704</v>
      </c>
      <c r="AD36" s="296" t="s">
        <v>704</v>
      </c>
      <c r="AE36" s="296" t="s">
        <v>704</v>
      </c>
      <c r="AF36" s="296" t="s">
        <v>704</v>
      </c>
      <c r="AG36" s="296" t="s">
        <v>704</v>
      </c>
      <c r="AH36" s="296" t="s">
        <v>704</v>
      </c>
      <c r="AI36" s="296" t="s">
        <v>704</v>
      </c>
      <c r="AJ36" s="296" t="s">
        <v>704</v>
      </c>
      <c r="AK36" s="296" t="s">
        <v>704</v>
      </c>
      <c r="AL36" s="296" t="s">
        <v>704</v>
      </c>
      <c r="AM36" s="296" t="s">
        <v>704</v>
      </c>
      <c r="AN36" s="296" t="s">
        <v>704</v>
      </c>
      <c r="AO36" s="296" t="s">
        <v>704</v>
      </c>
      <c r="AP36" s="296" t="s">
        <v>704</v>
      </c>
      <c r="AQ36" s="296" t="s">
        <v>704</v>
      </c>
      <c r="AR36" s="296" t="s">
        <v>704</v>
      </c>
      <c r="AS36" s="296" t="s">
        <v>704</v>
      </c>
      <c r="AT36" s="296" t="s">
        <v>704</v>
      </c>
      <c r="AU36" s="296" t="s">
        <v>704</v>
      </c>
      <c r="AV36" s="296" t="s">
        <v>704</v>
      </c>
      <c r="AW36" s="296"/>
      <c r="AX36" s="296"/>
    </row>
    <row r="37" spans="1:50" x14ac:dyDescent="0.25">
      <c r="A37" s="299">
        <v>1</v>
      </c>
      <c r="C37" s="308" t="str">
        <f>"    Mean"</f>
        <v xml:space="preserve">    Mean</v>
      </c>
      <c r="D37" s="309">
        <v>3700</v>
      </c>
      <c r="E37" s="309">
        <v>-10411.666999999999</v>
      </c>
      <c r="F37" s="309">
        <v>-4220</v>
      </c>
      <c r="G37" s="309">
        <v>-3740</v>
      </c>
      <c r="H37" s="309">
        <v>-1994.3330000000001</v>
      </c>
      <c r="I37" s="309">
        <v>-2540.1669999999999</v>
      </c>
      <c r="J37" s="309">
        <v>-1399</v>
      </c>
      <c r="K37" s="309">
        <v>10633.333000000001</v>
      </c>
      <c r="L37" s="309">
        <v>11362.333000000001</v>
      </c>
      <c r="M37" s="309">
        <v>11894</v>
      </c>
      <c r="N37" s="309">
        <v>19078.5</v>
      </c>
      <c r="O37" s="309">
        <v>21113.5</v>
      </c>
      <c r="P37" s="309">
        <v>20735</v>
      </c>
      <c r="Q37" s="309">
        <v>21107.5</v>
      </c>
      <c r="R37" s="309">
        <v>22708.5</v>
      </c>
      <c r="S37" s="300" t="s">
        <v>704</v>
      </c>
      <c r="T37" s="296" t="s">
        <v>704</v>
      </c>
      <c r="U37" s="296" t="s">
        <v>704</v>
      </c>
      <c r="V37" s="296" t="s">
        <v>704</v>
      </c>
      <c r="W37" s="296" t="s">
        <v>704</v>
      </c>
      <c r="X37" s="296" t="s">
        <v>704</v>
      </c>
      <c r="Y37" s="296" t="s">
        <v>704</v>
      </c>
      <c r="Z37" s="296" t="s">
        <v>704</v>
      </c>
      <c r="AA37" s="296" t="s">
        <v>704</v>
      </c>
      <c r="AB37" s="296" t="s">
        <v>704</v>
      </c>
      <c r="AC37" s="296" t="s">
        <v>704</v>
      </c>
      <c r="AD37" s="296" t="s">
        <v>704</v>
      </c>
      <c r="AE37" s="296" t="s">
        <v>704</v>
      </c>
      <c r="AF37" s="296" t="s">
        <v>704</v>
      </c>
      <c r="AG37" s="296" t="s">
        <v>704</v>
      </c>
      <c r="AH37" s="296" t="s">
        <v>704</v>
      </c>
      <c r="AI37" s="296" t="s">
        <v>704</v>
      </c>
      <c r="AJ37" s="296" t="s">
        <v>704</v>
      </c>
      <c r="AK37" s="296" t="s">
        <v>704</v>
      </c>
      <c r="AL37" s="296" t="s">
        <v>704</v>
      </c>
      <c r="AM37" s="296" t="s">
        <v>704</v>
      </c>
      <c r="AN37" s="296" t="s">
        <v>704</v>
      </c>
      <c r="AO37" s="296" t="s">
        <v>704</v>
      </c>
      <c r="AP37" s="296" t="s">
        <v>704</v>
      </c>
      <c r="AQ37" s="296" t="s">
        <v>704</v>
      </c>
      <c r="AR37" s="296" t="s">
        <v>704</v>
      </c>
      <c r="AS37" s="296" t="s">
        <v>704</v>
      </c>
      <c r="AT37" s="296" t="s">
        <v>704</v>
      </c>
      <c r="AU37" s="296" t="s">
        <v>704</v>
      </c>
      <c r="AV37" s="296" t="s">
        <v>704</v>
      </c>
      <c r="AW37" s="296"/>
      <c r="AX37" s="296"/>
    </row>
    <row r="38" spans="1:50" x14ac:dyDescent="0.25">
      <c r="A38" s="299">
        <v>1</v>
      </c>
      <c r="C38" s="308" t="str">
        <f>"    Standard Deviation"</f>
        <v xml:space="preserve">    Standard Deviation</v>
      </c>
      <c r="D38" s="309">
        <v>0</v>
      </c>
      <c r="E38" s="309">
        <v>805.98800000000006</v>
      </c>
      <c r="F38" s="309">
        <v>549.54499999999996</v>
      </c>
      <c r="G38" s="309">
        <v>684.10500000000002</v>
      </c>
      <c r="H38" s="309">
        <v>812.375</v>
      </c>
      <c r="I38" s="309">
        <v>671.26800000000003</v>
      </c>
      <c r="J38" s="309">
        <v>1226.2809999999999</v>
      </c>
      <c r="K38" s="309">
        <v>136.626</v>
      </c>
      <c r="L38" s="309">
        <v>1182.9929999999999</v>
      </c>
      <c r="M38" s="309">
        <v>913.83600000000001</v>
      </c>
      <c r="N38" s="309">
        <v>2680.652</v>
      </c>
      <c r="O38" s="309">
        <v>7090.16</v>
      </c>
      <c r="P38" s="309">
        <v>3160.7669999999998</v>
      </c>
      <c r="Q38" s="309">
        <v>434.87099999999998</v>
      </c>
      <c r="R38" s="309">
        <v>860.54899999999998</v>
      </c>
      <c r="S38" s="300" t="s">
        <v>704</v>
      </c>
      <c r="T38" s="296" t="s">
        <v>704</v>
      </c>
      <c r="U38" s="296" t="s">
        <v>704</v>
      </c>
      <c r="V38" s="296" t="s">
        <v>704</v>
      </c>
      <c r="W38" s="296" t="s">
        <v>704</v>
      </c>
      <c r="X38" s="296" t="s">
        <v>704</v>
      </c>
      <c r="Y38" s="296" t="s">
        <v>704</v>
      </c>
      <c r="Z38" s="296" t="s">
        <v>704</v>
      </c>
      <c r="AA38" s="296" t="s">
        <v>704</v>
      </c>
      <c r="AB38" s="296" t="s">
        <v>704</v>
      </c>
      <c r="AC38" s="296" t="s">
        <v>704</v>
      </c>
      <c r="AD38" s="296" t="s">
        <v>704</v>
      </c>
      <c r="AE38" s="296" t="s">
        <v>704</v>
      </c>
      <c r="AF38" s="296" t="s">
        <v>704</v>
      </c>
      <c r="AG38" s="296" t="s">
        <v>704</v>
      </c>
      <c r="AH38" s="296" t="s">
        <v>704</v>
      </c>
      <c r="AI38" s="296" t="s">
        <v>704</v>
      </c>
      <c r="AJ38" s="296" t="s">
        <v>704</v>
      </c>
      <c r="AK38" s="296" t="s">
        <v>704</v>
      </c>
      <c r="AL38" s="296" t="s">
        <v>704</v>
      </c>
      <c r="AM38" s="296" t="s">
        <v>704</v>
      </c>
      <c r="AN38" s="296" t="s">
        <v>704</v>
      </c>
      <c r="AO38" s="296" t="s">
        <v>704</v>
      </c>
      <c r="AP38" s="296" t="s">
        <v>704</v>
      </c>
      <c r="AQ38" s="296" t="s">
        <v>704</v>
      </c>
      <c r="AR38" s="296" t="s">
        <v>704</v>
      </c>
      <c r="AS38" s="296" t="s">
        <v>704</v>
      </c>
      <c r="AT38" s="296" t="s">
        <v>704</v>
      </c>
      <c r="AU38" s="296" t="s">
        <v>704</v>
      </c>
      <c r="AV38" s="296" t="s">
        <v>704</v>
      </c>
      <c r="AW38" s="296"/>
      <c r="AX38" s="296"/>
    </row>
    <row r="39" spans="1:50" x14ac:dyDescent="0.25">
      <c r="A39" s="299">
        <v>1</v>
      </c>
      <c r="C39" s="308" t="str">
        <f>"    Number of Estimates"</f>
        <v xml:space="preserve">    Number of Estimates</v>
      </c>
      <c r="D39" s="309">
        <v>6</v>
      </c>
      <c r="E39" s="309">
        <v>6</v>
      </c>
      <c r="F39" s="309">
        <v>5</v>
      </c>
      <c r="G39" s="309">
        <v>5</v>
      </c>
      <c r="H39" s="309">
        <v>6</v>
      </c>
      <c r="I39" s="309">
        <v>6</v>
      </c>
      <c r="J39" s="309">
        <v>6</v>
      </c>
      <c r="K39" s="309">
        <v>6</v>
      </c>
      <c r="L39" s="309">
        <v>6</v>
      </c>
      <c r="M39" s="309">
        <v>6</v>
      </c>
      <c r="N39" s="309">
        <v>6</v>
      </c>
      <c r="O39" s="309">
        <v>2</v>
      </c>
      <c r="P39" s="309">
        <v>2</v>
      </c>
      <c r="Q39" s="309">
        <v>2</v>
      </c>
      <c r="R39" s="309">
        <v>2</v>
      </c>
      <c r="S39" s="300" t="s">
        <v>704</v>
      </c>
      <c r="T39" s="296" t="s">
        <v>704</v>
      </c>
      <c r="U39" s="296" t="s">
        <v>704</v>
      </c>
      <c r="V39" s="296" t="s">
        <v>704</v>
      </c>
      <c r="W39" s="296" t="s">
        <v>704</v>
      </c>
      <c r="X39" s="296" t="s">
        <v>704</v>
      </c>
      <c r="Y39" s="296" t="s">
        <v>704</v>
      </c>
      <c r="Z39" s="296" t="s">
        <v>704</v>
      </c>
      <c r="AA39" s="296" t="s">
        <v>704</v>
      </c>
      <c r="AB39" s="296" t="s">
        <v>704</v>
      </c>
      <c r="AC39" s="296" t="s">
        <v>704</v>
      </c>
      <c r="AD39" s="296" t="s">
        <v>704</v>
      </c>
      <c r="AE39" s="296" t="s">
        <v>704</v>
      </c>
      <c r="AF39" s="296" t="s">
        <v>704</v>
      </c>
      <c r="AG39" s="296" t="s">
        <v>704</v>
      </c>
      <c r="AH39" s="296" t="s">
        <v>704</v>
      </c>
      <c r="AI39" s="296" t="s">
        <v>704</v>
      </c>
      <c r="AJ39" s="296" t="s">
        <v>704</v>
      </c>
      <c r="AK39" s="296" t="s">
        <v>704</v>
      </c>
      <c r="AL39" s="296" t="s">
        <v>704</v>
      </c>
      <c r="AM39" s="296" t="s">
        <v>704</v>
      </c>
      <c r="AN39" s="296" t="s">
        <v>704</v>
      </c>
      <c r="AO39" s="296" t="s">
        <v>704</v>
      </c>
      <c r="AP39" s="296" t="s">
        <v>704</v>
      </c>
      <c r="AQ39" s="296" t="s">
        <v>704</v>
      </c>
      <c r="AR39" s="296" t="s">
        <v>704</v>
      </c>
      <c r="AS39" s="296" t="s">
        <v>704</v>
      </c>
      <c r="AT39" s="296" t="s">
        <v>704</v>
      </c>
      <c r="AU39" s="296" t="s">
        <v>704</v>
      </c>
      <c r="AV39" s="296" t="s">
        <v>704</v>
      </c>
      <c r="AW39" s="296"/>
      <c r="AX39" s="296"/>
    </row>
    <row r="40" spans="1:50" x14ac:dyDescent="0.25">
      <c r="A40" s="299">
        <v>1</v>
      </c>
      <c r="C40" s="313" t="str">
        <f>"EBITDA"</f>
        <v>EBITDA</v>
      </c>
      <c r="D40" s="307" t="s">
        <v>704</v>
      </c>
      <c r="E40" s="307" t="s">
        <v>704</v>
      </c>
      <c r="F40" s="307" t="s">
        <v>704</v>
      </c>
      <c r="G40" s="307" t="s">
        <v>704</v>
      </c>
      <c r="H40" s="307" t="s">
        <v>704</v>
      </c>
      <c r="I40" s="307" t="s">
        <v>704</v>
      </c>
      <c r="J40" s="307" t="s">
        <v>704</v>
      </c>
      <c r="K40" s="307" t="s">
        <v>704</v>
      </c>
      <c r="L40" s="307" t="s">
        <v>704</v>
      </c>
      <c r="M40" s="307" t="s">
        <v>704</v>
      </c>
      <c r="N40" s="307" t="s">
        <v>704</v>
      </c>
      <c r="O40" s="307" t="s">
        <v>704</v>
      </c>
      <c r="P40" s="307" t="s">
        <v>704</v>
      </c>
      <c r="Q40" s="307" t="s">
        <v>704</v>
      </c>
      <c r="R40" s="307" t="s">
        <v>704</v>
      </c>
      <c r="S40" s="300" t="s">
        <v>704</v>
      </c>
      <c r="T40" s="296" t="s">
        <v>704</v>
      </c>
      <c r="U40" s="296" t="s">
        <v>704</v>
      </c>
      <c r="V40" s="296" t="s">
        <v>704</v>
      </c>
      <c r="W40" s="296" t="s">
        <v>704</v>
      </c>
      <c r="X40" s="296" t="s">
        <v>704</v>
      </c>
      <c r="Y40" s="296" t="s">
        <v>704</v>
      </c>
      <c r="Z40" s="296" t="s">
        <v>704</v>
      </c>
      <c r="AA40" s="296" t="s">
        <v>704</v>
      </c>
      <c r="AB40" s="296" t="s">
        <v>704</v>
      </c>
      <c r="AC40" s="296" t="s">
        <v>704</v>
      </c>
      <c r="AD40" s="296" t="s">
        <v>704</v>
      </c>
      <c r="AE40" s="296" t="s">
        <v>704</v>
      </c>
      <c r="AF40" s="296" t="s">
        <v>704</v>
      </c>
      <c r="AG40" s="296" t="s">
        <v>704</v>
      </c>
      <c r="AH40" s="296" t="s">
        <v>704</v>
      </c>
      <c r="AI40" s="296" t="s">
        <v>704</v>
      </c>
      <c r="AJ40" s="296" t="s">
        <v>704</v>
      </c>
      <c r="AK40" s="296" t="s">
        <v>704</v>
      </c>
      <c r="AL40" s="296" t="s">
        <v>704</v>
      </c>
      <c r="AM40" s="296" t="s">
        <v>704</v>
      </c>
      <c r="AN40" s="296" t="s">
        <v>704</v>
      </c>
      <c r="AO40" s="296" t="s">
        <v>704</v>
      </c>
      <c r="AP40" s="296" t="s">
        <v>704</v>
      </c>
      <c r="AQ40" s="296" t="s">
        <v>704</v>
      </c>
      <c r="AR40" s="296" t="s">
        <v>704</v>
      </c>
      <c r="AS40" s="296" t="s">
        <v>704</v>
      </c>
      <c r="AT40" s="296" t="s">
        <v>704</v>
      </c>
      <c r="AU40" s="296" t="s">
        <v>704</v>
      </c>
      <c r="AV40" s="296" t="s">
        <v>704</v>
      </c>
      <c r="AW40" s="296"/>
      <c r="AX40" s="296"/>
    </row>
    <row r="41" spans="1:50" x14ac:dyDescent="0.25">
      <c r="A41" s="299">
        <v>1</v>
      </c>
      <c r="C41" s="308" t="str">
        <f>"    Actual"</f>
        <v xml:space="preserve">    Actual</v>
      </c>
      <c r="D41" s="309">
        <v>461</v>
      </c>
      <c r="E41" s="309">
        <v>-28186</v>
      </c>
      <c r="F41" s="309">
        <v>-16652</v>
      </c>
      <c r="G41" s="309">
        <v>-11352</v>
      </c>
      <c r="H41" s="309">
        <v>-13734</v>
      </c>
      <c r="I41" s="309">
        <v>-16910</v>
      </c>
      <c r="J41" s="309">
        <v>-11770</v>
      </c>
      <c r="K41" s="309" t="s">
        <v>704</v>
      </c>
      <c r="L41" s="309" t="s">
        <v>704</v>
      </c>
      <c r="M41" s="309" t="s">
        <v>704</v>
      </c>
      <c r="N41" s="309" t="s">
        <v>704</v>
      </c>
      <c r="O41" s="309" t="s">
        <v>704</v>
      </c>
      <c r="P41" s="309" t="s">
        <v>704</v>
      </c>
      <c r="Q41" s="309" t="s">
        <v>704</v>
      </c>
      <c r="R41" s="309" t="s">
        <v>704</v>
      </c>
      <c r="S41" s="300" t="s">
        <v>704</v>
      </c>
      <c r="T41" s="296" t="s">
        <v>704</v>
      </c>
      <c r="U41" s="296" t="s">
        <v>704</v>
      </c>
      <c r="V41" s="296" t="s">
        <v>704</v>
      </c>
      <c r="W41" s="296" t="s">
        <v>704</v>
      </c>
      <c r="X41" s="296" t="s">
        <v>704</v>
      </c>
      <c r="Y41" s="296" t="s">
        <v>704</v>
      </c>
      <c r="Z41" s="296" t="s">
        <v>704</v>
      </c>
      <c r="AA41" s="296" t="s">
        <v>704</v>
      </c>
      <c r="AB41" s="296" t="s">
        <v>704</v>
      </c>
      <c r="AC41" s="296" t="s">
        <v>704</v>
      </c>
      <c r="AD41" s="296" t="s">
        <v>704</v>
      </c>
      <c r="AE41" s="296" t="s">
        <v>704</v>
      </c>
      <c r="AF41" s="296" t="s">
        <v>704</v>
      </c>
      <c r="AG41" s="296" t="s">
        <v>704</v>
      </c>
      <c r="AH41" s="296" t="s">
        <v>704</v>
      </c>
      <c r="AI41" s="296" t="s">
        <v>704</v>
      </c>
      <c r="AJ41" s="296" t="s">
        <v>704</v>
      </c>
      <c r="AK41" s="296" t="s">
        <v>704</v>
      </c>
      <c r="AL41" s="296" t="s">
        <v>704</v>
      </c>
      <c r="AM41" s="296" t="s">
        <v>704</v>
      </c>
      <c r="AN41" s="296" t="s">
        <v>704</v>
      </c>
      <c r="AO41" s="296" t="s">
        <v>704</v>
      </c>
      <c r="AP41" s="296" t="s">
        <v>704</v>
      </c>
      <c r="AQ41" s="296" t="s">
        <v>704</v>
      </c>
      <c r="AR41" s="296" t="s">
        <v>704</v>
      </c>
      <c r="AS41" s="296" t="s">
        <v>704</v>
      </c>
      <c r="AT41" s="296" t="s">
        <v>704</v>
      </c>
      <c r="AU41" s="296" t="s">
        <v>704</v>
      </c>
      <c r="AV41" s="296" t="s">
        <v>704</v>
      </c>
      <c r="AW41" s="296"/>
      <c r="AX41" s="296"/>
    </row>
    <row r="42" spans="1:50" x14ac:dyDescent="0.25">
      <c r="A42" s="299">
        <v>1</v>
      </c>
      <c r="C42" s="308" t="str">
        <f>"    Median"</f>
        <v xml:space="preserve">    Median</v>
      </c>
      <c r="D42" s="309">
        <v>3700</v>
      </c>
      <c r="E42" s="309">
        <v>-10000</v>
      </c>
      <c r="F42" s="309">
        <v>-4000</v>
      </c>
      <c r="G42" s="309">
        <v>-4000</v>
      </c>
      <c r="H42" s="309">
        <v>-2049.7939999999999</v>
      </c>
      <c r="I42" s="309">
        <v>-2450</v>
      </c>
      <c r="J42" s="309">
        <v>-1251.481</v>
      </c>
      <c r="K42" s="309">
        <v>10685.61</v>
      </c>
      <c r="L42" s="309">
        <v>11113.75</v>
      </c>
      <c r="M42" s="309">
        <v>11652</v>
      </c>
      <c r="N42" s="309">
        <v>19715</v>
      </c>
      <c r="O42" s="309">
        <v>21113.5</v>
      </c>
      <c r="P42" s="309">
        <v>20735</v>
      </c>
      <c r="Q42" s="309">
        <v>21107.5</v>
      </c>
      <c r="R42" s="309">
        <v>22708.5</v>
      </c>
      <c r="S42" s="300" t="s">
        <v>704</v>
      </c>
      <c r="T42" s="296" t="s">
        <v>704</v>
      </c>
      <c r="U42" s="296" t="s">
        <v>704</v>
      </c>
      <c r="V42" s="296" t="s">
        <v>704</v>
      </c>
      <c r="W42" s="296" t="s">
        <v>704</v>
      </c>
      <c r="X42" s="296" t="s">
        <v>704</v>
      </c>
      <c r="Y42" s="296" t="s">
        <v>704</v>
      </c>
      <c r="Z42" s="296" t="s">
        <v>704</v>
      </c>
      <c r="AA42" s="296" t="s">
        <v>704</v>
      </c>
      <c r="AB42" s="296" t="s">
        <v>704</v>
      </c>
      <c r="AC42" s="296" t="s">
        <v>704</v>
      </c>
      <c r="AD42" s="296" t="s">
        <v>704</v>
      </c>
      <c r="AE42" s="296" t="s">
        <v>704</v>
      </c>
      <c r="AF42" s="296" t="s">
        <v>704</v>
      </c>
      <c r="AG42" s="296" t="s">
        <v>704</v>
      </c>
      <c r="AH42" s="296" t="s">
        <v>704</v>
      </c>
      <c r="AI42" s="296" t="s">
        <v>704</v>
      </c>
      <c r="AJ42" s="296" t="s">
        <v>704</v>
      </c>
      <c r="AK42" s="296" t="s">
        <v>704</v>
      </c>
      <c r="AL42" s="296" t="s">
        <v>704</v>
      </c>
      <c r="AM42" s="296" t="s">
        <v>704</v>
      </c>
      <c r="AN42" s="296" t="s">
        <v>704</v>
      </c>
      <c r="AO42" s="296" t="s">
        <v>704</v>
      </c>
      <c r="AP42" s="296" t="s">
        <v>704</v>
      </c>
      <c r="AQ42" s="296" t="s">
        <v>704</v>
      </c>
      <c r="AR42" s="296" t="s">
        <v>704</v>
      </c>
      <c r="AS42" s="296" t="s">
        <v>704</v>
      </c>
      <c r="AT42" s="296" t="s">
        <v>704</v>
      </c>
      <c r="AU42" s="296" t="s">
        <v>704</v>
      </c>
      <c r="AV42" s="296" t="s">
        <v>704</v>
      </c>
      <c r="AW42" s="296"/>
      <c r="AX42" s="296"/>
    </row>
    <row r="43" spans="1:50" x14ac:dyDescent="0.25">
      <c r="A43" s="299">
        <v>1</v>
      </c>
      <c r="C43" s="308" t="str">
        <f>"    High"</f>
        <v xml:space="preserve">    High</v>
      </c>
      <c r="D43" s="309">
        <v>3700</v>
      </c>
      <c r="E43" s="309">
        <v>-8502.6730000000007</v>
      </c>
      <c r="F43" s="309">
        <v>-3500</v>
      </c>
      <c r="G43" s="309">
        <v>-774.79899999999998</v>
      </c>
      <c r="H43" s="309">
        <v>-500</v>
      </c>
      <c r="I43" s="309">
        <v>-1545.8820000000001</v>
      </c>
      <c r="J43" s="309">
        <v>100</v>
      </c>
      <c r="K43" s="309">
        <v>11251.409</v>
      </c>
      <c r="L43" s="309">
        <v>13500</v>
      </c>
      <c r="M43" s="309">
        <v>13500</v>
      </c>
      <c r="N43" s="309">
        <v>22342.008000000002</v>
      </c>
      <c r="O43" s="309">
        <v>26127</v>
      </c>
      <c r="P43" s="309">
        <v>22970</v>
      </c>
      <c r="Q43" s="309">
        <v>21415</v>
      </c>
      <c r="R43" s="309">
        <v>23317</v>
      </c>
      <c r="S43" s="300" t="s">
        <v>704</v>
      </c>
      <c r="T43" s="296" t="s">
        <v>704</v>
      </c>
      <c r="U43" s="296" t="s">
        <v>704</v>
      </c>
      <c r="V43" s="296" t="s">
        <v>704</v>
      </c>
      <c r="W43" s="296" t="s">
        <v>704</v>
      </c>
      <c r="X43" s="296" t="s">
        <v>704</v>
      </c>
      <c r="Y43" s="296" t="s">
        <v>704</v>
      </c>
      <c r="Z43" s="296" t="s">
        <v>704</v>
      </c>
      <c r="AA43" s="296" t="s">
        <v>704</v>
      </c>
      <c r="AB43" s="296" t="s">
        <v>704</v>
      </c>
      <c r="AC43" s="296" t="s">
        <v>704</v>
      </c>
      <c r="AD43" s="296" t="s">
        <v>704</v>
      </c>
      <c r="AE43" s="296" t="s">
        <v>704</v>
      </c>
      <c r="AF43" s="296" t="s">
        <v>704</v>
      </c>
      <c r="AG43" s="296" t="s">
        <v>704</v>
      </c>
      <c r="AH43" s="296" t="s">
        <v>704</v>
      </c>
      <c r="AI43" s="296" t="s">
        <v>704</v>
      </c>
      <c r="AJ43" s="296" t="s">
        <v>704</v>
      </c>
      <c r="AK43" s="296" t="s">
        <v>704</v>
      </c>
      <c r="AL43" s="296" t="s">
        <v>704</v>
      </c>
      <c r="AM43" s="296" t="s">
        <v>704</v>
      </c>
      <c r="AN43" s="296" t="s">
        <v>704</v>
      </c>
      <c r="AO43" s="296" t="s">
        <v>704</v>
      </c>
      <c r="AP43" s="296" t="s">
        <v>704</v>
      </c>
      <c r="AQ43" s="296" t="s">
        <v>704</v>
      </c>
      <c r="AR43" s="296" t="s">
        <v>704</v>
      </c>
      <c r="AS43" s="296" t="s">
        <v>704</v>
      </c>
      <c r="AT43" s="296" t="s">
        <v>704</v>
      </c>
      <c r="AU43" s="296" t="s">
        <v>704</v>
      </c>
      <c r="AV43" s="296" t="s">
        <v>704</v>
      </c>
      <c r="AW43" s="296"/>
      <c r="AX43" s="296"/>
    </row>
    <row r="44" spans="1:50" x14ac:dyDescent="0.25">
      <c r="A44" s="299">
        <v>1</v>
      </c>
      <c r="C44" s="308" t="str">
        <f>"    Low"</f>
        <v xml:space="preserve">    Low</v>
      </c>
      <c r="D44" s="309">
        <v>3700</v>
      </c>
      <c r="E44" s="309">
        <v>-12000</v>
      </c>
      <c r="F44" s="309">
        <v>-5000</v>
      </c>
      <c r="G44" s="309">
        <v>-4600</v>
      </c>
      <c r="H44" s="309">
        <v>-2866</v>
      </c>
      <c r="I44" s="309">
        <v>-3500</v>
      </c>
      <c r="J44" s="309">
        <v>-2967</v>
      </c>
      <c r="K44" s="309">
        <v>10400</v>
      </c>
      <c r="L44" s="309">
        <v>10131.641</v>
      </c>
      <c r="M44" s="309">
        <v>11008.873</v>
      </c>
      <c r="N44" s="309">
        <v>15684.8</v>
      </c>
      <c r="O44" s="309">
        <v>16100.000000000002</v>
      </c>
      <c r="P44" s="309">
        <v>18500</v>
      </c>
      <c r="Q44" s="309">
        <v>20800</v>
      </c>
      <c r="R44" s="309">
        <v>22100</v>
      </c>
      <c r="S44" s="300" t="s">
        <v>704</v>
      </c>
      <c r="T44" s="296" t="s">
        <v>704</v>
      </c>
      <c r="U44" s="296" t="s">
        <v>704</v>
      </c>
      <c r="V44" s="296" t="s">
        <v>704</v>
      </c>
      <c r="W44" s="296" t="s">
        <v>704</v>
      </c>
      <c r="X44" s="296" t="s">
        <v>704</v>
      </c>
      <c r="Y44" s="296" t="s">
        <v>704</v>
      </c>
      <c r="Z44" s="296" t="s">
        <v>704</v>
      </c>
      <c r="AA44" s="296" t="s">
        <v>704</v>
      </c>
      <c r="AB44" s="296" t="s">
        <v>704</v>
      </c>
      <c r="AC44" s="296" t="s">
        <v>704</v>
      </c>
      <c r="AD44" s="296" t="s">
        <v>704</v>
      </c>
      <c r="AE44" s="296" t="s">
        <v>704</v>
      </c>
      <c r="AF44" s="296" t="s">
        <v>704</v>
      </c>
      <c r="AG44" s="296" t="s">
        <v>704</v>
      </c>
      <c r="AH44" s="296" t="s">
        <v>704</v>
      </c>
      <c r="AI44" s="296" t="s">
        <v>704</v>
      </c>
      <c r="AJ44" s="296" t="s">
        <v>704</v>
      </c>
      <c r="AK44" s="296" t="s">
        <v>704</v>
      </c>
      <c r="AL44" s="296" t="s">
        <v>704</v>
      </c>
      <c r="AM44" s="296" t="s">
        <v>704</v>
      </c>
      <c r="AN44" s="296" t="s">
        <v>704</v>
      </c>
      <c r="AO44" s="296" t="s">
        <v>704</v>
      </c>
      <c r="AP44" s="296" t="s">
        <v>704</v>
      </c>
      <c r="AQ44" s="296" t="s">
        <v>704</v>
      </c>
      <c r="AR44" s="296" t="s">
        <v>704</v>
      </c>
      <c r="AS44" s="296" t="s">
        <v>704</v>
      </c>
      <c r="AT44" s="296" t="s">
        <v>704</v>
      </c>
      <c r="AU44" s="296" t="s">
        <v>704</v>
      </c>
      <c r="AV44" s="296" t="s">
        <v>704</v>
      </c>
      <c r="AW44" s="296"/>
      <c r="AX44" s="296"/>
    </row>
    <row r="45" spans="1:50" x14ac:dyDescent="0.25">
      <c r="A45" s="299">
        <v>1</v>
      </c>
      <c r="C45" s="308" t="str">
        <f>"    Mean"</f>
        <v xml:space="preserve">    Mean</v>
      </c>
      <c r="D45" s="309">
        <v>3700</v>
      </c>
      <c r="E45" s="309">
        <v>-10138.953</v>
      </c>
      <c r="F45" s="309">
        <v>-4085.1300000000006</v>
      </c>
      <c r="G45" s="309">
        <v>-3354.9229999999998</v>
      </c>
      <c r="H45" s="309">
        <v>-1911.857</v>
      </c>
      <c r="I45" s="309">
        <v>-2460.86</v>
      </c>
      <c r="J45" s="309">
        <v>-1296.847</v>
      </c>
      <c r="K45" s="309">
        <v>10733.954</v>
      </c>
      <c r="L45" s="309">
        <v>11325.949000000001</v>
      </c>
      <c r="M45" s="309">
        <v>11910.098</v>
      </c>
      <c r="N45" s="309">
        <v>18968.578000000001</v>
      </c>
      <c r="O45" s="309">
        <v>21113.5</v>
      </c>
      <c r="P45" s="309">
        <v>20735</v>
      </c>
      <c r="Q45" s="309">
        <v>21107.5</v>
      </c>
      <c r="R45" s="309">
        <v>22708.5</v>
      </c>
      <c r="S45" s="300" t="s">
        <v>704</v>
      </c>
      <c r="T45" s="296" t="s">
        <v>704</v>
      </c>
      <c r="U45" s="296" t="s">
        <v>704</v>
      </c>
      <c r="V45" s="296" t="s">
        <v>704</v>
      </c>
      <c r="W45" s="296" t="s">
        <v>704</v>
      </c>
      <c r="X45" s="296" t="s">
        <v>704</v>
      </c>
      <c r="Y45" s="296" t="s">
        <v>704</v>
      </c>
      <c r="Z45" s="296" t="s">
        <v>704</v>
      </c>
      <c r="AA45" s="296" t="s">
        <v>704</v>
      </c>
      <c r="AB45" s="296" t="s">
        <v>704</v>
      </c>
      <c r="AC45" s="296" t="s">
        <v>704</v>
      </c>
      <c r="AD45" s="296" t="s">
        <v>704</v>
      </c>
      <c r="AE45" s="296" t="s">
        <v>704</v>
      </c>
      <c r="AF45" s="296" t="s">
        <v>704</v>
      </c>
      <c r="AG45" s="296" t="s">
        <v>704</v>
      </c>
      <c r="AH45" s="296" t="s">
        <v>704</v>
      </c>
      <c r="AI45" s="296" t="s">
        <v>704</v>
      </c>
      <c r="AJ45" s="296" t="s">
        <v>704</v>
      </c>
      <c r="AK45" s="296" t="s">
        <v>704</v>
      </c>
      <c r="AL45" s="296" t="s">
        <v>704</v>
      </c>
      <c r="AM45" s="296" t="s">
        <v>704</v>
      </c>
      <c r="AN45" s="296" t="s">
        <v>704</v>
      </c>
      <c r="AO45" s="296" t="s">
        <v>704</v>
      </c>
      <c r="AP45" s="296" t="s">
        <v>704</v>
      </c>
      <c r="AQ45" s="296" t="s">
        <v>704</v>
      </c>
      <c r="AR45" s="296" t="s">
        <v>704</v>
      </c>
      <c r="AS45" s="296" t="s">
        <v>704</v>
      </c>
      <c r="AT45" s="296" t="s">
        <v>704</v>
      </c>
      <c r="AU45" s="296" t="s">
        <v>704</v>
      </c>
      <c r="AV45" s="296" t="s">
        <v>704</v>
      </c>
      <c r="AW45" s="296"/>
      <c r="AX45" s="296"/>
    </row>
    <row r="46" spans="1:50" x14ac:dyDescent="0.25">
      <c r="A46" s="299">
        <v>1</v>
      </c>
      <c r="C46" s="308" t="str">
        <f>"    Standard Deviation"</f>
        <v xml:space="preserve">    Standard Deviation</v>
      </c>
      <c r="D46" s="309">
        <v>0</v>
      </c>
      <c r="E46" s="309">
        <v>1030.5120000000002</v>
      </c>
      <c r="F46" s="309">
        <v>505.262</v>
      </c>
      <c r="G46" s="309">
        <v>1271.4259999999999</v>
      </c>
      <c r="H46" s="309">
        <v>740.83299999999997</v>
      </c>
      <c r="I46" s="309">
        <v>688.76400000000001</v>
      </c>
      <c r="J46" s="309">
        <v>1044.9259999999999</v>
      </c>
      <c r="K46" s="309">
        <v>250.245</v>
      </c>
      <c r="L46" s="309">
        <v>1037.271</v>
      </c>
      <c r="M46" s="309">
        <v>788.59299999999996</v>
      </c>
      <c r="N46" s="309">
        <v>2424.4690000000001</v>
      </c>
      <c r="O46" s="309">
        <v>7090.16</v>
      </c>
      <c r="P46" s="309">
        <v>3160.7669999999998</v>
      </c>
      <c r="Q46" s="309">
        <v>434.87099999999998</v>
      </c>
      <c r="R46" s="309">
        <v>860.54899999999998</v>
      </c>
      <c r="S46" s="300" t="s">
        <v>704</v>
      </c>
      <c r="T46" s="296" t="s">
        <v>704</v>
      </c>
      <c r="U46" s="296" t="s">
        <v>704</v>
      </c>
      <c r="V46" s="296" t="s">
        <v>704</v>
      </c>
      <c r="W46" s="296" t="s">
        <v>704</v>
      </c>
      <c r="X46" s="296" t="s">
        <v>704</v>
      </c>
      <c r="Y46" s="296" t="s">
        <v>704</v>
      </c>
      <c r="Z46" s="296" t="s">
        <v>704</v>
      </c>
      <c r="AA46" s="296" t="s">
        <v>704</v>
      </c>
      <c r="AB46" s="296" t="s">
        <v>704</v>
      </c>
      <c r="AC46" s="296" t="s">
        <v>704</v>
      </c>
      <c r="AD46" s="296" t="s">
        <v>704</v>
      </c>
      <c r="AE46" s="296" t="s">
        <v>704</v>
      </c>
      <c r="AF46" s="296" t="s">
        <v>704</v>
      </c>
      <c r="AG46" s="296" t="s">
        <v>704</v>
      </c>
      <c r="AH46" s="296" t="s">
        <v>704</v>
      </c>
      <c r="AI46" s="296" t="s">
        <v>704</v>
      </c>
      <c r="AJ46" s="296" t="s">
        <v>704</v>
      </c>
      <c r="AK46" s="296" t="s">
        <v>704</v>
      </c>
      <c r="AL46" s="296" t="s">
        <v>704</v>
      </c>
      <c r="AM46" s="296" t="s">
        <v>704</v>
      </c>
      <c r="AN46" s="296" t="s">
        <v>704</v>
      </c>
      <c r="AO46" s="296" t="s">
        <v>704</v>
      </c>
      <c r="AP46" s="296" t="s">
        <v>704</v>
      </c>
      <c r="AQ46" s="296" t="s">
        <v>704</v>
      </c>
      <c r="AR46" s="296" t="s">
        <v>704</v>
      </c>
      <c r="AS46" s="296" t="s">
        <v>704</v>
      </c>
      <c r="AT46" s="296" t="s">
        <v>704</v>
      </c>
      <c r="AU46" s="296" t="s">
        <v>704</v>
      </c>
      <c r="AV46" s="296" t="s">
        <v>704</v>
      </c>
      <c r="AW46" s="296"/>
      <c r="AX46" s="296"/>
    </row>
    <row r="47" spans="1:50" x14ac:dyDescent="0.25">
      <c r="A47" s="299">
        <v>1</v>
      </c>
      <c r="C47" s="308" t="str">
        <f>"    Number of Estimates"</f>
        <v xml:space="preserve">    Number of Estimates</v>
      </c>
      <c r="D47" s="309">
        <v>6</v>
      </c>
      <c r="E47" s="309">
        <v>7</v>
      </c>
      <c r="F47" s="309">
        <v>7</v>
      </c>
      <c r="G47" s="309">
        <v>7</v>
      </c>
      <c r="H47" s="309">
        <v>8</v>
      </c>
      <c r="I47" s="309">
        <v>8</v>
      </c>
      <c r="J47" s="309">
        <v>8</v>
      </c>
      <c r="K47" s="309">
        <v>8</v>
      </c>
      <c r="L47" s="309">
        <v>8</v>
      </c>
      <c r="M47" s="309">
        <v>8</v>
      </c>
      <c r="N47" s="309">
        <v>8</v>
      </c>
      <c r="O47" s="309">
        <v>2</v>
      </c>
      <c r="P47" s="309">
        <v>2</v>
      </c>
      <c r="Q47" s="309">
        <v>2</v>
      </c>
      <c r="R47" s="309">
        <v>2</v>
      </c>
      <c r="S47" s="300" t="s">
        <v>704</v>
      </c>
      <c r="T47" s="296" t="s">
        <v>704</v>
      </c>
      <c r="U47" s="296" t="s">
        <v>704</v>
      </c>
      <c r="V47" s="296" t="s">
        <v>704</v>
      </c>
      <c r="W47" s="296" t="s">
        <v>704</v>
      </c>
      <c r="X47" s="296" t="s">
        <v>704</v>
      </c>
      <c r="Y47" s="296" t="s">
        <v>704</v>
      </c>
      <c r="Z47" s="296" t="s">
        <v>704</v>
      </c>
      <c r="AA47" s="296" t="s">
        <v>704</v>
      </c>
      <c r="AB47" s="296" t="s">
        <v>704</v>
      </c>
      <c r="AC47" s="296" t="s">
        <v>704</v>
      </c>
      <c r="AD47" s="296" t="s">
        <v>704</v>
      </c>
      <c r="AE47" s="296" t="s">
        <v>704</v>
      </c>
      <c r="AF47" s="296" t="s">
        <v>704</v>
      </c>
      <c r="AG47" s="296" t="s">
        <v>704</v>
      </c>
      <c r="AH47" s="296" t="s">
        <v>704</v>
      </c>
      <c r="AI47" s="296" t="s">
        <v>704</v>
      </c>
      <c r="AJ47" s="296" t="s">
        <v>704</v>
      </c>
      <c r="AK47" s="296" t="s">
        <v>704</v>
      </c>
      <c r="AL47" s="296" t="s">
        <v>704</v>
      </c>
      <c r="AM47" s="296" t="s">
        <v>704</v>
      </c>
      <c r="AN47" s="296" t="s">
        <v>704</v>
      </c>
      <c r="AO47" s="296" t="s">
        <v>704</v>
      </c>
      <c r="AP47" s="296" t="s">
        <v>704</v>
      </c>
      <c r="AQ47" s="296" t="s">
        <v>704</v>
      </c>
      <c r="AR47" s="296" t="s">
        <v>704</v>
      </c>
      <c r="AS47" s="296" t="s">
        <v>704</v>
      </c>
      <c r="AT47" s="296" t="s">
        <v>704</v>
      </c>
      <c r="AU47" s="296" t="s">
        <v>704</v>
      </c>
      <c r="AV47" s="296" t="s">
        <v>704</v>
      </c>
      <c r="AW47" s="296"/>
      <c r="AX47" s="296"/>
    </row>
    <row r="48" spans="1:50" x14ac:dyDescent="0.25">
      <c r="A48" s="299">
        <v>1</v>
      </c>
      <c r="C48" s="306" t="str">
        <f>"EBIT"</f>
        <v>EBIT</v>
      </c>
      <c r="D48" s="307" t="s">
        <v>704</v>
      </c>
      <c r="E48" s="307" t="s">
        <v>704</v>
      </c>
      <c r="F48" s="307" t="s">
        <v>704</v>
      </c>
      <c r="G48" s="307" t="s">
        <v>704</v>
      </c>
      <c r="H48" s="307" t="s">
        <v>704</v>
      </c>
      <c r="I48" s="307" t="s">
        <v>704</v>
      </c>
      <c r="J48" s="307" t="s">
        <v>704</v>
      </c>
      <c r="K48" s="307" t="s">
        <v>704</v>
      </c>
      <c r="L48" s="307" t="s">
        <v>704</v>
      </c>
      <c r="M48" s="307" t="s">
        <v>704</v>
      </c>
      <c r="N48" s="307" t="s">
        <v>704</v>
      </c>
      <c r="O48" s="307" t="s">
        <v>704</v>
      </c>
      <c r="P48" s="307" t="s">
        <v>704</v>
      </c>
      <c r="Q48" s="307" t="s">
        <v>704</v>
      </c>
      <c r="R48" s="307" t="s">
        <v>704</v>
      </c>
      <c r="S48" s="300" t="s">
        <v>704</v>
      </c>
      <c r="T48" s="296" t="s">
        <v>704</v>
      </c>
      <c r="U48" s="296" t="s">
        <v>704</v>
      </c>
      <c r="V48" s="296" t="s">
        <v>704</v>
      </c>
      <c r="W48" s="296" t="s">
        <v>704</v>
      </c>
      <c r="X48" s="296" t="s">
        <v>704</v>
      </c>
      <c r="Y48" s="296" t="s">
        <v>704</v>
      </c>
      <c r="Z48" s="296" t="s">
        <v>704</v>
      </c>
      <c r="AA48" s="296" t="s">
        <v>704</v>
      </c>
      <c r="AB48" s="296" t="s">
        <v>704</v>
      </c>
      <c r="AC48" s="296" t="s">
        <v>704</v>
      </c>
      <c r="AD48" s="296" t="s">
        <v>704</v>
      </c>
      <c r="AE48" s="296" t="s">
        <v>704</v>
      </c>
      <c r="AF48" s="296" t="s">
        <v>704</v>
      </c>
      <c r="AG48" s="296" t="s">
        <v>704</v>
      </c>
      <c r="AH48" s="296" t="s">
        <v>704</v>
      </c>
      <c r="AI48" s="296" t="s">
        <v>704</v>
      </c>
      <c r="AJ48" s="296" t="s">
        <v>704</v>
      </c>
      <c r="AK48" s="296" t="s">
        <v>704</v>
      </c>
      <c r="AL48" s="296" t="s">
        <v>704</v>
      </c>
      <c r="AM48" s="296" t="s">
        <v>704</v>
      </c>
      <c r="AN48" s="296" t="s">
        <v>704</v>
      </c>
      <c r="AO48" s="296" t="s">
        <v>704</v>
      </c>
      <c r="AP48" s="296" t="s">
        <v>704</v>
      </c>
      <c r="AQ48" s="296" t="s">
        <v>704</v>
      </c>
      <c r="AR48" s="296" t="s">
        <v>704</v>
      </c>
      <c r="AS48" s="296" t="s">
        <v>704</v>
      </c>
      <c r="AT48" s="296" t="s">
        <v>704</v>
      </c>
      <c r="AU48" s="296" t="s">
        <v>704</v>
      </c>
      <c r="AV48" s="296" t="s">
        <v>704</v>
      </c>
      <c r="AW48" s="296"/>
      <c r="AX48" s="296"/>
    </row>
    <row r="49" spans="1:50" x14ac:dyDescent="0.25">
      <c r="A49" s="299">
        <v>1</v>
      </c>
      <c r="C49" s="308" t="str">
        <f>"    Actual"</f>
        <v xml:space="preserve">    Actual</v>
      </c>
      <c r="D49" s="309">
        <v>-175</v>
      </c>
      <c r="E49" s="309">
        <v>-28919</v>
      </c>
      <c r="F49" s="309">
        <v>-17409</v>
      </c>
      <c r="G49" s="309">
        <v>-12126</v>
      </c>
      <c r="H49" s="309">
        <v>-14904</v>
      </c>
      <c r="I49" s="309">
        <v>-18392</v>
      </c>
      <c r="J49" s="309">
        <v>-13214</v>
      </c>
      <c r="K49" s="309" t="s">
        <v>704</v>
      </c>
      <c r="L49" s="309" t="s">
        <v>704</v>
      </c>
      <c r="M49" s="309" t="s">
        <v>704</v>
      </c>
      <c r="N49" s="309" t="s">
        <v>704</v>
      </c>
      <c r="O49" s="309" t="s">
        <v>704</v>
      </c>
      <c r="P49" s="309" t="s">
        <v>704</v>
      </c>
      <c r="Q49" s="309" t="s">
        <v>704</v>
      </c>
      <c r="R49" s="309" t="s">
        <v>704</v>
      </c>
      <c r="S49" s="300" t="s">
        <v>704</v>
      </c>
      <c r="T49" s="296" t="s">
        <v>704</v>
      </c>
      <c r="U49" s="296" t="s">
        <v>704</v>
      </c>
      <c r="V49" s="296" t="s">
        <v>704</v>
      </c>
      <c r="W49" s="296" t="s">
        <v>704</v>
      </c>
      <c r="X49" s="296" t="s">
        <v>704</v>
      </c>
      <c r="Y49" s="296" t="s">
        <v>704</v>
      </c>
      <c r="Z49" s="296" t="s">
        <v>704</v>
      </c>
      <c r="AA49" s="296" t="s">
        <v>704</v>
      </c>
      <c r="AB49" s="296" t="s">
        <v>704</v>
      </c>
      <c r="AC49" s="296" t="s">
        <v>704</v>
      </c>
      <c r="AD49" s="296" t="s">
        <v>704</v>
      </c>
      <c r="AE49" s="296" t="s">
        <v>704</v>
      </c>
      <c r="AF49" s="296" t="s">
        <v>704</v>
      </c>
      <c r="AG49" s="296" t="s">
        <v>704</v>
      </c>
      <c r="AH49" s="296" t="s">
        <v>704</v>
      </c>
      <c r="AI49" s="296" t="s">
        <v>704</v>
      </c>
      <c r="AJ49" s="296" t="s">
        <v>704</v>
      </c>
      <c r="AK49" s="296" t="s">
        <v>704</v>
      </c>
      <c r="AL49" s="296" t="s">
        <v>704</v>
      </c>
      <c r="AM49" s="296" t="s">
        <v>704</v>
      </c>
      <c r="AN49" s="296" t="s">
        <v>704</v>
      </c>
      <c r="AO49" s="296" t="s">
        <v>704</v>
      </c>
      <c r="AP49" s="296" t="s">
        <v>704</v>
      </c>
      <c r="AQ49" s="296" t="s">
        <v>704</v>
      </c>
      <c r="AR49" s="296" t="s">
        <v>704</v>
      </c>
      <c r="AS49" s="296" t="s">
        <v>704</v>
      </c>
      <c r="AT49" s="296" t="s">
        <v>704</v>
      </c>
      <c r="AU49" s="296" t="s">
        <v>704</v>
      </c>
      <c r="AV49" s="296" t="s">
        <v>704</v>
      </c>
      <c r="AW49" s="296"/>
      <c r="AX49" s="296"/>
    </row>
    <row r="50" spans="1:50" x14ac:dyDescent="0.25">
      <c r="A50" s="299">
        <v>1</v>
      </c>
      <c r="C50" s="308" t="str">
        <f>"    Median"</f>
        <v xml:space="preserve">    Median</v>
      </c>
      <c r="D50" s="309">
        <v>-478</v>
      </c>
      <c r="E50" s="309">
        <v>-29900</v>
      </c>
      <c r="F50" s="309">
        <v>-17800</v>
      </c>
      <c r="G50" s="309">
        <v>-21300</v>
      </c>
      <c r="H50" s="309">
        <v>-20100</v>
      </c>
      <c r="I50" s="309">
        <v>-22672.5</v>
      </c>
      <c r="J50" s="309">
        <v>-22800</v>
      </c>
      <c r="K50" s="309">
        <v>-10950</v>
      </c>
      <c r="L50" s="309">
        <v>-9550</v>
      </c>
      <c r="M50" s="309">
        <v>-10411</v>
      </c>
      <c r="N50" s="309">
        <v>-5300</v>
      </c>
      <c r="O50" s="309">
        <v>4974</v>
      </c>
      <c r="P50" s="309">
        <v>2992.5</v>
      </c>
      <c r="Q50" s="309">
        <v>1655.5</v>
      </c>
      <c r="R50" s="309">
        <v>3504.5</v>
      </c>
      <c r="S50" s="300" t="s">
        <v>704</v>
      </c>
      <c r="T50" s="296" t="s">
        <v>704</v>
      </c>
      <c r="U50" s="296" t="s">
        <v>704</v>
      </c>
      <c r="V50" s="296" t="s">
        <v>704</v>
      </c>
      <c r="W50" s="296" t="s">
        <v>704</v>
      </c>
      <c r="X50" s="296" t="s">
        <v>704</v>
      </c>
      <c r="Y50" s="296" t="s">
        <v>704</v>
      </c>
      <c r="Z50" s="296" t="s">
        <v>704</v>
      </c>
      <c r="AA50" s="296" t="s">
        <v>704</v>
      </c>
      <c r="AB50" s="296" t="s">
        <v>704</v>
      </c>
      <c r="AC50" s="296" t="s">
        <v>704</v>
      </c>
      <c r="AD50" s="296" t="s">
        <v>704</v>
      </c>
      <c r="AE50" s="296" t="s">
        <v>704</v>
      </c>
      <c r="AF50" s="296" t="s">
        <v>704</v>
      </c>
      <c r="AG50" s="296" t="s">
        <v>704</v>
      </c>
      <c r="AH50" s="296" t="s">
        <v>704</v>
      </c>
      <c r="AI50" s="296" t="s">
        <v>704</v>
      </c>
      <c r="AJ50" s="296" t="s">
        <v>704</v>
      </c>
      <c r="AK50" s="296" t="s">
        <v>704</v>
      </c>
      <c r="AL50" s="296" t="s">
        <v>704</v>
      </c>
      <c r="AM50" s="296" t="s">
        <v>704</v>
      </c>
      <c r="AN50" s="296" t="s">
        <v>704</v>
      </c>
      <c r="AO50" s="296" t="s">
        <v>704</v>
      </c>
      <c r="AP50" s="296" t="s">
        <v>704</v>
      </c>
      <c r="AQ50" s="296" t="s">
        <v>704</v>
      </c>
      <c r="AR50" s="296" t="s">
        <v>704</v>
      </c>
      <c r="AS50" s="296" t="s">
        <v>704</v>
      </c>
      <c r="AT50" s="296" t="s">
        <v>704</v>
      </c>
      <c r="AU50" s="296" t="s">
        <v>704</v>
      </c>
      <c r="AV50" s="296" t="s">
        <v>704</v>
      </c>
      <c r="AW50" s="296"/>
      <c r="AX50" s="296"/>
    </row>
    <row r="51" spans="1:50" x14ac:dyDescent="0.25">
      <c r="A51" s="299">
        <v>1</v>
      </c>
      <c r="C51" s="308" t="str">
        <f>"    High"</f>
        <v xml:space="preserve">    High</v>
      </c>
      <c r="D51" s="309">
        <v>3400</v>
      </c>
      <c r="E51" s="309">
        <v>-29104</v>
      </c>
      <c r="F51" s="309">
        <v>-6001</v>
      </c>
      <c r="G51" s="309">
        <v>-19100</v>
      </c>
      <c r="H51" s="309">
        <v>-16300</v>
      </c>
      <c r="I51" s="309">
        <v>-21400</v>
      </c>
      <c r="J51" s="309">
        <v>-19100</v>
      </c>
      <c r="K51" s="309">
        <v>-4900</v>
      </c>
      <c r="L51" s="309">
        <v>-5300</v>
      </c>
      <c r="M51" s="309">
        <v>-5300</v>
      </c>
      <c r="N51" s="309">
        <v>2700</v>
      </c>
      <c r="O51" s="309">
        <v>9248</v>
      </c>
      <c r="P51" s="309">
        <v>3085</v>
      </c>
      <c r="Q51" s="309">
        <v>4300</v>
      </c>
      <c r="R51" s="309">
        <v>6800</v>
      </c>
      <c r="S51" s="300" t="s">
        <v>704</v>
      </c>
      <c r="T51" s="296" t="s">
        <v>704</v>
      </c>
      <c r="U51" s="296" t="s">
        <v>704</v>
      </c>
      <c r="V51" s="296" t="s">
        <v>704</v>
      </c>
      <c r="W51" s="296" t="s">
        <v>704</v>
      </c>
      <c r="X51" s="296" t="s">
        <v>704</v>
      </c>
      <c r="Y51" s="296" t="s">
        <v>704</v>
      </c>
      <c r="Z51" s="296" t="s">
        <v>704</v>
      </c>
      <c r="AA51" s="296" t="s">
        <v>704</v>
      </c>
      <c r="AB51" s="296" t="s">
        <v>704</v>
      </c>
      <c r="AC51" s="296" t="s">
        <v>704</v>
      </c>
      <c r="AD51" s="296" t="s">
        <v>704</v>
      </c>
      <c r="AE51" s="296" t="s">
        <v>704</v>
      </c>
      <c r="AF51" s="296" t="s">
        <v>704</v>
      </c>
      <c r="AG51" s="296" t="s">
        <v>704</v>
      </c>
      <c r="AH51" s="296" t="s">
        <v>704</v>
      </c>
      <c r="AI51" s="296" t="s">
        <v>704</v>
      </c>
      <c r="AJ51" s="296" t="s">
        <v>704</v>
      </c>
      <c r="AK51" s="296" t="s">
        <v>704</v>
      </c>
      <c r="AL51" s="296" t="s">
        <v>704</v>
      </c>
      <c r="AM51" s="296" t="s">
        <v>704</v>
      </c>
      <c r="AN51" s="296" t="s">
        <v>704</v>
      </c>
      <c r="AO51" s="296" t="s">
        <v>704</v>
      </c>
      <c r="AP51" s="296" t="s">
        <v>704</v>
      </c>
      <c r="AQ51" s="296" t="s">
        <v>704</v>
      </c>
      <c r="AR51" s="296" t="s">
        <v>704</v>
      </c>
      <c r="AS51" s="296" t="s">
        <v>704</v>
      </c>
      <c r="AT51" s="296" t="s">
        <v>704</v>
      </c>
      <c r="AU51" s="296" t="s">
        <v>704</v>
      </c>
      <c r="AV51" s="296" t="s">
        <v>704</v>
      </c>
      <c r="AW51" s="296"/>
      <c r="AX51" s="296"/>
    </row>
    <row r="52" spans="1:50" x14ac:dyDescent="0.25">
      <c r="A52" s="299">
        <v>1</v>
      </c>
      <c r="C52" s="308" t="str">
        <f>"    Low"</f>
        <v xml:space="preserve">    Low</v>
      </c>
      <c r="D52" s="309">
        <v>-500</v>
      </c>
      <c r="E52" s="309">
        <v>-32600</v>
      </c>
      <c r="F52" s="309">
        <v>-27600</v>
      </c>
      <c r="G52" s="309">
        <v>-22800</v>
      </c>
      <c r="H52" s="309">
        <v>-21600</v>
      </c>
      <c r="I52" s="309">
        <v>-24600</v>
      </c>
      <c r="J52" s="309">
        <v>-25100</v>
      </c>
      <c r="K52" s="309">
        <v>-15700</v>
      </c>
      <c r="L52" s="309">
        <v>-17500</v>
      </c>
      <c r="M52" s="309">
        <v>-19000</v>
      </c>
      <c r="N52" s="309">
        <v>-11000</v>
      </c>
      <c r="O52" s="309">
        <v>700</v>
      </c>
      <c r="P52" s="309">
        <v>2900</v>
      </c>
      <c r="Q52" s="309">
        <v>-989</v>
      </c>
      <c r="R52" s="309">
        <v>209</v>
      </c>
      <c r="S52" s="300" t="s">
        <v>704</v>
      </c>
      <c r="T52" s="296" t="s">
        <v>704</v>
      </c>
      <c r="U52" s="296" t="s">
        <v>704</v>
      </c>
      <c r="V52" s="296" t="s">
        <v>704</v>
      </c>
      <c r="W52" s="296" t="s">
        <v>704</v>
      </c>
      <c r="X52" s="296" t="s">
        <v>704</v>
      </c>
      <c r="Y52" s="296" t="s">
        <v>704</v>
      </c>
      <c r="Z52" s="296" t="s">
        <v>704</v>
      </c>
      <c r="AA52" s="296" t="s">
        <v>704</v>
      </c>
      <c r="AB52" s="296" t="s">
        <v>704</v>
      </c>
      <c r="AC52" s="296" t="s">
        <v>704</v>
      </c>
      <c r="AD52" s="296" t="s">
        <v>704</v>
      </c>
      <c r="AE52" s="296" t="s">
        <v>704</v>
      </c>
      <c r="AF52" s="296" t="s">
        <v>704</v>
      </c>
      <c r="AG52" s="296" t="s">
        <v>704</v>
      </c>
      <c r="AH52" s="296" t="s">
        <v>704</v>
      </c>
      <c r="AI52" s="296" t="s">
        <v>704</v>
      </c>
      <c r="AJ52" s="296" t="s">
        <v>704</v>
      </c>
      <c r="AK52" s="296" t="s">
        <v>704</v>
      </c>
      <c r="AL52" s="296" t="s">
        <v>704</v>
      </c>
      <c r="AM52" s="296" t="s">
        <v>704</v>
      </c>
      <c r="AN52" s="296" t="s">
        <v>704</v>
      </c>
      <c r="AO52" s="296" t="s">
        <v>704</v>
      </c>
      <c r="AP52" s="296" t="s">
        <v>704</v>
      </c>
      <c r="AQ52" s="296" t="s">
        <v>704</v>
      </c>
      <c r="AR52" s="296" t="s">
        <v>704</v>
      </c>
      <c r="AS52" s="296" t="s">
        <v>704</v>
      </c>
      <c r="AT52" s="296" t="s">
        <v>704</v>
      </c>
      <c r="AU52" s="296" t="s">
        <v>704</v>
      </c>
      <c r="AV52" s="296" t="s">
        <v>704</v>
      </c>
      <c r="AW52" s="296"/>
      <c r="AX52" s="296"/>
    </row>
    <row r="53" spans="1:50" x14ac:dyDescent="0.25">
      <c r="A53" s="299">
        <v>1</v>
      </c>
      <c r="C53" s="308" t="str">
        <f>"    Mean"</f>
        <v xml:space="preserve">    Mean</v>
      </c>
      <c r="D53" s="309">
        <v>807.33299999999997</v>
      </c>
      <c r="E53" s="309">
        <v>-30484</v>
      </c>
      <c r="F53" s="309">
        <v>-18016.832999999999</v>
      </c>
      <c r="G53" s="309">
        <v>-21200</v>
      </c>
      <c r="H53" s="309">
        <v>-19711</v>
      </c>
      <c r="I53" s="309">
        <v>-22740.832999999999</v>
      </c>
      <c r="J53" s="309">
        <v>-22811.832999999999</v>
      </c>
      <c r="K53" s="309">
        <v>-10130.666999999999</v>
      </c>
      <c r="L53" s="309">
        <v>-10532</v>
      </c>
      <c r="M53" s="309">
        <v>-11337</v>
      </c>
      <c r="N53" s="309">
        <v>-4826</v>
      </c>
      <c r="O53" s="309">
        <v>4974</v>
      </c>
      <c r="P53" s="309">
        <v>2992.5</v>
      </c>
      <c r="Q53" s="309">
        <v>1655.5</v>
      </c>
      <c r="R53" s="309">
        <v>3504.5</v>
      </c>
      <c r="S53" s="300" t="s">
        <v>704</v>
      </c>
      <c r="T53" s="296" t="s">
        <v>704</v>
      </c>
      <c r="U53" s="296" t="s">
        <v>704</v>
      </c>
      <c r="V53" s="296" t="s">
        <v>704</v>
      </c>
      <c r="W53" s="296" t="s">
        <v>704</v>
      </c>
      <c r="X53" s="296" t="s">
        <v>704</v>
      </c>
      <c r="Y53" s="296" t="s">
        <v>704</v>
      </c>
      <c r="Z53" s="296" t="s">
        <v>704</v>
      </c>
      <c r="AA53" s="296" t="s">
        <v>704</v>
      </c>
      <c r="AB53" s="296" t="s">
        <v>704</v>
      </c>
      <c r="AC53" s="296" t="s">
        <v>704</v>
      </c>
      <c r="AD53" s="296" t="s">
        <v>704</v>
      </c>
      <c r="AE53" s="296" t="s">
        <v>704</v>
      </c>
      <c r="AF53" s="296" t="s">
        <v>704</v>
      </c>
      <c r="AG53" s="296" t="s">
        <v>704</v>
      </c>
      <c r="AH53" s="296" t="s">
        <v>704</v>
      </c>
      <c r="AI53" s="296" t="s">
        <v>704</v>
      </c>
      <c r="AJ53" s="296" t="s">
        <v>704</v>
      </c>
      <c r="AK53" s="296" t="s">
        <v>704</v>
      </c>
      <c r="AL53" s="296" t="s">
        <v>704</v>
      </c>
      <c r="AM53" s="296" t="s">
        <v>704</v>
      </c>
      <c r="AN53" s="296" t="s">
        <v>704</v>
      </c>
      <c r="AO53" s="296" t="s">
        <v>704</v>
      </c>
      <c r="AP53" s="296" t="s">
        <v>704</v>
      </c>
      <c r="AQ53" s="296" t="s">
        <v>704</v>
      </c>
      <c r="AR53" s="296" t="s">
        <v>704</v>
      </c>
      <c r="AS53" s="296" t="s">
        <v>704</v>
      </c>
      <c r="AT53" s="296" t="s">
        <v>704</v>
      </c>
      <c r="AU53" s="296" t="s">
        <v>704</v>
      </c>
      <c r="AV53" s="296" t="s">
        <v>704</v>
      </c>
      <c r="AW53" s="296"/>
      <c r="AX53" s="296"/>
    </row>
    <row r="54" spans="1:50" x14ac:dyDescent="0.25">
      <c r="A54" s="299">
        <v>1</v>
      </c>
      <c r="C54" s="308" t="str">
        <f>"    Standard Deviation"</f>
        <v xml:space="preserve">    Standard Deviation</v>
      </c>
      <c r="D54" s="309">
        <v>2008.2950000000001</v>
      </c>
      <c r="E54" s="309">
        <v>1521.662</v>
      </c>
      <c r="F54" s="309">
        <v>7066.6019999999999</v>
      </c>
      <c r="G54" s="309">
        <v>1443.953</v>
      </c>
      <c r="H54" s="309">
        <v>2108.0050000000001</v>
      </c>
      <c r="I54" s="309">
        <v>1304.6849999999999</v>
      </c>
      <c r="J54" s="309">
        <v>2060.5820000000003</v>
      </c>
      <c r="K54" s="309">
        <v>4177.0469999999996</v>
      </c>
      <c r="L54" s="309">
        <v>4298.1930000000002</v>
      </c>
      <c r="M54" s="309">
        <v>4633.2510000000002</v>
      </c>
      <c r="N54" s="309">
        <v>4911.6570000000002</v>
      </c>
      <c r="O54" s="309">
        <v>6044.3490000000002</v>
      </c>
      <c r="P54" s="309">
        <v>130.815</v>
      </c>
      <c r="Q54" s="309">
        <v>3739.8879999999999</v>
      </c>
      <c r="R54" s="309">
        <v>4660.5410000000002</v>
      </c>
      <c r="S54" s="300" t="s">
        <v>704</v>
      </c>
      <c r="T54" s="296" t="s">
        <v>704</v>
      </c>
      <c r="U54" s="296" t="s">
        <v>704</v>
      </c>
      <c r="V54" s="296" t="s">
        <v>704</v>
      </c>
      <c r="W54" s="296" t="s">
        <v>704</v>
      </c>
      <c r="X54" s="296" t="s">
        <v>704</v>
      </c>
      <c r="Y54" s="296" t="s">
        <v>704</v>
      </c>
      <c r="Z54" s="296" t="s">
        <v>704</v>
      </c>
      <c r="AA54" s="296" t="s">
        <v>704</v>
      </c>
      <c r="AB54" s="296" t="s">
        <v>704</v>
      </c>
      <c r="AC54" s="296" t="s">
        <v>704</v>
      </c>
      <c r="AD54" s="296" t="s">
        <v>704</v>
      </c>
      <c r="AE54" s="296" t="s">
        <v>704</v>
      </c>
      <c r="AF54" s="296" t="s">
        <v>704</v>
      </c>
      <c r="AG54" s="296" t="s">
        <v>704</v>
      </c>
      <c r="AH54" s="296" t="s">
        <v>704</v>
      </c>
      <c r="AI54" s="296" t="s">
        <v>704</v>
      </c>
      <c r="AJ54" s="296" t="s">
        <v>704</v>
      </c>
      <c r="AK54" s="296" t="s">
        <v>704</v>
      </c>
      <c r="AL54" s="296" t="s">
        <v>704</v>
      </c>
      <c r="AM54" s="296" t="s">
        <v>704</v>
      </c>
      <c r="AN54" s="296" t="s">
        <v>704</v>
      </c>
      <c r="AO54" s="296" t="s">
        <v>704</v>
      </c>
      <c r="AP54" s="296" t="s">
        <v>704</v>
      </c>
      <c r="AQ54" s="296" t="s">
        <v>704</v>
      </c>
      <c r="AR54" s="296" t="s">
        <v>704</v>
      </c>
      <c r="AS54" s="296" t="s">
        <v>704</v>
      </c>
      <c r="AT54" s="296" t="s">
        <v>704</v>
      </c>
      <c r="AU54" s="296" t="s">
        <v>704</v>
      </c>
      <c r="AV54" s="296" t="s">
        <v>704</v>
      </c>
      <c r="AW54" s="296"/>
      <c r="AX54" s="296"/>
    </row>
    <row r="55" spans="1:50" x14ac:dyDescent="0.25">
      <c r="A55" s="299">
        <v>1</v>
      </c>
      <c r="C55" s="308" t="str">
        <f>"    Number of Estimates"</f>
        <v xml:space="preserve">    Number of Estimates</v>
      </c>
      <c r="D55" s="309">
        <v>6</v>
      </c>
      <c r="E55" s="309">
        <v>6</v>
      </c>
      <c r="F55" s="309">
        <v>6</v>
      </c>
      <c r="G55" s="309">
        <v>5</v>
      </c>
      <c r="H55" s="309">
        <v>6</v>
      </c>
      <c r="I55" s="309">
        <v>6</v>
      </c>
      <c r="J55" s="309">
        <v>6</v>
      </c>
      <c r="K55" s="309">
        <v>6</v>
      </c>
      <c r="L55" s="309">
        <v>6</v>
      </c>
      <c r="M55" s="309">
        <v>6</v>
      </c>
      <c r="N55" s="309">
        <v>6</v>
      </c>
      <c r="O55" s="309">
        <v>2</v>
      </c>
      <c r="P55" s="309">
        <v>2</v>
      </c>
      <c r="Q55" s="309">
        <v>2</v>
      </c>
      <c r="R55" s="309">
        <v>2</v>
      </c>
      <c r="S55" s="300" t="s">
        <v>704</v>
      </c>
      <c r="T55" s="296" t="s">
        <v>704</v>
      </c>
      <c r="U55" s="296" t="s">
        <v>704</v>
      </c>
      <c r="V55" s="296" t="s">
        <v>704</v>
      </c>
      <c r="W55" s="296" t="s">
        <v>704</v>
      </c>
      <c r="X55" s="296" t="s">
        <v>704</v>
      </c>
      <c r="Y55" s="296" t="s">
        <v>704</v>
      </c>
      <c r="Z55" s="296" t="s">
        <v>704</v>
      </c>
      <c r="AA55" s="296" t="s">
        <v>704</v>
      </c>
      <c r="AB55" s="296" t="s">
        <v>704</v>
      </c>
      <c r="AC55" s="296" t="s">
        <v>704</v>
      </c>
      <c r="AD55" s="296" t="s">
        <v>704</v>
      </c>
      <c r="AE55" s="296" t="s">
        <v>704</v>
      </c>
      <c r="AF55" s="296" t="s">
        <v>704</v>
      </c>
      <c r="AG55" s="296" t="s">
        <v>704</v>
      </c>
      <c r="AH55" s="296" t="s">
        <v>704</v>
      </c>
      <c r="AI55" s="296" t="s">
        <v>704</v>
      </c>
      <c r="AJ55" s="296" t="s">
        <v>704</v>
      </c>
      <c r="AK55" s="296" t="s">
        <v>704</v>
      </c>
      <c r="AL55" s="296" t="s">
        <v>704</v>
      </c>
      <c r="AM55" s="296" t="s">
        <v>704</v>
      </c>
      <c r="AN55" s="296" t="s">
        <v>704</v>
      </c>
      <c r="AO55" s="296" t="s">
        <v>704</v>
      </c>
      <c r="AP55" s="296" t="s">
        <v>704</v>
      </c>
      <c r="AQ55" s="296" t="s">
        <v>704</v>
      </c>
      <c r="AR55" s="296" t="s">
        <v>704</v>
      </c>
      <c r="AS55" s="296" t="s">
        <v>704</v>
      </c>
      <c r="AT55" s="296" t="s">
        <v>704</v>
      </c>
      <c r="AU55" s="296" t="s">
        <v>704</v>
      </c>
      <c r="AV55" s="296" t="s">
        <v>704</v>
      </c>
      <c r="AW55" s="296"/>
      <c r="AX55" s="296"/>
    </row>
    <row r="56" spans="1:50" x14ac:dyDescent="0.25">
      <c r="A56" s="299">
        <v>1</v>
      </c>
      <c r="C56" s="306" t="str">
        <f>"Free Cash Flow"</f>
        <v>Free Cash Flow</v>
      </c>
      <c r="D56" s="307" t="s">
        <v>704</v>
      </c>
      <c r="E56" s="307" t="s">
        <v>704</v>
      </c>
      <c r="F56" s="307" t="s">
        <v>704</v>
      </c>
      <c r="G56" s="307" t="s">
        <v>704</v>
      </c>
      <c r="H56" s="307" t="s">
        <v>704</v>
      </c>
      <c r="I56" s="307" t="s">
        <v>704</v>
      </c>
      <c r="J56" s="307" t="s">
        <v>704</v>
      </c>
      <c r="K56" s="307" t="s">
        <v>704</v>
      </c>
      <c r="L56" s="307" t="s">
        <v>704</v>
      </c>
      <c r="M56" s="307" t="s">
        <v>704</v>
      </c>
      <c r="N56" s="307" t="s">
        <v>704</v>
      </c>
      <c r="O56" s="307" t="s">
        <v>704</v>
      </c>
      <c r="P56" s="307" t="s">
        <v>704</v>
      </c>
      <c r="Q56" s="307" t="s">
        <v>704</v>
      </c>
      <c r="R56" s="307" t="s">
        <v>704</v>
      </c>
      <c r="S56" s="300" t="s">
        <v>704</v>
      </c>
      <c r="T56" s="296" t="s">
        <v>704</v>
      </c>
      <c r="U56" s="296" t="s">
        <v>704</v>
      </c>
      <c r="V56" s="296" t="s">
        <v>704</v>
      </c>
      <c r="W56" s="296" t="s">
        <v>704</v>
      </c>
      <c r="X56" s="296" t="s">
        <v>704</v>
      </c>
      <c r="Y56" s="296" t="s">
        <v>704</v>
      </c>
      <c r="Z56" s="296" t="s">
        <v>704</v>
      </c>
      <c r="AA56" s="296" t="s">
        <v>704</v>
      </c>
      <c r="AB56" s="296" t="s">
        <v>704</v>
      </c>
      <c r="AC56" s="296" t="s">
        <v>704</v>
      </c>
      <c r="AD56" s="296" t="s">
        <v>704</v>
      </c>
      <c r="AE56" s="296" t="s">
        <v>704</v>
      </c>
      <c r="AF56" s="296" t="s">
        <v>704</v>
      </c>
      <c r="AG56" s="296" t="s">
        <v>704</v>
      </c>
      <c r="AH56" s="296" t="s">
        <v>704</v>
      </c>
      <c r="AI56" s="296" t="s">
        <v>704</v>
      </c>
      <c r="AJ56" s="296" t="s">
        <v>704</v>
      </c>
      <c r="AK56" s="296" t="s">
        <v>704</v>
      </c>
      <c r="AL56" s="296" t="s">
        <v>704</v>
      </c>
      <c r="AM56" s="296" t="s">
        <v>704</v>
      </c>
      <c r="AN56" s="296" t="s">
        <v>704</v>
      </c>
      <c r="AO56" s="296" t="s">
        <v>704</v>
      </c>
      <c r="AP56" s="296" t="s">
        <v>704</v>
      </c>
      <c r="AQ56" s="296" t="s">
        <v>704</v>
      </c>
      <c r="AR56" s="296" t="s">
        <v>704</v>
      </c>
      <c r="AS56" s="296" t="s">
        <v>704</v>
      </c>
      <c r="AT56" s="296" t="s">
        <v>704</v>
      </c>
      <c r="AU56" s="296" t="s">
        <v>704</v>
      </c>
      <c r="AV56" s="296" t="s">
        <v>704</v>
      </c>
      <c r="AW56" s="296"/>
      <c r="AX56" s="296"/>
    </row>
    <row r="57" spans="1:50" x14ac:dyDescent="0.25">
      <c r="A57" s="299">
        <v>1</v>
      </c>
      <c r="C57" s="308" t="str">
        <f>"    Actual"</f>
        <v xml:space="preserve">    Actual</v>
      </c>
      <c r="D57" s="309">
        <v>1511</v>
      </c>
      <c r="E57" s="309">
        <v>-9039</v>
      </c>
      <c r="F57" s="309">
        <v>-3184</v>
      </c>
      <c r="G57" s="309">
        <v>762</v>
      </c>
      <c r="H57" s="309">
        <v>970</v>
      </c>
      <c r="I57" s="309">
        <v>9</v>
      </c>
      <c r="J57" s="309">
        <v>7251</v>
      </c>
      <c r="K57" s="309" t="s">
        <v>704</v>
      </c>
      <c r="L57" s="309" t="s">
        <v>704</v>
      </c>
      <c r="M57" s="309" t="s">
        <v>704</v>
      </c>
      <c r="N57" s="309" t="s">
        <v>704</v>
      </c>
      <c r="O57" s="309" t="s">
        <v>704</v>
      </c>
      <c r="P57" s="309" t="s">
        <v>704</v>
      </c>
      <c r="Q57" s="309" t="s">
        <v>704</v>
      </c>
      <c r="R57" s="309" t="s">
        <v>704</v>
      </c>
      <c r="S57" s="300" t="s">
        <v>704</v>
      </c>
      <c r="T57" s="296" t="s">
        <v>704</v>
      </c>
      <c r="U57" s="296" t="s">
        <v>704</v>
      </c>
      <c r="V57" s="296" t="s">
        <v>704</v>
      </c>
      <c r="W57" s="296" t="s">
        <v>704</v>
      </c>
      <c r="X57" s="296" t="s">
        <v>704</v>
      </c>
      <c r="Y57" s="296" t="s">
        <v>704</v>
      </c>
      <c r="Z57" s="296" t="s">
        <v>704</v>
      </c>
      <c r="AA57" s="296" t="s">
        <v>704</v>
      </c>
      <c r="AB57" s="296" t="s">
        <v>704</v>
      </c>
      <c r="AC57" s="296" t="s">
        <v>704</v>
      </c>
      <c r="AD57" s="296" t="s">
        <v>704</v>
      </c>
      <c r="AE57" s="296" t="s">
        <v>704</v>
      </c>
      <c r="AF57" s="296" t="s">
        <v>704</v>
      </c>
      <c r="AG57" s="296" t="s">
        <v>704</v>
      </c>
      <c r="AH57" s="296" t="s">
        <v>704</v>
      </c>
      <c r="AI57" s="296" t="s">
        <v>704</v>
      </c>
      <c r="AJ57" s="296" t="s">
        <v>704</v>
      </c>
      <c r="AK57" s="296" t="s">
        <v>704</v>
      </c>
      <c r="AL57" s="296" t="s">
        <v>704</v>
      </c>
      <c r="AM57" s="296" t="s">
        <v>704</v>
      </c>
      <c r="AN57" s="296" t="s">
        <v>704</v>
      </c>
      <c r="AO57" s="296" t="s">
        <v>704</v>
      </c>
      <c r="AP57" s="296" t="s">
        <v>704</v>
      </c>
      <c r="AQ57" s="296" t="s">
        <v>704</v>
      </c>
      <c r="AR57" s="296" t="s">
        <v>704</v>
      </c>
      <c r="AS57" s="296" t="s">
        <v>704</v>
      </c>
      <c r="AT57" s="296" t="s">
        <v>704</v>
      </c>
      <c r="AU57" s="296" t="s">
        <v>704</v>
      </c>
      <c r="AV57" s="296" t="s">
        <v>704</v>
      </c>
      <c r="AW57" s="296"/>
      <c r="AX57" s="296"/>
    </row>
    <row r="58" spans="1:50" x14ac:dyDescent="0.25">
      <c r="A58" s="299">
        <v>1</v>
      </c>
      <c r="C58" s="308" t="str">
        <f>"    Median"</f>
        <v xml:space="preserve">    Median</v>
      </c>
      <c r="D58" s="309">
        <v>6200</v>
      </c>
      <c r="E58" s="309">
        <v>1900</v>
      </c>
      <c r="F58" s="309">
        <v>-7550</v>
      </c>
      <c r="G58" s="309">
        <v>14900</v>
      </c>
      <c r="H58" s="309">
        <v>5650.5</v>
      </c>
      <c r="I58" s="309">
        <v>-5600</v>
      </c>
      <c r="J58" s="309">
        <v>-6900</v>
      </c>
      <c r="K58" s="309">
        <v>3667</v>
      </c>
      <c r="L58" s="309">
        <v>4289</v>
      </c>
      <c r="M58" s="309">
        <v>3154</v>
      </c>
      <c r="N58" s="309">
        <v>12718</v>
      </c>
      <c r="O58" s="309" t="s">
        <v>704</v>
      </c>
      <c r="P58" s="309" t="s">
        <v>704</v>
      </c>
      <c r="Q58" s="309" t="s">
        <v>704</v>
      </c>
      <c r="R58" s="309" t="s">
        <v>704</v>
      </c>
      <c r="S58" s="300" t="s">
        <v>704</v>
      </c>
      <c r="T58" s="296" t="s">
        <v>704</v>
      </c>
      <c r="U58" s="296" t="s">
        <v>704</v>
      </c>
      <c r="V58" s="296" t="s">
        <v>704</v>
      </c>
      <c r="W58" s="296" t="s">
        <v>704</v>
      </c>
      <c r="X58" s="296" t="s">
        <v>704</v>
      </c>
      <c r="Y58" s="296" t="s">
        <v>704</v>
      </c>
      <c r="Z58" s="296" t="s">
        <v>704</v>
      </c>
      <c r="AA58" s="296" t="s">
        <v>704</v>
      </c>
      <c r="AB58" s="296" t="s">
        <v>704</v>
      </c>
      <c r="AC58" s="296" t="s">
        <v>704</v>
      </c>
      <c r="AD58" s="296" t="s">
        <v>704</v>
      </c>
      <c r="AE58" s="296" t="s">
        <v>704</v>
      </c>
      <c r="AF58" s="296" t="s">
        <v>704</v>
      </c>
      <c r="AG58" s="296" t="s">
        <v>704</v>
      </c>
      <c r="AH58" s="296" t="s">
        <v>704</v>
      </c>
      <c r="AI58" s="296" t="s">
        <v>704</v>
      </c>
      <c r="AJ58" s="296" t="s">
        <v>704</v>
      </c>
      <c r="AK58" s="296" t="s">
        <v>704</v>
      </c>
      <c r="AL58" s="296" t="s">
        <v>704</v>
      </c>
      <c r="AM58" s="296" t="s">
        <v>704</v>
      </c>
      <c r="AN58" s="296" t="s">
        <v>704</v>
      </c>
      <c r="AO58" s="296" t="s">
        <v>704</v>
      </c>
      <c r="AP58" s="296" t="s">
        <v>704</v>
      </c>
      <c r="AQ58" s="296" t="s">
        <v>704</v>
      </c>
      <c r="AR58" s="296" t="s">
        <v>704</v>
      </c>
      <c r="AS58" s="296" t="s">
        <v>704</v>
      </c>
      <c r="AT58" s="296" t="s">
        <v>704</v>
      </c>
      <c r="AU58" s="296" t="s">
        <v>704</v>
      </c>
      <c r="AV58" s="296" t="s">
        <v>704</v>
      </c>
      <c r="AW58" s="296"/>
      <c r="AX58" s="296"/>
    </row>
    <row r="59" spans="1:50" x14ac:dyDescent="0.25">
      <c r="A59" s="299">
        <v>1</v>
      </c>
      <c r="C59" s="308" t="str">
        <f>"    High"</f>
        <v xml:space="preserve">    High</v>
      </c>
      <c r="D59" s="309">
        <v>6200</v>
      </c>
      <c r="E59" s="309">
        <v>3300</v>
      </c>
      <c r="F59" s="309">
        <v>-7100</v>
      </c>
      <c r="G59" s="309">
        <v>14900</v>
      </c>
      <c r="H59" s="309">
        <v>15600</v>
      </c>
      <c r="I59" s="309">
        <v>-5600</v>
      </c>
      <c r="J59" s="309">
        <v>-6900</v>
      </c>
      <c r="K59" s="309">
        <v>3667</v>
      </c>
      <c r="L59" s="309">
        <v>4289</v>
      </c>
      <c r="M59" s="309">
        <v>3154</v>
      </c>
      <c r="N59" s="309">
        <v>12718</v>
      </c>
      <c r="O59" s="309" t="s">
        <v>704</v>
      </c>
      <c r="P59" s="309" t="s">
        <v>704</v>
      </c>
      <c r="Q59" s="309" t="s">
        <v>704</v>
      </c>
      <c r="R59" s="309" t="s">
        <v>704</v>
      </c>
      <c r="S59" s="300" t="s">
        <v>704</v>
      </c>
      <c r="T59" s="296" t="s">
        <v>704</v>
      </c>
      <c r="U59" s="296" t="s">
        <v>704</v>
      </c>
      <c r="V59" s="296" t="s">
        <v>704</v>
      </c>
      <c r="W59" s="296" t="s">
        <v>704</v>
      </c>
      <c r="X59" s="296" t="s">
        <v>704</v>
      </c>
      <c r="Y59" s="296" t="s">
        <v>704</v>
      </c>
      <c r="Z59" s="296" t="s">
        <v>704</v>
      </c>
      <c r="AA59" s="296" t="s">
        <v>704</v>
      </c>
      <c r="AB59" s="296" t="s">
        <v>704</v>
      </c>
      <c r="AC59" s="296" t="s">
        <v>704</v>
      </c>
      <c r="AD59" s="296" t="s">
        <v>704</v>
      </c>
      <c r="AE59" s="296" t="s">
        <v>704</v>
      </c>
      <c r="AF59" s="296" t="s">
        <v>704</v>
      </c>
      <c r="AG59" s="296" t="s">
        <v>704</v>
      </c>
      <c r="AH59" s="296" t="s">
        <v>704</v>
      </c>
      <c r="AI59" s="296" t="s">
        <v>704</v>
      </c>
      <c r="AJ59" s="296" t="s">
        <v>704</v>
      </c>
      <c r="AK59" s="296" t="s">
        <v>704</v>
      </c>
      <c r="AL59" s="296" t="s">
        <v>704</v>
      </c>
      <c r="AM59" s="296" t="s">
        <v>704</v>
      </c>
      <c r="AN59" s="296" t="s">
        <v>704</v>
      </c>
      <c r="AO59" s="296" t="s">
        <v>704</v>
      </c>
      <c r="AP59" s="296" t="s">
        <v>704</v>
      </c>
      <c r="AQ59" s="296" t="s">
        <v>704</v>
      </c>
      <c r="AR59" s="296" t="s">
        <v>704</v>
      </c>
      <c r="AS59" s="296" t="s">
        <v>704</v>
      </c>
      <c r="AT59" s="296" t="s">
        <v>704</v>
      </c>
      <c r="AU59" s="296" t="s">
        <v>704</v>
      </c>
      <c r="AV59" s="296" t="s">
        <v>704</v>
      </c>
      <c r="AW59" s="296"/>
      <c r="AX59" s="296"/>
    </row>
    <row r="60" spans="1:50" x14ac:dyDescent="0.25">
      <c r="A60" s="299">
        <v>1</v>
      </c>
      <c r="C60" s="308" t="str">
        <f>"    Low"</f>
        <v xml:space="preserve">    Low</v>
      </c>
      <c r="D60" s="309">
        <v>6200</v>
      </c>
      <c r="E60" s="309">
        <v>500</v>
      </c>
      <c r="F60" s="309">
        <v>-8000</v>
      </c>
      <c r="G60" s="309">
        <v>14900</v>
      </c>
      <c r="H60" s="309">
        <v>-4299</v>
      </c>
      <c r="I60" s="309">
        <v>-5600</v>
      </c>
      <c r="J60" s="309">
        <v>-6900</v>
      </c>
      <c r="K60" s="309">
        <v>3667</v>
      </c>
      <c r="L60" s="309">
        <v>4289</v>
      </c>
      <c r="M60" s="309">
        <v>3154</v>
      </c>
      <c r="N60" s="309">
        <v>12718</v>
      </c>
      <c r="O60" s="309" t="s">
        <v>704</v>
      </c>
      <c r="P60" s="309" t="s">
        <v>704</v>
      </c>
      <c r="Q60" s="309" t="s">
        <v>704</v>
      </c>
      <c r="R60" s="309" t="s">
        <v>704</v>
      </c>
      <c r="S60" s="300" t="s">
        <v>704</v>
      </c>
      <c r="T60" s="296" t="s">
        <v>704</v>
      </c>
      <c r="U60" s="296" t="s">
        <v>704</v>
      </c>
      <c r="V60" s="296" t="s">
        <v>704</v>
      </c>
      <c r="W60" s="296" t="s">
        <v>704</v>
      </c>
      <c r="X60" s="296" t="s">
        <v>704</v>
      </c>
      <c r="Y60" s="296" t="s">
        <v>704</v>
      </c>
      <c r="Z60" s="296" t="s">
        <v>704</v>
      </c>
      <c r="AA60" s="296" t="s">
        <v>704</v>
      </c>
      <c r="AB60" s="296" t="s">
        <v>704</v>
      </c>
      <c r="AC60" s="296" t="s">
        <v>704</v>
      </c>
      <c r="AD60" s="296" t="s">
        <v>704</v>
      </c>
      <c r="AE60" s="296" t="s">
        <v>704</v>
      </c>
      <c r="AF60" s="296" t="s">
        <v>704</v>
      </c>
      <c r="AG60" s="296" t="s">
        <v>704</v>
      </c>
      <c r="AH60" s="296" t="s">
        <v>704</v>
      </c>
      <c r="AI60" s="296" t="s">
        <v>704</v>
      </c>
      <c r="AJ60" s="296" t="s">
        <v>704</v>
      </c>
      <c r="AK60" s="296" t="s">
        <v>704</v>
      </c>
      <c r="AL60" s="296" t="s">
        <v>704</v>
      </c>
      <c r="AM60" s="296" t="s">
        <v>704</v>
      </c>
      <c r="AN60" s="296" t="s">
        <v>704</v>
      </c>
      <c r="AO60" s="296" t="s">
        <v>704</v>
      </c>
      <c r="AP60" s="296" t="s">
        <v>704</v>
      </c>
      <c r="AQ60" s="296" t="s">
        <v>704</v>
      </c>
      <c r="AR60" s="296" t="s">
        <v>704</v>
      </c>
      <c r="AS60" s="296" t="s">
        <v>704</v>
      </c>
      <c r="AT60" s="296" t="s">
        <v>704</v>
      </c>
      <c r="AU60" s="296" t="s">
        <v>704</v>
      </c>
      <c r="AV60" s="296" t="s">
        <v>704</v>
      </c>
      <c r="AW60" s="296"/>
      <c r="AX60" s="296"/>
    </row>
    <row r="61" spans="1:50" x14ac:dyDescent="0.25">
      <c r="A61" s="299">
        <v>1</v>
      </c>
      <c r="C61" s="308" t="str">
        <f>"    Mean"</f>
        <v xml:space="preserve">    Mean</v>
      </c>
      <c r="D61" s="309">
        <v>6200</v>
      </c>
      <c r="E61" s="309">
        <v>1900</v>
      </c>
      <c r="F61" s="309">
        <v>-7550</v>
      </c>
      <c r="G61" s="309">
        <v>14900</v>
      </c>
      <c r="H61" s="309">
        <v>5650.5</v>
      </c>
      <c r="I61" s="309">
        <v>-5600</v>
      </c>
      <c r="J61" s="309">
        <v>-6900</v>
      </c>
      <c r="K61" s="309">
        <v>3667</v>
      </c>
      <c r="L61" s="309">
        <v>4289</v>
      </c>
      <c r="M61" s="309">
        <v>3154</v>
      </c>
      <c r="N61" s="309">
        <v>12718</v>
      </c>
      <c r="O61" s="309" t="s">
        <v>704</v>
      </c>
      <c r="P61" s="309" t="s">
        <v>704</v>
      </c>
      <c r="Q61" s="309" t="s">
        <v>704</v>
      </c>
      <c r="R61" s="309" t="s">
        <v>704</v>
      </c>
      <c r="S61" s="300" t="s">
        <v>704</v>
      </c>
      <c r="T61" s="296" t="s">
        <v>704</v>
      </c>
      <c r="U61" s="296" t="s">
        <v>704</v>
      </c>
      <c r="V61" s="296" t="s">
        <v>704</v>
      </c>
      <c r="W61" s="296" t="s">
        <v>704</v>
      </c>
      <c r="X61" s="296" t="s">
        <v>704</v>
      </c>
      <c r="Y61" s="296" t="s">
        <v>704</v>
      </c>
      <c r="Z61" s="296" t="s">
        <v>704</v>
      </c>
      <c r="AA61" s="296" t="s">
        <v>704</v>
      </c>
      <c r="AB61" s="296" t="s">
        <v>704</v>
      </c>
      <c r="AC61" s="296" t="s">
        <v>704</v>
      </c>
      <c r="AD61" s="296" t="s">
        <v>704</v>
      </c>
      <c r="AE61" s="296" t="s">
        <v>704</v>
      </c>
      <c r="AF61" s="296" t="s">
        <v>704</v>
      </c>
      <c r="AG61" s="296" t="s">
        <v>704</v>
      </c>
      <c r="AH61" s="296" t="s">
        <v>704</v>
      </c>
      <c r="AI61" s="296" t="s">
        <v>704</v>
      </c>
      <c r="AJ61" s="296" t="s">
        <v>704</v>
      </c>
      <c r="AK61" s="296" t="s">
        <v>704</v>
      </c>
      <c r="AL61" s="296" t="s">
        <v>704</v>
      </c>
      <c r="AM61" s="296" t="s">
        <v>704</v>
      </c>
      <c r="AN61" s="296" t="s">
        <v>704</v>
      </c>
      <c r="AO61" s="296" t="s">
        <v>704</v>
      </c>
      <c r="AP61" s="296" t="s">
        <v>704</v>
      </c>
      <c r="AQ61" s="296" t="s">
        <v>704</v>
      </c>
      <c r="AR61" s="296" t="s">
        <v>704</v>
      </c>
      <c r="AS61" s="296" t="s">
        <v>704</v>
      </c>
      <c r="AT61" s="296" t="s">
        <v>704</v>
      </c>
      <c r="AU61" s="296" t="s">
        <v>704</v>
      </c>
      <c r="AV61" s="296" t="s">
        <v>704</v>
      </c>
      <c r="AW61" s="296"/>
      <c r="AX61" s="296"/>
    </row>
    <row r="62" spans="1:50" x14ac:dyDescent="0.25">
      <c r="A62" s="299">
        <v>1</v>
      </c>
      <c r="C62" s="308" t="str">
        <f>"    Standard Deviation"</f>
        <v xml:space="preserve">    Standard Deviation</v>
      </c>
      <c r="D62" s="309">
        <v>0</v>
      </c>
      <c r="E62" s="309">
        <v>1979.8989999999999</v>
      </c>
      <c r="F62" s="309">
        <v>636.39599999999996</v>
      </c>
      <c r="G62" s="309" t="s">
        <v>704</v>
      </c>
      <c r="H62" s="309">
        <v>14070.718000000001</v>
      </c>
      <c r="I62" s="309" t="s">
        <v>704</v>
      </c>
      <c r="J62" s="309" t="s">
        <v>704</v>
      </c>
      <c r="K62" s="309" t="s">
        <v>704</v>
      </c>
      <c r="L62" s="309" t="s">
        <v>704</v>
      </c>
      <c r="M62" s="309" t="s">
        <v>704</v>
      </c>
      <c r="N62" s="309" t="s">
        <v>704</v>
      </c>
      <c r="O62" s="309" t="s">
        <v>704</v>
      </c>
      <c r="P62" s="309" t="s">
        <v>704</v>
      </c>
      <c r="Q62" s="309" t="s">
        <v>704</v>
      </c>
      <c r="R62" s="309" t="s">
        <v>704</v>
      </c>
      <c r="S62" s="300" t="s">
        <v>704</v>
      </c>
      <c r="T62" s="296" t="s">
        <v>704</v>
      </c>
      <c r="U62" s="296" t="s">
        <v>704</v>
      </c>
      <c r="V62" s="296" t="s">
        <v>704</v>
      </c>
      <c r="W62" s="296" t="s">
        <v>704</v>
      </c>
      <c r="X62" s="296" t="s">
        <v>704</v>
      </c>
      <c r="Y62" s="296" t="s">
        <v>704</v>
      </c>
      <c r="Z62" s="296" t="s">
        <v>704</v>
      </c>
      <c r="AA62" s="296" t="s">
        <v>704</v>
      </c>
      <c r="AB62" s="296" t="s">
        <v>704</v>
      </c>
      <c r="AC62" s="296" t="s">
        <v>704</v>
      </c>
      <c r="AD62" s="296" t="s">
        <v>704</v>
      </c>
      <c r="AE62" s="296" t="s">
        <v>704</v>
      </c>
      <c r="AF62" s="296" t="s">
        <v>704</v>
      </c>
      <c r="AG62" s="296" t="s">
        <v>704</v>
      </c>
      <c r="AH62" s="296" t="s">
        <v>704</v>
      </c>
      <c r="AI62" s="296" t="s">
        <v>704</v>
      </c>
      <c r="AJ62" s="296" t="s">
        <v>704</v>
      </c>
      <c r="AK62" s="296" t="s">
        <v>704</v>
      </c>
      <c r="AL62" s="296" t="s">
        <v>704</v>
      </c>
      <c r="AM62" s="296" t="s">
        <v>704</v>
      </c>
      <c r="AN62" s="296" t="s">
        <v>704</v>
      </c>
      <c r="AO62" s="296" t="s">
        <v>704</v>
      </c>
      <c r="AP62" s="296" t="s">
        <v>704</v>
      </c>
      <c r="AQ62" s="296" t="s">
        <v>704</v>
      </c>
      <c r="AR62" s="296" t="s">
        <v>704</v>
      </c>
      <c r="AS62" s="296" t="s">
        <v>704</v>
      </c>
      <c r="AT62" s="296" t="s">
        <v>704</v>
      </c>
      <c r="AU62" s="296" t="s">
        <v>704</v>
      </c>
      <c r="AV62" s="296" t="s">
        <v>704</v>
      </c>
      <c r="AW62" s="296"/>
      <c r="AX62" s="296"/>
    </row>
    <row r="63" spans="1:50" x14ac:dyDescent="0.25">
      <c r="A63" s="299">
        <v>1</v>
      </c>
      <c r="C63" s="308" t="str">
        <f>"    Number of Estimates"</f>
        <v xml:space="preserve">    Number of Estimates</v>
      </c>
      <c r="D63" s="309">
        <v>2</v>
      </c>
      <c r="E63" s="309">
        <v>2</v>
      </c>
      <c r="F63" s="309">
        <v>2</v>
      </c>
      <c r="G63" s="309">
        <v>1</v>
      </c>
      <c r="H63" s="309">
        <v>2</v>
      </c>
      <c r="I63" s="309">
        <v>1</v>
      </c>
      <c r="J63" s="309">
        <v>1</v>
      </c>
      <c r="K63" s="309">
        <v>1</v>
      </c>
      <c r="L63" s="309">
        <v>1</v>
      </c>
      <c r="M63" s="309">
        <v>1</v>
      </c>
      <c r="N63" s="309">
        <v>1</v>
      </c>
      <c r="O63" s="309" t="s">
        <v>704</v>
      </c>
      <c r="P63" s="309" t="s">
        <v>704</v>
      </c>
      <c r="Q63" s="309" t="s">
        <v>704</v>
      </c>
      <c r="R63" s="309" t="s">
        <v>704</v>
      </c>
      <c r="S63" s="300" t="s">
        <v>704</v>
      </c>
      <c r="T63" s="296" t="s">
        <v>704</v>
      </c>
      <c r="U63" s="296" t="s">
        <v>704</v>
      </c>
      <c r="V63" s="296" t="s">
        <v>704</v>
      </c>
      <c r="W63" s="296" t="s">
        <v>704</v>
      </c>
      <c r="X63" s="296" t="s">
        <v>704</v>
      </c>
      <c r="Y63" s="296" t="s">
        <v>704</v>
      </c>
      <c r="Z63" s="296" t="s">
        <v>704</v>
      </c>
      <c r="AA63" s="296" t="s">
        <v>704</v>
      </c>
      <c r="AB63" s="296" t="s">
        <v>704</v>
      </c>
      <c r="AC63" s="296" t="s">
        <v>704</v>
      </c>
      <c r="AD63" s="296" t="s">
        <v>704</v>
      </c>
      <c r="AE63" s="296" t="s">
        <v>704</v>
      </c>
      <c r="AF63" s="296" t="s">
        <v>704</v>
      </c>
      <c r="AG63" s="296" t="s">
        <v>704</v>
      </c>
      <c r="AH63" s="296" t="s">
        <v>704</v>
      </c>
      <c r="AI63" s="296" t="s">
        <v>704</v>
      </c>
      <c r="AJ63" s="296" t="s">
        <v>704</v>
      </c>
      <c r="AK63" s="296" t="s">
        <v>704</v>
      </c>
      <c r="AL63" s="296" t="s">
        <v>704</v>
      </c>
      <c r="AM63" s="296" t="s">
        <v>704</v>
      </c>
      <c r="AN63" s="296" t="s">
        <v>704</v>
      </c>
      <c r="AO63" s="296" t="s">
        <v>704</v>
      </c>
      <c r="AP63" s="296" t="s">
        <v>704</v>
      </c>
      <c r="AQ63" s="296" t="s">
        <v>704</v>
      </c>
      <c r="AR63" s="296" t="s">
        <v>704</v>
      </c>
      <c r="AS63" s="296" t="s">
        <v>704</v>
      </c>
      <c r="AT63" s="296" t="s">
        <v>704</v>
      </c>
      <c r="AU63" s="296" t="s">
        <v>704</v>
      </c>
      <c r="AV63" s="296" t="s">
        <v>704</v>
      </c>
      <c r="AW63" s="296"/>
      <c r="AX63" s="296"/>
    </row>
    <row r="64" spans="1:50" x14ac:dyDescent="0.25">
      <c r="A64" s="299">
        <v>1</v>
      </c>
      <c r="C64" s="306" t="str">
        <f>"Capital Expenditure"</f>
        <v>Capital Expenditure</v>
      </c>
      <c r="D64" s="307" t="s">
        <v>704</v>
      </c>
      <c r="E64" s="307" t="s">
        <v>704</v>
      </c>
      <c r="F64" s="307" t="s">
        <v>704</v>
      </c>
      <c r="G64" s="307" t="s">
        <v>704</v>
      </c>
      <c r="H64" s="307" t="s">
        <v>704</v>
      </c>
      <c r="I64" s="307" t="s">
        <v>704</v>
      </c>
      <c r="J64" s="307" t="s">
        <v>704</v>
      </c>
      <c r="K64" s="307" t="s">
        <v>704</v>
      </c>
      <c r="L64" s="307" t="s">
        <v>704</v>
      </c>
      <c r="M64" s="307" t="s">
        <v>704</v>
      </c>
      <c r="N64" s="307" t="s">
        <v>704</v>
      </c>
      <c r="O64" s="307" t="s">
        <v>704</v>
      </c>
      <c r="P64" s="307" t="s">
        <v>704</v>
      </c>
      <c r="Q64" s="307" t="s">
        <v>704</v>
      </c>
      <c r="R64" s="307" t="s">
        <v>704</v>
      </c>
      <c r="S64" s="300" t="s">
        <v>704</v>
      </c>
      <c r="T64" s="296" t="s">
        <v>704</v>
      </c>
      <c r="U64" s="296" t="s">
        <v>704</v>
      </c>
      <c r="V64" s="296" t="s">
        <v>704</v>
      </c>
      <c r="W64" s="296" t="s">
        <v>704</v>
      </c>
      <c r="X64" s="296" t="s">
        <v>704</v>
      </c>
      <c r="Y64" s="296" t="s">
        <v>704</v>
      </c>
      <c r="Z64" s="296" t="s">
        <v>704</v>
      </c>
      <c r="AA64" s="296" t="s">
        <v>704</v>
      </c>
      <c r="AB64" s="296" t="s">
        <v>704</v>
      </c>
      <c r="AC64" s="296" t="s">
        <v>704</v>
      </c>
      <c r="AD64" s="296" t="s">
        <v>704</v>
      </c>
      <c r="AE64" s="296" t="s">
        <v>704</v>
      </c>
      <c r="AF64" s="296" t="s">
        <v>704</v>
      </c>
      <c r="AG64" s="296" t="s">
        <v>704</v>
      </c>
      <c r="AH64" s="296" t="s">
        <v>704</v>
      </c>
      <c r="AI64" s="296" t="s">
        <v>704</v>
      </c>
      <c r="AJ64" s="296" t="s">
        <v>704</v>
      </c>
      <c r="AK64" s="296" t="s">
        <v>704</v>
      </c>
      <c r="AL64" s="296" t="s">
        <v>704</v>
      </c>
      <c r="AM64" s="296" t="s">
        <v>704</v>
      </c>
      <c r="AN64" s="296" t="s">
        <v>704</v>
      </c>
      <c r="AO64" s="296" t="s">
        <v>704</v>
      </c>
      <c r="AP64" s="296" t="s">
        <v>704</v>
      </c>
      <c r="AQ64" s="296" t="s">
        <v>704</v>
      </c>
      <c r="AR64" s="296" t="s">
        <v>704</v>
      </c>
      <c r="AS64" s="296" t="s">
        <v>704</v>
      </c>
      <c r="AT64" s="296" t="s">
        <v>704</v>
      </c>
      <c r="AU64" s="296" t="s">
        <v>704</v>
      </c>
      <c r="AV64" s="296" t="s">
        <v>704</v>
      </c>
      <c r="AW64" s="296"/>
      <c r="AX64" s="296"/>
    </row>
    <row r="65" spans="1:50" x14ac:dyDescent="0.25">
      <c r="A65" s="299">
        <v>1</v>
      </c>
      <c r="C65" s="308" t="str">
        <f>"    Actual"</f>
        <v xml:space="preserve">    Actual</v>
      </c>
      <c r="D65" s="309">
        <v>-717</v>
      </c>
      <c r="E65" s="309">
        <v>-379</v>
      </c>
      <c r="F65" s="309">
        <v>-585</v>
      </c>
      <c r="G65" s="309">
        <v>-1117</v>
      </c>
      <c r="H65" s="309">
        <v>-1405</v>
      </c>
      <c r="I65" s="309">
        <v>-1437</v>
      </c>
      <c r="J65" s="309">
        <v>-603</v>
      </c>
      <c r="K65" s="309" t="s">
        <v>704</v>
      </c>
      <c r="L65" s="309" t="s">
        <v>704</v>
      </c>
      <c r="M65" s="309" t="s">
        <v>704</v>
      </c>
      <c r="N65" s="309" t="s">
        <v>704</v>
      </c>
      <c r="O65" s="309" t="s">
        <v>704</v>
      </c>
      <c r="P65" s="309" t="s">
        <v>704</v>
      </c>
      <c r="Q65" s="309" t="s">
        <v>704</v>
      </c>
      <c r="R65" s="309" t="s">
        <v>704</v>
      </c>
      <c r="S65" s="300" t="s">
        <v>704</v>
      </c>
      <c r="T65" s="296" t="s">
        <v>704</v>
      </c>
      <c r="U65" s="296" t="s">
        <v>704</v>
      </c>
      <c r="V65" s="296" t="s">
        <v>704</v>
      </c>
      <c r="W65" s="296" t="s">
        <v>704</v>
      </c>
      <c r="X65" s="296" t="s">
        <v>704</v>
      </c>
      <c r="Y65" s="296" t="s">
        <v>704</v>
      </c>
      <c r="Z65" s="296" t="s">
        <v>704</v>
      </c>
      <c r="AA65" s="296" t="s">
        <v>704</v>
      </c>
      <c r="AB65" s="296" t="s">
        <v>704</v>
      </c>
      <c r="AC65" s="296" t="s">
        <v>704</v>
      </c>
      <c r="AD65" s="296" t="s">
        <v>704</v>
      </c>
      <c r="AE65" s="296" t="s">
        <v>704</v>
      </c>
      <c r="AF65" s="296" t="s">
        <v>704</v>
      </c>
      <c r="AG65" s="296" t="s">
        <v>704</v>
      </c>
      <c r="AH65" s="296" t="s">
        <v>704</v>
      </c>
      <c r="AI65" s="296" t="s">
        <v>704</v>
      </c>
      <c r="AJ65" s="296" t="s">
        <v>704</v>
      </c>
      <c r="AK65" s="296" t="s">
        <v>704</v>
      </c>
      <c r="AL65" s="296" t="s">
        <v>704</v>
      </c>
      <c r="AM65" s="296" t="s">
        <v>704</v>
      </c>
      <c r="AN65" s="296" t="s">
        <v>704</v>
      </c>
      <c r="AO65" s="296" t="s">
        <v>704</v>
      </c>
      <c r="AP65" s="296" t="s">
        <v>704</v>
      </c>
      <c r="AQ65" s="296" t="s">
        <v>704</v>
      </c>
      <c r="AR65" s="296" t="s">
        <v>704</v>
      </c>
      <c r="AS65" s="296" t="s">
        <v>704</v>
      </c>
      <c r="AT65" s="296" t="s">
        <v>704</v>
      </c>
      <c r="AU65" s="296" t="s">
        <v>704</v>
      </c>
      <c r="AV65" s="296" t="s">
        <v>704</v>
      </c>
      <c r="AW65" s="296"/>
      <c r="AX65" s="296"/>
    </row>
    <row r="66" spans="1:50" x14ac:dyDescent="0.25">
      <c r="A66" s="299">
        <v>1</v>
      </c>
      <c r="C66" s="308" t="str">
        <f>"    Median"</f>
        <v xml:space="preserve">    Median</v>
      </c>
      <c r="D66" s="309">
        <v>1100</v>
      </c>
      <c r="E66" s="309">
        <v>1000</v>
      </c>
      <c r="F66" s="309">
        <v>1100</v>
      </c>
      <c r="G66" s="309">
        <v>900</v>
      </c>
      <c r="H66" s="309">
        <v>1000</v>
      </c>
      <c r="I66" s="309">
        <v>1100</v>
      </c>
      <c r="J66" s="309">
        <v>1100</v>
      </c>
      <c r="K66" s="309">
        <v>1000</v>
      </c>
      <c r="L66" s="309">
        <v>1000</v>
      </c>
      <c r="M66" s="309">
        <v>1100</v>
      </c>
      <c r="N66" s="309">
        <v>1200</v>
      </c>
      <c r="O66" s="309">
        <v>1100</v>
      </c>
      <c r="P66" s="309">
        <v>1200</v>
      </c>
      <c r="Q66" s="309">
        <v>1300</v>
      </c>
      <c r="R66" s="309">
        <v>1400</v>
      </c>
      <c r="S66" s="300" t="s">
        <v>704</v>
      </c>
      <c r="T66" s="296" t="s">
        <v>704</v>
      </c>
      <c r="U66" s="296" t="s">
        <v>704</v>
      </c>
      <c r="V66" s="296" t="s">
        <v>704</v>
      </c>
      <c r="W66" s="296" t="s">
        <v>704</v>
      </c>
      <c r="X66" s="296" t="s">
        <v>704</v>
      </c>
      <c r="Y66" s="296" t="s">
        <v>704</v>
      </c>
      <c r="Z66" s="296" t="s">
        <v>704</v>
      </c>
      <c r="AA66" s="296" t="s">
        <v>704</v>
      </c>
      <c r="AB66" s="296" t="s">
        <v>704</v>
      </c>
      <c r="AC66" s="296" t="s">
        <v>704</v>
      </c>
      <c r="AD66" s="296" t="s">
        <v>704</v>
      </c>
      <c r="AE66" s="296" t="s">
        <v>704</v>
      </c>
      <c r="AF66" s="296" t="s">
        <v>704</v>
      </c>
      <c r="AG66" s="296" t="s">
        <v>704</v>
      </c>
      <c r="AH66" s="296" t="s">
        <v>704</v>
      </c>
      <c r="AI66" s="296" t="s">
        <v>704</v>
      </c>
      <c r="AJ66" s="296" t="s">
        <v>704</v>
      </c>
      <c r="AK66" s="296" t="s">
        <v>704</v>
      </c>
      <c r="AL66" s="296" t="s">
        <v>704</v>
      </c>
      <c r="AM66" s="296" t="s">
        <v>704</v>
      </c>
      <c r="AN66" s="296" t="s">
        <v>704</v>
      </c>
      <c r="AO66" s="296" t="s">
        <v>704</v>
      </c>
      <c r="AP66" s="296" t="s">
        <v>704</v>
      </c>
      <c r="AQ66" s="296" t="s">
        <v>704</v>
      </c>
      <c r="AR66" s="296" t="s">
        <v>704</v>
      </c>
      <c r="AS66" s="296" t="s">
        <v>704</v>
      </c>
      <c r="AT66" s="296" t="s">
        <v>704</v>
      </c>
      <c r="AU66" s="296" t="s">
        <v>704</v>
      </c>
      <c r="AV66" s="296" t="s">
        <v>704</v>
      </c>
      <c r="AW66" s="296"/>
      <c r="AX66" s="296"/>
    </row>
    <row r="67" spans="1:50" x14ac:dyDescent="0.25">
      <c r="A67" s="299">
        <v>1</v>
      </c>
      <c r="C67" s="308" t="str">
        <f>"    High"</f>
        <v xml:space="preserve">    High</v>
      </c>
      <c r="D67" s="309">
        <v>1100</v>
      </c>
      <c r="E67" s="309">
        <v>1000</v>
      </c>
      <c r="F67" s="309">
        <v>1100</v>
      </c>
      <c r="G67" s="309">
        <v>900</v>
      </c>
      <c r="H67" s="309">
        <v>1000</v>
      </c>
      <c r="I67" s="309">
        <v>1100</v>
      </c>
      <c r="J67" s="309">
        <v>1100</v>
      </c>
      <c r="K67" s="309">
        <v>1000</v>
      </c>
      <c r="L67" s="309">
        <v>1000</v>
      </c>
      <c r="M67" s="309">
        <v>1100</v>
      </c>
      <c r="N67" s="309">
        <v>1200</v>
      </c>
      <c r="O67" s="309">
        <v>1100</v>
      </c>
      <c r="P67" s="309">
        <v>1200</v>
      </c>
      <c r="Q67" s="309">
        <v>1300</v>
      </c>
      <c r="R67" s="309">
        <v>1400</v>
      </c>
      <c r="S67" s="300" t="s">
        <v>704</v>
      </c>
      <c r="T67" s="296" t="s">
        <v>704</v>
      </c>
      <c r="U67" s="296" t="s">
        <v>704</v>
      </c>
      <c r="V67" s="296" t="s">
        <v>704</v>
      </c>
      <c r="W67" s="296" t="s">
        <v>704</v>
      </c>
      <c r="X67" s="296" t="s">
        <v>704</v>
      </c>
      <c r="Y67" s="296" t="s">
        <v>704</v>
      </c>
      <c r="Z67" s="296" t="s">
        <v>704</v>
      </c>
      <c r="AA67" s="296" t="s">
        <v>704</v>
      </c>
      <c r="AB67" s="296" t="s">
        <v>704</v>
      </c>
      <c r="AC67" s="296" t="s">
        <v>704</v>
      </c>
      <c r="AD67" s="296" t="s">
        <v>704</v>
      </c>
      <c r="AE67" s="296" t="s">
        <v>704</v>
      </c>
      <c r="AF67" s="296" t="s">
        <v>704</v>
      </c>
      <c r="AG67" s="296" t="s">
        <v>704</v>
      </c>
      <c r="AH67" s="296" t="s">
        <v>704</v>
      </c>
      <c r="AI67" s="296" t="s">
        <v>704</v>
      </c>
      <c r="AJ67" s="296" t="s">
        <v>704</v>
      </c>
      <c r="AK67" s="296" t="s">
        <v>704</v>
      </c>
      <c r="AL67" s="296" t="s">
        <v>704</v>
      </c>
      <c r="AM67" s="296" t="s">
        <v>704</v>
      </c>
      <c r="AN67" s="296" t="s">
        <v>704</v>
      </c>
      <c r="AO67" s="296" t="s">
        <v>704</v>
      </c>
      <c r="AP67" s="296" t="s">
        <v>704</v>
      </c>
      <c r="AQ67" s="296" t="s">
        <v>704</v>
      </c>
      <c r="AR67" s="296" t="s">
        <v>704</v>
      </c>
      <c r="AS67" s="296" t="s">
        <v>704</v>
      </c>
      <c r="AT67" s="296" t="s">
        <v>704</v>
      </c>
      <c r="AU67" s="296" t="s">
        <v>704</v>
      </c>
      <c r="AV67" s="296" t="s">
        <v>704</v>
      </c>
      <c r="AW67" s="296"/>
      <c r="AX67" s="296"/>
    </row>
    <row r="68" spans="1:50" x14ac:dyDescent="0.25">
      <c r="A68" s="299">
        <v>1</v>
      </c>
      <c r="C68" s="308" t="str">
        <f>"    Low"</f>
        <v xml:space="preserve">    Low</v>
      </c>
      <c r="D68" s="309">
        <v>1100</v>
      </c>
      <c r="E68" s="309">
        <v>1000</v>
      </c>
      <c r="F68" s="309">
        <v>1100</v>
      </c>
      <c r="G68" s="309">
        <v>900</v>
      </c>
      <c r="H68" s="309">
        <v>900</v>
      </c>
      <c r="I68" s="309">
        <v>1100</v>
      </c>
      <c r="J68" s="309">
        <v>1100</v>
      </c>
      <c r="K68" s="309">
        <v>1000</v>
      </c>
      <c r="L68" s="309">
        <v>1000</v>
      </c>
      <c r="M68" s="309">
        <v>1100</v>
      </c>
      <c r="N68" s="309">
        <v>1200</v>
      </c>
      <c r="O68" s="309">
        <v>1100</v>
      </c>
      <c r="P68" s="309">
        <v>1200</v>
      </c>
      <c r="Q68" s="309">
        <v>1300</v>
      </c>
      <c r="R68" s="309">
        <v>1400</v>
      </c>
      <c r="S68" s="300" t="s">
        <v>704</v>
      </c>
      <c r="T68" s="296" t="s">
        <v>704</v>
      </c>
      <c r="U68" s="296" t="s">
        <v>704</v>
      </c>
      <c r="V68" s="296" t="s">
        <v>704</v>
      </c>
      <c r="W68" s="296" t="s">
        <v>704</v>
      </c>
      <c r="X68" s="296" t="s">
        <v>704</v>
      </c>
      <c r="Y68" s="296" t="s">
        <v>704</v>
      </c>
      <c r="Z68" s="296" t="s">
        <v>704</v>
      </c>
      <c r="AA68" s="296" t="s">
        <v>704</v>
      </c>
      <c r="AB68" s="296" t="s">
        <v>704</v>
      </c>
      <c r="AC68" s="296" t="s">
        <v>704</v>
      </c>
      <c r="AD68" s="296" t="s">
        <v>704</v>
      </c>
      <c r="AE68" s="296" t="s">
        <v>704</v>
      </c>
      <c r="AF68" s="296" t="s">
        <v>704</v>
      </c>
      <c r="AG68" s="296" t="s">
        <v>704</v>
      </c>
      <c r="AH68" s="296" t="s">
        <v>704</v>
      </c>
      <c r="AI68" s="296" t="s">
        <v>704</v>
      </c>
      <c r="AJ68" s="296" t="s">
        <v>704</v>
      </c>
      <c r="AK68" s="296" t="s">
        <v>704</v>
      </c>
      <c r="AL68" s="296" t="s">
        <v>704</v>
      </c>
      <c r="AM68" s="296" t="s">
        <v>704</v>
      </c>
      <c r="AN68" s="296" t="s">
        <v>704</v>
      </c>
      <c r="AO68" s="296" t="s">
        <v>704</v>
      </c>
      <c r="AP68" s="296" t="s">
        <v>704</v>
      </c>
      <c r="AQ68" s="296" t="s">
        <v>704</v>
      </c>
      <c r="AR68" s="296" t="s">
        <v>704</v>
      </c>
      <c r="AS68" s="296" t="s">
        <v>704</v>
      </c>
      <c r="AT68" s="296" t="s">
        <v>704</v>
      </c>
      <c r="AU68" s="296" t="s">
        <v>704</v>
      </c>
      <c r="AV68" s="296" t="s">
        <v>704</v>
      </c>
      <c r="AW68" s="296"/>
      <c r="AX68" s="296"/>
    </row>
    <row r="69" spans="1:50" x14ac:dyDescent="0.25">
      <c r="A69" s="299">
        <v>1</v>
      </c>
      <c r="C69" s="308" t="str">
        <f>"    Mean"</f>
        <v xml:space="preserve">    Mean</v>
      </c>
      <c r="D69" s="309">
        <v>1100</v>
      </c>
      <c r="E69" s="309">
        <v>1000</v>
      </c>
      <c r="F69" s="309">
        <v>1100</v>
      </c>
      <c r="G69" s="309">
        <v>900</v>
      </c>
      <c r="H69" s="309">
        <v>966.66700000000003</v>
      </c>
      <c r="I69" s="309">
        <v>1100</v>
      </c>
      <c r="J69" s="309">
        <v>1100</v>
      </c>
      <c r="K69" s="309">
        <v>1000</v>
      </c>
      <c r="L69" s="309">
        <v>1000</v>
      </c>
      <c r="M69" s="309">
        <v>1100</v>
      </c>
      <c r="N69" s="309">
        <v>1200</v>
      </c>
      <c r="O69" s="309">
        <v>1100</v>
      </c>
      <c r="P69" s="309">
        <v>1200</v>
      </c>
      <c r="Q69" s="309">
        <v>1300</v>
      </c>
      <c r="R69" s="309">
        <v>1400</v>
      </c>
      <c r="S69" s="300" t="s">
        <v>704</v>
      </c>
      <c r="T69" s="296" t="s">
        <v>704</v>
      </c>
      <c r="U69" s="296" t="s">
        <v>704</v>
      </c>
      <c r="V69" s="296" t="s">
        <v>704</v>
      </c>
      <c r="W69" s="296" t="s">
        <v>704</v>
      </c>
      <c r="X69" s="296" t="s">
        <v>704</v>
      </c>
      <c r="Y69" s="296" t="s">
        <v>704</v>
      </c>
      <c r="Z69" s="296" t="s">
        <v>704</v>
      </c>
      <c r="AA69" s="296" t="s">
        <v>704</v>
      </c>
      <c r="AB69" s="296" t="s">
        <v>704</v>
      </c>
      <c r="AC69" s="296" t="s">
        <v>704</v>
      </c>
      <c r="AD69" s="296" t="s">
        <v>704</v>
      </c>
      <c r="AE69" s="296" t="s">
        <v>704</v>
      </c>
      <c r="AF69" s="296" t="s">
        <v>704</v>
      </c>
      <c r="AG69" s="296" t="s">
        <v>704</v>
      </c>
      <c r="AH69" s="296" t="s">
        <v>704</v>
      </c>
      <c r="AI69" s="296" t="s">
        <v>704</v>
      </c>
      <c r="AJ69" s="296" t="s">
        <v>704</v>
      </c>
      <c r="AK69" s="296" t="s">
        <v>704</v>
      </c>
      <c r="AL69" s="296" t="s">
        <v>704</v>
      </c>
      <c r="AM69" s="296" t="s">
        <v>704</v>
      </c>
      <c r="AN69" s="296" t="s">
        <v>704</v>
      </c>
      <c r="AO69" s="296" t="s">
        <v>704</v>
      </c>
      <c r="AP69" s="296" t="s">
        <v>704</v>
      </c>
      <c r="AQ69" s="296" t="s">
        <v>704</v>
      </c>
      <c r="AR69" s="296" t="s">
        <v>704</v>
      </c>
      <c r="AS69" s="296" t="s">
        <v>704</v>
      </c>
      <c r="AT69" s="296" t="s">
        <v>704</v>
      </c>
      <c r="AU69" s="296" t="s">
        <v>704</v>
      </c>
      <c r="AV69" s="296" t="s">
        <v>704</v>
      </c>
      <c r="AW69" s="296"/>
      <c r="AX69" s="296"/>
    </row>
    <row r="70" spans="1:50" x14ac:dyDescent="0.25">
      <c r="A70" s="299">
        <v>1</v>
      </c>
      <c r="C70" s="308" t="str">
        <f>"    Standard Deviation"</f>
        <v xml:space="preserve">    Standard Deviation</v>
      </c>
      <c r="D70" s="309">
        <v>0</v>
      </c>
      <c r="E70" s="309">
        <v>0</v>
      </c>
      <c r="F70" s="309" t="s">
        <v>704</v>
      </c>
      <c r="G70" s="309" t="s">
        <v>704</v>
      </c>
      <c r="H70" s="309">
        <v>57.734999999999999</v>
      </c>
      <c r="I70" s="309" t="s">
        <v>704</v>
      </c>
      <c r="J70" s="309" t="s">
        <v>704</v>
      </c>
      <c r="K70" s="309" t="s">
        <v>704</v>
      </c>
      <c r="L70" s="309" t="s">
        <v>704</v>
      </c>
      <c r="M70" s="309" t="s">
        <v>704</v>
      </c>
      <c r="N70" s="309" t="s">
        <v>704</v>
      </c>
      <c r="O70" s="309" t="s">
        <v>704</v>
      </c>
      <c r="P70" s="309" t="s">
        <v>704</v>
      </c>
      <c r="Q70" s="309" t="s">
        <v>704</v>
      </c>
      <c r="R70" s="309" t="s">
        <v>704</v>
      </c>
      <c r="S70" s="300" t="s">
        <v>704</v>
      </c>
      <c r="T70" s="296" t="s">
        <v>704</v>
      </c>
      <c r="U70" s="296" t="s">
        <v>704</v>
      </c>
      <c r="V70" s="296" t="s">
        <v>704</v>
      </c>
      <c r="W70" s="296" t="s">
        <v>704</v>
      </c>
      <c r="X70" s="296" t="s">
        <v>704</v>
      </c>
      <c r="Y70" s="296" t="s">
        <v>704</v>
      </c>
      <c r="Z70" s="296" t="s">
        <v>704</v>
      </c>
      <c r="AA70" s="296" t="s">
        <v>704</v>
      </c>
      <c r="AB70" s="296" t="s">
        <v>704</v>
      </c>
      <c r="AC70" s="296" t="s">
        <v>704</v>
      </c>
      <c r="AD70" s="296" t="s">
        <v>704</v>
      </c>
      <c r="AE70" s="296" t="s">
        <v>704</v>
      </c>
      <c r="AF70" s="296" t="s">
        <v>704</v>
      </c>
      <c r="AG70" s="296" t="s">
        <v>704</v>
      </c>
      <c r="AH70" s="296" t="s">
        <v>704</v>
      </c>
      <c r="AI70" s="296" t="s">
        <v>704</v>
      </c>
      <c r="AJ70" s="296" t="s">
        <v>704</v>
      </c>
      <c r="AK70" s="296" t="s">
        <v>704</v>
      </c>
      <c r="AL70" s="296" t="s">
        <v>704</v>
      </c>
      <c r="AM70" s="296" t="s">
        <v>704</v>
      </c>
      <c r="AN70" s="296" t="s">
        <v>704</v>
      </c>
      <c r="AO70" s="296" t="s">
        <v>704</v>
      </c>
      <c r="AP70" s="296" t="s">
        <v>704</v>
      </c>
      <c r="AQ70" s="296" t="s">
        <v>704</v>
      </c>
      <c r="AR70" s="296" t="s">
        <v>704</v>
      </c>
      <c r="AS70" s="296" t="s">
        <v>704</v>
      </c>
      <c r="AT70" s="296" t="s">
        <v>704</v>
      </c>
      <c r="AU70" s="296" t="s">
        <v>704</v>
      </c>
      <c r="AV70" s="296" t="s">
        <v>704</v>
      </c>
      <c r="AW70" s="296"/>
      <c r="AX70" s="296"/>
    </row>
    <row r="71" spans="1:50" x14ac:dyDescent="0.25">
      <c r="A71" s="299">
        <v>1</v>
      </c>
      <c r="C71" s="308" t="str">
        <f>"    Number of Estimates"</f>
        <v xml:space="preserve">    Number of Estimates</v>
      </c>
      <c r="D71" s="309">
        <v>4</v>
      </c>
      <c r="E71" s="309">
        <v>4</v>
      </c>
      <c r="F71" s="309">
        <v>1</v>
      </c>
      <c r="G71" s="309">
        <v>1</v>
      </c>
      <c r="H71" s="309">
        <v>3</v>
      </c>
      <c r="I71" s="309">
        <v>1</v>
      </c>
      <c r="J71" s="309">
        <v>1</v>
      </c>
      <c r="K71" s="309">
        <v>1</v>
      </c>
      <c r="L71" s="309">
        <v>1</v>
      </c>
      <c r="M71" s="309">
        <v>1</v>
      </c>
      <c r="N71" s="309">
        <v>1</v>
      </c>
      <c r="O71" s="309">
        <v>1</v>
      </c>
      <c r="P71" s="309">
        <v>1</v>
      </c>
      <c r="Q71" s="309">
        <v>1</v>
      </c>
      <c r="R71" s="309">
        <v>1</v>
      </c>
      <c r="S71" s="300" t="s">
        <v>704</v>
      </c>
      <c r="T71" s="296" t="s">
        <v>704</v>
      </c>
      <c r="U71" s="296" t="s">
        <v>704</v>
      </c>
      <c r="V71" s="296" t="s">
        <v>704</v>
      </c>
      <c r="W71" s="296" t="s">
        <v>704</v>
      </c>
      <c r="X71" s="296" t="s">
        <v>704</v>
      </c>
      <c r="Y71" s="296" t="s">
        <v>704</v>
      </c>
      <c r="Z71" s="296" t="s">
        <v>704</v>
      </c>
      <c r="AA71" s="296" t="s">
        <v>704</v>
      </c>
      <c r="AB71" s="296" t="s">
        <v>704</v>
      </c>
      <c r="AC71" s="296" t="s">
        <v>704</v>
      </c>
      <c r="AD71" s="296" t="s">
        <v>704</v>
      </c>
      <c r="AE71" s="296" t="s">
        <v>704</v>
      </c>
      <c r="AF71" s="296" t="s">
        <v>704</v>
      </c>
      <c r="AG71" s="296" t="s">
        <v>704</v>
      </c>
      <c r="AH71" s="296" t="s">
        <v>704</v>
      </c>
      <c r="AI71" s="296" t="s">
        <v>704</v>
      </c>
      <c r="AJ71" s="296" t="s">
        <v>704</v>
      </c>
      <c r="AK71" s="296" t="s">
        <v>704</v>
      </c>
      <c r="AL71" s="296" t="s">
        <v>704</v>
      </c>
      <c r="AM71" s="296" t="s">
        <v>704</v>
      </c>
      <c r="AN71" s="296" t="s">
        <v>704</v>
      </c>
      <c r="AO71" s="296" t="s">
        <v>704</v>
      </c>
      <c r="AP71" s="296" t="s">
        <v>704</v>
      </c>
      <c r="AQ71" s="296" t="s">
        <v>704</v>
      </c>
      <c r="AR71" s="296" t="s">
        <v>704</v>
      </c>
      <c r="AS71" s="296" t="s">
        <v>704</v>
      </c>
      <c r="AT71" s="296" t="s">
        <v>704</v>
      </c>
      <c r="AU71" s="296" t="s">
        <v>704</v>
      </c>
      <c r="AV71" s="296" t="s">
        <v>704</v>
      </c>
      <c r="AW71" s="296"/>
      <c r="AX71" s="296"/>
    </row>
    <row r="72" spans="1:50" x14ac:dyDescent="0.25">
      <c r="A72" s="299">
        <v>1</v>
      </c>
      <c r="C72" s="306" t="str">
        <f>"Diluted EPS (Normalized)"</f>
        <v>Diluted EPS (Normalized)</v>
      </c>
      <c r="D72" s="307" t="s">
        <v>704</v>
      </c>
      <c r="E72" s="307" t="s">
        <v>704</v>
      </c>
      <c r="F72" s="307" t="s">
        <v>704</v>
      </c>
      <c r="G72" s="307" t="s">
        <v>704</v>
      </c>
      <c r="H72" s="307" t="s">
        <v>704</v>
      </c>
      <c r="I72" s="307" t="s">
        <v>704</v>
      </c>
      <c r="J72" s="307" t="s">
        <v>704</v>
      </c>
      <c r="K72" s="307" t="s">
        <v>704</v>
      </c>
      <c r="L72" s="307" t="s">
        <v>704</v>
      </c>
      <c r="M72" s="307" t="s">
        <v>704</v>
      </c>
      <c r="N72" s="307" t="s">
        <v>704</v>
      </c>
      <c r="O72" s="307" t="s">
        <v>704</v>
      </c>
      <c r="P72" s="307" t="s">
        <v>704</v>
      </c>
      <c r="Q72" s="307" t="s">
        <v>704</v>
      </c>
      <c r="R72" s="307" t="s">
        <v>704</v>
      </c>
      <c r="S72" s="300" t="s">
        <v>704</v>
      </c>
      <c r="T72" s="296" t="s">
        <v>704</v>
      </c>
      <c r="U72" s="296" t="s">
        <v>704</v>
      </c>
      <c r="V72" s="296" t="s">
        <v>704</v>
      </c>
      <c r="W72" s="296" t="s">
        <v>704</v>
      </c>
      <c r="X72" s="296" t="s">
        <v>704</v>
      </c>
      <c r="Y72" s="296" t="s">
        <v>704</v>
      </c>
      <c r="Z72" s="296" t="s">
        <v>704</v>
      </c>
      <c r="AA72" s="296" t="s">
        <v>704</v>
      </c>
      <c r="AB72" s="296" t="s">
        <v>704</v>
      </c>
      <c r="AC72" s="296" t="s">
        <v>704</v>
      </c>
      <c r="AD72" s="296" t="s">
        <v>704</v>
      </c>
      <c r="AE72" s="296" t="s">
        <v>704</v>
      </c>
      <c r="AF72" s="296" t="s">
        <v>704</v>
      </c>
      <c r="AG72" s="296" t="s">
        <v>704</v>
      </c>
      <c r="AH72" s="296" t="s">
        <v>704</v>
      </c>
      <c r="AI72" s="296" t="s">
        <v>704</v>
      </c>
      <c r="AJ72" s="296" t="s">
        <v>704</v>
      </c>
      <c r="AK72" s="296" t="s">
        <v>704</v>
      </c>
      <c r="AL72" s="296" t="s">
        <v>704</v>
      </c>
      <c r="AM72" s="296" t="s">
        <v>704</v>
      </c>
      <c r="AN72" s="296" t="s">
        <v>704</v>
      </c>
      <c r="AO72" s="296" t="s">
        <v>704</v>
      </c>
      <c r="AP72" s="296" t="s">
        <v>704</v>
      </c>
      <c r="AQ72" s="296" t="s">
        <v>704</v>
      </c>
      <c r="AR72" s="296" t="s">
        <v>704</v>
      </c>
      <c r="AS72" s="296" t="s">
        <v>704</v>
      </c>
      <c r="AT72" s="296" t="s">
        <v>704</v>
      </c>
      <c r="AU72" s="296" t="s">
        <v>704</v>
      </c>
      <c r="AV72" s="296" t="s">
        <v>704</v>
      </c>
      <c r="AW72" s="296"/>
      <c r="AX72" s="296"/>
    </row>
    <row r="73" spans="1:50" x14ac:dyDescent="0.25">
      <c r="A73" s="299">
        <v>1</v>
      </c>
      <c r="C73" s="308" t="str">
        <f>"    Actual"</f>
        <v xml:space="preserve">    Actual</v>
      </c>
      <c r="D73" s="310">
        <v>6.0831520630157544E-2</v>
      </c>
      <c r="E73" s="310">
        <v>-0.46923978192407978</v>
      </c>
      <c r="F73" s="310">
        <v>0.01</v>
      </c>
      <c r="G73" s="310">
        <v>-3.4079295154185008E-2</v>
      </c>
      <c r="H73" s="310">
        <v>-4.3308550185873596E-2</v>
      </c>
      <c r="I73" s="310">
        <v>-8.377078459487336E-2</v>
      </c>
      <c r="J73" s="310">
        <v>2.4195279503105627E-2</v>
      </c>
      <c r="K73" s="310" t="s">
        <v>704</v>
      </c>
      <c r="L73" s="310" t="s">
        <v>704</v>
      </c>
      <c r="M73" s="310" t="s">
        <v>704</v>
      </c>
      <c r="N73" s="310" t="s">
        <v>704</v>
      </c>
      <c r="O73" s="310" t="s">
        <v>704</v>
      </c>
      <c r="P73" s="310" t="s">
        <v>704</v>
      </c>
      <c r="Q73" s="310" t="s">
        <v>704</v>
      </c>
      <c r="R73" s="310" t="s">
        <v>704</v>
      </c>
      <c r="S73" s="300" t="s">
        <v>704</v>
      </c>
      <c r="T73" s="296" t="s">
        <v>704</v>
      </c>
      <c r="U73" s="296" t="s">
        <v>704</v>
      </c>
      <c r="V73" s="296" t="s">
        <v>704</v>
      </c>
      <c r="W73" s="296" t="s">
        <v>704</v>
      </c>
      <c r="X73" s="296" t="s">
        <v>704</v>
      </c>
      <c r="Y73" s="296" t="s">
        <v>704</v>
      </c>
      <c r="Z73" s="296" t="s">
        <v>704</v>
      </c>
      <c r="AA73" s="296" t="s">
        <v>704</v>
      </c>
      <c r="AB73" s="296" t="s">
        <v>704</v>
      </c>
      <c r="AC73" s="296" t="s">
        <v>704</v>
      </c>
      <c r="AD73" s="296" t="s">
        <v>704</v>
      </c>
      <c r="AE73" s="296" t="s">
        <v>704</v>
      </c>
      <c r="AF73" s="296" t="s">
        <v>704</v>
      </c>
      <c r="AG73" s="296" t="s">
        <v>704</v>
      </c>
      <c r="AH73" s="296" t="s">
        <v>704</v>
      </c>
      <c r="AI73" s="296" t="s">
        <v>704</v>
      </c>
      <c r="AJ73" s="296" t="s">
        <v>704</v>
      </c>
      <c r="AK73" s="296" t="s">
        <v>704</v>
      </c>
      <c r="AL73" s="296" t="s">
        <v>704</v>
      </c>
      <c r="AM73" s="296" t="s">
        <v>704</v>
      </c>
      <c r="AN73" s="296" t="s">
        <v>704</v>
      </c>
      <c r="AO73" s="296" t="s">
        <v>704</v>
      </c>
      <c r="AP73" s="296" t="s">
        <v>704</v>
      </c>
      <c r="AQ73" s="296" t="s">
        <v>704</v>
      </c>
      <c r="AR73" s="296" t="s">
        <v>704</v>
      </c>
      <c r="AS73" s="296" t="s">
        <v>704</v>
      </c>
      <c r="AT73" s="296" t="s">
        <v>704</v>
      </c>
      <c r="AU73" s="296" t="s">
        <v>704</v>
      </c>
      <c r="AV73" s="296" t="s">
        <v>704</v>
      </c>
      <c r="AW73" s="296"/>
      <c r="AX73" s="296"/>
    </row>
    <row r="74" spans="1:50" x14ac:dyDescent="0.25">
      <c r="A74" s="299">
        <v>1</v>
      </c>
      <c r="C74" s="308" t="str">
        <f>"    Median"</f>
        <v xml:space="preserve">    Median</v>
      </c>
      <c r="D74" s="310">
        <v>-0.01</v>
      </c>
      <c r="E74" s="310">
        <v>-0.90500000000000003</v>
      </c>
      <c r="F74" s="310">
        <v>-0.51500000000000001</v>
      </c>
      <c r="G74" s="310">
        <v>-0.56499999999999995</v>
      </c>
      <c r="H74" s="310">
        <v>-0.49</v>
      </c>
      <c r="I74" s="310">
        <v>-0.56999999999999995</v>
      </c>
      <c r="J74" s="310">
        <v>-0.56499999999999995</v>
      </c>
      <c r="K74" s="310">
        <v>-0.26</v>
      </c>
      <c r="L74" s="310">
        <v>-0.25</v>
      </c>
      <c r="M74" s="310">
        <v>-0.24</v>
      </c>
      <c r="N74" s="310">
        <v>-0.12</v>
      </c>
      <c r="O74" s="310">
        <v>0.02</v>
      </c>
      <c r="P74" s="310">
        <v>0.05</v>
      </c>
      <c r="Q74" s="310">
        <v>-0.03</v>
      </c>
      <c r="R74" s="310">
        <v>7.4999999999999997E-2</v>
      </c>
      <c r="S74" s="300" t="s">
        <v>704</v>
      </c>
      <c r="T74" s="296" t="s">
        <v>704</v>
      </c>
      <c r="U74" s="296" t="s">
        <v>704</v>
      </c>
      <c r="V74" s="296" t="s">
        <v>704</v>
      </c>
      <c r="W74" s="296" t="s">
        <v>704</v>
      </c>
      <c r="X74" s="296" t="s">
        <v>704</v>
      </c>
      <c r="Y74" s="296" t="s">
        <v>704</v>
      </c>
      <c r="Z74" s="296" t="s">
        <v>704</v>
      </c>
      <c r="AA74" s="296" t="s">
        <v>704</v>
      </c>
      <c r="AB74" s="296" t="s">
        <v>704</v>
      </c>
      <c r="AC74" s="296" t="s">
        <v>704</v>
      </c>
      <c r="AD74" s="296" t="s">
        <v>704</v>
      </c>
      <c r="AE74" s="296" t="s">
        <v>704</v>
      </c>
      <c r="AF74" s="296" t="s">
        <v>704</v>
      </c>
      <c r="AG74" s="296" t="s">
        <v>704</v>
      </c>
      <c r="AH74" s="296" t="s">
        <v>704</v>
      </c>
      <c r="AI74" s="296" t="s">
        <v>704</v>
      </c>
      <c r="AJ74" s="296" t="s">
        <v>704</v>
      </c>
      <c r="AK74" s="296" t="s">
        <v>704</v>
      </c>
      <c r="AL74" s="296" t="s">
        <v>704</v>
      </c>
      <c r="AM74" s="296" t="s">
        <v>704</v>
      </c>
      <c r="AN74" s="296" t="s">
        <v>704</v>
      </c>
      <c r="AO74" s="296" t="s">
        <v>704</v>
      </c>
      <c r="AP74" s="296" t="s">
        <v>704</v>
      </c>
      <c r="AQ74" s="296" t="s">
        <v>704</v>
      </c>
      <c r="AR74" s="296" t="s">
        <v>704</v>
      </c>
      <c r="AS74" s="296" t="s">
        <v>704</v>
      </c>
      <c r="AT74" s="296" t="s">
        <v>704</v>
      </c>
      <c r="AU74" s="296" t="s">
        <v>704</v>
      </c>
      <c r="AV74" s="296" t="s">
        <v>704</v>
      </c>
      <c r="AW74" s="296"/>
      <c r="AX74" s="296"/>
    </row>
    <row r="75" spans="1:50" x14ac:dyDescent="0.25">
      <c r="A75" s="299">
        <v>1</v>
      </c>
      <c r="C75" s="308" t="str">
        <f>"    High"</f>
        <v xml:space="preserve">    High</v>
      </c>
      <c r="D75" s="310">
        <v>0</v>
      </c>
      <c r="E75" s="310">
        <v>-0.46</v>
      </c>
      <c r="F75" s="310">
        <v>-0.38</v>
      </c>
      <c r="G75" s="310">
        <v>-0.45</v>
      </c>
      <c r="H75" s="310">
        <v>-0.42</v>
      </c>
      <c r="I75" s="310">
        <v>-0.37</v>
      </c>
      <c r="J75" s="310">
        <v>-0.35</v>
      </c>
      <c r="K75" s="310">
        <v>-0.12</v>
      </c>
      <c r="L75" s="310">
        <v>-0.13</v>
      </c>
      <c r="M75" s="310">
        <v>-0.13</v>
      </c>
      <c r="N75" s="310">
        <v>7.0000000000000007E-2</v>
      </c>
      <c r="O75" s="310">
        <v>0.22</v>
      </c>
      <c r="P75" s="310">
        <v>7.0000000000000007E-2</v>
      </c>
      <c r="Q75" s="310">
        <v>0.1</v>
      </c>
      <c r="R75" s="310">
        <v>0.16</v>
      </c>
      <c r="S75" s="300" t="s">
        <v>704</v>
      </c>
      <c r="T75" s="296" t="s">
        <v>704</v>
      </c>
      <c r="U75" s="296" t="s">
        <v>704</v>
      </c>
      <c r="V75" s="296" t="s">
        <v>704</v>
      </c>
      <c r="W75" s="296" t="s">
        <v>704</v>
      </c>
      <c r="X75" s="296" t="s">
        <v>704</v>
      </c>
      <c r="Y75" s="296" t="s">
        <v>704</v>
      </c>
      <c r="Z75" s="296" t="s">
        <v>704</v>
      </c>
      <c r="AA75" s="296" t="s">
        <v>704</v>
      </c>
      <c r="AB75" s="296" t="s">
        <v>704</v>
      </c>
      <c r="AC75" s="296" t="s">
        <v>704</v>
      </c>
      <c r="AD75" s="296" t="s">
        <v>704</v>
      </c>
      <c r="AE75" s="296" t="s">
        <v>704</v>
      </c>
      <c r="AF75" s="296" t="s">
        <v>704</v>
      </c>
      <c r="AG75" s="296" t="s">
        <v>704</v>
      </c>
      <c r="AH75" s="296" t="s">
        <v>704</v>
      </c>
      <c r="AI75" s="296" t="s">
        <v>704</v>
      </c>
      <c r="AJ75" s="296" t="s">
        <v>704</v>
      </c>
      <c r="AK75" s="296" t="s">
        <v>704</v>
      </c>
      <c r="AL75" s="296" t="s">
        <v>704</v>
      </c>
      <c r="AM75" s="296" t="s">
        <v>704</v>
      </c>
      <c r="AN75" s="296" t="s">
        <v>704</v>
      </c>
      <c r="AO75" s="296" t="s">
        <v>704</v>
      </c>
      <c r="AP75" s="296" t="s">
        <v>704</v>
      </c>
      <c r="AQ75" s="296" t="s">
        <v>704</v>
      </c>
      <c r="AR75" s="296" t="s">
        <v>704</v>
      </c>
      <c r="AS75" s="296" t="s">
        <v>704</v>
      </c>
      <c r="AT75" s="296" t="s">
        <v>704</v>
      </c>
      <c r="AU75" s="296" t="s">
        <v>704</v>
      </c>
      <c r="AV75" s="296" t="s">
        <v>704</v>
      </c>
      <c r="AW75" s="296"/>
      <c r="AX75" s="296"/>
    </row>
    <row r="76" spans="1:50" x14ac:dyDescent="0.25">
      <c r="A76" s="299">
        <v>1</v>
      </c>
      <c r="C76" s="308" t="str">
        <f>"    Low"</f>
        <v xml:space="preserve">    Low</v>
      </c>
      <c r="D76" s="310">
        <v>-0.01</v>
      </c>
      <c r="E76" s="310">
        <v>-2.14</v>
      </c>
      <c r="F76" s="310">
        <v>-0.92</v>
      </c>
      <c r="G76" s="310">
        <v>-0.69</v>
      </c>
      <c r="H76" s="310">
        <v>-0.65</v>
      </c>
      <c r="I76" s="310">
        <v>-0.64</v>
      </c>
      <c r="J76" s="310">
        <v>-0.63</v>
      </c>
      <c r="K76" s="310">
        <v>-0.39</v>
      </c>
      <c r="L76" s="310">
        <v>-0.43</v>
      </c>
      <c r="M76" s="310">
        <v>-0.47</v>
      </c>
      <c r="N76" s="310">
        <v>-0.23</v>
      </c>
      <c r="O76" s="310">
        <v>-0.23</v>
      </c>
      <c r="P76" s="310">
        <v>-0.23</v>
      </c>
      <c r="Q76" s="310">
        <v>-0.24</v>
      </c>
      <c r="R76" s="310">
        <v>-0.01</v>
      </c>
      <c r="S76" s="300" t="s">
        <v>704</v>
      </c>
      <c r="T76" s="296" t="s">
        <v>704</v>
      </c>
      <c r="U76" s="296" t="s">
        <v>704</v>
      </c>
      <c r="V76" s="296" t="s">
        <v>704</v>
      </c>
      <c r="W76" s="296" t="s">
        <v>704</v>
      </c>
      <c r="X76" s="296" t="s">
        <v>704</v>
      </c>
      <c r="Y76" s="296" t="s">
        <v>704</v>
      </c>
      <c r="Z76" s="296" t="s">
        <v>704</v>
      </c>
      <c r="AA76" s="296" t="s">
        <v>704</v>
      </c>
      <c r="AB76" s="296" t="s">
        <v>704</v>
      </c>
      <c r="AC76" s="296" t="s">
        <v>704</v>
      </c>
      <c r="AD76" s="296" t="s">
        <v>704</v>
      </c>
      <c r="AE76" s="296" t="s">
        <v>704</v>
      </c>
      <c r="AF76" s="296" t="s">
        <v>704</v>
      </c>
      <c r="AG76" s="296" t="s">
        <v>704</v>
      </c>
      <c r="AH76" s="296" t="s">
        <v>704</v>
      </c>
      <c r="AI76" s="296" t="s">
        <v>704</v>
      </c>
      <c r="AJ76" s="296" t="s">
        <v>704</v>
      </c>
      <c r="AK76" s="296" t="s">
        <v>704</v>
      </c>
      <c r="AL76" s="296" t="s">
        <v>704</v>
      </c>
      <c r="AM76" s="296" t="s">
        <v>704</v>
      </c>
      <c r="AN76" s="296" t="s">
        <v>704</v>
      </c>
      <c r="AO76" s="296" t="s">
        <v>704</v>
      </c>
      <c r="AP76" s="296" t="s">
        <v>704</v>
      </c>
      <c r="AQ76" s="296" t="s">
        <v>704</v>
      </c>
      <c r="AR76" s="296" t="s">
        <v>704</v>
      </c>
      <c r="AS76" s="296" t="s">
        <v>704</v>
      </c>
      <c r="AT76" s="296" t="s">
        <v>704</v>
      </c>
      <c r="AU76" s="296" t="s">
        <v>704</v>
      </c>
      <c r="AV76" s="296" t="s">
        <v>704</v>
      </c>
      <c r="AW76" s="296"/>
      <c r="AX76" s="296"/>
    </row>
    <row r="77" spans="1:50" x14ac:dyDescent="0.25">
      <c r="A77" s="299">
        <v>1</v>
      </c>
      <c r="C77" s="308" t="str">
        <f>"    Mean"</f>
        <v xml:space="preserve">    Mean</v>
      </c>
      <c r="D77" s="310">
        <v>-0.01</v>
      </c>
      <c r="E77" s="310">
        <v>-0.97124999999999995</v>
      </c>
      <c r="F77" s="310">
        <v>-0.55500000000000005</v>
      </c>
      <c r="G77" s="310">
        <v>-0.56999999999999995</v>
      </c>
      <c r="H77" s="310">
        <v>-0.51555600000000001</v>
      </c>
      <c r="I77" s="310">
        <v>-0.55125000000000002</v>
      </c>
      <c r="J77" s="310">
        <v>-0.54125000000000001</v>
      </c>
      <c r="K77" s="310">
        <v>-0.24111099999999999</v>
      </c>
      <c r="L77" s="310">
        <v>-0.247778</v>
      </c>
      <c r="M77" s="310">
        <v>-0.26333299999999998</v>
      </c>
      <c r="N77" s="310">
        <v>-0.107778</v>
      </c>
      <c r="O77" s="310">
        <v>0.01</v>
      </c>
      <c r="P77" s="310">
        <v>-3.6666999999999998E-2</v>
      </c>
      <c r="Q77" s="310">
        <v>-5.6667000000000002E-2</v>
      </c>
      <c r="R77" s="310">
        <v>7.4999999999999997E-2</v>
      </c>
      <c r="S77" s="300" t="s">
        <v>704</v>
      </c>
      <c r="T77" s="296" t="s">
        <v>704</v>
      </c>
      <c r="U77" s="296" t="s">
        <v>704</v>
      </c>
      <c r="V77" s="296" t="s">
        <v>704</v>
      </c>
      <c r="W77" s="296" t="s">
        <v>704</v>
      </c>
      <c r="X77" s="296" t="s">
        <v>704</v>
      </c>
      <c r="Y77" s="296" t="s">
        <v>704</v>
      </c>
      <c r="Z77" s="296" t="s">
        <v>704</v>
      </c>
      <c r="AA77" s="296" t="s">
        <v>704</v>
      </c>
      <c r="AB77" s="296" t="s">
        <v>704</v>
      </c>
      <c r="AC77" s="296" t="s">
        <v>704</v>
      </c>
      <c r="AD77" s="296" t="s">
        <v>704</v>
      </c>
      <c r="AE77" s="296" t="s">
        <v>704</v>
      </c>
      <c r="AF77" s="296" t="s">
        <v>704</v>
      </c>
      <c r="AG77" s="296" t="s">
        <v>704</v>
      </c>
      <c r="AH77" s="296" t="s">
        <v>704</v>
      </c>
      <c r="AI77" s="296" t="s">
        <v>704</v>
      </c>
      <c r="AJ77" s="296" t="s">
        <v>704</v>
      </c>
      <c r="AK77" s="296" t="s">
        <v>704</v>
      </c>
      <c r="AL77" s="296" t="s">
        <v>704</v>
      </c>
      <c r="AM77" s="296" t="s">
        <v>704</v>
      </c>
      <c r="AN77" s="296" t="s">
        <v>704</v>
      </c>
      <c r="AO77" s="296" t="s">
        <v>704</v>
      </c>
      <c r="AP77" s="296" t="s">
        <v>704</v>
      </c>
      <c r="AQ77" s="296" t="s">
        <v>704</v>
      </c>
      <c r="AR77" s="296" t="s">
        <v>704</v>
      </c>
      <c r="AS77" s="296" t="s">
        <v>704</v>
      </c>
      <c r="AT77" s="296" t="s">
        <v>704</v>
      </c>
      <c r="AU77" s="296" t="s">
        <v>704</v>
      </c>
      <c r="AV77" s="296" t="s">
        <v>704</v>
      </c>
      <c r="AW77" s="296"/>
      <c r="AX77" s="296"/>
    </row>
    <row r="78" spans="1:50" x14ac:dyDescent="0.25">
      <c r="A78" s="299">
        <v>1</v>
      </c>
      <c r="C78" s="308" t="str">
        <f>"    Standard Deviation"</f>
        <v xml:space="preserve">    Standard Deviation</v>
      </c>
      <c r="D78" s="310">
        <v>0.01</v>
      </c>
      <c r="E78" s="310">
        <v>0.51720200000000005</v>
      </c>
      <c r="F78" s="310">
        <v>0.17687800000000001</v>
      </c>
      <c r="G78" s="310">
        <v>8.0711000000000005E-2</v>
      </c>
      <c r="H78" s="310">
        <v>6.6165000000000002E-2</v>
      </c>
      <c r="I78" s="310">
        <v>8.0612000000000003E-2</v>
      </c>
      <c r="J78" s="310">
        <v>9.1094999999999995E-2</v>
      </c>
      <c r="K78" s="310">
        <v>8.9784000000000003E-2</v>
      </c>
      <c r="L78" s="310">
        <v>9.3779000000000001E-2</v>
      </c>
      <c r="M78" s="310">
        <v>9.5394000000000007E-2</v>
      </c>
      <c r="N78" s="310">
        <v>9.1484999999999997E-2</v>
      </c>
      <c r="O78" s="310">
        <v>0.225462</v>
      </c>
      <c r="P78" s="310">
        <v>0.16772999999999999</v>
      </c>
      <c r="Q78" s="310">
        <v>0.17156099999999999</v>
      </c>
      <c r="R78" s="310">
        <v>0.120208</v>
      </c>
      <c r="S78" s="300" t="s">
        <v>704</v>
      </c>
      <c r="T78" s="296" t="s">
        <v>704</v>
      </c>
      <c r="U78" s="296" t="s">
        <v>704</v>
      </c>
      <c r="V78" s="296" t="s">
        <v>704</v>
      </c>
      <c r="W78" s="296" t="s">
        <v>704</v>
      </c>
      <c r="X78" s="296" t="s">
        <v>704</v>
      </c>
      <c r="Y78" s="296" t="s">
        <v>704</v>
      </c>
      <c r="Z78" s="296" t="s">
        <v>704</v>
      </c>
      <c r="AA78" s="296" t="s">
        <v>704</v>
      </c>
      <c r="AB78" s="296" t="s">
        <v>704</v>
      </c>
      <c r="AC78" s="296" t="s">
        <v>704</v>
      </c>
      <c r="AD78" s="296" t="s">
        <v>704</v>
      </c>
      <c r="AE78" s="296" t="s">
        <v>704</v>
      </c>
      <c r="AF78" s="296" t="s">
        <v>704</v>
      </c>
      <c r="AG78" s="296" t="s">
        <v>704</v>
      </c>
      <c r="AH78" s="296" t="s">
        <v>704</v>
      </c>
      <c r="AI78" s="296" t="s">
        <v>704</v>
      </c>
      <c r="AJ78" s="296" t="s">
        <v>704</v>
      </c>
      <c r="AK78" s="296" t="s">
        <v>704</v>
      </c>
      <c r="AL78" s="296" t="s">
        <v>704</v>
      </c>
      <c r="AM78" s="296" t="s">
        <v>704</v>
      </c>
      <c r="AN78" s="296" t="s">
        <v>704</v>
      </c>
      <c r="AO78" s="296" t="s">
        <v>704</v>
      </c>
      <c r="AP78" s="296" t="s">
        <v>704</v>
      </c>
      <c r="AQ78" s="296" t="s">
        <v>704</v>
      </c>
      <c r="AR78" s="296" t="s">
        <v>704</v>
      </c>
      <c r="AS78" s="296" t="s">
        <v>704</v>
      </c>
      <c r="AT78" s="296" t="s">
        <v>704</v>
      </c>
      <c r="AU78" s="296" t="s">
        <v>704</v>
      </c>
      <c r="AV78" s="296" t="s">
        <v>704</v>
      </c>
      <c r="AW78" s="296"/>
      <c r="AX78" s="296"/>
    </row>
    <row r="79" spans="1:50" x14ac:dyDescent="0.25">
      <c r="A79" s="299">
        <v>1</v>
      </c>
      <c r="C79" s="308" t="str">
        <f>"    Number of Estimates"</f>
        <v xml:space="preserve">    Number of Estimates</v>
      </c>
      <c r="D79" s="309">
        <v>6</v>
      </c>
      <c r="E79" s="309">
        <v>8</v>
      </c>
      <c r="F79" s="309">
        <v>8</v>
      </c>
      <c r="G79" s="309">
        <v>8</v>
      </c>
      <c r="H79" s="309">
        <v>9</v>
      </c>
      <c r="I79" s="309">
        <v>8</v>
      </c>
      <c r="J79" s="309">
        <v>8</v>
      </c>
      <c r="K79" s="309">
        <v>9</v>
      </c>
      <c r="L79" s="309">
        <v>9</v>
      </c>
      <c r="M79" s="309">
        <v>9</v>
      </c>
      <c r="N79" s="309">
        <v>9</v>
      </c>
      <c r="O79" s="309">
        <v>3</v>
      </c>
      <c r="P79" s="309">
        <v>3</v>
      </c>
      <c r="Q79" s="309">
        <v>3</v>
      </c>
      <c r="R79" s="309">
        <v>2</v>
      </c>
      <c r="S79" s="300" t="s">
        <v>704</v>
      </c>
      <c r="T79" s="296" t="s">
        <v>704</v>
      </c>
      <c r="U79" s="296" t="s">
        <v>704</v>
      </c>
      <c r="V79" s="296" t="s">
        <v>704</v>
      </c>
      <c r="W79" s="296" t="s">
        <v>704</v>
      </c>
      <c r="X79" s="296" t="s">
        <v>704</v>
      </c>
      <c r="Y79" s="296" t="s">
        <v>704</v>
      </c>
      <c r="Z79" s="296" t="s">
        <v>704</v>
      </c>
      <c r="AA79" s="296" t="s">
        <v>704</v>
      </c>
      <c r="AB79" s="296" t="s">
        <v>704</v>
      </c>
      <c r="AC79" s="296" t="s">
        <v>704</v>
      </c>
      <c r="AD79" s="296" t="s">
        <v>704</v>
      </c>
      <c r="AE79" s="296" t="s">
        <v>704</v>
      </c>
      <c r="AF79" s="296" t="s">
        <v>704</v>
      </c>
      <c r="AG79" s="296" t="s">
        <v>704</v>
      </c>
      <c r="AH79" s="296" t="s">
        <v>704</v>
      </c>
      <c r="AI79" s="296" t="s">
        <v>704</v>
      </c>
      <c r="AJ79" s="296" t="s">
        <v>704</v>
      </c>
      <c r="AK79" s="296" t="s">
        <v>704</v>
      </c>
      <c r="AL79" s="296" t="s">
        <v>704</v>
      </c>
      <c r="AM79" s="296" t="s">
        <v>704</v>
      </c>
      <c r="AN79" s="296" t="s">
        <v>704</v>
      </c>
      <c r="AO79" s="296" t="s">
        <v>704</v>
      </c>
      <c r="AP79" s="296" t="s">
        <v>704</v>
      </c>
      <c r="AQ79" s="296" t="s">
        <v>704</v>
      </c>
      <c r="AR79" s="296" t="s">
        <v>704</v>
      </c>
      <c r="AS79" s="296" t="s">
        <v>704</v>
      </c>
      <c r="AT79" s="296" t="s">
        <v>704</v>
      </c>
      <c r="AU79" s="296" t="s">
        <v>704</v>
      </c>
      <c r="AV79" s="296" t="s">
        <v>704</v>
      </c>
      <c r="AW79" s="296"/>
      <c r="AX79" s="296"/>
    </row>
    <row r="80" spans="1:50" x14ac:dyDescent="0.25">
      <c r="A80" s="299">
        <v>1</v>
      </c>
      <c r="C80" s="306" t="str">
        <f>"Diluted EPS"</f>
        <v>Diluted EPS</v>
      </c>
      <c r="D80" s="307" t="s">
        <v>704</v>
      </c>
      <c r="E80" s="307" t="s">
        <v>704</v>
      </c>
      <c r="F80" s="307" t="s">
        <v>704</v>
      </c>
      <c r="G80" s="307" t="s">
        <v>704</v>
      </c>
      <c r="H80" s="307" t="s">
        <v>704</v>
      </c>
      <c r="I80" s="307" t="s">
        <v>704</v>
      </c>
      <c r="J80" s="307" t="s">
        <v>704</v>
      </c>
      <c r="K80" s="307" t="s">
        <v>704</v>
      </c>
      <c r="L80" s="307" t="s">
        <v>704</v>
      </c>
      <c r="M80" s="307" t="s">
        <v>704</v>
      </c>
      <c r="N80" s="307" t="s">
        <v>704</v>
      </c>
      <c r="O80" s="307" t="s">
        <v>704</v>
      </c>
      <c r="P80" s="307" t="s">
        <v>704</v>
      </c>
      <c r="Q80" s="307" t="s">
        <v>704</v>
      </c>
      <c r="R80" s="307" t="s">
        <v>704</v>
      </c>
      <c r="S80" s="300" t="s">
        <v>704</v>
      </c>
      <c r="T80" s="296" t="s">
        <v>704</v>
      </c>
      <c r="U80" s="296" t="s">
        <v>704</v>
      </c>
      <c r="V80" s="296" t="s">
        <v>704</v>
      </c>
      <c r="W80" s="296" t="s">
        <v>704</v>
      </c>
      <c r="X80" s="296" t="s">
        <v>704</v>
      </c>
      <c r="Y80" s="296" t="s">
        <v>704</v>
      </c>
      <c r="Z80" s="296" t="s">
        <v>704</v>
      </c>
      <c r="AA80" s="296" t="s">
        <v>704</v>
      </c>
      <c r="AB80" s="296" t="s">
        <v>704</v>
      </c>
      <c r="AC80" s="296" t="s">
        <v>704</v>
      </c>
      <c r="AD80" s="296" t="s">
        <v>704</v>
      </c>
      <c r="AE80" s="296" t="s">
        <v>704</v>
      </c>
      <c r="AF80" s="296" t="s">
        <v>704</v>
      </c>
      <c r="AG80" s="296" t="s">
        <v>704</v>
      </c>
      <c r="AH80" s="296" t="s">
        <v>704</v>
      </c>
      <c r="AI80" s="296" t="s">
        <v>704</v>
      </c>
      <c r="AJ80" s="296" t="s">
        <v>704</v>
      </c>
      <c r="AK80" s="296" t="s">
        <v>704</v>
      </c>
      <c r="AL80" s="296" t="s">
        <v>704</v>
      </c>
      <c r="AM80" s="296" t="s">
        <v>704</v>
      </c>
      <c r="AN80" s="296" t="s">
        <v>704</v>
      </c>
      <c r="AO80" s="296" t="s">
        <v>704</v>
      </c>
      <c r="AP80" s="296" t="s">
        <v>704</v>
      </c>
      <c r="AQ80" s="296" t="s">
        <v>704</v>
      </c>
      <c r="AR80" s="296" t="s">
        <v>704</v>
      </c>
      <c r="AS80" s="296" t="s">
        <v>704</v>
      </c>
      <c r="AT80" s="296" t="s">
        <v>704</v>
      </c>
      <c r="AU80" s="296" t="s">
        <v>704</v>
      </c>
      <c r="AV80" s="296" t="s">
        <v>704</v>
      </c>
      <c r="AW80" s="296"/>
      <c r="AX80" s="296"/>
    </row>
    <row r="81" spans="1:50" x14ac:dyDescent="0.25">
      <c r="A81" s="299">
        <v>1</v>
      </c>
      <c r="C81" s="308" t="str">
        <f>"    Actual"</f>
        <v xml:space="preserve">    Actual</v>
      </c>
      <c r="D81" s="310">
        <v>-0.01</v>
      </c>
      <c r="E81" s="310">
        <v>-0.98</v>
      </c>
      <c r="F81" s="310">
        <v>-0.46</v>
      </c>
      <c r="G81" s="310">
        <v>-0.31</v>
      </c>
      <c r="H81" s="310">
        <v>-0.38</v>
      </c>
      <c r="I81" s="310">
        <v>-0.46</v>
      </c>
      <c r="J81" s="310">
        <v>-0.35</v>
      </c>
      <c r="K81" s="310" t="s">
        <v>704</v>
      </c>
      <c r="L81" s="310" t="s">
        <v>704</v>
      </c>
      <c r="M81" s="310" t="s">
        <v>704</v>
      </c>
      <c r="N81" s="310" t="s">
        <v>704</v>
      </c>
      <c r="O81" s="310" t="s">
        <v>704</v>
      </c>
      <c r="P81" s="310" t="s">
        <v>704</v>
      </c>
      <c r="Q81" s="310" t="s">
        <v>704</v>
      </c>
      <c r="R81" s="310" t="s">
        <v>704</v>
      </c>
      <c r="S81" s="300" t="s">
        <v>704</v>
      </c>
      <c r="T81" s="296" t="s">
        <v>704</v>
      </c>
      <c r="U81" s="296" t="s">
        <v>704</v>
      </c>
      <c r="V81" s="296" t="s">
        <v>704</v>
      </c>
      <c r="W81" s="296" t="s">
        <v>704</v>
      </c>
      <c r="X81" s="296" t="s">
        <v>704</v>
      </c>
      <c r="Y81" s="296" t="s">
        <v>704</v>
      </c>
      <c r="Z81" s="296" t="s">
        <v>704</v>
      </c>
      <c r="AA81" s="296" t="s">
        <v>704</v>
      </c>
      <c r="AB81" s="296" t="s">
        <v>704</v>
      </c>
      <c r="AC81" s="296" t="s">
        <v>704</v>
      </c>
      <c r="AD81" s="296" t="s">
        <v>704</v>
      </c>
      <c r="AE81" s="296" t="s">
        <v>704</v>
      </c>
      <c r="AF81" s="296" t="s">
        <v>704</v>
      </c>
      <c r="AG81" s="296" t="s">
        <v>704</v>
      </c>
      <c r="AH81" s="296" t="s">
        <v>704</v>
      </c>
      <c r="AI81" s="296" t="s">
        <v>704</v>
      </c>
      <c r="AJ81" s="296" t="s">
        <v>704</v>
      </c>
      <c r="AK81" s="296" t="s">
        <v>704</v>
      </c>
      <c r="AL81" s="296" t="s">
        <v>704</v>
      </c>
      <c r="AM81" s="296" t="s">
        <v>704</v>
      </c>
      <c r="AN81" s="296" t="s">
        <v>704</v>
      </c>
      <c r="AO81" s="296" t="s">
        <v>704</v>
      </c>
      <c r="AP81" s="296" t="s">
        <v>704</v>
      </c>
      <c r="AQ81" s="296" t="s">
        <v>704</v>
      </c>
      <c r="AR81" s="296" t="s">
        <v>704</v>
      </c>
      <c r="AS81" s="296" t="s">
        <v>704</v>
      </c>
      <c r="AT81" s="296" t="s">
        <v>704</v>
      </c>
      <c r="AU81" s="296" t="s">
        <v>704</v>
      </c>
      <c r="AV81" s="296" t="s">
        <v>704</v>
      </c>
      <c r="AW81" s="296"/>
      <c r="AX81" s="296"/>
    </row>
    <row r="82" spans="1:50" x14ac:dyDescent="0.25">
      <c r="A82" s="299">
        <v>1</v>
      </c>
      <c r="C82" s="308" t="str">
        <f>"    Median"</f>
        <v xml:space="preserve">    Median</v>
      </c>
      <c r="D82" s="310">
        <v>-0.01</v>
      </c>
      <c r="E82" s="310">
        <v>-1.27</v>
      </c>
      <c r="F82" s="310">
        <v>-0.59</v>
      </c>
      <c r="G82" s="310">
        <v>-0.63</v>
      </c>
      <c r="H82" s="310">
        <v>-0.51</v>
      </c>
      <c r="I82" s="310">
        <v>-0.56999999999999995</v>
      </c>
      <c r="J82" s="310">
        <v>-0.56499999999999995</v>
      </c>
      <c r="K82" s="310">
        <v>-0.26</v>
      </c>
      <c r="L82" s="310">
        <v>-0.25</v>
      </c>
      <c r="M82" s="310">
        <v>-0.24</v>
      </c>
      <c r="N82" s="310">
        <v>-0.12</v>
      </c>
      <c r="O82" s="310">
        <v>0.02</v>
      </c>
      <c r="P82" s="310">
        <v>0.05</v>
      </c>
      <c r="Q82" s="310">
        <v>-0.03</v>
      </c>
      <c r="R82" s="310">
        <v>7.4999999999999997E-2</v>
      </c>
      <c r="S82" s="300" t="s">
        <v>704</v>
      </c>
      <c r="T82" s="296" t="s">
        <v>704</v>
      </c>
      <c r="U82" s="296" t="s">
        <v>704</v>
      </c>
      <c r="V82" s="296" t="s">
        <v>704</v>
      </c>
      <c r="W82" s="296" t="s">
        <v>704</v>
      </c>
      <c r="X82" s="296" t="s">
        <v>704</v>
      </c>
      <c r="Y82" s="296" t="s">
        <v>704</v>
      </c>
      <c r="Z82" s="296" t="s">
        <v>704</v>
      </c>
      <c r="AA82" s="296" t="s">
        <v>704</v>
      </c>
      <c r="AB82" s="296" t="s">
        <v>704</v>
      </c>
      <c r="AC82" s="296" t="s">
        <v>704</v>
      </c>
      <c r="AD82" s="296" t="s">
        <v>704</v>
      </c>
      <c r="AE82" s="296" t="s">
        <v>704</v>
      </c>
      <c r="AF82" s="296" t="s">
        <v>704</v>
      </c>
      <c r="AG82" s="296" t="s">
        <v>704</v>
      </c>
      <c r="AH82" s="296" t="s">
        <v>704</v>
      </c>
      <c r="AI82" s="296" t="s">
        <v>704</v>
      </c>
      <c r="AJ82" s="296" t="s">
        <v>704</v>
      </c>
      <c r="AK82" s="296" t="s">
        <v>704</v>
      </c>
      <c r="AL82" s="296" t="s">
        <v>704</v>
      </c>
      <c r="AM82" s="296" t="s">
        <v>704</v>
      </c>
      <c r="AN82" s="296" t="s">
        <v>704</v>
      </c>
      <c r="AO82" s="296" t="s">
        <v>704</v>
      </c>
      <c r="AP82" s="296" t="s">
        <v>704</v>
      </c>
      <c r="AQ82" s="296" t="s">
        <v>704</v>
      </c>
      <c r="AR82" s="296" t="s">
        <v>704</v>
      </c>
      <c r="AS82" s="296" t="s">
        <v>704</v>
      </c>
      <c r="AT82" s="296" t="s">
        <v>704</v>
      </c>
      <c r="AU82" s="296" t="s">
        <v>704</v>
      </c>
      <c r="AV82" s="296" t="s">
        <v>704</v>
      </c>
      <c r="AW82" s="296"/>
      <c r="AX82" s="296"/>
    </row>
    <row r="83" spans="1:50" x14ac:dyDescent="0.25">
      <c r="A83" s="299">
        <v>1</v>
      </c>
      <c r="C83" s="308" t="str">
        <f>"    High"</f>
        <v xml:space="preserve">    High</v>
      </c>
      <c r="D83" s="310">
        <v>0</v>
      </c>
      <c r="E83" s="310">
        <v>-0.63</v>
      </c>
      <c r="F83" s="310">
        <v>-0.38</v>
      </c>
      <c r="G83" s="310">
        <v>-0.53</v>
      </c>
      <c r="H83" s="310">
        <v>-0.42</v>
      </c>
      <c r="I83" s="310">
        <v>-0.37</v>
      </c>
      <c r="J83" s="310">
        <v>-0.35</v>
      </c>
      <c r="K83" s="310">
        <v>-0.12</v>
      </c>
      <c r="L83" s="310">
        <v>-0.13</v>
      </c>
      <c r="M83" s="310">
        <v>-0.13</v>
      </c>
      <c r="N83" s="310">
        <v>7.0000000000000007E-2</v>
      </c>
      <c r="O83" s="310">
        <v>0.22</v>
      </c>
      <c r="P83" s="310">
        <v>7.0000000000000007E-2</v>
      </c>
      <c r="Q83" s="310">
        <v>0.1</v>
      </c>
      <c r="R83" s="310">
        <v>0.16</v>
      </c>
      <c r="S83" s="300" t="s">
        <v>704</v>
      </c>
      <c r="T83" s="296" t="s">
        <v>704</v>
      </c>
      <c r="U83" s="296" t="s">
        <v>704</v>
      </c>
      <c r="V83" s="296" t="s">
        <v>704</v>
      </c>
      <c r="W83" s="296" t="s">
        <v>704</v>
      </c>
      <c r="X83" s="296" t="s">
        <v>704</v>
      </c>
      <c r="Y83" s="296" t="s">
        <v>704</v>
      </c>
      <c r="Z83" s="296" t="s">
        <v>704</v>
      </c>
      <c r="AA83" s="296" t="s">
        <v>704</v>
      </c>
      <c r="AB83" s="296" t="s">
        <v>704</v>
      </c>
      <c r="AC83" s="296" t="s">
        <v>704</v>
      </c>
      <c r="AD83" s="296" t="s">
        <v>704</v>
      </c>
      <c r="AE83" s="296" t="s">
        <v>704</v>
      </c>
      <c r="AF83" s="296" t="s">
        <v>704</v>
      </c>
      <c r="AG83" s="296" t="s">
        <v>704</v>
      </c>
      <c r="AH83" s="296" t="s">
        <v>704</v>
      </c>
      <c r="AI83" s="296" t="s">
        <v>704</v>
      </c>
      <c r="AJ83" s="296" t="s">
        <v>704</v>
      </c>
      <c r="AK83" s="296" t="s">
        <v>704</v>
      </c>
      <c r="AL83" s="296" t="s">
        <v>704</v>
      </c>
      <c r="AM83" s="296" t="s">
        <v>704</v>
      </c>
      <c r="AN83" s="296" t="s">
        <v>704</v>
      </c>
      <c r="AO83" s="296" t="s">
        <v>704</v>
      </c>
      <c r="AP83" s="296" t="s">
        <v>704</v>
      </c>
      <c r="AQ83" s="296" t="s">
        <v>704</v>
      </c>
      <c r="AR83" s="296" t="s">
        <v>704</v>
      </c>
      <c r="AS83" s="296" t="s">
        <v>704</v>
      </c>
      <c r="AT83" s="296" t="s">
        <v>704</v>
      </c>
      <c r="AU83" s="296" t="s">
        <v>704</v>
      </c>
      <c r="AV83" s="296" t="s">
        <v>704</v>
      </c>
      <c r="AW83" s="296"/>
      <c r="AX83" s="296"/>
    </row>
    <row r="84" spans="1:50" x14ac:dyDescent="0.25">
      <c r="A84" s="299">
        <v>1</v>
      </c>
      <c r="C84" s="308" t="str">
        <f>"    Low"</f>
        <v xml:space="preserve">    Low</v>
      </c>
      <c r="D84" s="310">
        <v>-0.01</v>
      </c>
      <c r="E84" s="310">
        <v>-2.14</v>
      </c>
      <c r="F84" s="310">
        <v>-1.43</v>
      </c>
      <c r="G84" s="310">
        <v>-0.69</v>
      </c>
      <c r="H84" s="310">
        <v>-0.65</v>
      </c>
      <c r="I84" s="310">
        <v>-0.64</v>
      </c>
      <c r="J84" s="310">
        <v>-0.63</v>
      </c>
      <c r="K84" s="310">
        <v>-0.39</v>
      </c>
      <c r="L84" s="310">
        <v>-0.43</v>
      </c>
      <c r="M84" s="310">
        <v>-0.47</v>
      </c>
      <c r="N84" s="310">
        <v>-0.23</v>
      </c>
      <c r="O84" s="310">
        <v>-0.23</v>
      </c>
      <c r="P84" s="310">
        <v>-0.23</v>
      </c>
      <c r="Q84" s="310">
        <v>-0.24</v>
      </c>
      <c r="R84" s="310">
        <v>-0.01</v>
      </c>
      <c r="S84" s="300" t="s">
        <v>704</v>
      </c>
      <c r="T84" s="296" t="s">
        <v>704</v>
      </c>
      <c r="U84" s="296" t="s">
        <v>704</v>
      </c>
      <c r="V84" s="296" t="s">
        <v>704</v>
      </c>
      <c r="W84" s="296" t="s">
        <v>704</v>
      </c>
      <c r="X84" s="296" t="s">
        <v>704</v>
      </c>
      <c r="Y84" s="296" t="s">
        <v>704</v>
      </c>
      <c r="Z84" s="296" t="s">
        <v>704</v>
      </c>
      <c r="AA84" s="296" t="s">
        <v>704</v>
      </c>
      <c r="AB84" s="296" t="s">
        <v>704</v>
      </c>
      <c r="AC84" s="296" t="s">
        <v>704</v>
      </c>
      <c r="AD84" s="296" t="s">
        <v>704</v>
      </c>
      <c r="AE84" s="296" t="s">
        <v>704</v>
      </c>
      <c r="AF84" s="296" t="s">
        <v>704</v>
      </c>
      <c r="AG84" s="296" t="s">
        <v>704</v>
      </c>
      <c r="AH84" s="296" t="s">
        <v>704</v>
      </c>
      <c r="AI84" s="296" t="s">
        <v>704</v>
      </c>
      <c r="AJ84" s="296" t="s">
        <v>704</v>
      </c>
      <c r="AK84" s="296" t="s">
        <v>704</v>
      </c>
      <c r="AL84" s="296" t="s">
        <v>704</v>
      </c>
      <c r="AM84" s="296" t="s">
        <v>704</v>
      </c>
      <c r="AN84" s="296" t="s">
        <v>704</v>
      </c>
      <c r="AO84" s="296" t="s">
        <v>704</v>
      </c>
      <c r="AP84" s="296" t="s">
        <v>704</v>
      </c>
      <c r="AQ84" s="296" t="s">
        <v>704</v>
      </c>
      <c r="AR84" s="296" t="s">
        <v>704</v>
      </c>
      <c r="AS84" s="296" t="s">
        <v>704</v>
      </c>
      <c r="AT84" s="296" t="s">
        <v>704</v>
      </c>
      <c r="AU84" s="296" t="s">
        <v>704</v>
      </c>
      <c r="AV84" s="296" t="s">
        <v>704</v>
      </c>
      <c r="AW84" s="296"/>
      <c r="AX84" s="296"/>
    </row>
    <row r="85" spans="1:50" x14ac:dyDescent="0.25">
      <c r="A85" s="299">
        <v>1</v>
      </c>
      <c r="C85" s="308" t="str">
        <f>"    Mean"</f>
        <v xml:space="preserve">    Mean</v>
      </c>
      <c r="D85" s="310">
        <v>-0.01</v>
      </c>
      <c r="E85" s="310">
        <v>-1.3274999999999999</v>
      </c>
      <c r="F85" s="310">
        <v>-0.71199999999999997</v>
      </c>
      <c r="G85" s="310">
        <v>-0.62</v>
      </c>
      <c r="H85" s="310">
        <v>-0.52</v>
      </c>
      <c r="I85" s="310">
        <v>-0.55125000000000002</v>
      </c>
      <c r="J85" s="310">
        <v>-0.54125000000000001</v>
      </c>
      <c r="K85" s="310">
        <v>-0.24111099999999999</v>
      </c>
      <c r="L85" s="310">
        <v>-0.247778</v>
      </c>
      <c r="M85" s="310">
        <v>-0.26333299999999998</v>
      </c>
      <c r="N85" s="310">
        <v>-0.107778</v>
      </c>
      <c r="O85" s="310">
        <v>0.01</v>
      </c>
      <c r="P85" s="310">
        <v>-3.6666999999999998E-2</v>
      </c>
      <c r="Q85" s="310">
        <v>-5.6667000000000002E-2</v>
      </c>
      <c r="R85" s="310">
        <v>7.4999999999999997E-2</v>
      </c>
      <c r="S85" s="300" t="s">
        <v>704</v>
      </c>
      <c r="T85" s="296" t="s">
        <v>704</v>
      </c>
      <c r="U85" s="296" t="s">
        <v>704</v>
      </c>
      <c r="V85" s="296" t="s">
        <v>704</v>
      </c>
      <c r="W85" s="296" t="s">
        <v>704</v>
      </c>
      <c r="X85" s="296" t="s">
        <v>704</v>
      </c>
      <c r="Y85" s="296" t="s">
        <v>704</v>
      </c>
      <c r="Z85" s="296" t="s">
        <v>704</v>
      </c>
      <c r="AA85" s="296" t="s">
        <v>704</v>
      </c>
      <c r="AB85" s="296" t="s">
        <v>704</v>
      </c>
      <c r="AC85" s="296" t="s">
        <v>704</v>
      </c>
      <c r="AD85" s="296" t="s">
        <v>704</v>
      </c>
      <c r="AE85" s="296" t="s">
        <v>704</v>
      </c>
      <c r="AF85" s="296" t="s">
        <v>704</v>
      </c>
      <c r="AG85" s="296" t="s">
        <v>704</v>
      </c>
      <c r="AH85" s="296" t="s">
        <v>704</v>
      </c>
      <c r="AI85" s="296" t="s">
        <v>704</v>
      </c>
      <c r="AJ85" s="296" t="s">
        <v>704</v>
      </c>
      <c r="AK85" s="296" t="s">
        <v>704</v>
      </c>
      <c r="AL85" s="296" t="s">
        <v>704</v>
      </c>
      <c r="AM85" s="296" t="s">
        <v>704</v>
      </c>
      <c r="AN85" s="296" t="s">
        <v>704</v>
      </c>
      <c r="AO85" s="296" t="s">
        <v>704</v>
      </c>
      <c r="AP85" s="296" t="s">
        <v>704</v>
      </c>
      <c r="AQ85" s="296" t="s">
        <v>704</v>
      </c>
      <c r="AR85" s="296" t="s">
        <v>704</v>
      </c>
      <c r="AS85" s="296" t="s">
        <v>704</v>
      </c>
      <c r="AT85" s="296" t="s">
        <v>704</v>
      </c>
      <c r="AU85" s="296" t="s">
        <v>704</v>
      </c>
      <c r="AV85" s="296" t="s">
        <v>704</v>
      </c>
      <c r="AW85" s="296"/>
      <c r="AX85" s="296"/>
    </row>
    <row r="86" spans="1:50" x14ac:dyDescent="0.25">
      <c r="A86" s="299">
        <v>1</v>
      </c>
      <c r="C86" s="308" t="str">
        <f>"    Standard Deviation"</f>
        <v xml:space="preserve">    Standard Deviation</v>
      </c>
      <c r="D86" s="310">
        <v>0.01</v>
      </c>
      <c r="E86" s="310">
        <v>0.65275700000000003</v>
      </c>
      <c r="F86" s="310">
        <v>0.41583700000000001</v>
      </c>
      <c r="G86" s="310">
        <v>7.0710999999999996E-2</v>
      </c>
      <c r="H86" s="310">
        <v>6.9281999999999996E-2</v>
      </c>
      <c r="I86" s="310">
        <v>8.0612000000000003E-2</v>
      </c>
      <c r="J86" s="310">
        <v>9.1094999999999995E-2</v>
      </c>
      <c r="K86" s="310">
        <v>8.9784000000000003E-2</v>
      </c>
      <c r="L86" s="310">
        <v>9.3779000000000001E-2</v>
      </c>
      <c r="M86" s="310">
        <v>9.5394000000000007E-2</v>
      </c>
      <c r="N86" s="310">
        <v>9.1484999999999997E-2</v>
      </c>
      <c r="O86" s="310">
        <v>0.225462</v>
      </c>
      <c r="P86" s="310">
        <v>0.16772999999999999</v>
      </c>
      <c r="Q86" s="310">
        <v>0.17156099999999999</v>
      </c>
      <c r="R86" s="310">
        <v>0.120208</v>
      </c>
      <c r="S86" s="300" t="s">
        <v>704</v>
      </c>
      <c r="T86" s="296" t="s">
        <v>704</v>
      </c>
      <c r="U86" s="296" t="s">
        <v>704</v>
      </c>
      <c r="V86" s="296" t="s">
        <v>704</v>
      </c>
      <c r="W86" s="296" t="s">
        <v>704</v>
      </c>
      <c r="X86" s="296" t="s">
        <v>704</v>
      </c>
      <c r="Y86" s="296" t="s">
        <v>704</v>
      </c>
      <c r="Z86" s="296" t="s">
        <v>704</v>
      </c>
      <c r="AA86" s="296" t="s">
        <v>704</v>
      </c>
      <c r="AB86" s="296" t="s">
        <v>704</v>
      </c>
      <c r="AC86" s="296" t="s">
        <v>704</v>
      </c>
      <c r="AD86" s="296" t="s">
        <v>704</v>
      </c>
      <c r="AE86" s="296" t="s">
        <v>704</v>
      </c>
      <c r="AF86" s="296" t="s">
        <v>704</v>
      </c>
      <c r="AG86" s="296" t="s">
        <v>704</v>
      </c>
      <c r="AH86" s="296" t="s">
        <v>704</v>
      </c>
      <c r="AI86" s="296" t="s">
        <v>704</v>
      </c>
      <c r="AJ86" s="296" t="s">
        <v>704</v>
      </c>
      <c r="AK86" s="296" t="s">
        <v>704</v>
      </c>
      <c r="AL86" s="296" t="s">
        <v>704</v>
      </c>
      <c r="AM86" s="296" t="s">
        <v>704</v>
      </c>
      <c r="AN86" s="296" t="s">
        <v>704</v>
      </c>
      <c r="AO86" s="296" t="s">
        <v>704</v>
      </c>
      <c r="AP86" s="296" t="s">
        <v>704</v>
      </c>
      <c r="AQ86" s="296" t="s">
        <v>704</v>
      </c>
      <c r="AR86" s="296" t="s">
        <v>704</v>
      </c>
      <c r="AS86" s="296" t="s">
        <v>704</v>
      </c>
      <c r="AT86" s="296" t="s">
        <v>704</v>
      </c>
      <c r="AU86" s="296" t="s">
        <v>704</v>
      </c>
      <c r="AV86" s="296" t="s">
        <v>704</v>
      </c>
      <c r="AW86" s="296"/>
      <c r="AX86" s="296"/>
    </row>
    <row r="87" spans="1:50" x14ac:dyDescent="0.25">
      <c r="A87" s="299">
        <v>1</v>
      </c>
      <c r="C87" s="308" t="str">
        <f>"    Number of Estimates"</f>
        <v xml:space="preserve">    Number of Estimates</v>
      </c>
      <c r="D87" s="309">
        <v>3</v>
      </c>
      <c r="E87" s="309">
        <v>4</v>
      </c>
      <c r="F87" s="309">
        <v>5</v>
      </c>
      <c r="G87" s="309">
        <v>4</v>
      </c>
      <c r="H87" s="309">
        <v>8</v>
      </c>
      <c r="I87" s="309">
        <v>8</v>
      </c>
      <c r="J87" s="309">
        <v>8</v>
      </c>
      <c r="K87" s="309">
        <v>9</v>
      </c>
      <c r="L87" s="309">
        <v>9</v>
      </c>
      <c r="M87" s="309">
        <v>9</v>
      </c>
      <c r="N87" s="309">
        <v>9</v>
      </c>
      <c r="O87" s="309">
        <v>3</v>
      </c>
      <c r="P87" s="309">
        <v>3</v>
      </c>
      <c r="Q87" s="309">
        <v>3</v>
      </c>
      <c r="R87" s="309">
        <v>2</v>
      </c>
      <c r="S87" s="300" t="s">
        <v>704</v>
      </c>
      <c r="T87" s="296" t="s">
        <v>704</v>
      </c>
      <c r="U87" s="296" t="s">
        <v>704</v>
      </c>
      <c r="V87" s="296" t="s">
        <v>704</v>
      </c>
      <c r="W87" s="296" t="s">
        <v>704</v>
      </c>
      <c r="X87" s="296" t="s">
        <v>704</v>
      </c>
      <c r="Y87" s="296" t="s">
        <v>704</v>
      </c>
      <c r="Z87" s="296" t="s">
        <v>704</v>
      </c>
      <c r="AA87" s="296" t="s">
        <v>704</v>
      </c>
      <c r="AB87" s="296" t="s">
        <v>704</v>
      </c>
      <c r="AC87" s="296" t="s">
        <v>704</v>
      </c>
      <c r="AD87" s="296" t="s">
        <v>704</v>
      </c>
      <c r="AE87" s="296" t="s">
        <v>704</v>
      </c>
      <c r="AF87" s="296" t="s">
        <v>704</v>
      </c>
      <c r="AG87" s="296" t="s">
        <v>704</v>
      </c>
      <c r="AH87" s="296" t="s">
        <v>704</v>
      </c>
      <c r="AI87" s="296" t="s">
        <v>704</v>
      </c>
      <c r="AJ87" s="296" t="s">
        <v>704</v>
      </c>
      <c r="AK87" s="296" t="s">
        <v>704</v>
      </c>
      <c r="AL87" s="296" t="s">
        <v>704</v>
      </c>
      <c r="AM87" s="296" t="s">
        <v>704</v>
      </c>
      <c r="AN87" s="296" t="s">
        <v>704</v>
      </c>
      <c r="AO87" s="296" t="s">
        <v>704</v>
      </c>
      <c r="AP87" s="296" t="s">
        <v>704</v>
      </c>
      <c r="AQ87" s="296" t="s">
        <v>704</v>
      </c>
      <c r="AR87" s="296" t="s">
        <v>704</v>
      </c>
      <c r="AS87" s="296" t="s">
        <v>704</v>
      </c>
      <c r="AT87" s="296" t="s">
        <v>704</v>
      </c>
      <c r="AU87" s="296" t="s">
        <v>704</v>
      </c>
      <c r="AV87" s="296" t="s">
        <v>704</v>
      </c>
      <c r="AW87" s="296"/>
      <c r="AX87" s="296"/>
    </row>
    <row r="88" spans="1:50" x14ac:dyDescent="0.25">
      <c r="A88" s="299">
        <v>1</v>
      </c>
      <c r="C88" s="306" t="str">
        <f>"Diluted EPS from Continuing Operations"</f>
        <v>Diluted EPS from Continuing Operations</v>
      </c>
      <c r="D88" s="307" t="s">
        <v>704</v>
      </c>
      <c r="E88" s="307" t="s">
        <v>704</v>
      </c>
      <c r="F88" s="307" t="s">
        <v>704</v>
      </c>
      <c r="G88" s="307" t="s">
        <v>704</v>
      </c>
      <c r="H88" s="307" t="s">
        <v>704</v>
      </c>
      <c r="I88" s="307" t="s">
        <v>704</v>
      </c>
      <c r="J88" s="307" t="s">
        <v>704</v>
      </c>
      <c r="K88" s="307" t="s">
        <v>704</v>
      </c>
      <c r="L88" s="307" t="s">
        <v>704</v>
      </c>
      <c r="M88" s="307" t="s">
        <v>704</v>
      </c>
      <c r="N88" s="307" t="s">
        <v>704</v>
      </c>
      <c r="O88" s="307" t="s">
        <v>704</v>
      </c>
      <c r="P88" s="307" t="s">
        <v>704</v>
      </c>
      <c r="Q88" s="307" t="s">
        <v>704</v>
      </c>
      <c r="R88" s="307" t="s">
        <v>704</v>
      </c>
      <c r="S88" s="300" t="s">
        <v>704</v>
      </c>
      <c r="T88" s="296" t="s">
        <v>704</v>
      </c>
      <c r="U88" s="296" t="s">
        <v>704</v>
      </c>
      <c r="V88" s="296" t="s">
        <v>704</v>
      </c>
      <c r="W88" s="296" t="s">
        <v>704</v>
      </c>
      <c r="X88" s="296" t="s">
        <v>704</v>
      </c>
      <c r="Y88" s="296" t="s">
        <v>704</v>
      </c>
      <c r="Z88" s="296" t="s">
        <v>704</v>
      </c>
      <c r="AA88" s="296" t="s">
        <v>704</v>
      </c>
      <c r="AB88" s="296" t="s">
        <v>704</v>
      </c>
      <c r="AC88" s="296" t="s">
        <v>704</v>
      </c>
      <c r="AD88" s="296" t="s">
        <v>704</v>
      </c>
      <c r="AE88" s="296" t="s">
        <v>704</v>
      </c>
      <c r="AF88" s="296" t="s">
        <v>704</v>
      </c>
      <c r="AG88" s="296" t="s">
        <v>704</v>
      </c>
      <c r="AH88" s="296" t="s">
        <v>704</v>
      </c>
      <c r="AI88" s="296" t="s">
        <v>704</v>
      </c>
      <c r="AJ88" s="296" t="s">
        <v>704</v>
      </c>
      <c r="AK88" s="296" t="s">
        <v>704</v>
      </c>
      <c r="AL88" s="296" t="s">
        <v>704</v>
      </c>
      <c r="AM88" s="296" t="s">
        <v>704</v>
      </c>
      <c r="AN88" s="296" t="s">
        <v>704</v>
      </c>
      <c r="AO88" s="296" t="s">
        <v>704</v>
      </c>
      <c r="AP88" s="296" t="s">
        <v>704</v>
      </c>
      <c r="AQ88" s="296" t="s">
        <v>704</v>
      </c>
      <c r="AR88" s="296" t="s">
        <v>704</v>
      </c>
      <c r="AS88" s="296" t="s">
        <v>704</v>
      </c>
      <c r="AT88" s="296" t="s">
        <v>704</v>
      </c>
      <c r="AU88" s="296" t="s">
        <v>704</v>
      </c>
      <c r="AV88" s="296" t="s">
        <v>704</v>
      </c>
      <c r="AW88" s="296"/>
      <c r="AX88" s="296"/>
    </row>
    <row r="89" spans="1:50" x14ac:dyDescent="0.25">
      <c r="A89" s="299">
        <v>1</v>
      </c>
      <c r="C89" s="308" t="str">
        <f>"    Actual"</f>
        <v xml:space="preserve">    Actual</v>
      </c>
      <c r="D89" s="310">
        <v>-0.01</v>
      </c>
      <c r="E89" s="310">
        <v>-0.98</v>
      </c>
      <c r="F89" s="310">
        <v>-0.28000000000000003</v>
      </c>
      <c r="G89" s="310">
        <v>-0.31</v>
      </c>
      <c r="H89" s="310">
        <v>-0.38</v>
      </c>
      <c r="I89" s="310">
        <v>-0.46</v>
      </c>
      <c r="J89" s="310">
        <v>-0.35</v>
      </c>
      <c r="K89" s="310" t="s">
        <v>704</v>
      </c>
      <c r="L89" s="310" t="s">
        <v>704</v>
      </c>
      <c r="M89" s="310" t="s">
        <v>704</v>
      </c>
      <c r="N89" s="310" t="s">
        <v>704</v>
      </c>
      <c r="O89" s="310" t="s">
        <v>704</v>
      </c>
      <c r="P89" s="310" t="s">
        <v>704</v>
      </c>
      <c r="Q89" s="310" t="s">
        <v>704</v>
      </c>
      <c r="R89" s="310" t="s">
        <v>704</v>
      </c>
      <c r="S89" s="300" t="s">
        <v>704</v>
      </c>
      <c r="T89" s="296" t="s">
        <v>704</v>
      </c>
      <c r="U89" s="296" t="s">
        <v>704</v>
      </c>
      <c r="V89" s="296" t="s">
        <v>704</v>
      </c>
      <c r="W89" s="296" t="s">
        <v>704</v>
      </c>
      <c r="X89" s="296" t="s">
        <v>704</v>
      </c>
      <c r="Y89" s="296" t="s">
        <v>704</v>
      </c>
      <c r="Z89" s="296" t="s">
        <v>704</v>
      </c>
      <c r="AA89" s="296" t="s">
        <v>704</v>
      </c>
      <c r="AB89" s="296" t="s">
        <v>704</v>
      </c>
      <c r="AC89" s="296" t="s">
        <v>704</v>
      </c>
      <c r="AD89" s="296" t="s">
        <v>704</v>
      </c>
      <c r="AE89" s="296" t="s">
        <v>704</v>
      </c>
      <c r="AF89" s="296" t="s">
        <v>704</v>
      </c>
      <c r="AG89" s="296" t="s">
        <v>704</v>
      </c>
      <c r="AH89" s="296" t="s">
        <v>704</v>
      </c>
      <c r="AI89" s="296" t="s">
        <v>704</v>
      </c>
      <c r="AJ89" s="296" t="s">
        <v>704</v>
      </c>
      <c r="AK89" s="296" t="s">
        <v>704</v>
      </c>
      <c r="AL89" s="296" t="s">
        <v>704</v>
      </c>
      <c r="AM89" s="296" t="s">
        <v>704</v>
      </c>
      <c r="AN89" s="296" t="s">
        <v>704</v>
      </c>
      <c r="AO89" s="296" t="s">
        <v>704</v>
      </c>
      <c r="AP89" s="296" t="s">
        <v>704</v>
      </c>
      <c r="AQ89" s="296" t="s">
        <v>704</v>
      </c>
      <c r="AR89" s="296" t="s">
        <v>704</v>
      </c>
      <c r="AS89" s="296" t="s">
        <v>704</v>
      </c>
      <c r="AT89" s="296" t="s">
        <v>704</v>
      </c>
      <c r="AU89" s="296" t="s">
        <v>704</v>
      </c>
      <c r="AV89" s="296" t="s">
        <v>704</v>
      </c>
      <c r="AW89" s="296"/>
      <c r="AX89" s="296"/>
    </row>
    <row r="90" spans="1:50" x14ac:dyDescent="0.25">
      <c r="A90" s="299">
        <v>1</v>
      </c>
      <c r="C90" s="306" t="str">
        <f>"Operating Cash Flow per Share"</f>
        <v>Operating Cash Flow per Share</v>
      </c>
      <c r="D90" s="307" t="s">
        <v>704</v>
      </c>
      <c r="E90" s="307" t="s">
        <v>704</v>
      </c>
      <c r="F90" s="307" t="s">
        <v>704</v>
      </c>
      <c r="G90" s="307" t="s">
        <v>704</v>
      </c>
      <c r="H90" s="307" t="s">
        <v>704</v>
      </c>
      <c r="I90" s="307" t="s">
        <v>704</v>
      </c>
      <c r="J90" s="307" t="s">
        <v>704</v>
      </c>
      <c r="K90" s="307" t="s">
        <v>704</v>
      </c>
      <c r="L90" s="307" t="s">
        <v>704</v>
      </c>
      <c r="M90" s="307" t="s">
        <v>704</v>
      </c>
      <c r="N90" s="307" t="s">
        <v>704</v>
      </c>
      <c r="O90" s="307" t="s">
        <v>704</v>
      </c>
      <c r="P90" s="307" t="s">
        <v>704</v>
      </c>
      <c r="Q90" s="307" t="s">
        <v>704</v>
      </c>
      <c r="R90" s="307" t="s">
        <v>704</v>
      </c>
      <c r="S90" s="300" t="s">
        <v>704</v>
      </c>
      <c r="T90" s="296" t="s">
        <v>704</v>
      </c>
      <c r="U90" s="296" t="s">
        <v>704</v>
      </c>
      <c r="V90" s="296" t="s">
        <v>704</v>
      </c>
      <c r="W90" s="296" t="s">
        <v>704</v>
      </c>
      <c r="X90" s="296" t="s">
        <v>704</v>
      </c>
      <c r="Y90" s="296" t="s">
        <v>704</v>
      </c>
      <c r="Z90" s="296" t="s">
        <v>704</v>
      </c>
      <c r="AA90" s="296" t="s">
        <v>704</v>
      </c>
      <c r="AB90" s="296" t="s">
        <v>704</v>
      </c>
      <c r="AC90" s="296" t="s">
        <v>704</v>
      </c>
      <c r="AD90" s="296" t="s">
        <v>704</v>
      </c>
      <c r="AE90" s="296" t="s">
        <v>704</v>
      </c>
      <c r="AF90" s="296" t="s">
        <v>704</v>
      </c>
      <c r="AG90" s="296" t="s">
        <v>704</v>
      </c>
      <c r="AH90" s="296" t="s">
        <v>704</v>
      </c>
      <c r="AI90" s="296" t="s">
        <v>704</v>
      </c>
      <c r="AJ90" s="296" t="s">
        <v>704</v>
      </c>
      <c r="AK90" s="296" t="s">
        <v>704</v>
      </c>
      <c r="AL90" s="296" t="s">
        <v>704</v>
      </c>
      <c r="AM90" s="296" t="s">
        <v>704</v>
      </c>
      <c r="AN90" s="296" t="s">
        <v>704</v>
      </c>
      <c r="AO90" s="296" t="s">
        <v>704</v>
      </c>
      <c r="AP90" s="296" t="s">
        <v>704</v>
      </c>
      <c r="AQ90" s="296" t="s">
        <v>704</v>
      </c>
      <c r="AR90" s="296" t="s">
        <v>704</v>
      </c>
      <c r="AS90" s="296" t="s">
        <v>704</v>
      </c>
      <c r="AT90" s="296" t="s">
        <v>704</v>
      </c>
      <c r="AU90" s="296" t="s">
        <v>704</v>
      </c>
      <c r="AV90" s="296" t="s">
        <v>704</v>
      </c>
      <c r="AW90" s="296"/>
      <c r="AX90" s="296"/>
    </row>
    <row r="91" spans="1:50" x14ac:dyDescent="0.25">
      <c r="A91" s="299">
        <v>1</v>
      </c>
      <c r="C91" s="308" t="str">
        <f>"    Actual"</f>
        <v xml:space="preserve">    Actual</v>
      </c>
      <c r="D91" s="310">
        <v>0.10524506126531633</v>
      </c>
      <c r="E91" s="310">
        <v>-0.25651010802207852</v>
      </c>
      <c r="F91" s="310">
        <v>-5.4243311036789296E-2</v>
      </c>
      <c r="G91" s="310">
        <v>8.3078517750712622E-2</v>
      </c>
      <c r="H91" s="310">
        <v>0.10793400213881958</v>
      </c>
      <c r="I91" s="310">
        <v>8.8672553014866803E-2</v>
      </c>
      <c r="J91" s="310">
        <v>0.20238509316770187</v>
      </c>
      <c r="K91" s="310" t="s">
        <v>704</v>
      </c>
      <c r="L91" s="310" t="s">
        <v>704</v>
      </c>
      <c r="M91" s="310" t="s">
        <v>704</v>
      </c>
      <c r="N91" s="310" t="s">
        <v>704</v>
      </c>
      <c r="O91" s="310" t="s">
        <v>704</v>
      </c>
      <c r="P91" s="310" t="s">
        <v>704</v>
      </c>
      <c r="Q91" s="310" t="s">
        <v>704</v>
      </c>
      <c r="R91" s="310" t="s">
        <v>704</v>
      </c>
      <c r="S91" s="300" t="s">
        <v>704</v>
      </c>
      <c r="T91" s="296" t="s">
        <v>704</v>
      </c>
      <c r="U91" s="296" t="s">
        <v>704</v>
      </c>
      <c r="V91" s="296" t="s">
        <v>704</v>
      </c>
      <c r="W91" s="296" t="s">
        <v>704</v>
      </c>
      <c r="X91" s="296" t="s">
        <v>704</v>
      </c>
      <c r="Y91" s="296" t="s">
        <v>704</v>
      </c>
      <c r="Z91" s="296" t="s">
        <v>704</v>
      </c>
      <c r="AA91" s="296" t="s">
        <v>704</v>
      </c>
      <c r="AB91" s="296" t="s">
        <v>704</v>
      </c>
      <c r="AC91" s="296" t="s">
        <v>704</v>
      </c>
      <c r="AD91" s="296" t="s">
        <v>704</v>
      </c>
      <c r="AE91" s="296" t="s">
        <v>704</v>
      </c>
      <c r="AF91" s="296" t="s">
        <v>704</v>
      </c>
      <c r="AG91" s="296" t="s">
        <v>704</v>
      </c>
      <c r="AH91" s="296" t="s">
        <v>704</v>
      </c>
      <c r="AI91" s="296" t="s">
        <v>704</v>
      </c>
      <c r="AJ91" s="296" t="s">
        <v>704</v>
      </c>
      <c r="AK91" s="296" t="s">
        <v>704</v>
      </c>
      <c r="AL91" s="296" t="s">
        <v>704</v>
      </c>
      <c r="AM91" s="296" t="s">
        <v>704</v>
      </c>
      <c r="AN91" s="296" t="s">
        <v>704</v>
      </c>
      <c r="AO91" s="296" t="s">
        <v>704</v>
      </c>
      <c r="AP91" s="296" t="s">
        <v>704</v>
      </c>
      <c r="AQ91" s="296" t="s">
        <v>704</v>
      </c>
      <c r="AR91" s="296" t="s">
        <v>704</v>
      </c>
      <c r="AS91" s="296" t="s">
        <v>704</v>
      </c>
      <c r="AT91" s="296" t="s">
        <v>704</v>
      </c>
      <c r="AU91" s="296" t="s">
        <v>704</v>
      </c>
      <c r="AV91" s="296" t="s">
        <v>704</v>
      </c>
      <c r="AW91" s="296"/>
      <c r="AX91" s="296"/>
    </row>
    <row r="92" spans="1:50" x14ac:dyDescent="0.25">
      <c r="A92" s="299">
        <v>1</v>
      </c>
      <c r="C92" s="308" t="str">
        <f>"    Median"</f>
        <v xml:space="preserve">    Median</v>
      </c>
      <c r="D92" s="310" t="s">
        <v>704</v>
      </c>
      <c r="E92" s="310">
        <v>0.42241800000000002</v>
      </c>
      <c r="F92" s="310">
        <v>1.0319999999999999E-2</v>
      </c>
      <c r="G92" s="310">
        <v>-0.329878</v>
      </c>
      <c r="H92" s="310">
        <v>-0.456926</v>
      </c>
      <c r="I92" s="310">
        <v>-0.55057299999999998</v>
      </c>
      <c r="J92" s="310">
        <v>-0.24812999999999999</v>
      </c>
      <c r="K92" s="310">
        <v>0.22253999999999999</v>
      </c>
      <c r="L92" s="310">
        <v>0.60536500000000004</v>
      </c>
      <c r="M92" s="310">
        <v>0.31442999999999999</v>
      </c>
      <c r="N92" s="310">
        <v>0.32716899999999999</v>
      </c>
      <c r="O92" s="310" t="s">
        <v>704</v>
      </c>
      <c r="P92" s="310" t="s">
        <v>704</v>
      </c>
      <c r="Q92" s="310" t="s">
        <v>704</v>
      </c>
      <c r="R92" s="310" t="s">
        <v>704</v>
      </c>
      <c r="S92" s="300" t="s">
        <v>704</v>
      </c>
      <c r="T92" s="296" t="s">
        <v>704</v>
      </c>
      <c r="U92" s="296" t="s">
        <v>704</v>
      </c>
      <c r="V92" s="296" t="s">
        <v>704</v>
      </c>
      <c r="W92" s="296" t="s">
        <v>704</v>
      </c>
      <c r="X92" s="296" t="s">
        <v>704</v>
      </c>
      <c r="Y92" s="296" t="s">
        <v>704</v>
      </c>
      <c r="Z92" s="296" t="s">
        <v>704</v>
      </c>
      <c r="AA92" s="296" t="s">
        <v>704</v>
      </c>
      <c r="AB92" s="296" t="s">
        <v>704</v>
      </c>
      <c r="AC92" s="296" t="s">
        <v>704</v>
      </c>
      <c r="AD92" s="296" t="s">
        <v>704</v>
      </c>
      <c r="AE92" s="296" t="s">
        <v>704</v>
      </c>
      <c r="AF92" s="296" t="s">
        <v>704</v>
      </c>
      <c r="AG92" s="296" t="s">
        <v>704</v>
      </c>
      <c r="AH92" s="296" t="s">
        <v>704</v>
      </c>
      <c r="AI92" s="296" t="s">
        <v>704</v>
      </c>
      <c r="AJ92" s="296" t="s">
        <v>704</v>
      </c>
      <c r="AK92" s="296" t="s">
        <v>704</v>
      </c>
      <c r="AL92" s="296" t="s">
        <v>704</v>
      </c>
      <c r="AM92" s="296" t="s">
        <v>704</v>
      </c>
      <c r="AN92" s="296" t="s">
        <v>704</v>
      </c>
      <c r="AO92" s="296" t="s">
        <v>704</v>
      </c>
      <c r="AP92" s="296" t="s">
        <v>704</v>
      </c>
      <c r="AQ92" s="296" t="s">
        <v>704</v>
      </c>
      <c r="AR92" s="296" t="s">
        <v>704</v>
      </c>
      <c r="AS92" s="296" t="s">
        <v>704</v>
      </c>
      <c r="AT92" s="296" t="s">
        <v>704</v>
      </c>
      <c r="AU92" s="296" t="s">
        <v>704</v>
      </c>
      <c r="AV92" s="296" t="s">
        <v>704</v>
      </c>
      <c r="AW92" s="296"/>
      <c r="AX92" s="296"/>
    </row>
    <row r="93" spans="1:50" x14ac:dyDescent="0.25">
      <c r="A93" s="299">
        <v>1</v>
      </c>
      <c r="C93" s="308" t="str">
        <f>"    High"</f>
        <v xml:space="preserve">    High</v>
      </c>
      <c r="D93" s="310" t="s">
        <v>704</v>
      </c>
      <c r="E93" s="310">
        <v>0.42241800000000002</v>
      </c>
      <c r="F93" s="310">
        <v>1.0319999999999999E-2</v>
      </c>
      <c r="G93" s="310">
        <v>-0.329878</v>
      </c>
      <c r="H93" s="310">
        <v>-0.456926</v>
      </c>
      <c r="I93" s="310">
        <v>-0.55057299999999998</v>
      </c>
      <c r="J93" s="310">
        <v>-0.24812999999999999</v>
      </c>
      <c r="K93" s="310">
        <v>0.22253999999999999</v>
      </c>
      <c r="L93" s="310">
        <v>0.60536500000000004</v>
      </c>
      <c r="M93" s="310">
        <v>0.31442999999999999</v>
      </c>
      <c r="N93" s="310">
        <v>0.32716899999999999</v>
      </c>
      <c r="O93" s="310" t="s">
        <v>704</v>
      </c>
      <c r="P93" s="310" t="s">
        <v>704</v>
      </c>
      <c r="Q93" s="310" t="s">
        <v>704</v>
      </c>
      <c r="R93" s="310" t="s">
        <v>704</v>
      </c>
      <c r="S93" s="300" t="s">
        <v>704</v>
      </c>
      <c r="T93" s="296" t="s">
        <v>704</v>
      </c>
      <c r="U93" s="296" t="s">
        <v>704</v>
      </c>
      <c r="V93" s="296" t="s">
        <v>704</v>
      </c>
      <c r="W93" s="296" t="s">
        <v>704</v>
      </c>
      <c r="X93" s="296" t="s">
        <v>704</v>
      </c>
      <c r="Y93" s="296" t="s">
        <v>704</v>
      </c>
      <c r="Z93" s="296" t="s">
        <v>704</v>
      </c>
      <c r="AA93" s="296" t="s">
        <v>704</v>
      </c>
      <c r="AB93" s="296" t="s">
        <v>704</v>
      </c>
      <c r="AC93" s="296" t="s">
        <v>704</v>
      </c>
      <c r="AD93" s="296" t="s">
        <v>704</v>
      </c>
      <c r="AE93" s="296" t="s">
        <v>704</v>
      </c>
      <c r="AF93" s="296" t="s">
        <v>704</v>
      </c>
      <c r="AG93" s="296" t="s">
        <v>704</v>
      </c>
      <c r="AH93" s="296" t="s">
        <v>704</v>
      </c>
      <c r="AI93" s="296" t="s">
        <v>704</v>
      </c>
      <c r="AJ93" s="296" t="s">
        <v>704</v>
      </c>
      <c r="AK93" s="296" t="s">
        <v>704</v>
      </c>
      <c r="AL93" s="296" t="s">
        <v>704</v>
      </c>
      <c r="AM93" s="296" t="s">
        <v>704</v>
      </c>
      <c r="AN93" s="296" t="s">
        <v>704</v>
      </c>
      <c r="AO93" s="296" t="s">
        <v>704</v>
      </c>
      <c r="AP93" s="296" t="s">
        <v>704</v>
      </c>
      <c r="AQ93" s="296" t="s">
        <v>704</v>
      </c>
      <c r="AR93" s="296" t="s">
        <v>704</v>
      </c>
      <c r="AS93" s="296" t="s">
        <v>704</v>
      </c>
      <c r="AT93" s="296" t="s">
        <v>704</v>
      </c>
      <c r="AU93" s="296" t="s">
        <v>704</v>
      </c>
      <c r="AV93" s="296" t="s">
        <v>704</v>
      </c>
      <c r="AW93" s="296"/>
      <c r="AX93" s="296"/>
    </row>
    <row r="94" spans="1:50" x14ac:dyDescent="0.25">
      <c r="A94" s="299">
        <v>1</v>
      </c>
      <c r="C94" s="308" t="str">
        <f>"    Low"</f>
        <v xml:space="preserve">    Low</v>
      </c>
      <c r="D94" s="310" t="s">
        <v>704</v>
      </c>
      <c r="E94" s="310">
        <v>0.42241800000000002</v>
      </c>
      <c r="F94" s="310">
        <v>1.0319999999999999E-2</v>
      </c>
      <c r="G94" s="310">
        <v>-0.329878</v>
      </c>
      <c r="H94" s="310">
        <v>-0.456926</v>
      </c>
      <c r="I94" s="310">
        <v>-0.55057299999999998</v>
      </c>
      <c r="J94" s="310">
        <v>-0.24812999999999999</v>
      </c>
      <c r="K94" s="310">
        <v>0.22253999999999999</v>
      </c>
      <c r="L94" s="310">
        <v>0.60536500000000004</v>
      </c>
      <c r="M94" s="310">
        <v>0.31442999999999999</v>
      </c>
      <c r="N94" s="310">
        <v>0.32716899999999999</v>
      </c>
      <c r="O94" s="310" t="s">
        <v>704</v>
      </c>
      <c r="P94" s="310" t="s">
        <v>704</v>
      </c>
      <c r="Q94" s="310" t="s">
        <v>704</v>
      </c>
      <c r="R94" s="310" t="s">
        <v>704</v>
      </c>
      <c r="S94" s="300" t="s">
        <v>704</v>
      </c>
      <c r="T94" s="296" t="s">
        <v>704</v>
      </c>
      <c r="U94" s="296" t="s">
        <v>704</v>
      </c>
      <c r="V94" s="296" t="s">
        <v>704</v>
      </c>
      <c r="W94" s="296" t="s">
        <v>704</v>
      </c>
      <c r="X94" s="296" t="s">
        <v>704</v>
      </c>
      <c r="Y94" s="296" t="s">
        <v>704</v>
      </c>
      <c r="Z94" s="296" t="s">
        <v>704</v>
      </c>
      <c r="AA94" s="296" t="s">
        <v>704</v>
      </c>
      <c r="AB94" s="296" t="s">
        <v>704</v>
      </c>
      <c r="AC94" s="296" t="s">
        <v>704</v>
      </c>
      <c r="AD94" s="296" t="s">
        <v>704</v>
      </c>
      <c r="AE94" s="296" t="s">
        <v>704</v>
      </c>
      <c r="AF94" s="296" t="s">
        <v>704</v>
      </c>
      <c r="AG94" s="296" t="s">
        <v>704</v>
      </c>
      <c r="AH94" s="296" t="s">
        <v>704</v>
      </c>
      <c r="AI94" s="296" t="s">
        <v>704</v>
      </c>
      <c r="AJ94" s="296" t="s">
        <v>704</v>
      </c>
      <c r="AK94" s="296" t="s">
        <v>704</v>
      </c>
      <c r="AL94" s="296" t="s">
        <v>704</v>
      </c>
      <c r="AM94" s="296" t="s">
        <v>704</v>
      </c>
      <c r="AN94" s="296" t="s">
        <v>704</v>
      </c>
      <c r="AO94" s="296" t="s">
        <v>704</v>
      </c>
      <c r="AP94" s="296" t="s">
        <v>704</v>
      </c>
      <c r="AQ94" s="296" t="s">
        <v>704</v>
      </c>
      <c r="AR94" s="296" t="s">
        <v>704</v>
      </c>
      <c r="AS94" s="296" t="s">
        <v>704</v>
      </c>
      <c r="AT94" s="296" t="s">
        <v>704</v>
      </c>
      <c r="AU94" s="296" t="s">
        <v>704</v>
      </c>
      <c r="AV94" s="296" t="s">
        <v>704</v>
      </c>
      <c r="AW94" s="296"/>
      <c r="AX94" s="296"/>
    </row>
    <row r="95" spans="1:50" x14ac:dyDescent="0.25">
      <c r="A95" s="299">
        <v>1</v>
      </c>
      <c r="C95" s="308" t="str">
        <f>"    Mean"</f>
        <v xml:space="preserve">    Mean</v>
      </c>
      <c r="D95" s="310" t="s">
        <v>704</v>
      </c>
      <c r="E95" s="310">
        <v>0.42241800000000002</v>
      </c>
      <c r="F95" s="310">
        <v>1.0319999999999999E-2</v>
      </c>
      <c r="G95" s="310">
        <v>-0.329878</v>
      </c>
      <c r="H95" s="310">
        <v>-0.456926</v>
      </c>
      <c r="I95" s="310">
        <v>-0.55057299999999998</v>
      </c>
      <c r="J95" s="310">
        <v>-0.24812999999999999</v>
      </c>
      <c r="K95" s="310">
        <v>0.22253999999999999</v>
      </c>
      <c r="L95" s="310">
        <v>0.60536500000000004</v>
      </c>
      <c r="M95" s="310">
        <v>0.31442999999999999</v>
      </c>
      <c r="N95" s="310">
        <v>0.32716899999999999</v>
      </c>
      <c r="O95" s="310" t="s">
        <v>704</v>
      </c>
      <c r="P95" s="310" t="s">
        <v>704</v>
      </c>
      <c r="Q95" s="310" t="s">
        <v>704</v>
      </c>
      <c r="R95" s="310" t="s">
        <v>704</v>
      </c>
      <c r="S95" s="300" t="s">
        <v>704</v>
      </c>
      <c r="T95" s="296" t="s">
        <v>704</v>
      </c>
      <c r="U95" s="296" t="s">
        <v>704</v>
      </c>
      <c r="V95" s="296" t="s">
        <v>704</v>
      </c>
      <c r="W95" s="296" t="s">
        <v>704</v>
      </c>
      <c r="X95" s="296" t="s">
        <v>704</v>
      </c>
      <c r="Y95" s="296" t="s">
        <v>704</v>
      </c>
      <c r="Z95" s="296" t="s">
        <v>704</v>
      </c>
      <c r="AA95" s="296" t="s">
        <v>704</v>
      </c>
      <c r="AB95" s="296" t="s">
        <v>704</v>
      </c>
      <c r="AC95" s="296" t="s">
        <v>704</v>
      </c>
      <c r="AD95" s="296" t="s">
        <v>704</v>
      </c>
      <c r="AE95" s="296" t="s">
        <v>704</v>
      </c>
      <c r="AF95" s="296" t="s">
        <v>704</v>
      </c>
      <c r="AG95" s="296" t="s">
        <v>704</v>
      </c>
      <c r="AH95" s="296" t="s">
        <v>704</v>
      </c>
      <c r="AI95" s="296" t="s">
        <v>704</v>
      </c>
      <c r="AJ95" s="296" t="s">
        <v>704</v>
      </c>
      <c r="AK95" s="296" t="s">
        <v>704</v>
      </c>
      <c r="AL95" s="296" t="s">
        <v>704</v>
      </c>
      <c r="AM95" s="296" t="s">
        <v>704</v>
      </c>
      <c r="AN95" s="296" t="s">
        <v>704</v>
      </c>
      <c r="AO95" s="296" t="s">
        <v>704</v>
      </c>
      <c r="AP95" s="296" t="s">
        <v>704</v>
      </c>
      <c r="AQ95" s="296" t="s">
        <v>704</v>
      </c>
      <c r="AR95" s="296" t="s">
        <v>704</v>
      </c>
      <c r="AS95" s="296" t="s">
        <v>704</v>
      </c>
      <c r="AT95" s="296" t="s">
        <v>704</v>
      </c>
      <c r="AU95" s="296" t="s">
        <v>704</v>
      </c>
      <c r="AV95" s="296" t="s">
        <v>704</v>
      </c>
      <c r="AW95" s="296"/>
      <c r="AX95" s="296"/>
    </row>
    <row r="96" spans="1:50" x14ac:dyDescent="0.25">
      <c r="A96" s="299">
        <v>1</v>
      </c>
      <c r="C96" s="308" t="str">
        <f>"    Number of Estimates"</f>
        <v xml:space="preserve">    Number of Estimates</v>
      </c>
      <c r="D96" s="309" t="s">
        <v>704</v>
      </c>
      <c r="E96" s="309">
        <v>1</v>
      </c>
      <c r="F96" s="309">
        <v>1</v>
      </c>
      <c r="G96" s="309">
        <v>1</v>
      </c>
      <c r="H96" s="309">
        <v>1</v>
      </c>
      <c r="I96" s="309">
        <v>1</v>
      </c>
      <c r="J96" s="309">
        <v>1</v>
      </c>
      <c r="K96" s="309">
        <v>1</v>
      </c>
      <c r="L96" s="309">
        <v>1</v>
      </c>
      <c r="M96" s="309">
        <v>1</v>
      </c>
      <c r="N96" s="309">
        <v>1</v>
      </c>
      <c r="O96" s="309" t="s">
        <v>704</v>
      </c>
      <c r="P96" s="309" t="s">
        <v>704</v>
      </c>
      <c r="Q96" s="309" t="s">
        <v>704</v>
      </c>
      <c r="R96" s="309" t="s">
        <v>704</v>
      </c>
      <c r="S96" s="300" t="s">
        <v>704</v>
      </c>
      <c r="T96" s="296" t="s">
        <v>704</v>
      </c>
      <c r="U96" s="296" t="s">
        <v>704</v>
      </c>
      <c r="V96" s="296" t="s">
        <v>704</v>
      </c>
      <c r="W96" s="296" t="s">
        <v>704</v>
      </c>
      <c r="X96" s="296" t="s">
        <v>704</v>
      </c>
      <c r="Y96" s="296" t="s">
        <v>704</v>
      </c>
      <c r="Z96" s="296" t="s">
        <v>704</v>
      </c>
      <c r="AA96" s="296" t="s">
        <v>704</v>
      </c>
      <c r="AB96" s="296" t="s">
        <v>704</v>
      </c>
      <c r="AC96" s="296" t="s">
        <v>704</v>
      </c>
      <c r="AD96" s="296" t="s">
        <v>704</v>
      </c>
      <c r="AE96" s="296" t="s">
        <v>704</v>
      </c>
      <c r="AF96" s="296" t="s">
        <v>704</v>
      </c>
      <c r="AG96" s="296" t="s">
        <v>704</v>
      </c>
      <c r="AH96" s="296" t="s">
        <v>704</v>
      </c>
      <c r="AI96" s="296" t="s">
        <v>704</v>
      </c>
      <c r="AJ96" s="296" t="s">
        <v>704</v>
      </c>
      <c r="AK96" s="296" t="s">
        <v>704</v>
      </c>
      <c r="AL96" s="296" t="s">
        <v>704</v>
      </c>
      <c r="AM96" s="296" t="s">
        <v>704</v>
      </c>
      <c r="AN96" s="296" t="s">
        <v>704</v>
      </c>
      <c r="AO96" s="296" t="s">
        <v>704</v>
      </c>
      <c r="AP96" s="296" t="s">
        <v>704</v>
      </c>
      <c r="AQ96" s="296" t="s">
        <v>704</v>
      </c>
      <c r="AR96" s="296" t="s">
        <v>704</v>
      </c>
      <c r="AS96" s="296" t="s">
        <v>704</v>
      </c>
      <c r="AT96" s="296" t="s">
        <v>704</v>
      </c>
      <c r="AU96" s="296" t="s">
        <v>704</v>
      </c>
      <c r="AV96" s="296" t="s">
        <v>704</v>
      </c>
      <c r="AW96" s="296"/>
      <c r="AX96" s="296"/>
    </row>
    <row r="97" spans="1:50" x14ac:dyDescent="0.25">
      <c r="A97" s="299"/>
      <c r="S97" s="300" t="s">
        <v>704</v>
      </c>
      <c r="T97" s="296" t="s">
        <v>704</v>
      </c>
      <c r="U97" s="296" t="s">
        <v>704</v>
      </c>
      <c r="V97" s="296" t="s">
        <v>704</v>
      </c>
      <c r="W97" s="296" t="s">
        <v>704</v>
      </c>
      <c r="X97" s="296" t="s">
        <v>704</v>
      </c>
      <c r="Y97" s="296" t="s">
        <v>704</v>
      </c>
      <c r="Z97" s="296" t="s">
        <v>704</v>
      </c>
      <c r="AA97" s="296" t="s">
        <v>704</v>
      </c>
      <c r="AB97" s="296" t="s">
        <v>704</v>
      </c>
      <c r="AC97" s="296" t="s">
        <v>704</v>
      </c>
      <c r="AD97" s="296" t="s">
        <v>704</v>
      </c>
      <c r="AE97" s="296" t="s">
        <v>704</v>
      </c>
      <c r="AF97" s="296" t="s">
        <v>704</v>
      </c>
      <c r="AG97" s="296" t="s">
        <v>704</v>
      </c>
      <c r="AH97" s="296" t="s">
        <v>704</v>
      </c>
      <c r="AI97" s="296" t="s">
        <v>704</v>
      </c>
      <c r="AJ97" s="296" t="s">
        <v>704</v>
      </c>
      <c r="AK97" s="296" t="s">
        <v>704</v>
      </c>
      <c r="AL97" s="296" t="s">
        <v>704</v>
      </c>
      <c r="AM97" s="296" t="s">
        <v>704</v>
      </c>
      <c r="AN97" s="296" t="s">
        <v>704</v>
      </c>
      <c r="AO97" s="296" t="s">
        <v>704</v>
      </c>
      <c r="AP97" s="296" t="s">
        <v>704</v>
      </c>
      <c r="AQ97" s="296" t="s">
        <v>704</v>
      </c>
      <c r="AR97" s="296" t="s">
        <v>704</v>
      </c>
      <c r="AS97" s="296" t="s">
        <v>704</v>
      </c>
      <c r="AT97" s="296" t="s">
        <v>704</v>
      </c>
      <c r="AU97" s="296" t="s">
        <v>704</v>
      </c>
      <c r="AV97" s="296" t="s">
        <v>704</v>
      </c>
      <c r="AW97" s="296"/>
      <c r="AX97" s="296"/>
    </row>
    <row r="98" spans="1:50" x14ac:dyDescent="0.25">
      <c r="A98" s="299"/>
      <c r="S98" s="300" t="s">
        <v>704</v>
      </c>
      <c r="T98" s="296" t="s">
        <v>704</v>
      </c>
      <c r="U98" s="296" t="s">
        <v>704</v>
      </c>
      <c r="V98" s="296" t="s">
        <v>704</v>
      </c>
      <c r="W98" s="296" t="s">
        <v>704</v>
      </c>
      <c r="X98" s="296" t="s">
        <v>704</v>
      </c>
      <c r="Y98" s="296" t="s">
        <v>704</v>
      </c>
      <c r="Z98" s="296" t="s">
        <v>704</v>
      </c>
      <c r="AA98" s="296" t="s">
        <v>704</v>
      </c>
      <c r="AB98" s="296" t="s">
        <v>704</v>
      </c>
      <c r="AC98" s="296" t="s">
        <v>704</v>
      </c>
      <c r="AD98" s="296" t="s">
        <v>704</v>
      </c>
      <c r="AE98" s="296" t="s">
        <v>704</v>
      </c>
      <c r="AF98" s="296" t="s">
        <v>704</v>
      </c>
      <c r="AG98" s="296" t="s">
        <v>704</v>
      </c>
      <c r="AH98" s="296" t="s">
        <v>704</v>
      </c>
      <c r="AI98" s="296" t="s">
        <v>704</v>
      </c>
      <c r="AJ98" s="296" t="s">
        <v>704</v>
      </c>
      <c r="AK98" s="296" t="s">
        <v>704</v>
      </c>
      <c r="AL98" s="296" t="s">
        <v>704</v>
      </c>
      <c r="AM98" s="296" t="s">
        <v>704</v>
      </c>
      <c r="AN98" s="296" t="s">
        <v>704</v>
      </c>
      <c r="AO98" s="296" t="s">
        <v>704</v>
      </c>
      <c r="AP98" s="296" t="s">
        <v>704</v>
      </c>
      <c r="AQ98" s="296" t="s">
        <v>704</v>
      </c>
      <c r="AR98" s="296" t="s">
        <v>704</v>
      </c>
      <c r="AS98" s="296" t="s">
        <v>704</v>
      </c>
      <c r="AT98" s="296" t="s">
        <v>704</v>
      </c>
      <c r="AU98" s="296" t="s">
        <v>704</v>
      </c>
      <c r="AV98" s="296" t="s">
        <v>704</v>
      </c>
      <c r="AW98" s="296"/>
      <c r="AX98" s="296"/>
    </row>
    <row r="99" spans="1:50" x14ac:dyDescent="0.25">
      <c r="A99" s="299"/>
      <c r="C99" s="311" t="s">
        <v>996</v>
      </c>
      <c r="S99" s="300" t="s">
        <v>704</v>
      </c>
      <c r="T99" s="296" t="s">
        <v>704</v>
      </c>
      <c r="U99" s="296" t="s">
        <v>704</v>
      </c>
      <c r="V99" s="296" t="s">
        <v>704</v>
      </c>
      <c r="W99" s="296" t="s">
        <v>704</v>
      </c>
      <c r="X99" s="296" t="s">
        <v>704</v>
      </c>
      <c r="Y99" s="296" t="s">
        <v>704</v>
      </c>
      <c r="Z99" s="296" t="s">
        <v>704</v>
      </c>
      <c r="AA99" s="296" t="s">
        <v>704</v>
      </c>
      <c r="AB99" s="296" t="s">
        <v>704</v>
      </c>
      <c r="AC99" s="296" t="s">
        <v>704</v>
      </c>
      <c r="AD99" s="296" t="s">
        <v>704</v>
      </c>
      <c r="AE99" s="296" t="s">
        <v>704</v>
      </c>
      <c r="AF99" s="296" t="s">
        <v>704</v>
      </c>
      <c r="AG99" s="296" t="s">
        <v>704</v>
      </c>
      <c r="AH99" s="296" t="s">
        <v>704</v>
      </c>
      <c r="AI99" s="296" t="s">
        <v>704</v>
      </c>
      <c r="AJ99" s="296" t="s">
        <v>704</v>
      </c>
      <c r="AK99" s="296" t="s">
        <v>704</v>
      </c>
      <c r="AL99" s="296" t="s">
        <v>704</v>
      </c>
      <c r="AM99" s="296" t="s">
        <v>704</v>
      </c>
      <c r="AN99" s="296" t="s">
        <v>704</v>
      </c>
      <c r="AO99" s="296" t="s">
        <v>704</v>
      </c>
      <c r="AP99" s="296" t="s">
        <v>704</v>
      </c>
      <c r="AQ99" s="296" t="s">
        <v>704</v>
      </c>
      <c r="AR99" s="296" t="s">
        <v>704</v>
      </c>
      <c r="AS99" s="296" t="s">
        <v>704</v>
      </c>
      <c r="AT99" s="296" t="s">
        <v>704</v>
      </c>
      <c r="AU99" s="296" t="s">
        <v>704</v>
      </c>
      <c r="AV99" s="296" t="s">
        <v>704</v>
      </c>
      <c r="AW99" s="296"/>
      <c r="AX99" s="296"/>
    </row>
    <row r="100" spans="1:50" x14ac:dyDescent="0.25">
      <c r="A100" s="299"/>
      <c r="C100" s="311" t="s">
        <v>997</v>
      </c>
      <c r="S100" s="300" t="s">
        <v>704</v>
      </c>
      <c r="T100" s="296" t="s">
        <v>704</v>
      </c>
      <c r="U100" s="296" t="s">
        <v>704</v>
      </c>
      <c r="V100" s="296" t="s">
        <v>704</v>
      </c>
      <c r="W100" s="296" t="s">
        <v>704</v>
      </c>
      <c r="X100" s="296" t="s">
        <v>704</v>
      </c>
      <c r="Y100" s="296" t="s">
        <v>704</v>
      </c>
      <c r="Z100" s="296" t="s">
        <v>704</v>
      </c>
      <c r="AA100" s="296" t="s">
        <v>704</v>
      </c>
      <c r="AB100" s="296" t="s">
        <v>704</v>
      </c>
      <c r="AC100" s="296" t="s">
        <v>704</v>
      </c>
      <c r="AD100" s="296" t="s">
        <v>704</v>
      </c>
      <c r="AE100" s="296" t="s">
        <v>704</v>
      </c>
      <c r="AF100" s="296" t="s">
        <v>704</v>
      </c>
      <c r="AG100" s="296" t="s">
        <v>704</v>
      </c>
      <c r="AH100" s="296" t="s">
        <v>704</v>
      </c>
      <c r="AI100" s="296" t="s">
        <v>704</v>
      </c>
      <c r="AJ100" s="296" t="s">
        <v>704</v>
      </c>
      <c r="AK100" s="296" t="s">
        <v>704</v>
      </c>
      <c r="AL100" s="296" t="s">
        <v>704</v>
      </c>
      <c r="AM100" s="296" t="s">
        <v>704</v>
      </c>
      <c r="AN100" s="296" t="s">
        <v>704</v>
      </c>
      <c r="AO100" s="296" t="s">
        <v>704</v>
      </c>
      <c r="AP100" s="296" t="s">
        <v>704</v>
      </c>
      <c r="AQ100" s="296" t="s">
        <v>704</v>
      </c>
      <c r="AR100" s="296" t="s">
        <v>704</v>
      </c>
      <c r="AS100" s="296" t="s">
        <v>704</v>
      </c>
      <c r="AT100" s="296" t="s">
        <v>704</v>
      </c>
      <c r="AU100" s="296" t="s">
        <v>704</v>
      </c>
      <c r="AV100" s="296" t="s">
        <v>704</v>
      </c>
      <c r="AW100" s="296"/>
      <c r="AX100" s="296"/>
    </row>
    <row r="101" spans="1:50" ht="15.75" thickBot="1" x14ac:dyDescent="0.3">
      <c r="A101" s="299"/>
      <c r="S101" s="300" t="s">
        <v>704</v>
      </c>
      <c r="T101" s="296" t="s">
        <v>704</v>
      </c>
      <c r="U101" s="296" t="s">
        <v>704</v>
      </c>
      <c r="V101" s="296" t="s">
        <v>704</v>
      </c>
      <c r="W101" s="296" t="s">
        <v>704</v>
      </c>
      <c r="X101" s="296" t="s">
        <v>704</v>
      </c>
      <c r="Y101" s="296" t="s">
        <v>704</v>
      </c>
      <c r="Z101" s="296" t="s">
        <v>704</v>
      </c>
      <c r="AA101" s="296" t="s">
        <v>704</v>
      </c>
      <c r="AB101" s="296" t="s">
        <v>704</v>
      </c>
      <c r="AC101" s="296" t="s">
        <v>704</v>
      </c>
      <c r="AD101" s="296" t="s">
        <v>704</v>
      </c>
      <c r="AE101" s="296" t="s">
        <v>704</v>
      </c>
      <c r="AF101" s="296" t="s">
        <v>704</v>
      </c>
      <c r="AG101" s="296" t="s">
        <v>704</v>
      </c>
      <c r="AH101" s="296" t="s">
        <v>704</v>
      </c>
      <c r="AI101" s="296" t="s">
        <v>704</v>
      </c>
      <c r="AJ101" s="296" t="s">
        <v>704</v>
      </c>
      <c r="AK101" s="296" t="s">
        <v>704</v>
      </c>
      <c r="AL101" s="296" t="s">
        <v>704</v>
      </c>
      <c r="AM101" s="296" t="s">
        <v>704</v>
      </c>
      <c r="AN101" s="296" t="s">
        <v>704</v>
      </c>
      <c r="AO101" s="296" t="s">
        <v>704</v>
      </c>
      <c r="AP101" s="296" t="s">
        <v>704</v>
      </c>
      <c r="AQ101" s="296" t="s">
        <v>704</v>
      </c>
      <c r="AR101" s="296" t="s">
        <v>704</v>
      </c>
      <c r="AS101" s="296" t="s">
        <v>704</v>
      </c>
      <c r="AT101" s="296" t="s">
        <v>704</v>
      </c>
      <c r="AU101" s="296" t="s">
        <v>704</v>
      </c>
      <c r="AV101" s="296" t="s">
        <v>704</v>
      </c>
      <c r="AW101" s="296"/>
      <c r="AX101" s="296"/>
    </row>
    <row r="102" spans="1:50" x14ac:dyDescent="0.25">
      <c r="A102" s="296"/>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row>
  </sheetData>
  <conditionalFormatting sqref="D10:AA10 D31:AA31 D39:AA39 D47:AA47 D55:AA55 D63:AA63 D71:AA71 D79:AA79 D87:AA87 D89:AA89">
    <cfRule type="expression" dxfId="10" priority="1">
      <formula>NOT(SUBTOTAL(109,$A11)=$A11)</formula>
    </cfRule>
  </conditionalFormatting>
  <conditionalFormatting sqref="D23:AA23">
    <cfRule type="expression" dxfId="9" priority="15">
      <formula>NOT(SUBTOTAL(109,$A25)=$A25)</formula>
    </cfRule>
  </conditionalFormatting>
  <conditionalFormatting sqref="D22:AA22">
    <cfRule type="expression" dxfId="8" priority="20">
      <formula>NOT(SUBTOTAL(109,$A25)=$A25)</formula>
    </cfRule>
  </conditionalFormatting>
  <conditionalFormatting sqref="D21:AA21">
    <cfRule type="expression" dxfId="7" priority="21">
      <formula>NOT(SUBTOTAL(109,$A25)=$A25)</formula>
    </cfRule>
  </conditionalFormatting>
  <conditionalFormatting sqref="D20:AA20">
    <cfRule type="expression" dxfId="6" priority="22">
      <formula>NOT(SUBTOTAL(109,$A25)=$A25)</formula>
    </cfRule>
  </conditionalFormatting>
  <conditionalFormatting sqref="D18:AA19">
    <cfRule type="expression" dxfId="5" priority="23">
      <formula>NOT(SUBTOTAL(109,$A24)=$A24)</formula>
    </cfRule>
  </conditionalFormatting>
  <hyperlinks>
    <hyperlink ref="D5" r:id="rId1"/>
    <hyperlink ref="E5" r:id="rId2"/>
    <hyperlink ref="F5" r:id="rId3"/>
    <hyperlink ref="G5" r:id="rId4"/>
    <hyperlink ref="H5" r:id="rId5"/>
    <hyperlink ref="I5" r:id="rId6"/>
    <hyperlink ref="J5" r:id="rId7"/>
    <hyperlink ref="K5" r:id="rId8"/>
    <hyperlink ref="L5" r:id="rId9"/>
    <hyperlink ref="M5" r:id="rId10"/>
    <hyperlink ref="N5" r:id="rId11"/>
    <hyperlink ref="O5" r:id="rId12"/>
    <hyperlink ref="P5" r:id="rId13"/>
    <hyperlink ref="Q5" r:id="rId14"/>
    <hyperlink ref="R5" r:id="rId15"/>
  </hyperlinks>
  <pageMargins left="0.7" right="0.7" top="0.75" bottom="0.75" header="0.51180555555555496" footer="0.51180555555555496"/>
  <pageSetup paperSize="9" firstPageNumber="0" pageOrder="overThenDown" orientation="portrait" horizontalDpi="300" verticalDpi="300" r:id="rId16"/>
  <drawing r:id="rId17"/>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C2:U55"/>
  <sheetViews>
    <sheetView showGridLines="0" zoomScaleNormal="100" zoomScaleSheetLayoutView="90" workbookViewId="0">
      <selection activeCell="D35" sqref="D35"/>
    </sheetView>
  </sheetViews>
  <sheetFormatPr defaultRowHeight="15.75" x14ac:dyDescent="0.25"/>
  <cols>
    <col min="1" max="1" width="2.140625" style="69" customWidth="1"/>
    <col min="2" max="2" width="2.5703125" style="69" customWidth="1"/>
    <col min="3" max="3" width="32" style="69" customWidth="1"/>
    <col min="4" max="4" width="18.140625" style="69" bestFit="1" customWidth="1"/>
    <col min="5" max="5" width="20" style="69" bestFit="1" customWidth="1"/>
    <col min="6" max="6" width="12.28515625" style="69" bestFit="1" customWidth="1"/>
    <col min="7" max="7" width="22.5703125" style="69" bestFit="1" customWidth="1"/>
    <col min="8" max="8" width="17.7109375" style="69" bestFit="1" customWidth="1"/>
    <col min="9" max="9" width="13.85546875" style="69" bestFit="1" customWidth="1"/>
    <col min="10" max="10" width="13.5703125" style="69" customWidth="1"/>
    <col min="11" max="11" width="17.7109375" style="69" customWidth="1"/>
    <col min="12" max="14" width="13.5703125" style="69" customWidth="1"/>
    <col min="15" max="16384" width="9.140625" style="69"/>
  </cols>
  <sheetData>
    <row r="2" spans="3:21" ht="11.25" customHeight="1" x14ac:dyDescent="0.25">
      <c r="S2" s="1048" t="s">
        <v>812</v>
      </c>
      <c r="T2" s="1049"/>
      <c r="U2" s="1050"/>
    </row>
    <row r="3" spans="3:21" x14ac:dyDescent="0.25">
      <c r="C3" s="134"/>
      <c r="S3" s="1051" t="s">
        <v>813</v>
      </c>
      <c r="U3" s="1052"/>
    </row>
    <row r="4" spans="3:21" x14ac:dyDescent="0.25">
      <c r="C4" s="1171" t="s">
        <v>814</v>
      </c>
      <c r="D4" s="1181"/>
      <c r="E4" s="1053">
        <v>117.78</v>
      </c>
      <c r="G4" s="1472" t="s">
        <v>815</v>
      </c>
      <c r="H4" s="1473"/>
      <c r="I4" s="1054">
        <v>3.4700000000000002E-2</v>
      </c>
      <c r="J4" s="69" t="s">
        <v>816</v>
      </c>
      <c r="S4" s="1055" t="s">
        <v>817</v>
      </c>
      <c r="U4" s="1052"/>
    </row>
    <row r="5" spans="3:21" x14ac:dyDescent="0.25">
      <c r="C5" s="1171" t="s">
        <v>818</v>
      </c>
      <c r="D5" s="1181"/>
      <c r="E5" s="1056">
        <f>'Transaction Structure'!K10</f>
        <v>32207.681</v>
      </c>
      <c r="G5" s="1472" t="s">
        <v>819</v>
      </c>
      <c r="H5" s="1473"/>
      <c r="I5" s="1057">
        <v>1.46</v>
      </c>
      <c r="J5" s="69" t="s">
        <v>820</v>
      </c>
      <c r="S5" s="1058" t="s">
        <v>821</v>
      </c>
      <c r="T5" s="1059"/>
      <c r="U5" s="1060"/>
    </row>
    <row r="6" spans="3:21" x14ac:dyDescent="0.25">
      <c r="C6" s="1171" t="s">
        <v>822</v>
      </c>
      <c r="D6" s="1181"/>
      <c r="E6" s="1061">
        <f>E4*E5</f>
        <v>3793420.66818</v>
      </c>
      <c r="G6" s="1472" t="s">
        <v>823</v>
      </c>
      <c r="H6" s="1473"/>
      <c r="I6" s="1062">
        <v>3.0700000000000002E-2</v>
      </c>
      <c r="J6" s="69" t="s">
        <v>824</v>
      </c>
    </row>
    <row r="7" spans="3:21" x14ac:dyDescent="0.25">
      <c r="C7" s="1171" t="s">
        <v>825</v>
      </c>
      <c r="D7" s="1181"/>
      <c r="E7" s="1061">
        <v>0</v>
      </c>
      <c r="G7" s="1472" t="s">
        <v>826</v>
      </c>
      <c r="H7" s="1473"/>
      <c r="I7" s="1063">
        <f>I4+I5*I6</f>
        <v>7.9522000000000009E-2</v>
      </c>
      <c r="J7" s="69" t="s">
        <v>827</v>
      </c>
    </row>
    <row r="8" spans="3:21" x14ac:dyDescent="0.25">
      <c r="C8" s="1171" t="s">
        <v>828</v>
      </c>
      <c r="D8" s="1181"/>
      <c r="E8" s="1064">
        <f>'Operating Model'!AO99</f>
        <v>608180</v>
      </c>
    </row>
    <row r="9" spans="3:21" x14ac:dyDescent="0.25">
      <c r="C9" s="1171" t="s">
        <v>829</v>
      </c>
      <c r="D9" s="1181"/>
      <c r="E9" s="1065">
        <f>E6+E7-E8</f>
        <v>3185240.66818</v>
      </c>
      <c r="G9" s="1066"/>
      <c r="I9" s="177"/>
      <c r="K9" s="1067"/>
      <c r="L9" s="1067"/>
    </row>
    <row r="10" spans="3:21" ht="16.5" thickBot="1" x14ac:dyDescent="0.3">
      <c r="C10" s="66"/>
      <c r="F10" s="117"/>
      <c r="K10" s="1067"/>
      <c r="L10" s="1067"/>
    </row>
    <row r="11" spans="3:21" x14ac:dyDescent="0.25">
      <c r="C11" s="1171"/>
      <c r="D11" s="1182" t="s">
        <v>140</v>
      </c>
      <c r="E11" s="1181" t="s">
        <v>830</v>
      </c>
      <c r="G11" s="1180" t="s">
        <v>831</v>
      </c>
      <c r="H11" s="1178"/>
      <c r="I11" s="1068">
        <v>0.1</v>
      </c>
      <c r="K11" s="1067"/>
      <c r="L11" s="1067"/>
    </row>
    <row r="12" spans="3:21" x14ac:dyDescent="0.25">
      <c r="C12" s="1171" t="s">
        <v>168</v>
      </c>
      <c r="D12" s="588">
        <f>E6</f>
        <v>3793420.66818</v>
      </c>
      <c r="E12" s="1069">
        <f>D12/$D$14</f>
        <v>1</v>
      </c>
      <c r="G12" s="1180" t="s">
        <v>832</v>
      </c>
      <c r="H12" s="1178"/>
      <c r="I12" s="1070">
        <v>1</v>
      </c>
    </row>
    <row r="13" spans="3:21" x14ac:dyDescent="0.25">
      <c r="C13" s="1171" t="s">
        <v>169</v>
      </c>
      <c r="D13" s="1183">
        <f>E7</f>
        <v>0</v>
      </c>
      <c r="E13" s="1069">
        <f>D13/$D$14</f>
        <v>0</v>
      </c>
      <c r="G13" s="1180" t="s">
        <v>833</v>
      </c>
      <c r="H13" s="1178"/>
      <c r="I13" s="1071">
        <f>I11/I12</f>
        <v>0.1</v>
      </c>
    </row>
    <row r="14" spans="3:21" x14ac:dyDescent="0.25">
      <c r="C14" s="1072"/>
      <c r="D14" s="1073">
        <f>D12+D13</f>
        <v>3793420.66818</v>
      </c>
      <c r="E14" s="1074">
        <f>E12+E13</f>
        <v>1</v>
      </c>
      <c r="G14" s="1180" t="s">
        <v>834</v>
      </c>
      <c r="H14" s="1179"/>
      <c r="I14" s="1075">
        <f>(I7*E12)+(I13*(1-D39)*E13)</f>
        <v>7.9522000000000009E-2</v>
      </c>
    </row>
    <row r="15" spans="3:21" x14ac:dyDescent="0.25">
      <c r="G15" s="526"/>
    </row>
    <row r="16" spans="3:21" x14ac:dyDescent="0.25">
      <c r="G16" s="526"/>
    </row>
    <row r="17" spans="3:15" x14ac:dyDescent="0.25">
      <c r="C17" s="1076" t="str">
        <f>'Operating Model'!B84</f>
        <v>Adjusted EBITDA</v>
      </c>
      <c r="D17" s="1077"/>
      <c r="E17" s="1078">
        <f>SUM('Operating Model'!K84:N84)</f>
        <v>-1096</v>
      </c>
      <c r="F17" s="1078">
        <f>SUM('Operating Model'!O84:R84)</f>
        <v>16133</v>
      </c>
      <c r="G17" s="1078">
        <f ca="1">SUM('Operating Model'!S84:V84)</f>
        <v>41321.170665469806</v>
      </c>
      <c r="H17" s="1078">
        <f ca="1">SUM('Operating Model'!W84:Z84)</f>
        <v>66364.302887671758</v>
      </c>
      <c r="I17" s="1078">
        <f ca="1">SUM('Operating Model'!AA84:AD84)</f>
        <v>77220.2248058939</v>
      </c>
      <c r="J17" s="1078">
        <f ca="1">SUM('Operating Model'!AE84:AH84)</f>
        <v>84808.404312544051</v>
      </c>
      <c r="K17" s="1078">
        <f ca="1">SUM('Operating Model'!AI65:AL65)</f>
        <v>93108.813963702807</v>
      </c>
    </row>
    <row r="18" spans="3:15" s="1082" customFormat="1" x14ac:dyDescent="0.25">
      <c r="C18" s="1079"/>
      <c r="D18" s="1080"/>
      <c r="E18" s="1081"/>
      <c r="F18" s="1081"/>
      <c r="G18" s="1081"/>
      <c r="H18" s="1081"/>
      <c r="I18" s="1081"/>
      <c r="J18" s="1081"/>
    </row>
    <row r="19" spans="3:15" x14ac:dyDescent="0.25">
      <c r="C19" s="134"/>
      <c r="E19" s="1083"/>
      <c r="F19" s="1083"/>
      <c r="G19" s="1083"/>
      <c r="H19" s="1083"/>
      <c r="I19" s="1083"/>
      <c r="J19" s="1083"/>
      <c r="K19" s="1083"/>
      <c r="L19" s="1083"/>
      <c r="M19" s="1083"/>
      <c r="N19" s="1083"/>
    </row>
    <row r="20" spans="3:15" ht="16.5" thickBot="1" x14ac:dyDescent="0.3">
      <c r="C20" s="1084" t="s">
        <v>835</v>
      </c>
      <c r="D20" s="1085"/>
      <c r="E20" s="1084"/>
      <c r="F20" s="1085"/>
      <c r="G20" s="1084">
        <v>1</v>
      </c>
      <c r="H20" s="1085">
        <v>2</v>
      </c>
      <c r="I20" s="1085">
        <v>3</v>
      </c>
      <c r="J20" s="1085">
        <v>4</v>
      </c>
      <c r="K20" s="1086">
        <v>5</v>
      </c>
    </row>
    <row r="21" spans="3:15" ht="16.5" thickBot="1" x14ac:dyDescent="0.3">
      <c r="C21" s="1172"/>
      <c r="D21" s="1173"/>
      <c r="E21" s="1174">
        <v>2021</v>
      </c>
      <c r="F21" s="1174">
        <f>E21+1</f>
        <v>2022</v>
      </c>
      <c r="G21" s="1174">
        <f t="shared" ref="G21:I21" si="0">F21+1</f>
        <v>2023</v>
      </c>
      <c r="H21" s="1175">
        <f t="shared" si="0"/>
        <v>2024</v>
      </c>
      <c r="I21" s="1175">
        <f t="shared" si="0"/>
        <v>2025</v>
      </c>
      <c r="J21" s="1175">
        <f>I21+1</f>
        <v>2026</v>
      </c>
      <c r="K21" s="1176">
        <f>J21+1</f>
        <v>2027</v>
      </c>
    </row>
    <row r="22" spans="3:15" x14ac:dyDescent="0.25">
      <c r="C22" s="1087" t="s">
        <v>836</v>
      </c>
      <c r="D22" s="134"/>
      <c r="E22" s="1088">
        <f>SUM('Operating Model'!K7:N7)</f>
        <v>250772</v>
      </c>
      <c r="F22" s="1089">
        <f>SUM('Operating Model'!O7:R7)</f>
        <v>369495</v>
      </c>
      <c r="G22" s="1090">
        <f ca="1">SUM('Operating Model'!S7:V7)</f>
        <v>504409.99136549217</v>
      </c>
      <c r="H22" s="1091">
        <f ca="1">SUM('Operating Model'!W7:Z7)</f>
        <v>614970.38897049869</v>
      </c>
      <c r="I22" s="1091">
        <f ca="1">SUM('Operating Model'!AA7:AD7)</f>
        <v>716231.51362994616</v>
      </c>
      <c r="J22" s="1091">
        <f ca="1">SUM('Operating Model'!AE7:AH7)</f>
        <v>787085.0413767593</v>
      </c>
      <c r="K22" s="1092">
        <f ca="1">SUM('Operating Model'!AI7:AL7)</f>
        <v>826049.25436661509</v>
      </c>
    </row>
    <row r="23" spans="3:15" x14ac:dyDescent="0.25">
      <c r="C23" s="1087" t="s">
        <v>264</v>
      </c>
      <c r="D23" s="134"/>
      <c r="E23" s="1093">
        <f>E25-E24</f>
        <v>-57281</v>
      </c>
      <c r="F23" s="1094">
        <f t="shared" ref="F23:I23" si="1">F25-F24</f>
        <v>-61195</v>
      </c>
      <c r="G23" s="1095">
        <f t="shared" ca="1" si="1"/>
        <v>43843.220622297267</v>
      </c>
      <c r="H23" s="1094">
        <f t="shared" ca="1" si="1"/>
        <v>69439.154832524247</v>
      </c>
      <c r="I23" s="1094">
        <f t="shared" ca="1" si="1"/>
        <v>80801.38237404362</v>
      </c>
      <c r="J23" s="1094">
        <f ca="1">J25-J24</f>
        <v>88743.829519427847</v>
      </c>
      <c r="K23" s="1096">
        <f t="shared" ref="K23" ca="1" si="2">K25-K24</f>
        <v>93108.813963702793</v>
      </c>
    </row>
    <row r="24" spans="3:15" x14ac:dyDescent="0.25">
      <c r="C24" s="1097" t="s">
        <v>837</v>
      </c>
      <c r="D24" s="1098"/>
      <c r="E24" s="1093">
        <f>SUM('Operating Model'!K22:N23)</f>
        <v>-2726</v>
      </c>
      <c r="F24" s="1094">
        <f>SUM('Operating Model'!O22:R23)</f>
        <v>-4000</v>
      </c>
      <c r="G24" s="1095">
        <f ca="1">SUM('Operating Model'!S22:V23)</f>
        <v>-4364.2018306543705</v>
      </c>
      <c r="H24" s="1094">
        <f ca="1">SUM('Operating Model'!W22:Z23)</f>
        <v>-6521.5992058618858</v>
      </c>
      <c r="I24" s="1094">
        <f ca="1">SUM('Operating Model'!AA22:AD23)</f>
        <v>-8331.0330833949411</v>
      </c>
      <c r="J24" s="1094">
        <f ca="1">SUM('Operating Model'!AE22:AH23)</f>
        <v>-10281.470157418542</v>
      </c>
      <c r="K24" s="1096">
        <f ca="1">SUM('Operating Model'!AI22:AL23)</f>
        <v>-12277.064954334248</v>
      </c>
      <c r="O24" s="69" t="s">
        <v>838</v>
      </c>
    </row>
    <row r="25" spans="3:15" x14ac:dyDescent="0.25">
      <c r="C25" s="1087" t="s">
        <v>10</v>
      </c>
      <c r="D25" s="134"/>
      <c r="E25" s="1093">
        <f>SUM('Operating Model'!K47:N47)</f>
        <v>-60007</v>
      </c>
      <c r="F25" s="1094">
        <f>SUM('Operating Model'!O47:R47)</f>
        <v>-65195</v>
      </c>
      <c r="G25" s="1095">
        <f ca="1">+'Operating Model'!AP47</f>
        <v>39479.018791642899</v>
      </c>
      <c r="H25" s="1094">
        <f ca="1">+'Operating Model'!AQ47</f>
        <v>62917.555626662361</v>
      </c>
      <c r="I25" s="1094">
        <f ca="1">+'Operating Model'!AR47</f>
        <v>72470.349290648679</v>
      </c>
      <c r="J25" s="1094">
        <f ca="1">+'Operating Model'!AS47</f>
        <v>78462.359362009302</v>
      </c>
      <c r="K25" s="1096">
        <f ca="1">+'Operating Model'!AT47</f>
        <v>80831.749009368548</v>
      </c>
    </row>
    <row r="26" spans="3:15" x14ac:dyDescent="0.25">
      <c r="C26" s="1097" t="s">
        <v>839</v>
      </c>
      <c r="D26" s="1099">
        <v>0.21</v>
      </c>
      <c r="E26" s="1100">
        <v>0</v>
      </c>
      <c r="F26" s="1101">
        <v>0</v>
      </c>
      <c r="G26" s="1102">
        <f ca="1">-G25*$D$26</f>
        <v>-8290.5939462450078</v>
      </c>
      <c r="H26" s="1101">
        <f t="shared" ref="H26:K26" ca="1" si="3">-H25*$D$26</f>
        <v>-13212.686681599096</v>
      </c>
      <c r="I26" s="1101">
        <f t="shared" ca="1" si="3"/>
        <v>-15218.773351036221</v>
      </c>
      <c r="J26" s="1101">
        <f t="shared" ca="1" si="3"/>
        <v>-16477.095466021954</v>
      </c>
      <c r="K26" s="1103">
        <f t="shared" ca="1" si="3"/>
        <v>-16974.667291967395</v>
      </c>
    </row>
    <row r="27" spans="3:15" x14ac:dyDescent="0.25">
      <c r="C27" s="1087" t="s">
        <v>840</v>
      </c>
      <c r="D27" s="134"/>
      <c r="E27" s="1104">
        <f>E25+E26</f>
        <v>-60007</v>
      </c>
      <c r="F27" s="1105">
        <f t="shared" ref="F27:K27" si="4">F25+F26</f>
        <v>-65195</v>
      </c>
      <c r="G27" s="1106">
        <f t="shared" ca="1" si="4"/>
        <v>31188.424845397891</v>
      </c>
      <c r="H27" s="1105">
        <f t="shared" ca="1" si="4"/>
        <v>49704.868945063266</v>
      </c>
      <c r="I27" s="1105">
        <f t="shared" ca="1" si="4"/>
        <v>57251.575939612456</v>
      </c>
      <c r="J27" s="1105">
        <f t="shared" ca="1" si="4"/>
        <v>61985.263895987344</v>
      </c>
      <c r="K27" s="1107">
        <f t="shared" ca="1" si="4"/>
        <v>63857.081717401154</v>
      </c>
    </row>
    <row r="28" spans="3:15" x14ac:dyDescent="0.25">
      <c r="C28" s="1097" t="s">
        <v>841</v>
      </c>
      <c r="D28" s="1098"/>
      <c r="E28" s="1104">
        <f>-E24</f>
        <v>2726</v>
      </c>
      <c r="F28" s="1105">
        <f t="shared" ref="F28:K28" si="5">-F24</f>
        <v>4000</v>
      </c>
      <c r="G28" s="1106">
        <f t="shared" ca="1" si="5"/>
        <v>4364.2018306543705</v>
      </c>
      <c r="H28" s="1105">
        <f t="shared" ca="1" si="5"/>
        <v>6521.5992058618858</v>
      </c>
      <c r="I28" s="1105">
        <f t="shared" ca="1" si="5"/>
        <v>8331.0330833949411</v>
      </c>
      <c r="J28" s="1105">
        <f t="shared" ca="1" si="5"/>
        <v>10281.470157418542</v>
      </c>
      <c r="K28" s="1107">
        <f t="shared" ca="1" si="5"/>
        <v>12277.064954334248</v>
      </c>
    </row>
    <row r="29" spans="3:15" x14ac:dyDescent="0.25">
      <c r="C29" s="1097" t="s">
        <v>842</v>
      </c>
      <c r="D29" s="1098"/>
      <c r="E29" s="1104">
        <f>-SUM('Operating Model'!K239:N239)</f>
        <v>-3586</v>
      </c>
      <c r="F29" s="1105">
        <f>-SUM('Operating Model'!O239:R239)</f>
        <v>-5562</v>
      </c>
      <c r="G29" s="1102">
        <f ca="1">+'Operating Model'!AP173</f>
        <v>-7448.2674095929797</v>
      </c>
      <c r="H29" s="1101">
        <f ca="1">+'Operating Model'!AQ173</f>
        <v>-9214.9222461616719</v>
      </c>
      <c r="I29" s="1101">
        <f ca="1">+'Operating Model'!AR173</f>
        <v>-10703.167852483228</v>
      </c>
      <c r="J29" s="1101">
        <f ca="1">+'Operating Model'!AS173</f>
        <v>-11819.790459265196</v>
      </c>
      <c r="K29" s="1103">
        <f ca="1">+'Operating Model'!AT173</f>
        <v>-12398.691284250894</v>
      </c>
    </row>
    <row r="30" spans="3:15" x14ac:dyDescent="0.25">
      <c r="C30" s="1097" t="s">
        <v>843</v>
      </c>
      <c r="D30" s="1098"/>
      <c r="E30" s="1104"/>
      <c r="F30" s="1105">
        <f>'Operating Model'!AO220-'Operating Model'!AN220</f>
        <v>9480</v>
      </c>
      <c r="G30" s="1108">
        <f ca="1">'Operating Model'!AP220-'Operating Model'!AO220</f>
        <v>5580.3778548596747</v>
      </c>
      <c r="H30" s="1109">
        <f ca="1">'Operating Model'!AQ220-'Operating Model'!AP220</f>
        <v>7305.9024135955842</v>
      </c>
      <c r="I30" s="1109">
        <f ca="1">'Operating Model'!AR220-'Operating Model'!AQ220</f>
        <v>6771.621094357266</v>
      </c>
      <c r="J30" s="1109">
        <f ca="1">'Operating Model'!AS220-'Operating Model'!AR220</f>
        <v>4692.5402843432676</v>
      </c>
      <c r="K30" s="1110">
        <f ca="1">'Operating Model'!AT220-'Operating Model'!AS220</f>
        <v>2564.4063472007256</v>
      </c>
    </row>
    <row r="31" spans="3:15" x14ac:dyDescent="0.25">
      <c r="C31" s="1111" t="s">
        <v>844</v>
      </c>
      <c r="D31" s="1112"/>
      <c r="E31" s="1113">
        <f>SUM(E27:E30)</f>
        <v>-60867</v>
      </c>
      <c r="F31" s="1114">
        <f t="shared" ref="F31:K31" si="6">SUM(F27:F30)</f>
        <v>-57277</v>
      </c>
      <c r="G31" s="1115">
        <f t="shared" ca="1" si="6"/>
        <v>33684.737121318962</v>
      </c>
      <c r="H31" s="1115">
        <f t="shared" ca="1" si="6"/>
        <v>54317.448318359064</v>
      </c>
      <c r="I31" s="1115">
        <f t="shared" ca="1" si="6"/>
        <v>61651.062264881431</v>
      </c>
      <c r="J31" s="1115">
        <f t="shared" ca="1" si="6"/>
        <v>65139.483878483959</v>
      </c>
      <c r="K31" s="1116">
        <f t="shared" ca="1" si="6"/>
        <v>66299.861734685241</v>
      </c>
    </row>
    <row r="32" spans="3:15" x14ac:dyDescent="0.25">
      <c r="C32" s="1117" t="s">
        <v>845</v>
      </c>
      <c r="D32" s="1118"/>
      <c r="E32" s="1115" t="s">
        <v>659</v>
      </c>
      <c r="F32" s="1115" t="s">
        <v>659</v>
      </c>
      <c r="G32" s="1119">
        <f ca="1">G31/(1+$I$14)^G20</f>
        <v>31203.38179427465</v>
      </c>
      <c r="H32" s="1115">
        <f ca="1">H31/(1+$I$14)^H20</f>
        <v>46609.706154146937</v>
      </c>
      <c r="I32" s="1115">
        <f ca="1">I31/(1+$I$14)^I20</f>
        <v>49005.64072511343</v>
      </c>
      <c r="J32" s="1115">
        <f ca="1">J31/(1+$I$14)^J20</f>
        <v>47964.323506370631</v>
      </c>
      <c r="K32" s="1116">
        <f ca="1">K31/(1+$I$14)^K20</f>
        <v>45222.559164349143</v>
      </c>
    </row>
    <row r="33" spans="3:15" x14ac:dyDescent="0.25">
      <c r="C33" s="134"/>
      <c r="D33" s="1083"/>
      <c r="E33" s="1083"/>
      <c r="F33" s="1083"/>
      <c r="G33" s="1083"/>
      <c r="H33" s="1083"/>
      <c r="I33" s="1083"/>
      <c r="J33" s="1083"/>
      <c r="N33" s="1083"/>
    </row>
    <row r="34" spans="3:15" x14ac:dyDescent="0.25">
      <c r="C34" s="1172" t="s">
        <v>846</v>
      </c>
      <c r="D34" s="1177"/>
      <c r="I34" s="1083"/>
      <c r="J34" s="1083"/>
      <c r="K34" s="1083"/>
      <c r="L34" s="1083"/>
      <c r="M34" s="1083"/>
      <c r="N34" s="1083"/>
    </row>
    <row r="35" spans="3:15" x14ac:dyDescent="0.25">
      <c r="C35" s="1120" t="s">
        <v>847</v>
      </c>
      <c r="D35" s="1121">
        <v>0.09</v>
      </c>
      <c r="I35" s="1083"/>
      <c r="J35" s="1083"/>
      <c r="K35" s="1083"/>
      <c r="L35" s="1083"/>
      <c r="M35" s="1083"/>
      <c r="N35" s="1083"/>
    </row>
    <row r="36" spans="3:15" x14ac:dyDescent="0.25">
      <c r="C36" s="1122" t="s">
        <v>848</v>
      </c>
      <c r="D36" s="1123">
        <f>F17/F22</f>
        <v>4.3662295836208877E-2</v>
      </c>
      <c r="I36" s="1083"/>
      <c r="J36" s="1083"/>
      <c r="K36" s="1083"/>
      <c r="L36" s="1083"/>
      <c r="M36" s="1083"/>
      <c r="N36" s="1083"/>
    </row>
    <row r="37" spans="3:15" x14ac:dyDescent="0.25">
      <c r="C37" s="1120" t="s">
        <v>849</v>
      </c>
      <c r="D37" s="1124">
        <v>8.2364048206624615E-2</v>
      </c>
      <c r="I37" s="1083"/>
      <c r="J37" s="1083"/>
      <c r="K37" s="1083"/>
      <c r="L37" s="1083"/>
      <c r="M37" s="1083"/>
      <c r="N37" s="1083"/>
    </row>
    <row r="38" spans="3:15" x14ac:dyDescent="0.25">
      <c r="C38" s="1120" t="s">
        <v>11</v>
      </c>
      <c r="D38" s="1125">
        <f>F25/F22</f>
        <v>-0.17644352426961121</v>
      </c>
      <c r="I38" s="1083"/>
      <c r="J38" s="1083"/>
      <c r="K38" s="1083"/>
      <c r="L38" s="1083"/>
      <c r="M38" s="1083"/>
      <c r="N38" s="1083"/>
    </row>
    <row r="39" spans="3:15" x14ac:dyDescent="0.25">
      <c r="C39" s="1120" t="s">
        <v>850</v>
      </c>
      <c r="D39" s="1126">
        <v>0.21</v>
      </c>
      <c r="I39" s="1083"/>
      <c r="J39" s="1083"/>
      <c r="K39" s="1083"/>
      <c r="L39" s="1083"/>
      <c r="M39" s="1083"/>
      <c r="N39" s="1083"/>
    </row>
    <row r="40" spans="3:15" x14ac:dyDescent="0.25">
      <c r="C40" s="1120" t="s">
        <v>851</v>
      </c>
      <c r="D40" s="1125">
        <f>-F29/F22</f>
        <v>1.505297771282426E-2</v>
      </c>
      <c r="I40" s="1083"/>
      <c r="J40" s="1083"/>
      <c r="K40" s="1083"/>
      <c r="L40" s="1083"/>
      <c r="M40" s="1083"/>
      <c r="N40" s="1083"/>
    </row>
    <row r="41" spans="3:15" x14ac:dyDescent="0.25">
      <c r="C41" s="1072" t="s">
        <v>852</v>
      </c>
      <c r="D41" s="1127">
        <f>F30/F22</f>
        <v>2.5656639467381157E-2</v>
      </c>
      <c r="I41" s="1083"/>
      <c r="J41" s="1083"/>
      <c r="K41" s="1083"/>
      <c r="L41" s="1083"/>
      <c r="M41" s="1083"/>
      <c r="N41" s="1083"/>
    </row>
    <row r="42" spans="3:15" x14ac:dyDescent="0.25">
      <c r="I42" s="1083"/>
      <c r="J42" s="1083"/>
      <c r="K42" s="1083"/>
      <c r="L42" s="1083"/>
      <c r="M42" s="1083"/>
      <c r="N42" s="1083"/>
    </row>
    <row r="43" spans="3:15" x14ac:dyDescent="0.25">
      <c r="C43" s="1172" t="s">
        <v>853</v>
      </c>
      <c r="D43" s="1177"/>
      <c r="E43" s="1128"/>
      <c r="F43" s="1128"/>
      <c r="G43" s="1172" t="s">
        <v>854</v>
      </c>
      <c r="H43" s="1177"/>
      <c r="I43" s="1083"/>
      <c r="J43" s="1083"/>
      <c r="K43" s="1083"/>
      <c r="L43" s="1083"/>
      <c r="M43" s="1083"/>
      <c r="N43" s="1083"/>
    </row>
    <row r="44" spans="3:15" ht="28.15" customHeight="1" x14ac:dyDescent="0.25">
      <c r="C44" s="1129" t="s">
        <v>855</v>
      </c>
      <c r="D44" s="1130">
        <v>0.02</v>
      </c>
      <c r="E44" s="1131"/>
      <c r="F44" s="1131"/>
      <c r="G44" s="1132" t="s">
        <v>510</v>
      </c>
      <c r="H44" s="1133">
        <v>13.1</v>
      </c>
      <c r="I44" s="1474" t="s">
        <v>856</v>
      </c>
      <c r="J44" s="1475"/>
      <c r="K44" s="1475"/>
      <c r="L44" s="1475"/>
      <c r="M44" s="1475"/>
      <c r="N44" s="1475"/>
      <c r="O44" s="1475"/>
    </row>
    <row r="45" spans="3:15" x14ac:dyDescent="0.25">
      <c r="C45" s="1134" t="s">
        <v>857</v>
      </c>
      <c r="D45" s="1135">
        <f>I14</f>
        <v>7.9522000000000009E-2</v>
      </c>
      <c r="E45" s="1136"/>
      <c r="F45" s="1136"/>
      <c r="G45" s="1137" t="s">
        <v>857</v>
      </c>
      <c r="H45" s="1138">
        <f>I14</f>
        <v>7.9522000000000009E-2</v>
      </c>
      <c r="I45" s="1083"/>
      <c r="J45" s="1083"/>
      <c r="K45" s="1083"/>
      <c r="L45" s="1083"/>
      <c r="M45" s="1083"/>
      <c r="N45" s="1083"/>
    </row>
    <row r="46" spans="3:15" x14ac:dyDescent="0.25">
      <c r="C46" s="1134"/>
      <c r="D46" s="1139"/>
      <c r="E46" s="1140"/>
      <c r="F46" s="1140"/>
      <c r="G46" s="1137"/>
      <c r="H46" s="1141"/>
      <c r="I46" s="1083"/>
      <c r="J46" s="1083"/>
      <c r="K46" s="1083"/>
      <c r="L46" s="1083"/>
      <c r="M46" s="1083"/>
      <c r="N46" s="1083"/>
    </row>
    <row r="47" spans="3:15" x14ac:dyDescent="0.25">
      <c r="C47" s="1142" t="s">
        <v>858</v>
      </c>
      <c r="D47" s="1143">
        <f ca="1">SUM(G32:K32)</f>
        <v>220005.61134425478</v>
      </c>
      <c r="E47" s="1136"/>
      <c r="F47" s="1136"/>
      <c r="G47" s="1137" t="s">
        <v>858</v>
      </c>
      <c r="H47" s="1144">
        <f ca="1">D47</f>
        <v>220005.61134425478</v>
      </c>
      <c r="K47" s="1083"/>
      <c r="L47" s="1083"/>
      <c r="M47" s="1083"/>
      <c r="N47" s="1083"/>
    </row>
    <row r="48" spans="3:15" x14ac:dyDescent="0.25">
      <c r="C48" s="1142" t="s">
        <v>859</v>
      </c>
      <c r="D48" s="1145">
        <f ca="1">(K31*(1+$D$44)/($I$7-$D$44))/(1+I7)^K20</f>
        <v>774957.33254319616</v>
      </c>
      <c r="E48" s="1146"/>
      <c r="F48" s="1146"/>
      <c r="G48" s="1137" t="s">
        <v>859</v>
      </c>
      <c r="H48" s="1147">
        <f ca="1">(K23*H44)/(1+I14)^K20</f>
        <v>831964.13187253708</v>
      </c>
      <c r="J48" s="1083"/>
      <c r="K48" s="1083"/>
      <c r="L48" s="1083"/>
      <c r="M48" s="1083"/>
      <c r="N48" s="1083"/>
    </row>
    <row r="49" spans="3:14" x14ac:dyDescent="0.25">
      <c r="C49" s="1148" t="s">
        <v>53</v>
      </c>
      <c r="D49" s="1149">
        <f ca="1">SUM(D47:D48)</f>
        <v>994962.94388745097</v>
      </c>
      <c r="E49" s="1146"/>
      <c r="F49" s="1146"/>
      <c r="G49" s="1150" t="s">
        <v>53</v>
      </c>
      <c r="H49" s="1149">
        <f ca="1">SUM(H47:H48)</f>
        <v>1051969.7432167919</v>
      </c>
      <c r="I49" s="1083"/>
      <c r="J49" s="1083"/>
      <c r="K49" s="1083"/>
      <c r="L49" s="1083"/>
      <c r="M49" s="1083"/>
      <c r="N49" s="1083"/>
    </row>
    <row r="50" spans="3:14" x14ac:dyDescent="0.25">
      <c r="C50" s="1151" t="s">
        <v>547</v>
      </c>
      <c r="D50" s="1152">
        <f>-E7</f>
        <v>0</v>
      </c>
      <c r="E50" s="1153"/>
      <c r="F50" s="1153"/>
      <c r="G50" s="1154" t="s">
        <v>547</v>
      </c>
      <c r="H50" s="1144">
        <f>D50</f>
        <v>0</v>
      </c>
      <c r="I50" s="1083"/>
      <c r="J50" s="1083"/>
      <c r="K50" s="1083"/>
      <c r="L50" s="1083"/>
      <c r="M50" s="1083"/>
      <c r="N50" s="1083"/>
    </row>
    <row r="51" spans="3:14" x14ac:dyDescent="0.25">
      <c r="C51" s="1142" t="s">
        <v>83</v>
      </c>
      <c r="D51" s="1155">
        <f ca="1">D49+D50</f>
        <v>994962.94388745097</v>
      </c>
      <c r="E51" s="1156"/>
      <c r="F51" s="1156"/>
      <c r="G51" s="1137" t="s">
        <v>83</v>
      </c>
      <c r="H51" s="1157">
        <f ca="1">SUM(H49:H50)</f>
        <v>1051969.7432167919</v>
      </c>
      <c r="I51" s="1083"/>
      <c r="J51" s="1083"/>
      <c r="K51" s="1083"/>
      <c r="L51" s="1083"/>
      <c r="M51" s="1083"/>
      <c r="N51" s="1083"/>
    </row>
    <row r="52" spans="3:14" x14ac:dyDescent="0.25">
      <c r="C52" s="1142" t="s">
        <v>860</v>
      </c>
      <c r="D52" s="1158">
        <f>E5</f>
        <v>32207.681</v>
      </c>
      <c r="E52" s="1159"/>
      <c r="F52" s="1159"/>
      <c r="G52" s="1137" t="s">
        <v>861</v>
      </c>
      <c r="H52" s="1160">
        <f>D52</f>
        <v>32207.681</v>
      </c>
      <c r="I52" s="1083"/>
      <c r="J52" s="1083"/>
      <c r="K52" s="1083"/>
      <c r="L52" s="1083"/>
      <c r="M52" s="1083"/>
      <c r="N52" s="1083"/>
    </row>
    <row r="53" spans="3:14" x14ac:dyDescent="0.25">
      <c r="C53" s="1161" t="s">
        <v>862</v>
      </c>
      <c r="D53" s="1162">
        <f ca="1">D51/D52</f>
        <v>30.89210129370851</v>
      </c>
      <c r="E53" s="1163"/>
      <c r="F53" s="1163"/>
      <c r="G53" s="1164" t="s">
        <v>862</v>
      </c>
      <c r="H53" s="1165">
        <f ca="1">H51/H52</f>
        <v>32.662076577844644</v>
      </c>
      <c r="I53" s="1083"/>
      <c r="J53" s="1083"/>
      <c r="K53" s="1083"/>
      <c r="L53" s="1083"/>
      <c r="M53" s="1083"/>
      <c r="N53" s="1083"/>
    </row>
    <row r="54" spans="3:14" x14ac:dyDescent="0.25">
      <c r="C54" s="1166" t="s">
        <v>863</v>
      </c>
      <c r="D54" s="1167">
        <f ca="1">D49/K23</f>
        <v>10.686023175800775</v>
      </c>
      <c r="E54" s="1083" t="s">
        <v>864</v>
      </c>
      <c r="F54" s="1083"/>
      <c r="G54" s="1168" t="s">
        <v>865</v>
      </c>
      <c r="H54" s="1169">
        <f ca="1">H49/K23</f>
        <v>11.298283142419663</v>
      </c>
      <c r="I54" s="1083" t="s">
        <v>864</v>
      </c>
      <c r="K54" s="1083"/>
      <c r="L54" s="1083"/>
      <c r="M54" s="1083"/>
      <c r="N54" s="1083"/>
    </row>
    <row r="55" spans="3:14" x14ac:dyDescent="0.25">
      <c r="D55" s="1170"/>
      <c r="H55" s="1170"/>
      <c r="I55" s="1170"/>
    </row>
  </sheetData>
  <mergeCells count="5">
    <mergeCell ref="G4:H4"/>
    <mergeCell ref="G5:H5"/>
    <mergeCell ref="G6:H6"/>
    <mergeCell ref="G7:H7"/>
    <mergeCell ref="I44:O44"/>
  </mergeCells>
  <conditionalFormatting sqref="A1:XFD1048576">
    <cfRule type="cellIs" dxfId="18" priority="1" operator="lessThan">
      <formula>0</formula>
    </cfRule>
  </conditionalFormatting>
  <pageMargins left="0.7" right="0.7" top="0.75" bottom="0.75" header="0.3" footer="0.3"/>
  <pageSetup scale="4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1a91be9-0b20-46d8-8b4f-71ec99bb5fc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49F13D0244394A894FCD09B3E5BF1F" ma:contentTypeVersion="14" ma:contentTypeDescription="Create a new document." ma:contentTypeScope="" ma:versionID="e9168291661035447485797f3b6da8bb">
  <xsd:schema xmlns:xsd="http://www.w3.org/2001/XMLSchema" xmlns:xs="http://www.w3.org/2001/XMLSchema" xmlns:p="http://schemas.microsoft.com/office/2006/metadata/properties" xmlns:ns3="81a91be9-0b20-46d8-8b4f-71ec99bb5fc7" xmlns:ns4="e2e5a815-161a-4bfc-b9ac-dbdfd1f46302" targetNamespace="http://schemas.microsoft.com/office/2006/metadata/properties" ma:root="true" ma:fieldsID="e2ae272c07030e6297b6fef16b957240" ns3:_="" ns4:_="">
    <xsd:import namespace="81a91be9-0b20-46d8-8b4f-71ec99bb5fc7"/>
    <xsd:import namespace="e2e5a815-161a-4bfc-b9ac-dbdfd1f4630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91be9-0b20-46d8-8b4f-71ec99bb5f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5a815-161a-4bfc-b9ac-dbdfd1f463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93696-398F-428C-934C-9175A4E12DB6}">
  <ds:schemaRefs>
    <ds:schemaRef ds:uri="http://schemas.microsoft.com/sharepoint/v3/contenttype/forms"/>
  </ds:schemaRefs>
</ds:datastoreItem>
</file>

<file path=customXml/itemProps2.xml><?xml version="1.0" encoding="utf-8"?>
<ds:datastoreItem xmlns:ds="http://schemas.openxmlformats.org/officeDocument/2006/customXml" ds:itemID="{5E07779F-C95F-4442-B6A4-A72521B4BE33}">
  <ds:schemaRefs>
    <ds:schemaRef ds:uri="http://purl.org/dc/terms/"/>
    <ds:schemaRef ds:uri="81a91be9-0b20-46d8-8b4f-71ec99bb5fc7"/>
    <ds:schemaRef ds:uri="http://schemas.microsoft.com/office/2006/documentManagement/types"/>
    <ds:schemaRef ds:uri="http://schemas.microsoft.com/office/infopath/2007/PartnerControls"/>
    <ds:schemaRef ds:uri="e2e5a815-161a-4bfc-b9ac-dbdfd1f46302"/>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6E4A035-84AE-4160-BE12-318CDB207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91be9-0b20-46d8-8b4f-71ec99bb5fc7"/>
    <ds:schemaRef ds:uri="e2e5a815-161a-4bfc-b9ac-dbdfd1f463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Annual Summary</vt:lpstr>
      <vt:lpstr>Quarterly Summary</vt:lpstr>
      <vt:lpstr>Quarterly Summary Historical</vt:lpstr>
      <vt:lpstr>Transaction Structure</vt:lpstr>
      <vt:lpstr>Operating Model</vt:lpstr>
      <vt:lpstr>Original - Metrics</vt:lpstr>
      <vt:lpstr>Original - Metrics (formatted)</vt:lpstr>
      <vt:lpstr>Unit of Economics_Assumptions</vt:lpstr>
      <vt:lpstr>Unit of Economics</vt:lpstr>
      <vt:lpstr>Unit_Econmics_Breakdown</vt:lpstr>
      <vt:lpstr>Public-Comps</vt:lpstr>
      <vt:lpstr>Public - Dil.Shares</vt:lpstr>
      <vt:lpstr>ValSum</vt:lpstr>
      <vt:lpstr>M&amp;A Comps</vt:lpstr>
      <vt:lpstr>Supplemental Sheets -&gt;</vt:lpstr>
      <vt:lpstr>Region Breakdown</vt:lpstr>
      <vt:lpstr>Share Conversion</vt:lpstr>
      <vt:lpstr>YoY Estimates</vt:lpstr>
      <vt:lpstr>QoQ Estimates_Edited</vt:lpstr>
      <vt:lpstr>QoQ Estimates</vt:lpstr>
      <vt:lpstr>MASTER DCF</vt:lpstr>
      <vt:lpstr>Closing_Date</vt:lpstr>
      <vt:lpstr>Diluted_Shares</vt:lpstr>
      <vt:lpstr>Equity_Value</vt:lpstr>
      <vt:lpstr>'Annual Summary'!Print_Area</vt:lpstr>
      <vt:lpstr>'MASTER DCF'!Print_Area</vt:lpstr>
      <vt:lpstr>'Public-Comps'!Print_Area</vt:lpstr>
      <vt:lpstr>'Quarterly Summary'!Print_Area</vt:lpstr>
      <vt:lpstr>'Quarterly Summary Historical'!Print_Area</vt:lpstr>
      <vt:lpstr>ValSum!Print_Area</vt:lpstr>
      <vt:lpstr>Purchase_Multiple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2023-03-27T19:25:00Z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0x010100EF49F13D0244394A894FCD09B3E5BF1F</vt:lpwstr>
  </property>
</Properties>
</file>