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ynch\Dropbox\ASM Content Creation\WIP\Real Estate\ABM\"/>
    </mc:Choice>
  </mc:AlternateContent>
  <bookViews>
    <workbookView xWindow="0" yWindow="0" windowWidth="28800" windowHeight="13935"/>
  </bookViews>
  <sheets>
    <sheet name="RE Waterfall" sheetId="2" r:id="rId1"/>
  </sheets>
  <calcPr calcId="152511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2" l="1"/>
  <c r="H118" i="2"/>
  <c r="B101" i="2"/>
  <c r="C98" i="2"/>
  <c r="M84" i="2"/>
  <c r="B83" i="2"/>
  <c r="C80" i="2"/>
  <c r="H69" i="2"/>
  <c r="Q66" i="2"/>
  <c r="L66" i="2"/>
  <c r="B65" i="2"/>
  <c r="C62" i="2"/>
  <c r="P48" i="2"/>
  <c r="K48" i="2"/>
  <c r="B47" i="2"/>
  <c r="C44" i="2"/>
  <c r="R31" i="2"/>
  <c r="R129" i="2" s="1"/>
  <c r="Q31" i="2"/>
  <c r="Q129" i="2" s="1"/>
  <c r="P31" i="2"/>
  <c r="P129" i="2" s="1"/>
  <c r="O31" i="2"/>
  <c r="O129" i="2" s="1"/>
  <c r="N31" i="2"/>
  <c r="N129" i="2" s="1"/>
  <c r="M31" i="2"/>
  <c r="M129" i="2" s="1"/>
  <c r="L31" i="2"/>
  <c r="L129" i="2" s="1"/>
  <c r="K31" i="2"/>
  <c r="K129" i="2" s="1"/>
  <c r="J31" i="2"/>
  <c r="J129" i="2" s="1"/>
  <c r="I31" i="2"/>
  <c r="R30" i="2"/>
  <c r="R121" i="2" s="1"/>
  <c r="O30" i="2"/>
  <c r="O121" i="2" s="1"/>
  <c r="N30" i="2"/>
  <c r="N121" i="2" s="1"/>
  <c r="K30" i="2"/>
  <c r="K121" i="2" s="1"/>
  <c r="J30" i="2"/>
  <c r="J121" i="2" s="1"/>
  <c r="C26" i="2"/>
  <c r="H23" i="2"/>
  <c r="I21" i="2"/>
  <c r="J21" i="2" s="1"/>
  <c r="K21" i="2" s="1"/>
  <c r="L21" i="2" s="1"/>
  <c r="M21" i="2" s="1"/>
  <c r="N21" i="2" s="1"/>
  <c r="O21" i="2" s="1"/>
  <c r="P21" i="2" s="1"/>
  <c r="Q21" i="2" s="1"/>
  <c r="R21" i="2" s="1"/>
  <c r="I20" i="2"/>
  <c r="H17" i="2"/>
  <c r="H16" i="2"/>
  <c r="H15" i="2"/>
  <c r="H14" i="2"/>
  <c r="B14" i="2"/>
  <c r="B15" i="2" s="1"/>
  <c r="B16" i="2" s="1"/>
  <c r="B17" i="2" s="1"/>
  <c r="H13" i="2"/>
  <c r="H6" i="2"/>
  <c r="Q84" i="2" s="1"/>
  <c r="F6" i="2"/>
  <c r="H51" i="2" s="1"/>
  <c r="I46" i="2" s="1"/>
  <c r="F5" i="2"/>
  <c r="H129" i="2" s="1"/>
  <c r="H131" i="2" s="1"/>
  <c r="H24" i="2" l="1"/>
  <c r="H60" i="2"/>
  <c r="I118" i="2"/>
  <c r="J20" i="2"/>
  <c r="H78" i="2"/>
  <c r="I64" i="2"/>
  <c r="I47" i="2"/>
  <c r="L30" i="2"/>
  <c r="L121" i="2" s="1"/>
  <c r="P30" i="2"/>
  <c r="P121" i="2" s="1"/>
  <c r="N48" i="2"/>
  <c r="I66" i="2"/>
  <c r="O66" i="2"/>
  <c r="I84" i="2"/>
  <c r="L102" i="2"/>
  <c r="I30" i="2"/>
  <c r="I121" i="2" s="1"/>
  <c r="M30" i="2"/>
  <c r="M121" i="2" s="1"/>
  <c r="Q30" i="2"/>
  <c r="Q121" i="2" s="1"/>
  <c r="J48" i="2"/>
  <c r="O48" i="2"/>
  <c r="K66" i="2"/>
  <c r="P66" i="2"/>
  <c r="K84" i="2"/>
  <c r="P102" i="2"/>
  <c r="L48" i="2"/>
  <c r="R48" i="2"/>
  <c r="M66" i="2"/>
  <c r="H121" i="2"/>
  <c r="H123" i="2" s="1"/>
  <c r="H105" i="2"/>
  <c r="H87" i="2"/>
  <c r="H33" i="2"/>
  <c r="R102" i="2"/>
  <c r="N102" i="2"/>
  <c r="J102" i="2"/>
  <c r="Q102" i="2"/>
  <c r="M102" i="2"/>
  <c r="I102" i="2"/>
  <c r="P84" i="2"/>
  <c r="L84" i="2"/>
  <c r="O102" i="2"/>
  <c r="K102" i="2"/>
  <c r="R84" i="2"/>
  <c r="N84" i="2"/>
  <c r="J84" i="2"/>
  <c r="O84" i="2"/>
  <c r="R66" i="2"/>
  <c r="N66" i="2"/>
  <c r="J66" i="2"/>
  <c r="Q48" i="2"/>
  <c r="M48" i="2"/>
  <c r="I48" i="2"/>
  <c r="H114" i="2" l="1"/>
  <c r="I100" i="2"/>
  <c r="K20" i="2"/>
  <c r="J118" i="2"/>
  <c r="I65" i="2"/>
  <c r="H42" i="2"/>
  <c r="I28" i="2"/>
  <c r="I82" i="2"/>
  <c r="H96" i="2"/>
  <c r="K118" i="2" l="1"/>
  <c r="L20" i="2"/>
  <c r="I101" i="2"/>
  <c r="I83" i="2"/>
  <c r="I29" i="2"/>
  <c r="I32" i="2"/>
  <c r="I33" i="2"/>
  <c r="J28" i="2" s="1"/>
  <c r="J29" i="2" l="1"/>
  <c r="J32" i="2"/>
  <c r="I42" i="2"/>
  <c r="I36" i="2"/>
  <c r="L118" i="2"/>
  <c r="M20" i="2"/>
  <c r="J36" i="2" l="1"/>
  <c r="J42" i="2"/>
  <c r="M118" i="2"/>
  <c r="N20" i="2"/>
  <c r="I49" i="2"/>
  <c r="I37" i="2"/>
  <c r="J33" i="2"/>
  <c r="K28" i="2" s="1"/>
  <c r="O20" i="2" l="1"/>
  <c r="N118" i="2"/>
  <c r="J49" i="2"/>
  <c r="J37" i="2"/>
  <c r="K32" i="2"/>
  <c r="K29" i="2"/>
  <c r="I38" i="2"/>
  <c r="K36" i="2" l="1"/>
  <c r="K42" i="2"/>
  <c r="O118" i="2"/>
  <c r="P20" i="2"/>
  <c r="I40" i="2"/>
  <c r="K33" i="2"/>
  <c r="L28" i="2" s="1"/>
  <c r="J38" i="2"/>
  <c r="J40" i="2" l="1"/>
  <c r="P118" i="2"/>
  <c r="Q20" i="2"/>
  <c r="L29" i="2"/>
  <c r="L32" i="2" s="1"/>
  <c r="I50" i="2"/>
  <c r="I54" i="2"/>
  <c r="K49" i="2"/>
  <c r="K38" i="2"/>
  <c r="K37" i="2"/>
  <c r="L42" i="2" l="1"/>
  <c r="L36" i="2"/>
  <c r="L33" i="2"/>
  <c r="M28" i="2" s="1"/>
  <c r="K40" i="2"/>
  <c r="I60" i="2"/>
  <c r="I51" i="2"/>
  <c r="J46" i="2" s="1"/>
  <c r="Q118" i="2"/>
  <c r="R20" i="2"/>
  <c r="R118" i="2" s="1"/>
  <c r="I67" i="2"/>
  <c r="I55" i="2"/>
  <c r="I56" i="2" s="1"/>
  <c r="I58" i="2" l="1"/>
  <c r="I68" i="2" s="1"/>
  <c r="L37" i="2"/>
  <c r="L38" i="2"/>
  <c r="L49" i="2"/>
  <c r="J50" i="2"/>
  <c r="J60" i="2" s="1"/>
  <c r="J47" i="2"/>
  <c r="J51" i="2" s="1"/>
  <c r="K46" i="2" s="1"/>
  <c r="M29" i="2"/>
  <c r="M32" i="2"/>
  <c r="M33" i="2"/>
  <c r="N28" i="2" s="1"/>
  <c r="K47" i="2" l="1"/>
  <c r="K54" i="2"/>
  <c r="K51" i="2"/>
  <c r="L46" i="2" s="1"/>
  <c r="K50" i="2"/>
  <c r="K60" i="2" s="1"/>
  <c r="I72" i="2"/>
  <c r="I69" i="2"/>
  <c r="J64" i="2" s="1"/>
  <c r="I78" i="2"/>
  <c r="N29" i="2"/>
  <c r="N33" i="2" s="1"/>
  <c r="O28" i="2" s="1"/>
  <c r="N32" i="2"/>
  <c r="L40" i="2"/>
  <c r="M42" i="2"/>
  <c r="M36" i="2"/>
  <c r="J54" i="2"/>
  <c r="O29" i="2" l="1"/>
  <c r="O32" i="2" s="1"/>
  <c r="J55" i="2"/>
  <c r="J67" i="2"/>
  <c r="N42" i="2"/>
  <c r="N36" i="2"/>
  <c r="M49" i="2"/>
  <c r="M37" i="2"/>
  <c r="M38" i="2"/>
  <c r="J65" i="2"/>
  <c r="L47" i="2"/>
  <c r="I73" i="2"/>
  <c r="I85" i="2"/>
  <c r="K55" i="2"/>
  <c r="K67" i="2"/>
  <c r="O42" i="2" l="1"/>
  <c r="O36" i="2"/>
  <c r="O33" i="2"/>
  <c r="P28" i="2" s="1"/>
  <c r="L50" i="2"/>
  <c r="L60" i="2" s="1"/>
  <c r="N37" i="2"/>
  <c r="N49" i="2"/>
  <c r="I74" i="2"/>
  <c r="L54" i="2"/>
  <c r="M40" i="2"/>
  <c r="K56" i="2"/>
  <c r="J56" i="2"/>
  <c r="I76" i="2" l="1"/>
  <c r="I86" i="2" s="1"/>
  <c r="L67" i="2"/>
  <c r="L56" i="2"/>
  <c r="L55" i="2"/>
  <c r="O49" i="2"/>
  <c r="O37" i="2"/>
  <c r="J58" i="2"/>
  <c r="J68" i="2" s="1"/>
  <c r="K58" i="2"/>
  <c r="L51" i="2"/>
  <c r="M46" i="2" s="1"/>
  <c r="N38" i="2"/>
  <c r="P29" i="2"/>
  <c r="P32" i="2" s="1"/>
  <c r="P36" i="2" l="1"/>
  <c r="P42" i="2"/>
  <c r="P33" i="2"/>
  <c r="Q28" i="2" s="1"/>
  <c r="M47" i="2"/>
  <c r="M50" i="2" s="1"/>
  <c r="N40" i="2"/>
  <c r="O38" i="2"/>
  <c r="J72" i="2"/>
  <c r="J69" i="2"/>
  <c r="K64" i="2" s="1"/>
  <c r="J78" i="2"/>
  <c r="L58" i="2"/>
  <c r="I90" i="2"/>
  <c r="I87" i="2"/>
  <c r="J82" i="2" s="1"/>
  <c r="I96" i="2"/>
  <c r="M60" i="2" l="1"/>
  <c r="M51" i="2"/>
  <c r="N46" i="2" s="1"/>
  <c r="O40" i="2"/>
  <c r="M54" i="2"/>
  <c r="J83" i="2"/>
  <c r="J73" i="2"/>
  <c r="J74" i="2" s="1"/>
  <c r="J85" i="2"/>
  <c r="K65" i="2"/>
  <c r="K68" i="2" s="1"/>
  <c r="Q29" i="2"/>
  <c r="I91" i="2"/>
  <c r="I92" i="2"/>
  <c r="I103" i="2"/>
  <c r="P37" i="2"/>
  <c r="P49" i="2"/>
  <c r="P38" i="2"/>
  <c r="K72" i="2" l="1"/>
  <c r="K78" i="2"/>
  <c r="K69" i="2"/>
  <c r="L64" i="2" s="1"/>
  <c r="J76" i="2"/>
  <c r="Q32" i="2"/>
  <c r="J86" i="2"/>
  <c r="J90" i="2" s="1"/>
  <c r="I94" i="2"/>
  <c r="I104" i="2" s="1"/>
  <c r="N51" i="2"/>
  <c r="O46" i="2" s="1"/>
  <c r="N50" i="2"/>
  <c r="N60" i="2" s="1"/>
  <c r="N47" i="2"/>
  <c r="N54" i="2" s="1"/>
  <c r="P40" i="2"/>
  <c r="M55" i="2"/>
  <c r="M56" i="2" s="1"/>
  <c r="M67" i="2"/>
  <c r="M58" i="2" l="1"/>
  <c r="I108" i="2"/>
  <c r="I105" i="2"/>
  <c r="J100" i="2" s="1"/>
  <c r="I114" i="2"/>
  <c r="N55" i="2"/>
  <c r="N67" i="2"/>
  <c r="N56" i="2"/>
  <c r="O47" i="2"/>
  <c r="O50" i="2" s="1"/>
  <c r="O60" i="2" s="1"/>
  <c r="O54" i="2"/>
  <c r="J92" i="2"/>
  <c r="J91" i="2"/>
  <c r="J103" i="2"/>
  <c r="J87" i="2"/>
  <c r="K82" i="2" s="1"/>
  <c r="Q42" i="2"/>
  <c r="Q36" i="2"/>
  <c r="Q33" i="2"/>
  <c r="R28" i="2" s="1"/>
  <c r="L65" i="2"/>
  <c r="L68" i="2" s="1"/>
  <c r="J96" i="2"/>
  <c r="K73" i="2"/>
  <c r="K85" i="2"/>
  <c r="L72" i="2" l="1"/>
  <c r="L78" i="2"/>
  <c r="K83" i="2"/>
  <c r="J94" i="2"/>
  <c r="L69" i="2"/>
  <c r="M64" i="2" s="1"/>
  <c r="O51" i="2"/>
  <c r="P46" i="2" s="1"/>
  <c r="N58" i="2"/>
  <c r="J101" i="2"/>
  <c r="O67" i="2"/>
  <c r="O55" i="2"/>
  <c r="R29" i="2"/>
  <c r="K74" i="2"/>
  <c r="Q37" i="2"/>
  <c r="Q38" i="2"/>
  <c r="Q49" i="2"/>
  <c r="I109" i="2"/>
  <c r="I130" i="2" s="1"/>
  <c r="I122" i="2"/>
  <c r="K86" i="2" l="1"/>
  <c r="R32" i="2"/>
  <c r="J104" i="2"/>
  <c r="P54" i="2"/>
  <c r="P47" i="2"/>
  <c r="P50" i="2" s="1"/>
  <c r="P60" i="2" s="1"/>
  <c r="K87" i="2"/>
  <c r="L82" i="2" s="1"/>
  <c r="I123" i="2"/>
  <c r="I131" i="2"/>
  <c r="M65" i="2"/>
  <c r="M68" i="2"/>
  <c r="Q40" i="2"/>
  <c r="I110" i="2"/>
  <c r="I112" i="2" s="1"/>
  <c r="K76" i="2"/>
  <c r="O56" i="2"/>
  <c r="L74" i="2"/>
  <c r="L73" i="2"/>
  <c r="L85" i="2"/>
  <c r="M72" i="2" l="1"/>
  <c r="M78" i="2"/>
  <c r="L76" i="2"/>
  <c r="P51" i="2"/>
  <c r="Q46" i="2" s="1"/>
  <c r="R36" i="2"/>
  <c r="R42" i="2"/>
  <c r="C42" i="2" s="1"/>
  <c r="P67" i="2"/>
  <c r="P55" i="2"/>
  <c r="M69" i="2"/>
  <c r="N64" i="2" s="1"/>
  <c r="J108" i="2"/>
  <c r="J114" i="2"/>
  <c r="R33" i="2"/>
  <c r="O58" i="2"/>
  <c r="L86" i="2"/>
  <c r="L90" i="2" s="1"/>
  <c r="L83" i="2"/>
  <c r="L87" i="2"/>
  <c r="M82" i="2" s="1"/>
  <c r="K90" i="2"/>
  <c r="K96" i="2"/>
  <c r="I136" i="2"/>
  <c r="J105" i="2"/>
  <c r="K100" i="2" s="1"/>
  <c r="M83" i="2" l="1"/>
  <c r="K101" i="2"/>
  <c r="L91" i="2"/>
  <c r="L92" i="2" s="1"/>
  <c r="L103" i="2"/>
  <c r="N68" i="2"/>
  <c r="N65" i="2"/>
  <c r="N69" i="2" s="1"/>
  <c r="O64" i="2" s="1"/>
  <c r="K92" i="2"/>
  <c r="K91" i="2"/>
  <c r="K103" i="2"/>
  <c r="P56" i="2"/>
  <c r="R38" i="2"/>
  <c r="R49" i="2"/>
  <c r="R37" i="2"/>
  <c r="Q47" i="2"/>
  <c r="Q50" i="2" s="1"/>
  <c r="Q54" i="2"/>
  <c r="J109" i="2"/>
  <c r="J130" i="2" s="1"/>
  <c r="J110" i="2"/>
  <c r="J112" i="2" s="1"/>
  <c r="J122" i="2"/>
  <c r="L96" i="2"/>
  <c r="M73" i="2"/>
  <c r="M85" i="2"/>
  <c r="Q60" i="2" l="1"/>
  <c r="Q51" i="2"/>
  <c r="R46" i="2" s="1"/>
  <c r="L94" i="2"/>
  <c r="O69" i="2"/>
  <c r="P64" i="2" s="1"/>
  <c r="O68" i="2"/>
  <c r="O65" i="2"/>
  <c r="P58" i="2"/>
  <c r="N72" i="2"/>
  <c r="N78" i="2"/>
  <c r="Q67" i="2"/>
  <c r="Q55" i="2"/>
  <c r="M74" i="2"/>
  <c r="J131" i="2"/>
  <c r="R40" i="2"/>
  <c r="K94" i="2"/>
  <c r="K104" i="2" s="1"/>
  <c r="J123" i="2"/>
  <c r="K108" i="2" l="1"/>
  <c r="K105" i="2"/>
  <c r="L100" i="2" s="1"/>
  <c r="K114" i="2"/>
  <c r="P65" i="2"/>
  <c r="P69" i="2" s="1"/>
  <c r="Q64" i="2" s="1"/>
  <c r="P68" i="2"/>
  <c r="J136" i="2"/>
  <c r="M76" i="2"/>
  <c r="M86" i="2" s="1"/>
  <c r="O72" i="2"/>
  <c r="O78" i="2"/>
  <c r="N73" i="2"/>
  <c r="N85" i="2"/>
  <c r="R47" i="2"/>
  <c r="R54" i="2"/>
  <c r="R50" i="2"/>
  <c r="R60" i="2" s="1"/>
  <c r="C60" i="2" s="1"/>
  <c r="Q56" i="2"/>
  <c r="Q65" i="2" l="1"/>
  <c r="R51" i="2"/>
  <c r="O73" i="2"/>
  <c r="O85" i="2"/>
  <c r="Q58" i="2"/>
  <c r="R55" i="2"/>
  <c r="R67" i="2"/>
  <c r="N74" i="2"/>
  <c r="M90" i="2"/>
  <c r="M96" i="2"/>
  <c r="M87" i="2"/>
  <c r="N82" i="2" s="1"/>
  <c r="P72" i="2"/>
  <c r="P78" i="2"/>
  <c r="L101" i="2"/>
  <c r="K109" i="2"/>
  <c r="K130" i="2" s="1"/>
  <c r="K122" i="2"/>
  <c r="M91" i="2" l="1"/>
  <c r="M92" i="2" s="1"/>
  <c r="M103" i="2"/>
  <c r="K110" i="2"/>
  <c r="K112" i="2" s="1"/>
  <c r="O74" i="2"/>
  <c r="L104" i="2"/>
  <c r="P74" i="2"/>
  <c r="P73" i="2"/>
  <c r="P85" i="2"/>
  <c r="N76" i="2"/>
  <c r="Q68" i="2"/>
  <c r="Q69" i="2" s="1"/>
  <c r="R64" i="2" s="1"/>
  <c r="K131" i="2"/>
  <c r="K123" i="2"/>
  <c r="N83" i="2"/>
  <c r="R56" i="2"/>
  <c r="R65" i="2" l="1"/>
  <c r="R68" i="2" s="1"/>
  <c r="M94" i="2"/>
  <c r="N86" i="2"/>
  <c r="P76" i="2"/>
  <c r="R58" i="2"/>
  <c r="O76" i="2"/>
  <c r="L108" i="2"/>
  <c r="L114" i="2"/>
  <c r="Q72" i="2"/>
  <c r="Q78" i="2"/>
  <c r="K136" i="2"/>
  <c r="L105" i="2"/>
  <c r="M100" i="2" s="1"/>
  <c r="R72" i="2" l="1"/>
  <c r="R78" i="2"/>
  <c r="C78" i="2" s="1"/>
  <c r="N90" i="2"/>
  <c r="N96" i="2"/>
  <c r="M101" i="2"/>
  <c r="M104" i="2" s="1"/>
  <c r="N87" i="2"/>
  <c r="O82" i="2" s="1"/>
  <c r="R69" i="2"/>
  <c r="Q73" i="2"/>
  <c r="Q85" i="2"/>
  <c r="L110" i="2"/>
  <c r="L112" i="2" s="1"/>
  <c r="L109" i="2"/>
  <c r="L130" i="2" s="1"/>
  <c r="L122" i="2"/>
  <c r="M108" i="2" l="1"/>
  <c r="M114" i="2"/>
  <c r="M105" i="2"/>
  <c r="N100" i="2" s="1"/>
  <c r="L131" i="2"/>
  <c r="O83" i="2"/>
  <c r="O86" i="2" s="1"/>
  <c r="N92" i="2"/>
  <c r="N91" i="2"/>
  <c r="N103" i="2"/>
  <c r="Q74" i="2"/>
  <c r="L123" i="2"/>
  <c r="L136" i="2" s="1"/>
  <c r="R73" i="2"/>
  <c r="R74" i="2"/>
  <c r="R85" i="2"/>
  <c r="O90" i="2" l="1"/>
  <c r="O96" i="2"/>
  <c r="O87" i="2"/>
  <c r="P82" i="2" s="1"/>
  <c r="N94" i="2"/>
  <c r="R76" i="2"/>
  <c r="Q76" i="2"/>
  <c r="N104" i="2"/>
  <c r="N108" i="2" s="1"/>
  <c r="N105" i="2"/>
  <c r="O100" i="2" s="1"/>
  <c r="N101" i="2"/>
  <c r="M110" i="2"/>
  <c r="M112" i="2" s="1"/>
  <c r="M109" i="2"/>
  <c r="M130" i="2" s="1"/>
  <c r="M122" i="2"/>
  <c r="M131" i="2" l="1"/>
  <c r="P86" i="2"/>
  <c r="P83" i="2"/>
  <c r="P87" i="2" s="1"/>
  <c r="Q82" i="2" s="1"/>
  <c r="N114" i="2"/>
  <c r="O101" i="2"/>
  <c r="N109" i="2"/>
  <c r="N130" i="2" s="1"/>
  <c r="N131" i="2" s="1"/>
  <c r="N110" i="2"/>
  <c r="N112" i="2" s="1"/>
  <c r="N122" i="2"/>
  <c r="N123" i="2" s="1"/>
  <c r="M123" i="2"/>
  <c r="M136" i="2" s="1"/>
  <c r="O92" i="2"/>
  <c r="O91" i="2"/>
  <c r="O103" i="2"/>
  <c r="Q83" i="2" l="1"/>
  <c r="Q87" i="2" s="1"/>
  <c r="R82" i="2" s="1"/>
  <c r="Q86" i="2"/>
  <c r="N136" i="2"/>
  <c r="O94" i="2"/>
  <c r="O104" i="2" s="1"/>
  <c r="P90" i="2"/>
  <c r="P96" i="2"/>
  <c r="O108" i="2" l="1"/>
  <c r="O105" i="2"/>
  <c r="P100" i="2" s="1"/>
  <c r="O114" i="2"/>
  <c r="R83" i="2"/>
  <c r="R86" i="2" s="1"/>
  <c r="Q90" i="2"/>
  <c r="Q96" i="2"/>
  <c r="P91" i="2"/>
  <c r="P92" i="2"/>
  <c r="P103" i="2"/>
  <c r="R90" i="2" l="1"/>
  <c r="R96" i="2"/>
  <c r="C96" i="2" s="1"/>
  <c r="R87" i="2"/>
  <c r="P101" i="2"/>
  <c r="Q91" i="2"/>
  <c r="Q103" i="2"/>
  <c r="P94" i="2"/>
  <c r="P104" i="2" s="1"/>
  <c r="O109" i="2"/>
  <c r="O130" i="2" s="1"/>
  <c r="O131" i="2" s="1"/>
  <c r="O122" i="2"/>
  <c r="O123" i="2" s="1"/>
  <c r="P108" i="2" l="1"/>
  <c r="P105" i="2"/>
  <c r="Q100" i="2" s="1"/>
  <c r="P114" i="2"/>
  <c r="O110" i="2"/>
  <c r="O112" i="2" s="1"/>
  <c r="O136" i="2"/>
  <c r="Q92" i="2"/>
  <c r="R91" i="2"/>
  <c r="R103" i="2"/>
  <c r="Q94" i="2" l="1"/>
  <c r="Q101" i="2"/>
  <c r="R92" i="2"/>
  <c r="P109" i="2"/>
  <c r="P130" i="2" s="1"/>
  <c r="P131" i="2" s="1"/>
  <c r="P122" i="2"/>
  <c r="P123" i="2" s="1"/>
  <c r="P136" i="2" s="1"/>
  <c r="P110" i="2" l="1"/>
  <c r="P112" i="2" s="1"/>
  <c r="R94" i="2"/>
  <c r="Q104" i="2"/>
  <c r="Q108" i="2" l="1"/>
  <c r="Q114" i="2"/>
  <c r="Q105" i="2"/>
  <c r="R100" i="2" s="1"/>
  <c r="R101" i="2" l="1"/>
  <c r="R104" i="2" s="1"/>
  <c r="Q110" i="2"/>
  <c r="Q112" i="2" s="1"/>
  <c r="Q109" i="2"/>
  <c r="Q130" i="2" s="1"/>
  <c r="Q131" i="2" s="1"/>
  <c r="Q122" i="2"/>
  <c r="Q123" i="2" s="1"/>
  <c r="Q136" i="2" s="1"/>
  <c r="R108" i="2" l="1"/>
  <c r="R114" i="2"/>
  <c r="C114" i="2" s="1"/>
  <c r="R105" i="2"/>
  <c r="R109" i="2" l="1"/>
  <c r="R130" i="2" s="1"/>
  <c r="R110" i="2"/>
  <c r="R112" i="2" s="1"/>
  <c r="R122" i="2"/>
  <c r="R123" i="2" l="1"/>
  <c r="C126" i="2"/>
  <c r="R131" i="2"/>
  <c r="C133" i="2" s="1"/>
  <c r="C134" i="2"/>
  <c r="R136" i="2" l="1"/>
  <c r="C125" i="2"/>
</calcChain>
</file>

<file path=xl/sharedStrings.xml><?xml version="1.0" encoding="utf-8"?>
<sst xmlns="http://schemas.openxmlformats.org/spreadsheetml/2006/main" count="96" uniqueCount="41">
  <si>
    <t>Real Estate Waterfall Example</t>
  </si>
  <si>
    <t>Comments</t>
  </si>
  <si>
    <t>Total Equity</t>
  </si>
  <si>
    <t>Amount</t>
  </si>
  <si>
    <t>%</t>
  </si>
  <si>
    <t>IRR Hurdles</t>
  </si>
  <si>
    <t>LP / GP Split</t>
  </si>
  <si>
    <t>IRR Hurdle</t>
  </si>
  <si>
    <t>LP</t>
  </si>
  <si>
    <t>GP</t>
  </si>
  <si>
    <t>NO CATCH UP</t>
  </si>
  <si>
    <t>Year</t>
  </si>
  <si>
    <t>Date</t>
  </si>
  <si>
    <t>Cash Flows</t>
  </si>
  <si>
    <t>IRR</t>
  </si>
  <si>
    <t>Hurdle 1</t>
  </si>
  <si>
    <r>
      <rPr>
        <b/>
        <sz val="11"/>
        <color theme="1"/>
        <rFont val="Calibri"/>
        <family val="2"/>
        <scheme val="minor"/>
      </rPr>
      <t>Beg. Balance:</t>
    </r>
    <r>
      <rPr>
        <sz val="11"/>
        <color theme="1"/>
        <rFont val="Calibri"/>
        <family val="2"/>
        <scheme val="minor"/>
      </rPr>
      <t xml:space="preserve"> LP Capital Account</t>
    </r>
  </si>
  <si>
    <t>Preferred Return</t>
  </si>
  <si>
    <t>LP Cure</t>
  </si>
  <si>
    <t>Distributions to LP</t>
  </si>
  <si>
    <r>
      <rPr>
        <b/>
        <sz val="11"/>
        <color theme="1"/>
        <rFont val="Calibri"/>
        <family val="2"/>
        <scheme val="minor"/>
      </rPr>
      <t>End Balance:</t>
    </r>
    <r>
      <rPr>
        <sz val="11"/>
        <color theme="1"/>
        <rFont val="Calibri"/>
        <family val="2"/>
        <scheme val="minor"/>
      </rPr>
      <t xml:space="preserve"> LP Capital Account</t>
    </r>
  </si>
  <si>
    <t>Distributions</t>
  </si>
  <si>
    <t>Total</t>
  </si>
  <si>
    <t>Cash Flow Remaining for Distribution</t>
  </si>
  <si>
    <t>IRR Check</t>
  </si>
  <si>
    <t>Hurdle 2</t>
  </si>
  <si>
    <t>Prior Distributions to LP</t>
  </si>
  <si>
    <t>Hurdle 3</t>
  </si>
  <si>
    <t>Hurdle 4</t>
  </si>
  <si>
    <t>ADDED ROUND TO FORMULA (TO ZERO OUT).</t>
  </si>
  <si>
    <t>Hurdle 5</t>
  </si>
  <si>
    <t>WATERFALL SUMMARY</t>
  </si>
  <si>
    <t>PERIOD</t>
  </si>
  <si>
    <t>LP Summary</t>
  </si>
  <si>
    <t>Contributions</t>
  </si>
  <si>
    <t>Net</t>
  </si>
  <si>
    <t>MOIC</t>
  </si>
  <si>
    <t>Check (Should Zero Out)</t>
  </si>
  <si>
    <t>GP Cure</t>
  </si>
  <si>
    <t xml:space="preserve">GP </t>
  </si>
  <si>
    <t>GP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</si>
</sst>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164" formatCode="0.0%"/>
    <numFmt numFmtId="165" formatCode="&quot;IRR Hurdle&quot;\ #"/>
    <numFmt numFmtId="166" formatCode="_(* #,##0_);[Red]_(* \(#,##0\);_(* &quot;-&quot;_);_(@_)"/>
    <numFmt numFmtId="167" formatCode="&quot;Year&quot;\ 0"/>
    <numFmt numFmtId="168" formatCode="[$-409]d\-mmm\-yy;@"/>
    <numFmt numFmtId="169" formatCode="0.000%"/>
    <numFmt numFmtId="170" formatCode="_(* #,##0.000_);[Red]_(* \(#,##0.000\);_(* &quot;-&quot;_);_(@_)"/>
    <numFmt numFmtId="171" formatCode="0.0\x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6" fontId="5" fillId="0" borderId="0" xfId="0" applyNumberFormat="1" applyFont="1" applyFill="1" applyAlignment="1" applyProtection="1">
      <alignment horizontal="center"/>
      <protection locked="0"/>
    </xf>
    <xf numFmtId="164" fontId="6" fillId="4" borderId="0" xfId="0" applyNumberFormat="1" applyFont="1" applyFill="1" applyAlignment="1" applyProtection="1">
      <alignment horizontal="center"/>
      <protection locked="0"/>
    </xf>
    <xf numFmtId="9" fontId="6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0" fontId="2" fillId="0" borderId="2" xfId="0" applyFont="1" applyFill="1" applyBorder="1" applyProtection="1">
      <protection locked="0"/>
    </xf>
    <xf numFmtId="6" fontId="7" fillId="4" borderId="2" xfId="0" applyNumberFormat="1" applyFont="1" applyFill="1" applyBorder="1" applyAlignment="1" applyProtection="1">
      <alignment horizontal="center"/>
      <protection locked="0"/>
    </xf>
    <xf numFmtId="6" fontId="7" fillId="0" borderId="2" xfId="0" applyNumberFormat="1" applyFont="1" applyFill="1" applyBorder="1" applyAlignment="1" applyProtection="1">
      <alignment horizontal="center"/>
      <protection locked="0"/>
    </xf>
    <xf numFmtId="164" fontId="5" fillId="0" borderId="2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left"/>
      <protection locked="0"/>
    </xf>
    <xf numFmtId="9" fontId="6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/>
    <xf numFmtId="0" fontId="0" fillId="3" borderId="1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" xfId="0" applyFont="1" applyBorder="1" applyAlignment="1" applyProtection="1">
      <alignment horizontal="centerContinuous"/>
      <protection locked="0"/>
    </xf>
    <xf numFmtId="0" fontId="0" fillId="0" borderId="0" xfId="1" applyFont="1" applyFill="1" applyAlignment="1">
      <alignment horizontal="center"/>
    </xf>
    <xf numFmtId="165" fontId="0" fillId="0" borderId="0" xfId="0" applyNumberFormat="1" applyFont="1" applyAlignment="1">
      <alignment horizontal="left"/>
    </xf>
    <xf numFmtId="164" fontId="9" fillId="4" borderId="0" xfId="1" applyNumberFormat="1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4" fontId="0" fillId="0" borderId="0" xfId="0" applyNumberFormat="1" applyFont="1" applyProtection="1">
      <protection locked="0"/>
    </xf>
    <xf numFmtId="164" fontId="5" fillId="0" borderId="0" xfId="1" applyNumberFormat="1" applyFont="1" applyFill="1" applyAlignment="1">
      <alignment horizontal="center"/>
    </xf>
    <xf numFmtId="166" fontId="0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ont="1" applyFill="1" applyAlignment="1" applyProtection="1">
      <alignment horizontal="center"/>
      <protection locked="0"/>
    </xf>
    <xf numFmtId="9" fontId="5" fillId="0" borderId="0" xfId="1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67" fontId="0" fillId="0" borderId="0" xfId="0" applyNumberFormat="1" applyFont="1" applyFill="1" applyAlignment="1" applyProtection="1">
      <alignment horizontal="center"/>
      <protection locked="0"/>
    </xf>
    <xf numFmtId="168" fontId="10" fillId="4" borderId="0" xfId="0" applyNumberFormat="1" applyFont="1" applyFill="1" applyAlignment="1" applyProtection="1">
      <alignment horizontal="center"/>
      <protection locked="0"/>
    </xf>
    <xf numFmtId="168" fontId="11" fillId="0" borderId="0" xfId="0" applyNumberFormat="1" applyFont="1" applyFill="1" applyAlignment="1" applyProtection="1">
      <alignment horizontal="center"/>
      <protection locked="0"/>
    </xf>
    <xf numFmtId="168" fontId="10" fillId="0" borderId="0" xfId="0" applyNumberFormat="1" applyFont="1" applyFill="1" applyAlignment="1" applyProtection="1">
      <alignment horizontal="center"/>
      <protection locked="0"/>
    </xf>
    <xf numFmtId="166" fontId="9" fillId="4" borderId="0" xfId="0" applyNumberFormat="1" applyFont="1" applyFill="1" applyAlignment="1" applyProtection="1">
      <alignment horizontal="right"/>
      <protection locked="0"/>
    </xf>
    <xf numFmtId="10" fontId="0" fillId="0" borderId="0" xfId="0" applyNumberFormat="1" applyFont="1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right"/>
      <protection locked="0"/>
    </xf>
    <xf numFmtId="169" fontId="0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164" fontId="12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3" borderId="0" xfId="0" applyFont="1" applyFill="1" applyProtection="1">
      <protection locked="0"/>
    </xf>
    <xf numFmtId="166" fontId="0" fillId="3" borderId="0" xfId="0" applyNumberFormat="1" applyFont="1" applyFill="1" applyAlignment="1" applyProtection="1">
      <alignment horizontal="right"/>
      <protection locked="0"/>
    </xf>
    <xf numFmtId="0" fontId="0" fillId="3" borderId="0" xfId="0" applyFont="1" applyFill="1" applyAlignment="1" applyProtection="1">
      <alignment horizontal="left" indent="1"/>
      <protection locked="0"/>
    </xf>
    <xf numFmtId="0" fontId="2" fillId="3" borderId="0" xfId="0" applyFont="1" applyFill="1" applyProtection="1">
      <protection locked="0"/>
    </xf>
    <xf numFmtId="0" fontId="0" fillId="3" borderId="2" xfId="0" applyFont="1" applyFill="1" applyBorder="1" applyProtection="1">
      <protection locked="0"/>
    </xf>
    <xf numFmtId="166" fontId="0" fillId="3" borderId="2" xfId="0" applyNumberFormat="1" applyFont="1" applyFill="1" applyBorder="1" applyAlignment="1" applyProtection="1">
      <alignment horizontal="right"/>
      <protection locked="0"/>
    </xf>
    <xf numFmtId="166" fontId="2" fillId="3" borderId="0" xfId="0" applyNumberFormat="1" applyFont="1" applyFill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0" fillId="5" borderId="0" xfId="0" applyFont="1" applyFill="1" applyProtection="1">
      <protection locked="0"/>
    </xf>
    <xf numFmtId="164" fontId="2" fillId="5" borderId="3" xfId="0" applyNumberFormat="1" applyFont="1" applyFill="1" applyBorder="1" applyAlignment="1" applyProtection="1">
      <alignment horizontal="center"/>
      <protection locked="0"/>
    </xf>
    <xf numFmtId="166" fontId="0" fillId="5" borderId="0" xfId="0" applyNumberFormat="1" applyFont="1" applyFill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166" fontId="2" fillId="0" borderId="0" xfId="0" applyNumberFormat="1" applyFont="1" applyFill="1" applyAlignment="1" applyProtection="1">
      <alignment horizontal="right"/>
      <protection locked="0"/>
    </xf>
    <xf numFmtId="0" fontId="3" fillId="3" borderId="0" xfId="0" applyFont="1" applyFill="1" applyProtection="1">
      <protection locked="0"/>
    </xf>
    <xf numFmtId="166" fontId="3" fillId="3" borderId="0" xfId="0" applyNumberFormat="1" applyFont="1" applyFill="1" applyAlignment="1" applyProtection="1">
      <alignment horizontal="right"/>
      <protection locked="0"/>
    </xf>
    <xf numFmtId="170" fontId="2" fillId="3" borderId="0" xfId="0" applyNumberFormat="1" applyFont="1" applyFill="1" applyAlignment="1" applyProtection="1">
      <alignment horizontal="right"/>
      <protection locked="0"/>
    </xf>
    <xf numFmtId="0" fontId="0" fillId="3" borderId="0" xfId="0" applyFont="1" applyFill="1" applyAlignment="1" applyProtection="1">
      <alignment horizontal="center"/>
      <protection locked="0"/>
    </xf>
    <xf numFmtId="167" fontId="0" fillId="3" borderId="0" xfId="0" applyNumberFormat="1" applyFont="1" applyFill="1" applyAlignment="1" applyProtection="1">
      <alignment horizontal="center"/>
      <protection locked="0"/>
    </xf>
    <xf numFmtId="167" fontId="0" fillId="0" borderId="0" xfId="0" applyNumberFormat="1" applyFont="1" applyAlignment="1" applyProtection="1">
      <alignment horizontal="center"/>
      <protection locked="0"/>
    </xf>
    <xf numFmtId="166" fontId="0" fillId="3" borderId="0" xfId="0" applyNumberFormat="1" applyFont="1" applyFill="1" applyProtection="1">
      <protection locked="0"/>
    </xf>
    <xf numFmtId="166" fontId="0" fillId="3" borderId="0" xfId="0" applyNumberFormat="1" applyFont="1" applyFill="1" applyAlignment="1" applyProtection="1">
      <alignment horizontal="center"/>
      <protection locked="0"/>
    </xf>
    <xf numFmtId="166" fontId="0" fillId="3" borderId="2" xfId="0" applyNumberFormat="1" applyFont="1" applyFill="1" applyBorder="1" applyProtection="1">
      <protection locked="0"/>
    </xf>
    <xf numFmtId="166" fontId="0" fillId="3" borderId="2" xfId="0" applyNumberFormat="1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71" fontId="2" fillId="3" borderId="3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Font="1" applyProtection="1">
      <protection locked="0"/>
    </xf>
    <xf numFmtId="166" fontId="0" fillId="0" borderId="0" xfId="0" applyNumberFormat="1" applyFont="1" applyAlignment="1" applyProtection="1">
      <alignment horizontal="center"/>
      <protection locked="0"/>
    </xf>
    <xf numFmtId="164" fontId="2" fillId="5" borderId="0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36"/>
  <sheetViews>
    <sheetView showGridLines="0" tabSelected="1" zoomScale="85" zoomScaleNormal="85" zoomScaleSheetLayoutView="85" workbookViewId="0"/>
  </sheetViews>
  <sheetFormatPr defaultColWidth="9.140625" defaultRowHeight="15" x14ac:dyDescent="0.25"/>
  <cols>
    <col min="1" max="1" width="1.7109375" style="1" customWidth="1"/>
    <col min="2" max="2" width="35.5703125" style="1" customWidth="1"/>
    <col min="3" max="3" width="10.7109375" style="1" customWidth="1"/>
    <col min="4" max="4" width="15.7109375" style="1" customWidth="1"/>
    <col min="5" max="5" width="1.7109375" style="1" customWidth="1"/>
    <col min="6" max="6" width="13.28515625" style="1" customWidth="1"/>
    <col min="7" max="7" width="1.7109375" style="1" customWidth="1"/>
    <col min="8" max="18" width="13.28515625" style="2" customWidth="1"/>
    <col min="19" max="19" width="1.7109375" style="1" customWidth="1"/>
    <col min="20" max="20" width="50.7109375" style="1" customWidth="1"/>
    <col min="21" max="16384" width="9.140625" style="1"/>
  </cols>
  <sheetData>
    <row r="1" spans="2:20" ht="5.0999999999999996" customHeight="1" x14ac:dyDescent="0.25"/>
    <row r="2" spans="2:20" ht="15.75" x14ac:dyDescent="0.25">
      <c r="B2" s="3" t="s">
        <v>0</v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5" t="s">
        <v>1</v>
      </c>
    </row>
    <row r="3" spans="2:20" ht="5.0999999999999996" customHeight="1" x14ac:dyDescent="0.25"/>
    <row r="4" spans="2:20" x14ac:dyDescent="0.25">
      <c r="B4" s="6" t="s">
        <v>2</v>
      </c>
      <c r="C4" s="6"/>
      <c r="D4" s="6"/>
      <c r="E4" s="6"/>
      <c r="F4" s="7" t="s">
        <v>3</v>
      </c>
      <c r="G4" s="7"/>
      <c r="H4" s="7" t="s">
        <v>4</v>
      </c>
    </row>
    <row r="5" spans="2:20" x14ac:dyDescent="0.25">
      <c r="B5" s="8" t="s">
        <v>39</v>
      </c>
      <c r="C5" s="8"/>
      <c r="D5" s="8"/>
      <c r="E5" s="8"/>
      <c r="F5" s="9">
        <f>H5*F7</f>
        <v>0</v>
      </c>
      <c r="G5" s="9"/>
      <c r="H5" s="10">
        <v>0</v>
      </c>
      <c r="I5" s="11"/>
    </row>
    <row r="6" spans="2:20" x14ac:dyDescent="0.25">
      <c r="B6" s="8" t="s">
        <v>8</v>
      </c>
      <c r="C6" s="8"/>
      <c r="D6" s="8"/>
      <c r="E6" s="8"/>
      <c r="F6" s="9">
        <f>H6*F7</f>
        <v>10000000</v>
      </c>
      <c r="G6" s="9"/>
      <c r="H6" s="12">
        <f>H7-H5</f>
        <v>1</v>
      </c>
      <c r="I6" s="11"/>
    </row>
    <row r="7" spans="2:20" x14ac:dyDescent="0.25">
      <c r="B7" s="13" t="s">
        <v>2</v>
      </c>
      <c r="C7" s="13"/>
      <c r="D7" s="13"/>
      <c r="E7" s="13"/>
      <c r="F7" s="14">
        <v>10000000</v>
      </c>
      <c r="G7" s="15"/>
      <c r="H7" s="16">
        <v>1</v>
      </c>
      <c r="I7" s="11"/>
    </row>
    <row r="8" spans="2:20" s="8" customFormat="1" ht="5.0999999999999996" customHeight="1" x14ac:dyDescent="0.25">
      <c r="C8" s="17"/>
      <c r="D8" s="9"/>
      <c r="E8" s="9"/>
      <c r="H8" s="18"/>
      <c r="I8" s="19"/>
      <c r="J8" s="20"/>
      <c r="K8" s="20"/>
      <c r="L8" s="20"/>
      <c r="M8" s="20"/>
      <c r="N8" s="20"/>
      <c r="O8" s="20"/>
      <c r="P8" s="20"/>
      <c r="Q8" s="20"/>
      <c r="R8" s="20"/>
    </row>
    <row r="9" spans="2:20" x14ac:dyDescent="0.25">
      <c r="B9" s="21" t="s">
        <v>5</v>
      </c>
      <c r="C9" s="22"/>
      <c r="D9" s="22"/>
      <c r="E9" s="22"/>
      <c r="F9" s="22"/>
      <c r="G9" s="22"/>
      <c r="H9" s="22"/>
      <c r="I9" s="23"/>
      <c r="J9" s="24"/>
      <c r="K9" s="24"/>
      <c r="L9" s="24"/>
    </row>
    <row r="10" spans="2:20" ht="5.0999999999999996" customHeight="1" x14ac:dyDescent="0.25">
      <c r="B10" s="25"/>
      <c r="C10" s="25"/>
      <c r="D10" s="25"/>
      <c r="E10" s="24"/>
      <c r="F10" s="25"/>
      <c r="G10" s="25"/>
      <c r="H10" s="25"/>
      <c r="I10" s="23"/>
      <c r="J10" s="24"/>
      <c r="K10" s="24"/>
      <c r="L10" s="25"/>
    </row>
    <row r="11" spans="2:20" x14ac:dyDescent="0.25">
      <c r="B11" s="25"/>
      <c r="C11" s="26"/>
      <c r="D11" s="2"/>
      <c r="E11" s="27"/>
      <c r="F11" s="28" t="s">
        <v>6</v>
      </c>
      <c r="G11" s="28"/>
      <c r="H11" s="28"/>
      <c r="J11" s="1"/>
      <c r="K11" s="1"/>
    </row>
    <row r="12" spans="2:20" x14ac:dyDescent="0.25">
      <c r="B12" s="25"/>
      <c r="D12" s="26" t="s">
        <v>7</v>
      </c>
      <c r="E12" s="8"/>
      <c r="F12" s="29" t="s">
        <v>8</v>
      </c>
      <c r="G12" s="2"/>
      <c r="H12" s="29" t="s">
        <v>9</v>
      </c>
      <c r="J12" s="29"/>
      <c r="K12" s="1"/>
    </row>
    <row r="13" spans="2:20" x14ac:dyDescent="0.25">
      <c r="B13" s="30">
        <v>1</v>
      </c>
      <c r="D13" s="31">
        <v>0.08</v>
      </c>
      <c r="E13" s="32"/>
      <c r="F13" s="31">
        <v>1</v>
      </c>
      <c r="G13" s="33"/>
      <c r="H13" s="34">
        <f>1-F13</f>
        <v>0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2:20" x14ac:dyDescent="0.25">
      <c r="B14" s="30">
        <f>+B13+1</f>
        <v>2</v>
      </c>
      <c r="D14" s="31">
        <v>0.125</v>
      </c>
      <c r="E14" s="32"/>
      <c r="F14" s="31">
        <v>0.85</v>
      </c>
      <c r="G14" s="33"/>
      <c r="H14" s="34">
        <f>1-F14</f>
        <v>0.15000000000000002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T14" s="1" t="s">
        <v>10</v>
      </c>
    </row>
    <row r="15" spans="2:20" x14ac:dyDescent="0.25">
      <c r="B15" s="30">
        <f>+B14+1</f>
        <v>3</v>
      </c>
      <c r="D15" s="31">
        <v>0.15</v>
      </c>
      <c r="E15" s="32"/>
      <c r="F15" s="31">
        <v>0.75</v>
      </c>
      <c r="G15" s="33"/>
      <c r="H15" s="34">
        <f>1-F15</f>
        <v>0.25</v>
      </c>
      <c r="J15" s="37"/>
      <c r="K15" s="1"/>
      <c r="O15" s="20"/>
    </row>
    <row r="16" spans="2:20" x14ac:dyDescent="0.25">
      <c r="B16" s="30">
        <f t="shared" ref="B16:B17" si="0">+B15+1</f>
        <v>4</v>
      </c>
      <c r="D16" s="31">
        <v>0.17499999999999999</v>
      </c>
      <c r="E16" s="32"/>
      <c r="F16" s="31">
        <v>0.6</v>
      </c>
      <c r="G16" s="33"/>
      <c r="H16" s="34">
        <f>1-F16</f>
        <v>0.4</v>
      </c>
      <c r="J16" s="37"/>
      <c r="K16" s="1"/>
      <c r="O16" s="20"/>
    </row>
    <row r="17" spans="2:18" x14ac:dyDescent="0.25">
      <c r="B17" s="30">
        <f t="shared" si="0"/>
        <v>5</v>
      </c>
      <c r="D17" s="31">
        <v>0.2</v>
      </c>
      <c r="E17" s="32"/>
      <c r="F17" s="31">
        <v>0.5</v>
      </c>
      <c r="G17" s="33"/>
      <c r="H17" s="34">
        <f>1-F17</f>
        <v>0.5</v>
      </c>
      <c r="J17" s="37"/>
      <c r="K17" s="1"/>
      <c r="O17" s="20"/>
    </row>
    <row r="18" spans="2:18" s="8" customFormat="1" ht="5.0999999999999996" customHeight="1" x14ac:dyDescent="0.25">
      <c r="B18" s="38"/>
      <c r="C18" s="39"/>
      <c r="D18" s="32"/>
      <c r="E18" s="32"/>
      <c r="F18" s="24"/>
      <c r="G18" s="24"/>
      <c r="H18" s="32"/>
      <c r="I18" s="32"/>
      <c r="J18" s="37"/>
      <c r="K18" s="24"/>
      <c r="L18" s="37"/>
      <c r="M18" s="20"/>
      <c r="N18" s="20"/>
      <c r="O18" s="20"/>
      <c r="P18" s="20"/>
      <c r="Q18" s="20"/>
      <c r="R18" s="20"/>
    </row>
    <row r="19" spans="2:18" x14ac:dyDescent="0.25">
      <c r="B19" s="6" t="s">
        <v>13</v>
      </c>
      <c r="C19" s="40"/>
      <c r="D19" s="40"/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  <row r="20" spans="2:18" s="8" customFormat="1" x14ac:dyDescent="0.25">
      <c r="B20" s="8" t="s">
        <v>11</v>
      </c>
      <c r="F20" s="20"/>
      <c r="G20" s="20"/>
      <c r="H20" s="42">
        <v>0</v>
      </c>
      <c r="I20" s="42">
        <f>H20+1</f>
        <v>1</v>
      </c>
      <c r="J20" s="42">
        <f t="shared" ref="J20:R20" si="1">I20+1</f>
        <v>2</v>
      </c>
      <c r="K20" s="42">
        <f t="shared" si="1"/>
        <v>3</v>
      </c>
      <c r="L20" s="42">
        <f t="shared" si="1"/>
        <v>4</v>
      </c>
      <c r="M20" s="42">
        <f t="shared" si="1"/>
        <v>5</v>
      </c>
      <c r="N20" s="42">
        <f t="shared" si="1"/>
        <v>6</v>
      </c>
      <c r="O20" s="42">
        <f t="shared" si="1"/>
        <v>7</v>
      </c>
      <c r="P20" s="42">
        <f t="shared" si="1"/>
        <v>8</v>
      </c>
      <c r="Q20" s="42">
        <f t="shared" si="1"/>
        <v>9</v>
      </c>
      <c r="R20" s="42">
        <f t="shared" si="1"/>
        <v>10</v>
      </c>
    </row>
    <row r="21" spans="2:18" x14ac:dyDescent="0.25">
      <c r="B21" s="8" t="s">
        <v>12</v>
      </c>
      <c r="C21" s="8"/>
      <c r="D21" s="8"/>
      <c r="E21" s="8"/>
      <c r="F21" s="18"/>
      <c r="G21" s="18"/>
      <c r="H21" s="43">
        <v>43100</v>
      </c>
      <c r="I21" s="44">
        <f>DATE(YEAR(H21)+1,MONTH(H21),DAY(H21))</f>
        <v>43465</v>
      </c>
      <c r="J21" s="44">
        <f t="shared" ref="J21:R21" si="2">DATE(YEAR(I21)+1,MONTH(I21),DAY(I21))</f>
        <v>43830</v>
      </c>
      <c r="K21" s="44">
        <f t="shared" si="2"/>
        <v>44196</v>
      </c>
      <c r="L21" s="44">
        <f t="shared" si="2"/>
        <v>44561</v>
      </c>
      <c r="M21" s="44">
        <f t="shared" si="2"/>
        <v>44926</v>
      </c>
      <c r="N21" s="44">
        <f t="shared" si="2"/>
        <v>45291</v>
      </c>
      <c r="O21" s="44">
        <f t="shared" si="2"/>
        <v>45657</v>
      </c>
      <c r="P21" s="44">
        <f t="shared" si="2"/>
        <v>46022</v>
      </c>
      <c r="Q21" s="44">
        <f t="shared" si="2"/>
        <v>46387</v>
      </c>
      <c r="R21" s="44">
        <f t="shared" si="2"/>
        <v>46752</v>
      </c>
    </row>
    <row r="22" spans="2:18" s="8" customFormat="1" ht="5.0999999999999996" customHeight="1" x14ac:dyDescent="0.25">
      <c r="F22" s="18"/>
      <c r="G22" s="18"/>
      <c r="H22" s="45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2:18" x14ac:dyDescent="0.25">
      <c r="B23" s="8" t="s">
        <v>13</v>
      </c>
      <c r="C23" s="8"/>
      <c r="D23" s="8"/>
      <c r="E23" s="8"/>
      <c r="F23" s="8"/>
      <c r="G23" s="8"/>
      <c r="H23" s="46">
        <f>-F7</f>
        <v>-10000000</v>
      </c>
      <c r="I23" s="46">
        <v>500000</v>
      </c>
      <c r="J23" s="46">
        <v>500000</v>
      </c>
      <c r="K23" s="46">
        <v>750000</v>
      </c>
      <c r="L23" s="46">
        <v>750000</v>
      </c>
      <c r="M23" s="46">
        <v>1000000</v>
      </c>
      <c r="N23" s="46">
        <v>25000000</v>
      </c>
      <c r="O23" s="46">
        <v>0</v>
      </c>
      <c r="P23" s="46">
        <v>0</v>
      </c>
      <c r="Q23" s="46">
        <v>0</v>
      </c>
      <c r="R23" s="46">
        <v>0</v>
      </c>
    </row>
    <row r="24" spans="2:18" x14ac:dyDescent="0.25">
      <c r="B24" s="8" t="s">
        <v>14</v>
      </c>
      <c r="C24" s="8"/>
      <c r="D24" s="8"/>
      <c r="E24" s="8"/>
      <c r="F24" s="8"/>
      <c r="G24" s="8"/>
      <c r="H24" s="47">
        <f>XIRR(H23:R23,H21:R21)</f>
        <v>0.2071834623813629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2:18" ht="5.0999999999999996" customHeight="1" x14ac:dyDescent="0.25">
      <c r="H25" s="49"/>
    </row>
    <row r="26" spans="2:18" x14ac:dyDescent="0.25">
      <c r="B26" s="50" t="s">
        <v>15</v>
      </c>
      <c r="C26" s="51">
        <f>D13</f>
        <v>0.08</v>
      </c>
      <c r="D26" s="52"/>
      <c r="E26" s="52"/>
      <c r="F26" s="52"/>
      <c r="G26" s="52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spans="2:18" s="8" customFormat="1" ht="5.0999999999999996" customHeight="1" x14ac:dyDescent="0.25">
      <c r="B27" s="54"/>
      <c r="C27" s="55"/>
      <c r="D27" s="56"/>
      <c r="E27" s="56"/>
      <c r="F27" s="56"/>
      <c r="G27" s="5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2:18" x14ac:dyDescent="0.25">
      <c r="B28" s="58" t="s">
        <v>16</v>
      </c>
      <c r="C28" s="58"/>
      <c r="D28" s="58"/>
      <c r="E28" s="58"/>
      <c r="F28" s="58"/>
      <c r="G28" s="58"/>
      <c r="H28" s="58"/>
      <c r="I28" s="59">
        <f t="shared" ref="I28:R28" si="3">H33</f>
        <v>10000000</v>
      </c>
      <c r="J28" s="59">
        <f>I33</f>
        <v>10300000</v>
      </c>
      <c r="K28" s="59">
        <f t="shared" si="3"/>
        <v>10624000</v>
      </c>
      <c r="L28" s="59">
        <f t="shared" si="3"/>
        <v>10726248.547945205</v>
      </c>
      <c r="M28" s="59">
        <f t="shared" si="3"/>
        <v>10834348.431780823</v>
      </c>
      <c r="N28" s="59">
        <f t="shared" si="3"/>
        <v>10701096.306323288</v>
      </c>
      <c r="O28" s="59">
        <f t="shared" si="3"/>
        <v>0</v>
      </c>
      <c r="P28" s="59">
        <f t="shared" si="3"/>
        <v>0</v>
      </c>
      <c r="Q28" s="59">
        <f t="shared" si="3"/>
        <v>0</v>
      </c>
      <c r="R28" s="59">
        <f t="shared" si="3"/>
        <v>0</v>
      </c>
    </row>
    <row r="29" spans="2:18" x14ac:dyDescent="0.25">
      <c r="B29" s="60" t="s">
        <v>17</v>
      </c>
      <c r="C29" s="58"/>
      <c r="D29" s="58"/>
      <c r="E29" s="58"/>
      <c r="F29" s="58"/>
      <c r="G29" s="58"/>
      <c r="H29" s="58"/>
      <c r="I29" s="59">
        <f>I28*($C26/365)*(I$21-H$21)</f>
        <v>800000</v>
      </c>
      <c r="J29" s="59">
        <f t="shared" ref="J29:R29" si="4">J28*($C26/365)*(J$21-I$21)</f>
        <v>824000</v>
      </c>
      <c r="K29" s="59">
        <f t="shared" si="4"/>
        <v>852248.54794520559</v>
      </c>
      <c r="L29" s="59">
        <f t="shared" si="4"/>
        <v>858099.88383561652</v>
      </c>
      <c r="M29" s="59">
        <f t="shared" si="4"/>
        <v>866747.87454246578</v>
      </c>
      <c r="N29" s="59">
        <f t="shared" si="4"/>
        <v>856087.70450586313</v>
      </c>
      <c r="O29" s="59">
        <f t="shared" si="4"/>
        <v>0</v>
      </c>
      <c r="P29" s="59">
        <f t="shared" si="4"/>
        <v>0</v>
      </c>
      <c r="Q29" s="59">
        <f t="shared" si="4"/>
        <v>0</v>
      </c>
      <c r="R29" s="59">
        <f t="shared" si="4"/>
        <v>0</v>
      </c>
    </row>
    <row r="30" spans="2:18" x14ac:dyDescent="0.25">
      <c r="B30" s="60" t="s">
        <v>18</v>
      </c>
      <c r="C30" s="58"/>
      <c r="D30" s="58"/>
      <c r="E30" s="58"/>
      <c r="F30" s="58"/>
      <c r="G30" s="58"/>
      <c r="H30" s="58"/>
      <c r="I30" s="59">
        <f t="shared" ref="I30:R30" si="5">-MIN(0,I$23*$H$6)</f>
        <v>0</v>
      </c>
      <c r="J30" s="59">
        <f t="shared" si="5"/>
        <v>0</v>
      </c>
      <c r="K30" s="59">
        <f t="shared" si="5"/>
        <v>0</v>
      </c>
      <c r="L30" s="59">
        <f t="shared" si="5"/>
        <v>0</v>
      </c>
      <c r="M30" s="59">
        <f t="shared" si="5"/>
        <v>0</v>
      </c>
      <c r="N30" s="59">
        <f t="shared" si="5"/>
        <v>0</v>
      </c>
      <c r="O30" s="59">
        <f t="shared" si="5"/>
        <v>0</v>
      </c>
      <c r="P30" s="59">
        <f t="shared" si="5"/>
        <v>0</v>
      </c>
      <c r="Q30" s="59">
        <f t="shared" si="5"/>
        <v>0</v>
      </c>
      <c r="R30" s="59">
        <f t="shared" si="5"/>
        <v>0</v>
      </c>
    </row>
    <row r="31" spans="2:18" x14ac:dyDescent="0.25">
      <c r="B31" s="60" t="s">
        <v>38</v>
      </c>
      <c r="C31" s="58"/>
      <c r="D31" s="58"/>
      <c r="E31" s="58"/>
      <c r="F31" s="58"/>
      <c r="G31" s="58"/>
      <c r="H31" s="58"/>
      <c r="I31" s="59">
        <f t="shared" ref="I31:R31" si="6">-MIN(0,I$23*$H$5)</f>
        <v>0</v>
      </c>
      <c r="J31" s="59">
        <f t="shared" si="6"/>
        <v>0</v>
      </c>
      <c r="K31" s="59">
        <f t="shared" si="6"/>
        <v>0</v>
      </c>
      <c r="L31" s="59">
        <f t="shared" si="6"/>
        <v>0</v>
      </c>
      <c r="M31" s="59">
        <f t="shared" si="6"/>
        <v>0</v>
      </c>
      <c r="N31" s="59">
        <f t="shared" si="6"/>
        <v>0</v>
      </c>
      <c r="O31" s="59">
        <f t="shared" si="6"/>
        <v>0</v>
      </c>
      <c r="P31" s="59">
        <f t="shared" si="6"/>
        <v>0</v>
      </c>
      <c r="Q31" s="59">
        <f t="shared" si="6"/>
        <v>0</v>
      </c>
      <c r="R31" s="59">
        <f t="shared" si="6"/>
        <v>0</v>
      </c>
    </row>
    <row r="32" spans="2:18" x14ac:dyDescent="0.25">
      <c r="B32" s="60" t="s">
        <v>19</v>
      </c>
      <c r="C32" s="58"/>
      <c r="D32" s="58"/>
      <c r="E32" s="58"/>
      <c r="F32" s="58"/>
      <c r="G32" s="58"/>
      <c r="H32" s="58"/>
      <c r="I32" s="59">
        <f t="shared" ref="I32:R32" si="7">MIN(I28+I29,MAX(I23,0)*$F$13)</f>
        <v>500000</v>
      </c>
      <c r="J32" s="59">
        <f t="shared" si="7"/>
        <v>500000</v>
      </c>
      <c r="K32" s="59">
        <f t="shared" si="7"/>
        <v>750000</v>
      </c>
      <c r="L32" s="59">
        <f t="shared" si="7"/>
        <v>750000</v>
      </c>
      <c r="M32" s="59">
        <f t="shared" si="7"/>
        <v>1000000</v>
      </c>
      <c r="N32" s="59">
        <f t="shared" si="7"/>
        <v>11557184.010829151</v>
      </c>
      <c r="O32" s="59">
        <f t="shared" si="7"/>
        <v>0</v>
      </c>
      <c r="P32" s="59">
        <f t="shared" si="7"/>
        <v>0</v>
      </c>
      <c r="Q32" s="59">
        <f t="shared" si="7"/>
        <v>0</v>
      </c>
      <c r="R32" s="59">
        <f t="shared" si="7"/>
        <v>0</v>
      </c>
    </row>
    <row r="33" spans="2:18" x14ac:dyDescent="0.25">
      <c r="B33" s="58" t="s">
        <v>20</v>
      </c>
      <c r="C33" s="58"/>
      <c r="D33" s="58"/>
      <c r="E33" s="58"/>
      <c r="F33" s="58"/>
      <c r="G33" s="58"/>
      <c r="H33" s="59">
        <f>$F$6</f>
        <v>10000000</v>
      </c>
      <c r="I33" s="59">
        <f>I28+I29+I30-I32</f>
        <v>10300000</v>
      </c>
      <c r="J33" s="59">
        <f>J28+J29+J30-J32</f>
        <v>10624000</v>
      </c>
      <c r="K33" s="59">
        <f t="shared" ref="K33:R33" si="8">K28+K29+K30-K32</f>
        <v>10726248.547945205</v>
      </c>
      <c r="L33" s="59">
        <f t="shared" si="8"/>
        <v>10834348.431780823</v>
      </c>
      <c r="M33" s="59">
        <f t="shared" si="8"/>
        <v>10701096.306323288</v>
      </c>
      <c r="N33" s="59">
        <f t="shared" si="8"/>
        <v>0</v>
      </c>
      <c r="O33" s="59">
        <f t="shared" si="8"/>
        <v>0</v>
      </c>
      <c r="P33" s="59">
        <f t="shared" si="8"/>
        <v>0</v>
      </c>
      <c r="Q33" s="59">
        <f t="shared" si="8"/>
        <v>0</v>
      </c>
      <c r="R33" s="59">
        <f t="shared" si="8"/>
        <v>0</v>
      </c>
    </row>
    <row r="34" spans="2:18" s="8" customFormat="1" ht="5.0999999999999996" customHeight="1" x14ac:dyDescent="0.25"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2:18" s="8" customFormat="1" ht="15" customHeight="1" x14ac:dyDescent="0.25">
      <c r="B35" s="61" t="s">
        <v>21</v>
      </c>
      <c r="C35" s="58"/>
      <c r="D35" s="58"/>
      <c r="E35" s="58"/>
      <c r="F35" s="58"/>
      <c r="G35" s="58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2:18" x14ac:dyDescent="0.25">
      <c r="B36" s="58" t="s">
        <v>8</v>
      </c>
      <c r="C36" s="58"/>
      <c r="D36" s="58"/>
      <c r="E36" s="58"/>
      <c r="F36" s="58"/>
      <c r="G36" s="58"/>
      <c r="H36" s="59"/>
      <c r="I36" s="59">
        <f t="shared" ref="I36:R36" si="9">I32</f>
        <v>500000</v>
      </c>
      <c r="J36" s="59">
        <f t="shared" si="9"/>
        <v>500000</v>
      </c>
      <c r="K36" s="59">
        <f t="shared" si="9"/>
        <v>750000</v>
      </c>
      <c r="L36" s="59">
        <f t="shared" si="9"/>
        <v>750000</v>
      </c>
      <c r="M36" s="59">
        <f t="shared" si="9"/>
        <v>1000000</v>
      </c>
      <c r="N36" s="59">
        <f t="shared" si="9"/>
        <v>11557184.010829151</v>
      </c>
      <c r="O36" s="59">
        <f t="shared" si="9"/>
        <v>0</v>
      </c>
      <c r="P36" s="59">
        <f t="shared" si="9"/>
        <v>0</v>
      </c>
      <c r="Q36" s="59">
        <f t="shared" si="9"/>
        <v>0</v>
      </c>
      <c r="R36" s="59">
        <f t="shared" si="9"/>
        <v>0</v>
      </c>
    </row>
    <row r="37" spans="2:18" x14ac:dyDescent="0.25">
      <c r="B37" s="58" t="s">
        <v>9</v>
      </c>
      <c r="C37" s="58"/>
      <c r="D37" s="58"/>
      <c r="E37" s="58"/>
      <c r="F37" s="58"/>
      <c r="G37" s="58"/>
      <c r="H37" s="59"/>
      <c r="I37" s="59">
        <f t="shared" ref="I37:R37" si="10">I36/$F$13*$H$13</f>
        <v>0</v>
      </c>
      <c r="J37" s="59">
        <f t="shared" si="10"/>
        <v>0</v>
      </c>
      <c r="K37" s="59">
        <f t="shared" si="10"/>
        <v>0</v>
      </c>
      <c r="L37" s="59">
        <f t="shared" si="10"/>
        <v>0</v>
      </c>
      <c r="M37" s="59">
        <f t="shared" si="10"/>
        <v>0</v>
      </c>
      <c r="N37" s="59">
        <f t="shared" si="10"/>
        <v>0</v>
      </c>
      <c r="O37" s="59">
        <f t="shared" si="10"/>
        <v>0</v>
      </c>
      <c r="P37" s="59">
        <f t="shared" si="10"/>
        <v>0</v>
      </c>
      <c r="Q37" s="59">
        <f t="shared" si="10"/>
        <v>0</v>
      </c>
      <c r="R37" s="59">
        <f t="shared" si="10"/>
        <v>0</v>
      </c>
    </row>
    <row r="38" spans="2:18" x14ac:dyDescent="0.25">
      <c r="B38" s="62" t="s">
        <v>22</v>
      </c>
      <c r="C38" s="62"/>
      <c r="D38" s="62"/>
      <c r="E38" s="62"/>
      <c r="F38" s="62"/>
      <c r="G38" s="62"/>
      <c r="H38" s="63"/>
      <c r="I38" s="63">
        <f>SUM(I36:I37)</f>
        <v>500000</v>
      </c>
      <c r="J38" s="63">
        <f>SUM(J36:J37)</f>
        <v>500000</v>
      </c>
      <c r="K38" s="63">
        <f>SUM(K36:K37)</f>
        <v>750000</v>
      </c>
      <c r="L38" s="63">
        <f t="shared" ref="L38:R38" si="11">SUM(L36:L37)</f>
        <v>750000</v>
      </c>
      <c r="M38" s="63">
        <f t="shared" si="11"/>
        <v>1000000</v>
      </c>
      <c r="N38" s="63">
        <f t="shared" si="11"/>
        <v>11557184.010829151</v>
      </c>
      <c r="O38" s="63">
        <f t="shared" si="11"/>
        <v>0</v>
      </c>
      <c r="P38" s="63">
        <f t="shared" si="11"/>
        <v>0</v>
      </c>
      <c r="Q38" s="63">
        <f t="shared" si="11"/>
        <v>0</v>
      </c>
      <c r="R38" s="63">
        <f t="shared" si="11"/>
        <v>0</v>
      </c>
    </row>
    <row r="39" spans="2:18" s="8" customFormat="1" ht="5.0999999999999996" customHeight="1" x14ac:dyDescent="0.25"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2:18" s="65" customFormat="1" x14ac:dyDescent="0.25">
      <c r="B40" s="61" t="s">
        <v>23</v>
      </c>
      <c r="C40" s="61"/>
      <c r="D40" s="61"/>
      <c r="E40" s="61"/>
      <c r="F40" s="61"/>
      <c r="G40" s="61"/>
      <c r="H40" s="64"/>
      <c r="I40" s="64">
        <f t="shared" ref="I40:R40" si="12">MAX(I23-I38,0)</f>
        <v>0</v>
      </c>
      <c r="J40" s="64">
        <f t="shared" si="12"/>
        <v>0</v>
      </c>
      <c r="K40" s="64">
        <f t="shared" si="12"/>
        <v>0</v>
      </c>
      <c r="L40" s="64">
        <f t="shared" si="12"/>
        <v>0</v>
      </c>
      <c r="M40" s="64">
        <f t="shared" si="12"/>
        <v>0</v>
      </c>
      <c r="N40" s="64">
        <f t="shared" si="12"/>
        <v>13442815.989170849</v>
      </c>
      <c r="O40" s="64">
        <f t="shared" si="12"/>
        <v>0</v>
      </c>
      <c r="P40" s="64">
        <f t="shared" si="12"/>
        <v>0</v>
      </c>
      <c r="Q40" s="64">
        <f t="shared" si="12"/>
        <v>0</v>
      </c>
      <c r="R40" s="64">
        <f t="shared" si="12"/>
        <v>0</v>
      </c>
    </row>
    <row r="41" spans="2:18" ht="5.0999999999999996" customHeight="1" x14ac:dyDescent="0.25"/>
    <row r="42" spans="2:18" x14ac:dyDescent="0.25">
      <c r="B42" s="66" t="s">
        <v>24</v>
      </c>
      <c r="C42" s="67">
        <f>XIRR(H42:R42,H21:R21)</f>
        <v>7.9998514056205797E-2</v>
      </c>
      <c r="D42" s="66"/>
      <c r="E42" s="66"/>
      <c r="F42" s="66"/>
      <c r="G42" s="66"/>
      <c r="H42" s="68">
        <f>-H33</f>
        <v>-10000000</v>
      </c>
      <c r="I42" s="68">
        <f>I32</f>
        <v>500000</v>
      </c>
      <c r="J42" s="68">
        <f t="shared" ref="J42:R42" si="13">J32</f>
        <v>500000</v>
      </c>
      <c r="K42" s="68">
        <f t="shared" si="13"/>
        <v>750000</v>
      </c>
      <c r="L42" s="68">
        <f t="shared" si="13"/>
        <v>750000</v>
      </c>
      <c r="M42" s="68">
        <f t="shared" si="13"/>
        <v>1000000</v>
      </c>
      <c r="N42" s="68">
        <f t="shared" si="13"/>
        <v>11557184.010829151</v>
      </c>
      <c r="O42" s="68">
        <f t="shared" si="13"/>
        <v>0</v>
      </c>
      <c r="P42" s="68">
        <f t="shared" si="13"/>
        <v>0</v>
      </c>
      <c r="Q42" s="68">
        <f t="shared" si="13"/>
        <v>0</v>
      </c>
      <c r="R42" s="68">
        <f t="shared" si="13"/>
        <v>0</v>
      </c>
    </row>
    <row r="43" spans="2:18" ht="5.0999999999999996" customHeight="1" x14ac:dyDescent="0.25"/>
    <row r="44" spans="2:18" x14ac:dyDescent="0.25">
      <c r="B44" s="50" t="s">
        <v>25</v>
      </c>
      <c r="C44" s="69">
        <f>D14</f>
        <v>0.125</v>
      </c>
      <c r="D44" s="52"/>
      <c r="E44" s="52"/>
      <c r="F44" s="52"/>
      <c r="G44" s="52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2:18" s="8" customFormat="1" ht="5.0999999999999996" customHeight="1" x14ac:dyDescent="0.25">
      <c r="B45" s="70"/>
      <c r="C45" s="55"/>
      <c r="D45" s="56"/>
      <c r="E45" s="56"/>
      <c r="F45" s="56"/>
      <c r="G45" s="56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2:18" x14ac:dyDescent="0.25">
      <c r="B46" s="58" t="s">
        <v>16</v>
      </c>
      <c r="C46" s="58"/>
      <c r="D46" s="58"/>
      <c r="E46" s="58"/>
      <c r="F46" s="58"/>
      <c r="G46" s="58"/>
      <c r="H46" s="59"/>
      <c r="I46" s="59">
        <f t="shared" ref="I46:R46" si="14">H51</f>
        <v>10000000</v>
      </c>
      <c r="J46" s="59">
        <f t="shared" si="14"/>
        <v>10750000</v>
      </c>
      <c r="K46" s="59">
        <f t="shared" si="14"/>
        <v>11593750</v>
      </c>
      <c r="L46" s="59">
        <f t="shared" si="14"/>
        <v>12296939.212328767</v>
      </c>
      <c r="M46" s="59">
        <f t="shared" si="14"/>
        <v>13084056.613869863</v>
      </c>
      <c r="N46" s="59">
        <f t="shared" si="14"/>
        <v>13719563.690603595</v>
      </c>
      <c r="O46" s="59">
        <f t="shared" si="14"/>
        <v>0</v>
      </c>
      <c r="P46" s="59">
        <f t="shared" si="14"/>
        <v>0</v>
      </c>
      <c r="Q46" s="59">
        <f t="shared" si="14"/>
        <v>0</v>
      </c>
      <c r="R46" s="59">
        <f t="shared" si="14"/>
        <v>0</v>
      </c>
    </row>
    <row r="47" spans="2:18" x14ac:dyDescent="0.25">
      <c r="B47" s="60" t="str">
        <f>B44&amp;" Return"</f>
        <v>Hurdle 2 Return</v>
      </c>
      <c r="C47" s="58"/>
      <c r="D47" s="58"/>
      <c r="E47" s="58"/>
      <c r="F47" s="58"/>
      <c r="G47" s="58"/>
      <c r="H47" s="59"/>
      <c r="I47" s="59">
        <f>I46*($C44/365)*(I$21-H$21)</f>
        <v>1250000</v>
      </c>
      <c r="J47" s="59">
        <f t="shared" ref="J47:R47" si="15">J46*($C44/365)*(J$21-I$21)</f>
        <v>1343750</v>
      </c>
      <c r="K47" s="59">
        <f t="shared" si="15"/>
        <v>1453189.2123287672</v>
      </c>
      <c r="L47" s="59">
        <f t="shared" si="15"/>
        <v>1537117.4015410959</v>
      </c>
      <c r="M47" s="59">
        <f t="shared" si="15"/>
        <v>1635507.0767337328</v>
      </c>
      <c r="N47" s="59">
        <f t="shared" si="15"/>
        <v>1714945.4613254494</v>
      </c>
      <c r="O47" s="59">
        <f t="shared" si="15"/>
        <v>0</v>
      </c>
      <c r="P47" s="59">
        <f t="shared" si="15"/>
        <v>0</v>
      </c>
      <c r="Q47" s="59">
        <f t="shared" si="15"/>
        <v>0</v>
      </c>
      <c r="R47" s="59">
        <f t="shared" si="15"/>
        <v>0</v>
      </c>
    </row>
    <row r="48" spans="2:18" x14ac:dyDescent="0.25">
      <c r="B48" s="60" t="s">
        <v>18</v>
      </c>
      <c r="C48" s="58"/>
      <c r="D48" s="58"/>
      <c r="E48" s="58"/>
      <c r="F48" s="58"/>
      <c r="G48" s="58"/>
      <c r="H48" s="59"/>
      <c r="I48" s="59">
        <f t="shared" ref="I48:R48" si="16">-MIN(0,I$23*$H$6)</f>
        <v>0</v>
      </c>
      <c r="J48" s="59">
        <f t="shared" si="16"/>
        <v>0</v>
      </c>
      <c r="K48" s="59">
        <f t="shared" si="16"/>
        <v>0</v>
      </c>
      <c r="L48" s="59">
        <f t="shared" si="16"/>
        <v>0</v>
      </c>
      <c r="M48" s="59">
        <f t="shared" si="16"/>
        <v>0</v>
      </c>
      <c r="N48" s="59">
        <f t="shared" si="16"/>
        <v>0</v>
      </c>
      <c r="O48" s="59">
        <f t="shared" si="16"/>
        <v>0</v>
      </c>
      <c r="P48" s="59">
        <f t="shared" si="16"/>
        <v>0</v>
      </c>
      <c r="Q48" s="59">
        <f t="shared" si="16"/>
        <v>0</v>
      </c>
      <c r="R48" s="59">
        <f t="shared" si="16"/>
        <v>0</v>
      </c>
    </row>
    <row r="49" spans="2:20" x14ac:dyDescent="0.25">
      <c r="B49" s="60" t="s">
        <v>26</v>
      </c>
      <c r="C49" s="58"/>
      <c r="D49" s="58"/>
      <c r="E49" s="58"/>
      <c r="F49" s="58"/>
      <c r="G49" s="58"/>
      <c r="H49" s="59"/>
      <c r="I49" s="59">
        <f t="shared" ref="I49:R49" si="17">I36</f>
        <v>500000</v>
      </c>
      <c r="J49" s="59">
        <f t="shared" si="17"/>
        <v>500000</v>
      </c>
      <c r="K49" s="59">
        <f t="shared" si="17"/>
        <v>750000</v>
      </c>
      <c r="L49" s="59">
        <f t="shared" si="17"/>
        <v>750000</v>
      </c>
      <c r="M49" s="59">
        <f t="shared" si="17"/>
        <v>1000000</v>
      </c>
      <c r="N49" s="59">
        <f t="shared" si="17"/>
        <v>11557184.010829151</v>
      </c>
      <c r="O49" s="59">
        <f t="shared" si="17"/>
        <v>0</v>
      </c>
      <c r="P49" s="59">
        <f t="shared" si="17"/>
        <v>0</v>
      </c>
      <c r="Q49" s="59">
        <f t="shared" si="17"/>
        <v>0</v>
      </c>
      <c r="R49" s="59">
        <f t="shared" si="17"/>
        <v>0</v>
      </c>
    </row>
    <row r="50" spans="2:20" x14ac:dyDescent="0.25">
      <c r="B50" s="60" t="s">
        <v>19</v>
      </c>
      <c r="C50" s="58"/>
      <c r="D50" s="58"/>
      <c r="E50" s="58"/>
      <c r="F50" s="58"/>
      <c r="G50" s="58"/>
      <c r="H50" s="59"/>
      <c r="I50" s="59">
        <f t="shared" ref="I50:R50" si="18">MIN((I46+I47-I49),I40*$F$14)</f>
        <v>0</v>
      </c>
      <c r="J50" s="59">
        <f t="shared" si="18"/>
        <v>0</v>
      </c>
      <c r="K50" s="59">
        <f t="shared" si="18"/>
        <v>0</v>
      </c>
      <c r="L50" s="59">
        <f t="shared" si="18"/>
        <v>0</v>
      </c>
      <c r="M50" s="59">
        <f t="shared" si="18"/>
        <v>0</v>
      </c>
      <c r="N50" s="59">
        <f t="shared" si="18"/>
        <v>3877325.1410998944</v>
      </c>
      <c r="O50" s="59">
        <f t="shared" si="18"/>
        <v>0</v>
      </c>
      <c r="P50" s="59">
        <f t="shared" si="18"/>
        <v>0</v>
      </c>
      <c r="Q50" s="59">
        <f t="shared" si="18"/>
        <v>0</v>
      </c>
      <c r="R50" s="59">
        <f t="shared" si="18"/>
        <v>0</v>
      </c>
    </row>
    <row r="51" spans="2:20" x14ac:dyDescent="0.25">
      <c r="B51" s="58" t="s">
        <v>20</v>
      </c>
      <c r="C51" s="58"/>
      <c r="D51" s="58"/>
      <c r="E51" s="58"/>
      <c r="F51" s="58"/>
      <c r="G51" s="58"/>
      <c r="H51" s="59">
        <f>$F$6</f>
        <v>10000000</v>
      </c>
      <c r="I51" s="59">
        <f>I46+I47+I48-I49-I50</f>
        <v>10750000</v>
      </c>
      <c r="J51" s="59">
        <f t="shared" ref="J51:R51" si="19">J46+J47+J48-J49-J50</f>
        <v>11593750</v>
      </c>
      <c r="K51" s="59">
        <f t="shared" si="19"/>
        <v>12296939.212328767</v>
      </c>
      <c r="L51" s="59">
        <f t="shared" si="19"/>
        <v>13084056.613869863</v>
      </c>
      <c r="M51" s="59">
        <f t="shared" si="19"/>
        <v>13719563.690603595</v>
      </c>
      <c r="N51" s="59">
        <f t="shared" si="19"/>
        <v>0</v>
      </c>
      <c r="O51" s="59">
        <f t="shared" si="19"/>
        <v>0</v>
      </c>
      <c r="P51" s="59">
        <f t="shared" si="19"/>
        <v>0</v>
      </c>
      <c r="Q51" s="59">
        <f t="shared" si="19"/>
        <v>0</v>
      </c>
      <c r="R51" s="59">
        <f t="shared" si="19"/>
        <v>0</v>
      </c>
    </row>
    <row r="52" spans="2:20" s="8" customFormat="1" ht="5.0999999999999996" customHeight="1" x14ac:dyDescent="0.25">
      <c r="B52" s="71"/>
      <c r="C52" s="71"/>
      <c r="D52" s="71"/>
      <c r="E52" s="71"/>
      <c r="F52" s="71"/>
      <c r="G52" s="71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</row>
    <row r="53" spans="2:20" s="8" customFormat="1" ht="15" customHeight="1" x14ac:dyDescent="0.25">
      <c r="B53" s="61" t="s">
        <v>21</v>
      </c>
      <c r="C53" s="58"/>
      <c r="D53" s="58"/>
      <c r="E53" s="58"/>
      <c r="F53" s="58"/>
      <c r="G53" s="58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2:20" x14ac:dyDescent="0.25">
      <c r="B54" s="58" t="s">
        <v>8</v>
      </c>
      <c r="C54" s="58"/>
      <c r="D54" s="58"/>
      <c r="E54" s="58"/>
      <c r="F54" s="58"/>
      <c r="G54" s="58"/>
      <c r="H54" s="59"/>
      <c r="I54" s="59">
        <f t="shared" ref="I54:R54" si="20">MIN(I46+I47-I49,I40*$F$14)</f>
        <v>0</v>
      </c>
      <c r="J54" s="59">
        <f t="shared" si="20"/>
        <v>0</v>
      </c>
      <c r="K54" s="59">
        <f t="shared" si="20"/>
        <v>0</v>
      </c>
      <c r="L54" s="59">
        <f t="shared" si="20"/>
        <v>0</v>
      </c>
      <c r="M54" s="59">
        <f t="shared" si="20"/>
        <v>0</v>
      </c>
      <c r="N54" s="59">
        <f t="shared" si="20"/>
        <v>3877325.1410998944</v>
      </c>
      <c r="O54" s="59">
        <f t="shared" si="20"/>
        <v>0</v>
      </c>
      <c r="P54" s="59">
        <f t="shared" si="20"/>
        <v>0</v>
      </c>
      <c r="Q54" s="59">
        <f t="shared" si="20"/>
        <v>0</v>
      </c>
      <c r="R54" s="59">
        <f t="shared" si="20"/>
        <v>0</v>
      </c>
    </row>
    <row r="55" spans="2:20" x14ac:dyDescent="0.25">
      <c r="B55" s="58" t="s">
        <v>9</v>
      </c>
      <c r="C55" s="58"/>
      <c r="D55" s="58"/>
      <c r="E55" s="58"/>
      <c r="F55" s="58"/>
      <c r="G55" s="58"/>
      <c r="H55" s="59"/>
      <c r="I55" s="59">
        <f t="shared" ref="I55:R55" si="21">I54/$F$14*$H$14</f>
        <v>0</v>
      </c>
      <c r="J55" s="59">
        <f t="shared" si="21"/>
        <v>0</v>
      </c>
      <c r="K55" s="59">
        <f t="shared" si="21"/>
        <v>0</v>
      </c>
      <c r="L55" s="59">
        <f t="shared" si="21"/>
        <v>0</v>
      </c>
      <c r="M55" s="59">
        <f t="shared" si="21"/>
        <v>0</v>
      </c>
      <c r="N55" s="59">
        <f t="shared" si="21"/>
        <v>684233.84842939326</v>
      </c>
      <c r="O55" s="59">
        <f t="shared" si="21"/>
        <v>0</v>
      </c>
      <c r="P55" s="59">
        <f t="shared" si="21"/>
        <v>0</v>
      </c>
      <c r="Q55" s="59">
        <f t="shared" si="21"/>
        <v>0</v>
      </c>
      <c r="R55" s="59">
        <f t="shared" si="21"/>
        <v>0</v>
      </c>
    </row>
    <row r="56" spans="2:20" x14ac:dyDescent="0.25">
      <c r="B56" s="62" t="s">
        <v>22</v>
      </c>
      <c r="C56" s="62"/>
      <c r="D56" s="62"/>
      <c r="E56" s="62"/>
      <c r="F56" s="62"/>
      <c r="G56" s="62"/>
      <c r="H56" s="63"/>
      <c r="I56" s="63">
        <f t="shared" ref="I56:R56" si="22">I54+I55</f>
        <v>0</v>
      </c>
      <c r="J56" s="63">
        <f t="shared" si="22"/>
        <v>0</v>
      </c>
      <c r="K56" s="63">
        <f t="shared" si="22"/>
        <v>0</v>
      </c>
      <c r="L56" s="63">
        <f t="shared" si="22"/>
        <v>0</v>
      </c>
      <c r="M56" s="63">
        <f t="shared" si="22"/>
        <v>0</v>
      </c>
      <c r="N56" s="63">
        <f t="shared" si="22"/>
        <v>4561558.9895292874</v>
      </c>
      <c r="O56" s="63">
        <f t="shared" si="22"/>
        <v>0</v>
      </c>
      <c r="P56" s="63">
        <f t="shared" si="22"/>
        <v>0</v>
      </c>
      <c r="Q56" s="63">
        <f t="shared" si="22"/>
        <v>0</v>
      </c>
      <c r="R56" s="63">
        <f t="shared" si="22"/>
        <v>0</v>
      </c>
    </row>
    <row r="57" spans="2:20" s="8" customFormat="1" ht="5.0999999999999996" customHeight="1" x14ac:dyDescent="0.25"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2:20" s="65" customFormat="1" x14ac:dyDescent="0.25">
      <c r="B58" s="61" t="s">
        <v>23</v>
      </c>
      <c r="C58" s="61"/>
      <c r="D58" s="61"/>
      <c r="E58" s="61"/>
      <c r="F58" s="61"/>
      <c r="G58" s="61"/>
      <c r="H58" s="64"/>
      <c r="I58" s="64">
        <f t="shared" ref="I58:R58" si="23">MAX(I$23-I38-I56,0)</f>
        <v>0</v>
      </c>
      <c r="J58" s="64">
        <f t="shared" si="23"/>
        <v>0</v>
      </c>
      <c r="K58" s="64">
        <f t="shared" si="23"/>
        <v>0</v>
      </c>
      <c r="L58" s="64">
        <f t="shared" si="23"/>
        <v>0</v>
      </c>
      <c r="M58" s="64">
        <f t="shared" si="23"/>
        <v>0</v>
      </c>
      <c r="N58" s="64">
        <f t="shared" si="23"/>
        <v>8881256.9996415619</v>
      </c>
      <c r="O58" s="64">
        <f t="shared" si="23"/>
        <v>0</v>
      </c>
      <c r="P58" s="64">
        <f t="shared" si="23"/>
        <v>0</v>
      </c>
      <c r="Q58" s="64">
        <f t="shared" si="23"/>
        <v>0</v>
      </c>
      <c r="R58" s="64">
        <f t="shared" si="23"/>
        <v>0</v>
      </c>
    </row>
    <row r="59" spans="2:20" s="73" customFormat="1" ht="5.0999999999999996" customHeight="1" x14ac:dyDescent="0.25"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</row>
    <row r="60" spans="2:20" s="73" customFormat="1" x14ac:dyDescent="0.25">
      <c r="B60" s="66" t="s">
        <v>24</v>
      </c>
      <c r="C60" s="67">
        <f>XIRR(H60:R60,$H$21:$R$21)</f>
        <v>0.1249964416027069</v>
      </c>
      <c r="D60" s="66"/>
      <c r="E60" s="66"/>
      <c r="F60" s="66"/>
      <c r="G60" s="66"/>
      <c r="H60" s="68">
        <f>-H51</f>
        <v>-10000000</v>
      </c>
      <c r="I60" s="68">
        <f>SUM(I49:I50)</f>
        <v>500000</v>
      </c>
      <c r="J60" s="68">
        <f t="shared" ref="J60:R60" si="24">SUM(J49:J50)</f>
        <v>500000</v>
      </c>
      <c r="K60" s="68">
        <f t="shared" si="24"/>
        <v>750000</v>
      </c>
      <c r="L60" s="68">
        <f t="shared" si="24"/>
        <v>750000</v>
      </c>
      <c r="M60" s="68">
        <f t="shared" si="24"/>
        <v>1000000</v>
      </c>
      <c r="N60" s="68">
        <f t="shared" si="24"/>
        <v>15434509.151929045</v>
      </c>
      <c r="O60" s="68">
        <f t="shared" si="24"/>
        <v>0</v>
      </c>
      <c r="P60" s="68">
        <f t="shared" si="24"/>
        <v>0</v>
      </c>
      <c r="Q60" s="68">
        <f t="shared" si="24"/>
        <v>0</v>
      </c>
      <c r="R60" s="68">
        <f t="shared" si="24"/>
        <v>0</v>
      </c>
      <c r="T60" s="1"/>
    </row>
    <row r="61" spans="2:20" ht="5.0999999999999996" customHeight="1" x14ac:dyDescent="0.25"/>
    <row r="62" spans="2:20" x14ac:dyDescent="0.25">
      <c r="B62" s="50" t="s">
        <v>27</v>
      </c>
      <c r="C62" s="69">
        <f>D15</f>
        <v>0.15</v>
      </c>
      <c r="D62" s="52"/>
      <c r="E62" s="52"/>
      <c r="F62" s="52"/>
      <c r="G62" s="52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</row>
    <row r="63" spans="2:20" s="8" customFormat="1" ht="5.0999999999999996" customHeight="1" x14ac:dyDescent="0.25">
      <c r="B63" s="70"/>
      <c r="C63" s="55"/>
      <c r="D63" s="56"/>
      <c r="E63" s="56"/>
      <c r="F63" s="56"/>
      <c r="G63" s="56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2:20" x14ac:dyDescent="0.25">
      <c r="B64" s="58" t="s">
        <v>16</v>
      </c>
      <c r="C64" s="58"/>
      <c r="D64" s="58"/>
      <c r="E64" s="58"/>
      <c r="F64" s="58"/>
      <c r="G64" s="58"/>
      <c r="H64" s="59"/>
      <c r="I64" s="59">
        <f t="shared" ref="I64:R64" si="25">H69</f>
        <v>10000000</v>
      </c>
      <c r="J64" s="59">
        <f t="shared" si="25"/>
        <v>11000000</v>
      </c>
      <c r="K64" s="59">
        <f t="shared" si="25"/>
        <v>12150000</v>
      </c>
      <c r="L64" s="59">
        <f t="shared" si="25"/>
        <v>13227493.15068493</v>
      </c>
      <c r="M64" s="59">
        <f t="shared" si="25"/>
        <v>14461617.12328767</v>
      </c>
      <c r="N64" s="59">
        <f t="shared" si="25"/>
        <v>15630859.69178082</v>
      </c>
      <c r="O64" s="59">
        <f t="shared" si="25"/>
        <v>0</v>
      </c>
      <c r="P64" s="59">
        <f t="shared" si="25"/>
        <v>0</v>
      </c>
      <c r="Q64" s="59">
        <f t="shared" si="25"/>
        <v>0</v>
      </c>
      <c r="R64" s="59">
        <f t="shared" si="25"/>
        <v>0</v>
      </c>
    </row>
    <row r="65" spans="2:18" x14ac:dyDescent="0.25">
      <c r="B65" s="60" t="str">
        <f>B62&amp;" Return"</f>
        <v>Hurdle 3 Return</v>
      </c>
      <c r="C65" s="58"/>
      <c r="D65" s="58"/>
      <c r="E65" s="58"/>
      <c r="F65" s="58"/>
      <c r="G65" s="58"/>
      <c r="H65" s="59"/>
      <c r="I65" s="59">
        <f>I64*($C62/365)*(I$21-H$21)</f>
        <v>1499999.9999999998</v>
      </c>
      <c r="J65" s="59">
        <f t="shared" ref="J65:R65" si="26">J64*($C62/365)*(J$21-I$21)</f>
        <v>1649999.9999999998</v>
      </c>
      <c r="K65" s="59">
        <f t="shared" si="26"/>
        <v>1827493.1506849313</v>
      </c>
      <c r="L65" s="59">
        <f t="shared" si="26"/>
        <v>1984123.9726027392</v>
      </c>
      <c r="M65" s="59">
        <f t="shared" si="26"/>
        <v>2169242.5684931502</v>
      </c>
      <c r="N65" s="59">
        <f t="shared" si="26"/>
        <v>2344628.9537671232</v>
      </c>
      <c r="O65" s="59">
        <f t="shared" si="26"/>
        <v>0</v>
      </c>
      <c r="P65" s="59">
        <f t="shared" si="26"/>
        <v>0</v>
      </c>
      <c r="Q65" s="59">
        <f t="shared" si="26"/>
        <v>0</v>
      </c>
      <c r="R65" s="59">
        <f t="shared" si="26"/>
        <v>0</v>
      </c>
    </row>
    <row r="66" spans="2:18" x14ac:dyDescent="0.25">
      <c r="B66" s="60" t="s">
        <v>18</v>
      </c>
      <c r="C66" s="58"/>
      <c r="D66" s="58"/>
      <c r="E66" s="58"/>
      <c r="F66" s="58"/>
      <c r="G66" s="58"/>
      <c r="H66" s="59"/>
      <c r="I66" s="59">
        <f t="shared" ref="I66:R66" si="27">-MIN(0,I$23*$H$6)</f>
        <v>0</v>
      </c>
      <c r="J66" s="59">
        <f t="shared" si="27"/>
        <v>0</v>
      </c>
      <c r="K66" s="59">
        <f t="shared" si="27"/>
        <v>0</v>
      </c>
      <c r="L66" s="59">
        <f t="shared" si="27"/>
        <v>0</v>
      </c>
      <c r="M66" s="59">
        <f t="shared" si="27"/>
        <v>0</v>
      </c>
      <c r="N66" s="59">
        <f t="shared" si="27"/>
        <v>0</v>
      </c>
      <c r="O66" s="59">
        <f t="shared" si="27"/>
        <v>0</v>
      </c>
      <c r="P66" s="59">
        <f t="shared" si="27"/>
        <v>0</v>
      </c>
      <c r="Q66" s="59">
        <f t="shared" si="27"/>
        <v>0</v>
      </c>
      <c r="R66" s="59">
        <f t="shared" si="27"/>
        <v>0</v>
      </c>
    </row>
    <row r="67" spans="2:18" x14ac:dyDescent="0.25">
      <c r="B67" s="60" t="s">
        <v>26</v>
      </c>
      <c r="C67" s="58"/>
      <c r="D67" s="58"/>
      <c r="E67" s="58"/>
      <c r="F67" s="58"/>
      <c r="G67" s="58"/>
      <c r="H67" s="59"/>
      <c r="I67" s="59">
        <f t="shared" ref="I67:R67" si="28">I54+I36</f>
        <v>500000</v>
      </c>
      <c r="J67" s="59">
        <f t="shared" si="28"/>
        <v>500000</v>
      </c>
      <c r="K67" s="59">
        <f t="shared" si="28"/>
        <v>750000</v>
      </c>
      <c r="L67" s="59">
        <f t="shared" si="28"/>
        <v>750000</v>
      </c>
      <c r="M67" s="59">
        <f t="shared" si="28"/>
        <v>1000000</v>
      </c>
      <c r="N67" s="59">
        <f t="shared" si="28"/>
        <v>15434509.151929045</v>
      </c>
      <c r="O67" s="59">
        <f t="shared" si="28"/>
        <v>0</v>
      </c>
      <c r="P67" s="59">
        <f t="shared" si="28"/>
        <v>0</v>
      </c>
      <c r="Q67" s="59">
        <f t="shared" si="28"/>
        <v>0</v>
      </c>
      <c r="R67" s="59">
        <f t="shared" si="28"/>
        <v>0</v>
      </c>
    </row>
    <row r="68" spans="2:18" x14ac:dyDescent="0.25">
      <c r="B68" s="60" t="s">
        <v>19</v>
      </c>
      <c r="C68" s="58"/>
      <c r="D68" s="58"/>
      <c r="E68" s="58"/>
      <c r="F68" s="58"/>
      <c r="G68" s="58"/>
      <c r="H68" s="59"/>
      <c r="I68" s="59">
        <f t="shared" ref="I68:R68" si="29">MIN((I64+I65-I67),I58*$F$15)</f>
        <v>0</v>
      </c>
      <c r="J68" s="59">
        <f t="shared" si="29"/>
        <v>0</v>
      </c>
      <c r="K68" s="59">
        <f t="shared" si="29"/>
        <v>0</v>
      </c>
      <c r="L68" s="59">
        <f t="shared" si="29"/>
        <v>0</v>
      </c>
      <c r="M68" s="59">
        <f t="shared" si="29"/>
        <v>0</v>
      </c>
      <c r="N68" s="59">
        <f t="shared" si="29"/>
        <v>2540979.4936189</v>
      </c>
      <c r="O68" s="59">
        <f t="shared" si="29"/>
        <v>0</v>
      </c>
      <c r="P68" s="59">
        <f t="shared" si="29"/>
        <v>0</v>
      </c>
      <c r="Q68" s="59">
        <f t="shared" si="29"/>
        <v>0</v>
      </c>
      <c r="R68" s="59">
        <f t="shared" si="29"/>
        <v>0</v>
      </c>
    </row>
    <row r="69" spans="2:18" x14ac:dyDescent="0.25">
      <c r="B69" s="58" t="s">
        <v>20</v>
      </c>
      <c r="C69" s="58"/>
      <c r="D69" s="58"/>
      <c r="E69" s="58"/>
      <c r="F69" s="58"/>
      <c r="G69" s="58"/>
      <c r="H69" s="59">
        <f>$F$6</f>
        <v>10000000</v>
      </c>
      <c r="I69" s="59">
        <f>I64+I65+I66-I67-I68</f>
        <v>11000000</v>
      </c>
      <c r="J69" s="59">
        <f t="shared" ref="J69:R69" si="30">J64+J65+J66-J67-J68</f>
        <v>12150000</v>
      </c>
      <c r="K69" s="59">
        <f t="shared" si="30"/>
        <v>13227493.15068493</v>
      </c>
      <c r="L69" s="59">
        <f t="shared" si="30"/>
        <v>14461617.12328767</v>
      </c>
      <c r="M69" s="59">
        <f t="shared" si="30"/>
        <v>15630859.69178082</v>
      </c>
      <c r="N69" s="59">
        <f t="shared" si="30"/>
        <v>0</v>
      </c>
      <c r="O69" s="59">
        <f t="shared" si="30"/>
        <v>0</v>
      </c>
      <c r="P69" s="59">
        <f t="shared" si="30"/>
        <v>0</v>
      </c>
      <c r="Q69" s="59">
        <f t="shared" si="30"/>
        <v>0</v>
      </c>
      <c r="R69" s="59">
        <f t="shared" si="30"/>
        <v>0</v>
      </c>
    </row>
    <row r="70" spans="2:18" s="8" customFormat="1" ht="5.0999999999999996" customHeight="1" x14ac:dyDescent="0.25">
      <c r="B70" s="71"/>
      <c r="C70" s="71"/>
      <c r="D70" s="71"/>
      <c r="E70" s="71"/>
      <c r="F70" s="71"/>
      <c r="G70" s="71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1" spans="2:18" s="8" customFormat="1" ht="15" customHeight="1" x14ac:dyDescent="0.25">
      <c r="B71" s="61" t="s">
        <v>21</v>
      </c>
      <c r="C71" s="75"/>
      <c r="D71" s="75"/>
      <c r="E71" s="75"/>
      <c r="F71" s="75"/>
      <c r="G71" s="75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</row>
    <row r="72" spans="2:18" x14ac:dyDescent="0.25">
      <c r="B72" s="58" t="s">
        <v>8</v>
      </c>
      <c r="C72" s="58"/>
      <c r="D72" s="58"/>
      <c r="E72" s="58"/>
      <c r="F72" s="58"/>
      <c r="G72" s="58"/>
      <c r="H72" s="59"/>
      <c r="I72" s="59">
        <f t="shared" ref="I72:R72" si="31">I68</f>
        <v>0</v>
      </c>
      <c r="J72" s="59">
        <f t="shared" si="31"/>
        <v>0</v>
      </c>
      <c r="K72" s="59">
        <f t="shared" si="31"/>
        <v>0</v>
      </c>
      <c r="L72" s="59">
        <f t="shared" si="31"/>
        <v>0</v>
      </c>
      <c r="M72" s="59">
        <f t="shared" si="31"/>
        <v>0</v>
      </c>
      <c r="N72" s="59">
        <f t="shared" si="31"/>
        <v>2540979.4936189</v>
      </c>
      <c r="O72" s="59">
        <f t="shared" si="31"/>
        <v>0</v>
      </c>
      <c r="P72" s="59">
        <f t="shared" si="31"/>
        <v>0</v>
      </c>
      <c r="Q72" s="59">
        <f t="shared" si="31"/>
        <v>0</v>
      </c>
      <c r="R72" s="59">
        <f t="shared" si="31"/>
        <v>0</v>
      </c>
    </row>
    <row r="73" spans="2:18" x14ac:dyDescent="0.25">
      <c r="B73" s="58" t="s">
        <v>9</v>
      </c>
      <c r="C73" s="58"/>
      <c r="D73" s="58"/>
      <c r="E73" s="58"/>
      <c r="F73" s="58"/>
      <c r="G73" s="58"/>
      <c r="H73" s="59"/>
      <c r="I73" s="59">
        <f t="shared" ref="I73:R73" si="32">I72/$F15*$H15</f>
        <v>0</v>
      </c>
      <c r="J73" s="59">
        <f t="shared" si="32"/>
        <v>0</v>
      </c>
      <c r="K73" s="59">
        <f t="shared" si="32"/>
        <v>0</v>
      </c>
      <c r="L73" s="59">
        <f t="shared" si="32"/>
        <v>0</v>
      </c>
      <c r="M73" s="59">
        <f t="shared" si="32"/>
        <v>0</v>
      </c>
      <c r="N73" s="59">
        <f t="shared" si="32"/>
        <v>846993.16453963332</v>
      </c>
      <c r="O73" s="59">
        <f t="shared" si="32"/>
        <v>0</v>
      </c>
      <c r="P73" s="59">
        <f t="shared" si="32"/>
        <v>0</v>
      </c>
      <c r="Q73" s="59">
        <f t="shared" si="32"/>
        <v>0</v>
      </c>
      <c r="R73" s="59">
        <f t="shared" si="32"/>
        <v>0</v>
      </c>
    </row>
    <row r="74" spans="2:18" x14ac:dyDescent="0.25">
      <c r="B74" s="62" t="s">
        <v>22</v>
      </c>
      <c r="C74" s="62"/>
      <c r="D74" s="62"/>
      <c r="E74" s="62"/>
      <c r="F74" s="62"/>
      <c r="G74" s="62"/>
      <c r="H74" s="63"/>
      <c r="I74" s="63">
        <f t="shared" ref="I74:R74" si="33">I72+I73</f>
        <v>0</v>
      </c>
      <c r="J74" s="63">
        <f t="shared" si="33"/>
        <v>0</v>
      </c>
      <c r="K74" s="63">
        <f t="shared" si="33"/>
        <v>0</v>
      </c>
      <c r="L74" s="63">
        <f t="shared" si="33"/>
        <v>0</v>
      </c>
      <c r="M74" s="63">
        <f t="shared" si="33"/>
        <v>0</v>
      </c>
      <c r="N74" s="63">
        <f t="shared" si="33"/>
        <v>3387972.6581585333</v>
      </c>
      <c r="O74" s="63">
        <f t="shared" si="33"/>
        <v>0</v>
      </c>
      <c r="P74" s="63">
        <f t="shared" si="33"/>
        <v>0</v>
      </c>
      <c r="Q74" s="63">
        <f t="shared" si="33"/>
        <v>0</v>
      </c>
      <c r="R74" s="63">
        <f t="shared" si="33"/>
        <v>0</v>
      </c>
    </row>
    <row r="75" spans="2:18" s="8" customFormat="1" ht="5.0999999999999996" customHeight="1" x14ac:dyDescent="0.25"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2:18" x14ac:dyDescent="0.25">
      <c r="B76" s="61" t="s">
        <v>23</v>
      </c>
      <c r="C76" s="61"/>
      <c r="D76" s="61"/>
      <c r="E76" s="61"/>
      <c r="F76" s="61"/>
      <c r="G76" s="61"/>
      <c r="H76" s="64"/>
      <c r="I76" s="64">
        <f t="shared" ref="I76:R76" si="34">MAX(I$23-I38-I56-I74,0)</f>
        <v>0</v>
      </c>
      <c r="J76" s="64">
        <f t="shared" si="34"/>
        <v>0</v>
      </c>
      <c r="K76" s="64">
        <f t="shared" si="34"/>
        <v>0</v>
      </c>
      <c r="L76" s="64">
        <f t="shared" si="34"/>
        <v>0</v>
      </c>
      <c r="M76" s="64">
        <f t="shared" si="34"/>
        <v>0</v>
      </c>
      <c r="N76" s="64">
        <f t="shared" si="34"/>
        <v>5493284.3414830286</v>
      </c>
      <c r="O76" s="64">
        <f t="shared" si="34"/>
        <v>0</v>
      </c>
      <c r="P76" s="64">
        <f t="shared" si="34"/>
        <v>0</v>
      </c>
      <c r="Q76" s="64">
        <f t="shared" si="34"/>
        <v>0</v>
      </c>
      <c r="R76" s="64">
        <f t="shared" si="34"/>
        <v>0</v>
      </c>
    </row>
    <row r="77" spans="2:18" ht="5.0999999999999996" customHeight="1" x14ac:dyDescent="0.25"/>
    <row r="78" spans="2:18" x14ac:dyDescent="0.25">
      <c r="B78" s="66" t="s">
        <v>24</v>
      </c>
      <c r="C78" s="67">
        <f>XIRR(H78:R78,$H$21:$R$21)</f>
        <v>0.1499949395656586</v>
      </c>
      <c r="D78" s="66"/>
      <c r="E78" s="66"/>
      <c r="F78" s="66"/>
      <c r="G78" s="66"/>
      <c r="H78" s="68">
        <f>-H69</f>
        <v>-10000000</v>
      </c>
      <c r="I78" s="68">
        <f>SUM(I67:I68)</f>
        <v>500000</v>
      </c>
      <c r="J78" s="68">
        <f t="shared" ref="J78:R78" si="35">SUM(J67:J68)</f>
        <v>500000</v>
      </c>
      <c r="K78" s="68">
        <f t="shared" si="35"/>
        <v>750000</v>
      </c>
      <c r="L78" s="68">
        <f t="shared" si="35"/>
        <v>750000</v>
      </c>
      <c r="M78" s="68">
        <f t="shared" si="35"/>
        <v>1000000</v>
      </c>
      <c r="N78" s="68">
        <f t="shared" si="35"/>
        <v>17975488.645547945</v>
      </c>
      <c r="O78" s="68">
        <f t="shared" si="35"/>
        <v>0</v>
      </c>
      <c r="P78" s="68">
        <f t="shared" si="35"/>
        <v>0</v>
      </c>
      <c r="Q78" s="68">
        <f t="shared" si="35"/>
        <v>0</v>
      </c>
      <c r="R78" s="68">
        <f t="shared" si="35"/>
        <v>0</v>
      </c>
    </row>
    <row r="79" spans="2:18" ht="5.0999999999999996" customHeight="1" x14ac:dyDescent="0.25"/>
    <row r="80" spans="2:18" x14ac:dyDescent="0.25">
      <c r="B80" s="50" t="s">
        <v>28</v>
      </c>
      <c r="C80" s="69">
        <f>D16</f>
        <v>0.17499999999999999</v>
      </c>
      <c r="D80" s="52"/>
      <c r="E80" s="52"/>
      <c r="F80" s="52"/>
      <c r="G80" s="52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</row>
    <row r="81" spans="2:20" ht="5.0999999999999996" customHeight="1" x14ac:dyDescent="0.25">
      <c r="B81" s="70"/>
      <c r="C81" s="55"/>
      <c r="D81" s="56"/>
      <c r="E81" s="56"/>
      <c r="F81" s="56"/>
      <c r="G81" s="56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</row>
    <row r="82" spans="2:20" x14ac:dyDescent="0.25">
      <c r="B82" s="58" t="s">
        <v>16</v>
      </c>
      <c r="C82" s="58"/>
      <c r="D82" s="58"/>
      <c r="E82" s="58"/>
      <c r="F82" s="58"/>
      <c r="G82" s="58"/>
      <c r="H82" s="59"/>
      <c r="I82" s="59">
        <f t="shared" ref="I82:R82" si="36">H87</f>
        <v>10000000</v>
      </c>
      <c r="J82" s="59">
        <f t="shared" si="36"/>
        <v>11250000</v>
      </c>
      <c r="K82" s="59">
        <f t="shared" si="36"/>
        <v>12718750</v>
      </c>
      <c r="L82" s="59">
        <f t="shared" si="36"/>
        <v>14200629.280821918</v>
      </c>
      <c r="M82" s="59">
        <f t="shared" si="36"/>
        <v>15935739.404965753</v>
      </c>
      <c r="N82" s="59">
        <f t="shared" si="36"/>
        <v>17724493.80083476</v>
      </c>
      <c r="O82" s="59">
        <f t="shared" si="36"/>
        <v>0</v>
      </c>
      <c r="P82" s="59">
        <f t="shared" si="36"/>
        <v>0</v>
      </c>
      <c r="Q82" s="59">
        <f t="shared" si="36"/>
        <v>0</v>
      </c>
      <c r="R82" s="59">
        <f t="shared" si="36"/>
        <v>0</v>
      </c>
    </row>
    <row r="83" spans="2:20" x14ac:dyDescent="0.25">
      <c r="B83" s="60" t="str">
        <f>B80&amp;" Return"</f>
        <v>Hurdle 4 Return</v>
      </c>
      <c r="C83" s="58"/>
      <c r="D83" s="58"/>
      <c r="E83" s="58"/>
      <c r="F83" s="58"/>
      <c r="G83" s="58"/>
      <c r="H83" s="59"/>
      <c r="I83" s="59">
        <f>I82*($C80/365)*(I$21-H$21)</f>
        <v>1750000</v>
      </c>
      <c r="J83" s="59">
        <f>J82*($C80/365)*(J$21-I$21)</f>
        <v>1968749.9999999998</v>
      </c>
      <c r="K83" s="59">
        <f>K82*($C80/365)*(K$21-J$21)</f>
        <v>2231879.2808219176</v>
      </c>
      <c r="L83" s="59">
        <f>L82*($C80/365)*(L$21-K$21)</f>
        <v>2485110.1241438356</v>
      </c>
      <c r="M83" s="59">
        <f t="shared" ref="M83:R83" si="37">M82*($C80/365)*(M$21-L$21)</f>
        <v>2788754.3958690069</v>
      </c>
      <c r="N83" s="59">
        <f t="shared" si="37"/>
        <v>3101786.4151460831</v>
      </c>
      <c r="O83" s="59">
        <f t="shared" si="37"/>
        <v>0</v>
      </c>
      <c r="P83" s="59">
        <f t="shared" si="37"/>
        <v>0</v>
      </c>
      <c r="Q83" s="59">
        <f t="shared" si="37"/>
        <v>0</v>
      </c>
      <c r="R83" s="59">
        <f t="shared" si="37"/>
        <v>0</v>
      </c>
    </row>
    <row r="84" spans="2:20" x14ac:dyDescent="0.25">
      <c r="B84" s="60" t="s">
        <v>18</v>
      </c>
      <c r="C84" s="58"/>
      <c r="D84" s="58"/>
      <c r="E84" s="58"/>
      <c r="F84" s="58"/>
      <c r="G84" s="58"/>
      <c r="H84" s="59"/>
      <c r="I84" s="59">
        <f t="shared" ref="I84:R84" si="38">-MIN(0,I$23*$H$6)</f>
        <v>0</v>
      </c>
      <c r="J84" s="59">
        <f t="shared" si="38"/>
        <v>0</v>
      </c>
      <c r="K84" s="59">
        <f t="shared" si="38"/>
        <v>0</v>
      </c>
      <c r="L84" s="59">
        <f t="shared" si="38"/>
        <v>0</v>
      </c>
      <c r="M84" s="59">
        <f t="shared" si="38"/>
        <v>0</v>
      </c>
      <c r="N84" s="59">
        <f t="shared" si="38"/>
        <v>0</v>
      </c>
      <c r="O84" s="59">
        <f t="shared" si="38"/>
        <v>0</v>
      </c>
      <c r="P84" s="59">
        <f t="shared" si="38"/>
        <v>0</v>
      </c>
      <c r="Q84" s="59">
        <f t="shared" si="38"/>
        <v>0</v>
      </c>
      <c r="R84" s="59">
        <f t="shared" si="38"/>
        <v>0</v>
      </c>
    </row>
    <row r="85" spans="2:20" x14ac:dyDescent="0.25">
      <c r="B85" s="60" t="s">
        <v>26</v>
      </c>
      <c r="C85" s="58"/>
      <c r="D85" s="58"/>
      <c r="E85" s="58"/>
      <c r="F85" s="58"/>
      <c r="G85" s="58"/>
      <c r="H85" s="59"/>
      <c r="I85" s="59">
        <f t="shared" ref="I85:R85" si="39">+I36+I54+I72</f>
        <v>500000</v>
      </c>
      <c r="J85" s="59">
        <f t="shared" si="39"/>
        <v>500000</v>
      </c>
      <c r="K85" s="59">
        <f t="shared" si="39"/>
        <v>750000</v>
      </c>
      <c r="L85" s="59">
        <f t="shared" si="39"/>
        <v>750000</v>
      </c>
      <c r="M85" s="59">
        <f t="shared" si="39"/>
        <v>1000000</v>
      </c>
      <c r="N85" s="59">
        <f t="shared" si="39"/>
        <v>17975488.645547945</v>
      </c>
      <c r="O85" s="59">
        <f t="shared" si="39"/>
        <v>0</v>
      </c>
      <c r="P85" s="59">
        <f t="shared" si="39"/>
        <v>0</v>
      </c>
      <c r="Q85" s="59">
        <f t="shared" si="39"/>
        <v>0</v>
      </c>
      <c r="R85" s="59">
        <f t="shared" si="39"/>
        <v>0</v>
      </c>
    </row>
    <row r="86" spans="2:20" x14ac:dyDescent="0.25">
      <c r="B86" s="60" t="s">
        <v>19</v>
      </c>
      <c r="C86" s="58"/>
      <c r="D86" s="58"/>
      <c r="E86" s="58"/>
      <c r="F86" s="58"/>
      <c r="G86" s="58"/>
      <c r="H86" s="59"/>
      <c r="I86" s="59">
        <f>MIN((I82+I83-I85),I76*$F$16)</f>
        <v>0</v>
      </c>
      <c r="J86" s="59">
        <f t="shared" ref="J86:R86" si="40">MIN((J82+J83-J85),J76*$F$16)</f>
        <v>0</v>
      </c>
      <c r="K86" s="59">
        <f t="shared" si="40"/>
        <v>0</v>
      </c>
      <c r="L86" s="59">
        <f t="shared" si="40"/>
        <v>0</v>
      </c>
      <c r="M86" s="59">
        <f t="shared" si="40"/>
        <v>0</v>
      </c>
      <c r="N86" s="59">
        <f t="shared" si="40"/>
        <v>2850791.5704328977</v>
      </c>
      <c r="O86" s="59">
        <f t="shared" si="40"/>
        <v>0</v>
      </c>
      <c r="P86" s="59">
        <f t="shared" si="40"/>
        <v>0</v>
      </c>
      <c r="Q86" s="59">
        <f t="shared" si="40"/>
        <v>0</v>
      </c>
      <c r="R86" s="59">
        <f t="shared" si="40"/>
        <v>0</v>
      </c>
    </row>
    <row r="87" spans="2:20" x14ac:dyDescent="0.25">
      <c r="B87" s="58" t="s">
        <v>20</v>
      </c>
      <c r="C87" s="58"/>
      <c r="D87" s="58"/>
      <c r="E87" s="58"/>
      <c r="F87" s="58"/>
      <c r="G87" s="58"/>
      <c r="H87" s="59">
        <f>$F$6</f>
        <v>10000000</v>
      </c>
      <c r="I87" s="59">
        <f>I82+I83+I84-I85-I86</f>
        <v>11250000</v>
      </c>
      <c r="J87" s="59">
        <f t="shared" ref="J87:R87" si="41">J82+J83+J84-J85-J86</f>
        <v>12718750</v>
      </c>
      <c r="K87" s="59">
        <f t="shared" si="41"/>
        <v>14200629.280821918</v>
      </c>
      <c r="L87" s="59">
        <f t="shared" si="41"/>
        <v>15935739.404965753</v>
      </c>
      <c r="M87" s="59">
        <f t="shared" si="41"/>
        <v>17724493.80083476</v>
      </c>
      <c r="N87" s="59">
        <f t="shared" si="41"/>
        <v>0</v>
      </c>
      <c r="O87" s="59">
        <f t="shared" si="41"/>
        <v>0</v>
      </c>
      <c r="P87" s="59">
        <f t="shared" si="41"/>
        <v>0</v>
      </c>
      <c r="Q87" s="59">
        <f t="shared" si="41"/>
        <v>0</v>
      </c>
      <c r="R87" s="59">
        <f t="shared" si="41"/>
        <v>0</v>
      </c>
    </row>
    <row r="88" spans="2:20" ht="5.0999999999999996" customHeight="1" x14ac:dyDescent="0.25">
      <c r="B88" s="71"/>
      <c r="C88" s="71"/>
      <c r="D88" s="71"/>
      <c r="E88" s="71"/>
      <c r="F88" s="71"/>
      <c r="G88" s="71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</row>
    <row r="89" spans="2:20" x14ac:dyDescent="0.25">
      <c r="B89" s="61" t="s">
        <v>21</v>
      </c>
      <c r="C89" s="75"/>
      <c r="D89" s="75"/>
      <c r="E89" s="75"/>
      <c r="F89" s="75"/>
      <c r="G89" s="75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</row>
    <row r="90" spans="2:20" x14ac:dyDescent="0.25">
      <c r="B90" s="58" t="s">
        <v>8</v>
      </c>
      <c r="C90" s="58"/>
      <c r="D90" s="58"/>
      <c r="E90" s="58"/>
      <c r="F90" s="58"/>
      <c r="G90" s="58"/>
      <c r="H90" s="59"/>
      <c r="I90" s="59">
        <f t="shared" ref="I90:R90" si="42">I86</f>
        <v>0</v>
      </c>
      <c r="J90" s="59">
        <f t="shared" si="42"/>
        <v>0</v>
      </c>
      <c r="K90" s="59">
        <f t="shared" si="42"/>
        <v>0</v>
      </c>
      <c r="L90" s="59">
        <f t="shared" si="42"/>
        <v>0</v>
      </c>
      <c r="M90" s="59">
        <f t="shared" si="42"/>
        <v>0</v>
      </c>
      <c r="N90" s="59">
        <f t="shared" si="42"/>
        <v>2850791.5704328977</v>
      </c>
      <c r="O90" s="59">
        <f t="shared" si="42"/>
        <v>0</v>
      </c>
      <c r="P90" s="59">
        <f t="shared" si="42"/>
        <v>0</v>
      </c>
      <c r="Q90" s="59">
        <f t="shared" si="42"/>
        <v>0</v>
      </c>
      <c r="R90" s="59">
        <f t="shared" si="42"/>
        <v>0</v>
      </c>
    </row>
    <row r="91" spans="2:20" x14ac:dyDescent="0.25">
      <c r="B91" s="58" t="s">
        <v>9</v>
      </c>
      <c r="C91" s="58"/>
      <c r="D91" s="58"/>
      <c r="E91" s="58"/>
      <c r="F91" s="58"/>
      <c r="G91" s="58"/>
      <c r="H91" s="59"/>
      <c r="I91" s="59">
        <f t="shared" ref="I91:R91" si="43">I90/$F16*$H16</f>
        <v>0</v>
      </c>
      <c r="J91" s="59">
        <f t="shared" si="43"/>
        <v>0</v>
      </c>
      <c r="K91" s="59">
        <f t="shared" si="43"/>
        <v>0</v>
      </c>
      <c r="L91" s="59">
        <f t="shared" si="43"/>
        <v>0</v>
      </c>
      <c r="M91" s="59">
        <f t="shared" si="43"/>
        <v>0</v>
      </c>
      <c r="N91" s="59">
        <f t="shared" si="43"/>
        <v>1900527.7136219321</v>
      </c>
      <c r="O91" s="59">
        <f t="shared" si="43"/>
        <v>0</v>
      </c>
      <c r="P91" s="59">
        <f t="shared" si="43"/>
        <v>0</v>
      </c>
      <c r="Q91" s="59">
        <f t="shared" si="43"/>
        <v>0</v>
      </c>
      <c r="R91" s="59">
        <f t="shared" si="43"/>
        <v>0</v>
      </c>
    </row>
    <row r="92" spans="2:20" x14ac:dyDescent="0.25">
      <c r="B92" s="62" t="s">
        <v>22</v>
      </c>
      <c r="C92" s="62"/>
      <c r="D92" s="62"/>
      <c r="E92" s="62"/>
      <c r="F92" s="62"/>
      <c r="G92" s="62"/>
      <c r="H92" s="63"/>
      <c r="I92" s="63">
        <f t="shared" ref="I92:R92" si="44">I90+I91</f>
        <v>0</v>
      </c>
      <c r="J92" s="63">
        <f t="shared" si="44"/>
        <v>0</v>
      </c>
      <c r="K92" s="63">
        <f t="shared" si="44"/>
        <v>0</v>
      </c>
      <c r="L92" s="63">
        <f t="shared" si="44"/>
        <v>0</v>
      </c>
      <c r="M92" s="63">
        <f t="shared" si="44"/>
        <v>0</v>
      </c>
      <c r="N92" s="63">
        <f t="shared" si="44"/>
        <v>4751319.2840548297</v>
      </c>
      <c r="O92" s="63">
        <f t="shared" si="44"/>
        <v>0</v>
      </c>
      <c r="P92" s="63">
        <f t="shared" si="44"/>
        <v>0</v>
      </c>
      <c r="Q92" s="63">
        <f t="shared" si="44"/>
        <v>0</v>
      </c>
      <c r="R92" s="63">
        <f t="shared" si="44"/>
        <v>0</v>
      </c>
    </row>
    <row r="93" spans="2:20" ht="5.0999999999999996" customHeight="1" x14ac:dyDescent="0.25">
      <c r="B93" s="8"/>
      <c r="C93" s="8"/>
      <c r="D93" s="8"/>
      <c r="E93" s="8"/>
      <c r="F93" s="8"/>
      <c r="G93" s="8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2:20" x14ac:dyDescent="0.25">
      <c r="B94" s="61" t="s">
        <v>23</v>
      </c>
      <c r="C94" s="61"/>
      <c r="D94" s="61"/>
      <c r="E94" s="61"/>
      <c r="F94" s="61"/>
      <c r="G94" s="61"/>
      <c r="H94" s="64"/>
      <c r="I94" s="64">
        <f t="shared" ref="I94:R94" si="45">ROUND(MAX(I$23-I38-I56-I74-I92,0),4)</f>
        <v>0</v>
      </c>
      <c r="J94" s="64">
        <f t="shared" si="45"/>
        <v>0</v>
      </c>
      <c r="K94" s="64">
        <f t="shared" si="45"/>
        <v>0</v>
      </c>
      <c r="L94" s="64">
        <f t="shared" si="45"/>
        <v>0</v>
      </c>
      <c r="M94" s="64">
        <f t="shared" si="45"/>
        <v>0</v>
      </c>
      <c r="N94" s="64">
        <f t="shared" si="45"/>
        <v>741965.05740000005</v>
      </c>
      <c r="O94" s="64">
        <f t="shared" si="45"/>
        <v>0</v>
      </c>
      <c r="P94" s="64">
        <f t="shared" si="45"/>
        <v>0</v>
      </c>
      <c r="Q94" s="64">
        <f t="shared" si="45"/>
        <v>0</v>
      </c>
      <c r="R94" s="64">
        <f t="shared" si="45"/>
        <v>0</v>
      </c>
      <c r="T94" s="1" t="s">
        <v>29</v>
      </c>
    </row>
    <row r="95" spans="2:20" ht="5.0999999999999996" customHeight="1" x14ac:dyDescent="0.25"/>
    <row r="96" spans="2:20" x14ac:dyDescent="0.25">
      <c r="B96" s="66" t="s">
        <v>24</v>
      </c>
      <c r="C96" s="67">
        <f>XIRR(H96:R96,$H$21:$R$21)</f>
        <v>0.1749931871891022</v>
      </c>
      <c r="D96" s="66"/>
      <c r="E96" s="66"/>
      <c r="F96" s="66"/>
      <c r="G96" s="66"/>
      <c r="H96" s="68">
        <f>-H87</f>
        <v>-10000000</v>
      </c>
      <c r="I96" s="68">
        <f>SUM(I85:I86)</f>
        <v>500000</v>
      </c>
      <c r="J96" s="68">
        <f t="shared" ref="J96:R96" si="46">SUM(J85:J86)</f>
        <v>500000</v>
      </c>
      <c r="K96" s="68">
        <f t="shared" si="46"/>
        <v>750000</v>
      </c>
      <c r="L96" s="68">
        <f t="shared" si="46"/>
        <v>750000</v>
      </c>
      <c r="M96" s="68">
        <f t="shared" si="46"/>
        <v>1000000</v>
      </c>
      <c r="N96" s="68">
        <f t="shared" si="46"/>
        <v>20826280.215980843</v>
      </c>
      <c r="O96" s="68">
        <f t="shared" si="46"/>
        <v>0</v>
      </c>
      <c r="P96" s="68">
        <f t="shared" si="46"/>
        <v>0</v>
      </c>
      <c r="Q96" s="68">
        <f t="shared" si="46"/>
        <v>0</v>
      </c>
      <c r="R96" s="68">
        <f t="shared" si="46"/>
        <v>0</v>
      </c>
    </row>
    <row r="97" spans="2:18" ht="5.0999999999999996" customHeight="1" x14ac:dyDescent="0.25"/>
    <row r="98" spans="2:18" x14ac:dyDescent="0.25">
      <c r="B98" s="50" t="s">
        <v>30</v>
      </c>
      <c r="C98" s="69">
        <f>D17</f>
        <v>0.2</v>
      </c>
      <c r="D98" s="52"/>
      <c r="E98" s="52"/>
      <c r="F98" s="52"/>
      <c r="G98" s="52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</row>
    <row r="99" spans="2:18" ht="5.0999999999999996" customHeight="1" x14ac:dyDescent="0.25">
      <c r="B99" s="70"/>
      <c r="C99" s="55"/>
      <c r="D99" s="56"/>
      <c r="E99" s="56"/>
      <c r="F99" s="56"/>
      <c r="G99" s="56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</row>
    <row r="100" spans="2:18" x14ac:dyDescent="0.25">
      <c r="B100" s="58" t="s">
        <v>16</v>
      </c>
      <c r="C100" s="58"/>
      <c r="D100" s="58"/>
      <c r="E100" s="58"/>
      <c r="F100" s="58"/>
      <c r="G100" s="58"/>
      <c r="H100" s="59"/>
      <c r="I100" s="59">
        <f t="shared" ref="I100:R100" si="47">H105</f>
        <v>10000000</v>
      </c>
      <c r="J100" s="59">
        <f t="shared" si="47"/>
        <v>11500000</v>
      </c>
      <c r="K100" s="59">
        <f t="shared" si="47"/>
        <v>13300000</v>
      </c>
      <c r="L100" s="59">
        <f t="shared" si="47"/>
        <v>15217287.671232877</v>
      </c>
      <c r="M100" s="59">
        <f t="shared" si="47"/>
        <v>17510745.205479454</v>
      </c>
      <c r="N100" s="59">
        <f t="shared" si="47"/>
        <v>20012894.246575344</v>
      </c>
      <c r="O100" s="59">
        <f t="shared" si="47"/>
        <v>2818210.3512095711</v>
      </c>
      <c r="P100" s="59">
        <f t="shared" si="47"/>
        <v>3383396.6463014632</v>
      </c>
      <c r="Q100" s="59">
        <f t="shared" si="47"/>
        <v>4060075.9755617557</v>
      </c>
      <c r="R100" s="59">
        <f t="shared" si="47"/>
        <v>4872091.170674107</v>
      </c>
    </row>
    <row r="101" spans="2:18" x14ac:dyDescent="0.25">
      <c r="B101" s="60" t="str">
        <f>B98&amp;" Return"</f>
        <v>Hurdle 5 Return</v>
      </c>
      <c r="C101" s="58"/>
      <c r="D101" s="58"/>
      <c r="E101" s="58"/>
      <c r="F101" s="58"/>
      <c r="G101" s="58"/>
      <c r="H101" s="59"/>
      <c r="I101" s="59">
        <f>I100*($C98/365)*(I$21-H$21)</f>
        <v>2000000.0000000002</v>
      </c>
      <c r="J101" s="59">
        <f t="shared" ref="J101:R101" si="48">J100*($C98/365)*(J$21-I$21)</f>
        <v>2300000.0000000005</v>
      </c>
      <c r="K101" s="59">
        <f t="shared" si="48"/>
        <v>2667287.6712328773</v>
      </c>
      <c r="L101" s="59">
        <f t="shared" si="48"/>
        <v>3043457.5342465756</v>
      </c>
      <c r="M101" s="59">
        <f t="shared" si="48"/>
        <v>3502149.0410958915</v>
      </c>
      <c r="N101" s="59">
        <f t="shared" si="48"/>
        <v>4002578.8493150696</v>
      </c>
      <c r="O101" s="59">
        <f t="shared" si="48"/>
        <v>565186.29509189213</v>
      </c>
      <c r="P101" s="59">
        <f t="shared" si="48"/>
        <v>676679.3292602927</v>
      </c>
      <c r="Q101" s="59">
        <f t="shared" si="48"/>
        <v>812015.19511235133</v>
      </c>
      <c r="R101" s="59">
        <f t="shared" si="48"/>
        <v>974418.23413482157</v>
      </c>
    </row>
    <row r="102" spans="2:18" x14ac:dyDescent="0.25">
      <c r="B102" s="60" t="s">
        <v>18</v>
      </c>
      <c r="C102" s="58"/>
      <c r="D102" s="58"/>
      <c r="E102" s="58"/>
      <c r="F102" s="58"/>
      <c r="G102" s="58"/>
      <c r="H102" s="59"/>
      <c r="I102" s="59">
        <f t="shared" ref="I102:R102" si="49">-MIN(0,I$23*$H$6)</f>
        <v>0</v>
      </c>
      <c r="J102" s="59">
        <f t="shared" si="49"/>
        <v>0</v>
      </c>
      <c r="K102" s="59">
        <f t="shared" si="49"/>
        <v>0</v>
      </c>
      <c r="L102" s="59">
        <f t="shared" si="49"/>
        <v>0</v>
      </c>
      <c r="M102" s="59">
        <f t="shared" si="49"/>
        <v>0</v>
      </c>
      <c r="N102" s="59">
        <f t="shared" si="49"/>
        <v>0</v>
      </c>
      <c r="O102" s="59">
        <f t="shared" si="49"/>
        <v>0</v>
      </c>
      <c r="P102" s="59">
        <f t="shared" si="49"/>
        <v>0</v>
      </c>
      <c r="Q102" s="59">
        <f t="shared" si="49"/>
        <v>0</v>
      </c>
      <c r="R102" s="59">
        <f t="shared" si="49"/>
        <v>0</v>
      </c>
    </row>
    <row r="103" spans="2:18" x14ac:dyDescent="0.25">
      <c r="B103" s="60" t="s">
        <v>26</v>
      </c>
      <c r="C103" s="58"/>
      <c r="D103" s="58"/>
      <c r="E103" s="58"/>
      <c r="F103" s="58"/>
      <c r="G103" s="58"/>
      <c r="H103" s="59"/>
      <c r="I103" s="59">
        <f t="shared" ref="I103:R103" si="50">+I36+I54+I72+I90</f>
        <v>500000</v>
      </c>
      <c r="J103" s="59">
        <f t="shared" si="50"/>
        <v>500000</v>
      </c>
      <c r="K103" s="59">
        <f t="shared" si="50"/>
        <v>750000</v>
      </c>
      <c r="L103" s="59">
        <f t="shared" si="50"/>
        <v>750000</v>
      </c>
      <c r="M103" s="59">
        <f t="shared" si="50"/>
        <v>1000000</v>
      </c>
      <c r="N103" s="59">
        <f t="shared" si="50"/>
        <v>20826280.215980843</v>
      </c>
      <c r="O103" s="59">
        <f t="shared" si="50"/>
        <v>0</v>
      </c>
      <c r="P103" s="59">
        <f t="shared" si="50"/>
        <v>0</v>
      </c>
      <c r="Q103" s="59">
        <f t="shared" si="50"/>
        <v>0</v>
      </c>
      <c r="R103" s="59">
        <f t="shared" si="50"/>
        <v>0</v>
      </c>
    </row>
    <row r="104" spans="2:18" x14ac:dyDescent="0.25">
      <c r="B104" s="60" t="s">
        <v>19</v>
      </c>
      <c r="C104" s="58"/>
      <c r="D104" s="58"/>
      <c r="E104" s="58"/>
      <c r="F104" s="58"/>
      <c r="G104" s="58"/>
      <c r="H104" s="59"/>
      <c r="I104" s="59">
        <f>MIN((I100+I101-I103),I94*$F$17)</f>
        <v>0</v>
      </c>
      <c r="J104" s="59">
        <f t="shared" ref="J104:R104" si="51">MIN((J100+J101-J103),J94*$F$17)</f>
        <v>0</v>
      </c>
      <c r="K104" s="59">
        <f t="shared" si="51"/>
        <v>0</v>
      </c>
      <c r="L104" s="59">
        <f t="shared" si="51"/>
        <v>0</v>
      </c>
      <c r="M104" s="59">
        <f t="shared" si="51"/>
        <v>0</v>
      </c>
      <c r="N104" s="59">
        <f t="shared" si="51"/>
        <v>370982.52870000002</v>
      </c>
      <c r="O104" s="59">
        <f t="shared" si="51"/>
        <v>0</v>
      </c>
      <c r="P104" s="59">
        <f t="shared" si="51"/>
        <v>0</v>
      </c>
      <c r="Q104" s="59">
        <f t="shared" si="51"/>
        <v>0</v>
      </c>
      <c r="R104" s="59">
        <f t="shared" si="51"/>
        <v>0</v>
      </c>
    </row>
    <row r="105" spans="2:18" x14ac:dyDescent="0.25">
      <c r="B105" s="58" t="s">
        <v>20</v>
      </c>
      <c r="C105" s="58"/>
      <c r="D105" s="58"/>
      <c r="E105" s="58"/>
      <c r="F105" s="58"/>
      <c r="G105" s="58"/>
      <c r="H105" s="59">
        <f>$F$6</f>
        <v>10000000</v>
      </c>
      <c r="I105" s="59">
        <f>I100+I101+I102-I103-I104</f>
        <v>11500000</v>
      </c>
      <c r="J105" s="59">
        <f t="shared" ref="J105:R105" si="52">J100+J101+J102-J103-J104</f>
        <v>13300000</v>
      </c>
      <c r="K105" s="59">
        <f t="shared" si="52"/>
        <v>15217287.671232877</v>
      </c>
      <c r="L105" s="59">
        <f t="shared" si="52"/>
        <v>17510745.205479454</v>
      </c>
      <c r="M105" s="59">
        <f t="shared" si="52"/>
        <v>20012894.246575344</v>
      </c>
      <c r="N105" s="59">
        <f t="shared" si="52"/>
        <v>2818210.3512095711</v>
      </c>
      <c r="O105" s="59">
        <f t="shared" si="52"/>
        <v>3383396.6463014632</v>
      </c>
      <c r="P105" s="59">
        <f t="shared" si="52"/>
        <v>4060075.9755617557</v>
      </c>
      <c r="Q105" s="59">
        <f t="shared" si="52"/>
        <v>4872091.170674107</v>
      </c>
      <c r="R105" s="59">
        <f t="shared" si="52"/>
        <v>5846509.4048089283</v>
      </c>
    </row>
    <row r="106" spans="2:18" ht="5.0999999999999996" customHeight="1" x14ac:dyDescent="0.25">
      <c r="B106" s="71"/>
      <c r="C106" s="71"/>
      <c r="D106" s="71"/>
      <c r="E106" s="71"/>
      <c r="F106" s="71"/>
      <c r="G106" s="71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2:18" x14ac:dyDescent="0.25">
      <c r="B107" s="61" t="s">
        <v>21</v>
      </c>
      <c r="C107" s="75"/>
      <c r="D107" s="75"/>
      <c r="E107" s="75"/>
      <c r="F107" s="75"/>
      <c r="G107" s="75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</row>
    <row r="108" spans="2:18" x14ac:dyDescent="0.25">
      <c r="B108" s="58" t="s">
        <v>8</v>
      </c>
      <c r="C108" s="58"/>
      <c r="D108" s="58"/>
      <c r="E108" s="58"/>
      <c r="F108" s="58"/>
      <c r="G108" s="58"/>
      <c r="H108" s="59"/>
      <c r="I108" s="59">
        <f t="shared" ref="I108:R108" si="53">I104</f>
        <v>0</v>
      </c>
      <c r="J108" s="59">
        <f t="shared" si="53"/>
        <v>0</v>
      </c>
      <c r="K108" s="59">
        <f t="shared" si="53"/>
        <v>0</v>
      </c>
      <c r="L108" s="59">
        <f t="shared" si="53"/>
        <v>0</v>
      </c>
      <c r="M108" s="59">
        <f t="shared" si="53"/>
        <v>0</v>
      </c>
      <c r="N108" s="59">
        <f t="shared" si="53"/>
        <v>370982.52870000002</v>
      </c>
      <c r="O108" s="59">
        <f t="shared" si="53"/>
        <v>0</v>
      </c>
      <c r="P108" s="59">
        <f t="shared" si="53"/>
        <v>0</v>
      </c>
      <c r="Q108" s="59">
        <f t="shared" si="53"/>
        <v>0</v>
      </c>
      <c r="R108" s="59">
        <f t="shared" si="53"/>
        <v>0</v>
      </c>
    </row>
    <row r="109" spans="2:18" x14ac:dyDescent="0.25">
      <c r="B109" s="58" t="s">
        <v>9</v>
      </c>
      <c r="C109" s="58"/>
      <c r="D109" s="58"/>
      <c r="E109" s="58"/>
      <c r="F109" s="58"/>
      <c r="G109" s="58"/>
      <c r="H109" s="59"/>
      <c r="I109" s="59">
        <f t="shared" ref="I109:R109" si="54">I108/$F17*$H17</f>
        <v>0</v>
      </c>
      <c r="J109" s="59">
        <f t="shared" si="54"/>
        <v>0</v>
      </c>
      <c r="K109" s="59">
        <f t="shared" si="54"/>
        <v>0</v>
      </c>
      <c r="L109" s="59">
        <f t="shared" si="54"/>
        <v>0</v>
      </c>
      <c r="M109" s="59">
        <f t="shared" si="54"/>
        <v>0</v>
      </c>
      <c r="N109" s="59">
        <f t="shared" si="54"/>
        <v>370982.52870000002</v>
      </c>
      <c r="O109" s="59">
        <f t="shared" si="54"/>
        <v>0</v>
      </c>
      <c r="P109" s="59">
        <f t="shared" si="54"/>
        <v>0</v>
      </c>
      <c r="Q109" s="59">
        <f t="shared" si="54"/>
        <v>0</v>
      </c>
      <c r="R109" s="59">
        <f t="shared" si="54"/>
        <v>0</v>
      </c>
    </row>
    <row r="110" spans="2:18" x14ac:dyDescent="0.25">
      <c r="B110" s="62" t="s">
        <v>22</v>
      </c>
      <c r="C110" s="62"/>
      <c r="D110" s="62"/>
      <c r="E110" s="62"/>
      <c r="F110" s="62"/>
      <c r="G110" s="62"/>
      <c r="H110" s="63"/>
      <c r="I110" s="63">
        <f t="shared" ref="I110:R110" si="55">I108+I109</f>
        <v>0</v>
      </c>
      <c r="J110" s="63">
        <f t="shared" si="55"/>
        <v>0</v>
      </c>
      <c r="K110" s="63">
        <f t="shared" si="55"/>
        <v>0</v>
      </c>
      <c r="L110" s="63">
        <f t="shared" si="55"/>
        <v>0</v>
      </c>
      <c r="M110" s="63">
        <f t="shared" si="55"/>
        <v>0</v>
      </c>
      <c r="N110" s="63">
        <f t="shared" si="55"/>
        <v>741965.05740000005</v>
      </c>
      <c r="O110" s="63">
        <f t="shared" si="55"/>
        <v>0</v>
      </c>
      <c r="P110" s="63">
        <f t="shared" si="55"/>
        <v>0</v>
      </c>
      <c r="Q110" s="63">
        <f t="shared" si="55"/>
        <v>0</v>
      </c>
      <c r="R110" s="63">
        <f t="shared" si="55"/>
        <v>0</v>
      </c>
    </row>
    <row r="111" spans="2:18" ht="5.0999999999999996" customHeight="1" x14ac:dyDescent="0.25">
      <c r="B111" s="8"/>
      <c r="C111" s="8"/>
      <c r="D111" s="8"/>
      <c r="E111" s="8"/>
      <c r="F111" s="8"/>
      <c r="G111" s="8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</row>
    <row r="112" spans="2:18" x14ac:dyDescent="0.25">
      <c r="B112" s="61" t="s">
        <v>23</v>
      </c>
      <c r="C112" s="61"/>
      <c r="D112" s="61"/>
      <c r="E112" s="61"/>
      <c r="F112" s="61"/>
      <c r="G112" s="61"/>
      <c r="H112" s="64"/>
      <c r="I112" s="77">
        <f t="shared" ref="I112:R112" si="56">ROUND(MAX(I$23-I38-I56-I74-I92-I110,0),4)</f>
        <v>0</v>
      </c>
      <c r="J112" s="77">
        <f t="shared" si="56"/>
        <v>0</v>
      </c>
      <c r="K112" s="77">
        <f t="shared" si="56"/>
        <v>0</v>
      </c>
      <c r="L112" s="77">
        <f t="shared" si="56"/>
        <v>0</v>
      </c>
      <c r="M112" s="77">
        <f t="shared" si="56"/>
        <v>0</v>
      </c>
      <c r="N112" s="77">
        <f t="shared" si="56"/>
        <v>0</v>
      </c>
      <c r="O112" s="77">
        <f t="shared" si="56"/>
        <v>0</v>
      </c>
      <c r="P112" s="77">
        <f t="shared" si="56"/>
        <v>0</v>
      </c>
      <c r="Q112" s="77">
        <f t="shared" si="56"/>
        <v>0</v>
      </c>
      <c r="R112" s="77">
        <f t="shared" si="56"/>
        <v>0</v>
      </c>
    </row>
    <row r="113" spans="2:18" ht="5.0999999999999996" customHeight="1" x14ac:dyDescent="0.25"/>
    <row r="114" spans="2:18" x14ac:dyDescent="0.25">
      <c r="B114" s="66" t="s">
        <v>24</v>
      </c>
      <c r="C114" s="67">
        <f>XIRR(H114:R114,$H$21:$R$21)</f>
        <v>0.17804800868034368</v>
      </c>
      <c r="D114" s="66"/>
      <c r="E114" s="66"/>
      <c r="F114" s="66"/>
      <c r="G114" s="66"/>
      <c r="H114" s="68">
        <f>-H105</f>
        <v>-10000000</v>
      </c>
      <c r="I114" s="68">
        <f>SUM(I103:I104)</f>
        <v>500000</v>
      </c>
      <c r="J114" s="68">
        <f t="shared" ref="J114:R114" si="57">SUM(J103:J104)</f>
        <v>500000</v>
      </c>
      <c r="K114" s="68">
        <f t="shared" si="57"/>
        <v>750000</v>
      </c>
      <c r="L114" s="68">
        <f t="shared" si="57"/>
        <v>750000</v>
      </c>
      <c r="M114" s="68">
        <f t="shared" si="57"/>
        <v>1000000</v>
      </c>
      <c r="N114" s="68">
        <f t="shared" si="57"/>
        <v>21197262.744680844</v>
      </c>
      <c r="O114" s="68">
        <f t="shared" si="57"/>
        <v>0</v>
      </c>
      <c r="P114" s="68">
        <f t="shared" si="57"/>
        <v>0</v>
      </c>
      <c r="Q114" s="68">
        <f t="shared" si="57"/>
        <v>0</v>
      </c>
      <c r="R114" s="68">
        <f t="shared" si="57"/>
        <v>0</v>
      </c>
    </row>
    <row r="115" spans="2:18" ht="5.0999999999999996" customHeight="1" x14ac:dyDescent="0.25"/>
    <row r="116" spans="2:18" x14ac:dyDescent="0.25">
      <c r="B116" s="50" t="s">
        <v>31</v>
      </c>
      <c r="C116" s="51"/>
      <c r="D116" s="52"/>
      <c r="E116" s="52"/>
      <c r="F116" s="52"/>
      <c r="G116" s="52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</row>
    <row r="117" spans="2:18" ht="5.0999999999999996" customHeight="1" x14ac:dyDescent="0.25"/>
    <row r="118" spans="2:18" x14ac:dyDescent="0.25">
      <c r="B118" s="61" t="s">
        <v>32</v>
      </c>
      <c r="C118" s="58"/>
      <c r="D118" s="78"/>
      <c r="E118" s="58"/>
      <c r="F118" s="78"/>
      <c r="G118" s="58"/>
      <c r="H118" s="79">
        <f t="shared" ref="H118:R118" si="58">H20</f>
        <v>0</v>
      </c>
      <c r="I118" s="79">
        <f t="shared" si="58"/>
        <v>1</v>
      </c>
      <c r="J118" s="79">
        <f t="shared" si="58"/>
        <v>2</v>
      </c>
      <c r="K118" s="79">
        <f t="shared" si="58"/>
        <v>3</v>
      </c>
      <c r="L118" s="79">
        <f t="shared" si="58"/>
        <v>4</v>
      </c>
      <c r="M118" s="79">
        <f t="shared" si="58"/>
        <v>5</v>
      </c>
      <c r="N118" s="79">
        <f t="shared" si="58"/>
        <v>6</v>
      </c>
      <c r="O118" s="79">
        <f t="shared" si="58"/>
        <v>7</v>
      </c>
      <c r="P118" s="79">
        <f t="shared" si="58"/>
        <v>8</v>
      </c>
      <c r="Q118" s="79">
        <f t="shared" si="58"/>
        <v>9</v>
      </c>
      <c r="R118" s="79">
        <f t="shared" si="58"/>
        <v>10</v>
      </c>
    </row>
    <row r="119" spans="2:18" ht="5.0999999999999996" customHeight="1" x14ac:dyDescent="0.25">
      <c r="F119" s="2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2:18" ht="15" customHeight="1" x14ac:dyDescent="0.25">
      <c r="B120" s="61" t="s">
        <v>33</v>
      </c>
      <c r="C120" s="58"/>
      <c r="D120" s="58"/>
      <c r="E120" s="58"/>
      <c r="F120" s="78"/>
      <c r="G120" s="58"/>
      <c r="H120" s="78"/>
      <c r="I120" s="79"/>
      <c r="J120" s="79"/>
      <c r="K120" s="79"/>
      <c r="L120" s="79"/>
      <c r="M120" s="79"/>
      <c r="N120" s="79"/>
      <c r="O120" s="79"/>
      <c r="P120" s="79"/>
      <c r="Q120" s="79"/>
      <c r="R120" s="79"/>
    </row>
    <row r="121" spans="2:18" ht="15" customHeight="1" x14ac:dyDescent="0.25">
      <c r="B121" s="58" t="s">
        <v>34</v>
      </c>
      <c r="C121" s="58"/>
      <c r="D121" s="58"/>
      <c r="E121" s="58"/>
      <c r="F121" s="58"/>
      <c r="G121" s="58"/>
      <c r="H121" s="59">
        <f>-F6</f>
        <v>-10000000</v>
      </c>
      <c r="I121" s="59">
        <f t="shared" ref="I121:R121" si="59">-I30</f>
        <v>0</v>
      </c>
      <c r="J121" s="59">
        <f t="shared" si="59"/>
        <v>0</v>
      </c>
      <c r="K121" s="59">
        <f t="shared" si="59"/>
        <v>0</v>
      </c>
      <c r="L121" s="59">
        <f t="shared" si="59"/>
        <v>0</v>
      </c>
      <c r="M121" s="59">
        <f t="shared" si="59"/>
        <v>0</v>
      </c>
      <c r="N121" s="59">
        <f t="shared" si="59"/>
        <v>0</v>
      </c>
      <c r="O121" s="59">
        <f t="shared" si="59"/>
        <v>0</v>
      </c>
      <c r="P121" s="59">
        <f t="shared" si="59"/>
        <v>0</v>
      </c>
      <c r="Q121" s="59">
        <f t="shared" si="59"/>
        <v>0</v>
      </c>
      <c r="R121" s="59">
        <f t="shared" si="59"/>
        <v>0</v>
      </c>
    </row>
    <row r="122" spans="2:18" x14ac:dyDescent="0.25">
      <c r="B122" s="58" t="s">
        <v>21</v>
      </c>
      <c r="C122" s="58"/>
      <c r="D122" s="58"/>
      <c r="E122" s="58"/>
      <c r="F122" s="81"/>
      <c r="G122" s="58"/>
      <c r="H122" s="78"/>
      <c r="I122" s="82">
        <f t="shared" ref="I122:R122" si="60">I36+I54+I72+I90+I108</f>
        <v>500000</v>
      </c>
      <c r="J122" s="82">
        <f t="shared" si="60"/>
        <v>500000</v>
      </c>
      <c r="K122" s="82">
        <f t="shared" si="60"/>
        <v>750000</v>
      </c>
      <c r="L122" s="82">
        <f t="shared" si="60"/>
        <v>750000</v>
      </c>
      <c r="M122" s="82">
        <f t="shared" si="60"/>
        <v>1000000</v>
      </c>
      <c r="N122" s="82">
        <f t="shared" si="60"/>
        <v>21197262.744680844</v>
      </c>
      <c r="O122" s="82">
        <f t="shared" si="60"/>
        <v>0</v>
      </c>
      <c r="P122" s="82">
        <f t="shared" si="60"/>
        <v>0</v>
      </c>
      <c r="Q122" s="82">
        <f t="shared" si="60"/>
        <v>0</v>
      </c>
      <c r="R122" s="82">
        <f t="shared" si="60"/>
        <v>0</v>
      </c>
    </row>
    <row r="123" spans="2:18" x14ac:dyDescent="0.25">
      <c r="B123" s="62" t="s">
        <v>35</v>
      </c>
      <c r="C123" s="62"/>
      <c r="D123" s="62"/>
      <c r="E123" s="62"/>
      <c r="F123" s="83"/>
      <c r="G123" s="62"/>
      <c r="H123" s="84">
        <f>SUM(H121:H122)</f>
        <v>-10000000</v>
      </c>
      <c r="I123" s="84">
        <f t="shared" ref="I123:R123" si="61">SUM(I121:I122)</f>
        <v>500000</v>
      </c>
      <c r="J123" s="84">
        <f t="shared" si="61"/>
        <v>500000</v>
      </c>
      <c r="K123" s="84">
        <f t="shared" si="61"/>
        <v>750000</v>
      </c>
      <c r="L123" s="84">
        <f t="shared" si="61"/>
        <v>750000</v>
      </c>
      <c r="M123" s="84">
        <f t="shared" si="61"/>
        <v>1000000</v>
      </c>
      <c r="N123" s="84">
        <f t="shared" si="61"/>
        <v>21197262.744680844</v>
      </c>
      <c r="O123" s="84">
        <f t="shared" si="61"/>
        <v>0</v>
      </c>
      <c r="P123" s="84">
        <f t="shared" si="61"/>
        <v>0</v>
      </c>
      <c r="Q123" s="84">
        <f t="shared" si="61"/>
        <v>0</v>
      </c>
      <c r="R123" s="84">
        <f t="shared" si="61"/>
        <v>0</v>
      </c>
    </row>
    <row r="124" spans="2:18" ht="5.0999999999999996" customHeight="1" x14ac:dyDescent="0.25">
      <c r="B124" s="85"/>
      <c r="C124" s="85"/>
      <c r="D124" s="85"/>
      <c r="E124" s="85"/>
      <c r="F124" s="86"/>
      <c r="G124" s="85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</row>
    <row r="125" spans="2:18" x14ac:dyDescent="0.25">
      <c r="B125" s="85" t="s">
        <v>14</v>
      </c>
      <c r="C125" s="88">
        <f>XIRR(H123:R123,H21:R21)</f>
        <v>0.17804800868034368</v>
      </c>
      <c r="D125" s="85"/>
      <c r="E125" s="85"/>
      <c r="F125" s="58"/>
      <c r="G125" s="85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</row>
    <row r="126" spans="2:18" x14ac:dyDescent="0.25">
      <c r="B126" s="58" t="s">
        <v>36</v>
      </c>
      <c r="C126" s="89">
        <f>SUM(I122:R122)/-SUM(H121:R121)</f>
        <v>2.4697262744680843</v>
      </c>
      <c r="D126" s="58"/>
      <c r="E126" s="58"/>
      <c r="F126" s="81"/>
      <c r="G126" s="58"/>
      <c r="H126" s="78"/>
      <c r="I126" s="87"/>
      <c r="J126" s="82"/>
      <c r="K126" s="82"/>
      <c r="L126" s="82"/>
      <c r="M126" s="82"/>
      <c r="N126" s="82"/>
      <c r="O126" s="82"/>
      <c r="P126" s="82"/>
      <c r="Q126" s="82"/>
      <c r="R126" s="82"/>
    </row>
    <row r="127" spans="2:18" ht="5.0999999999999996" customHeight="1" x14ac:dyDescent="0.25">
      <c r="F127" s="90"/>
      <c r="I127" s="91"/>
      <c r="J127" s="91"/>
      <c r="K127" s="91"/>
      <c r="L127" s="91"/>
      <c r="M127" s="91"/>
      <c r="N127" s="91"/>
      <c r="O127" s="91"/>
      <c r="P127" s="91"/>
      <c r="Q127" s="91"/>
      <c r="R127" s="91"/>
    </row>
    <row r="128" spans="2:18" x14ac:dyDescent="0.25">
      <c r="B128" s="61" t="s">
        <v>40</v>
      </c>
      <c r="C128" s="58"/>
      <c r="D128" s="58"/>
      <c r="E128" s="58"/>
      <c r="F128" s="78"/>
      <c r="G128" s="58"/>
      <c r="H128" s="78"/>
      <c r="I128" s="79"/>
      <c r="J128" s="79"/>
      <c r="K128" s="79"/>
      <c r="L128" s="79"/>
      <c r="M128" s="79"/>
      <c r="N128" s="79"/>
      <c r="O128" s="79"/>
      <c r="P128" s="79"/>
      <c r="Q128" s="79"/>
      <c r="R128" s="79"/>
    </row>
    <row r="129" spans="2:18" x14ac:dyDescent="0.25">
      <c r="B129" s="58" t="s">
        <v>34</v>
      </c>
      <c r="C129" s="58"/>
      <c r="D129" s="58"/>
      <c r="E129" s="58"/>
      <c r="F129" s="58"/>
      <c r="G129" s="58"/>
      <c r="H129" s="59">
        <f>-F5</f>
        <v>0</v>
      </c>
      <c r="I129" s="59">
        <f t="shared" ref="I129:R129" si="62">-I31</f>
        <v>0</v>
      </c>
      <c r="J129" s="59">
        <f t="shared" si="62"/>
        <v>0</v>
      </c>
      <c r="K129" s="59">
        <f t="shared" si="62"/>
        <v>0</v>
      </c>
      <c r="L129" s="59">
        <f t="shared" si="62"/>
        <v>0</v>
      </c>
      <c r="M129" s="59">
        <f t="shared" si="62"/>
        <v>0</v>
      </c>
      <c r="N129" s="59">
        <f t="shared" si="62"/>
        <v>0</v>
      </c>
      <c r="O129" s="59">
        <f t="shared" si="62"/>
        <v>0</v>
      </c>
      <c r="P129" s="59">
        <f t="shared" si="62"/>
        <v>0</v>
      </c>
      <c r="Q129" s="59">
        <f t="shared" si="62"/>
        <v>0</v>
      </c>
      <c r="R129" s="59">
        <f t="shared" si="62"/>
        <v>0</v>
      </c>
    </row>
    <row r="130" spans="2:18" x14ac:dyDescent="0.25">
      <c r="B130" s="58" t="s">
        <v>21</v>
      </c>
      <c r="C130" s="58"/>
      <c r="D130" s="58"/>
      <c r="E130" s="58"/>
      <c r="F130" s="81"/>
      <c r="G130" s="58"/>
      <c r="H130" s="78"/>
      <c r="I130" s="82">
        <f t="shared" ref="I130:R130" si="63">I37+I55+I73+I91+I109</f>
        <v>0</v>
      </c>
      <c r="J130" s="82">
        <f t="shared" si="63"/>
        <v>0</v>
      </c>
      <c r="K130" s="82">
        <f t="shared" si="63"/>
        <v>0</v>
      </c>
      <c r="L130" s="82">
        <f t="shared" si="63"/>
        <v>0</v>
      </c>
      <c r="M130" s="82">
        <f t="shared" si="63"/>
        <v>0</v>
      </c>
      <c r="N130" s="82">
        <f t="shared" si="63"/>
        <v>3802737.2552909586</v>
      </c>
      <c r="O130" s="82">
        <f t="shared" si="63"/>
        <v>0</v>
      </c>
      <c r="P130" s="82">
        <f t="shared" si="63"/>
        <v>0</v>
      </c>
      <c r="Q130" s="82">
        <f t="shared" si="63"/>
        <v>0</v>
      </c>
      <c r="R130" s="82">
        <f t="shared" si="63"/>
        <v>0</v>
      </c>
    </row>
    <row r="131" spans="2:18" x14ac:dyDescent="0.25">
      <c r="B131" s="62" t="s">
        <v>35</v>
      </c>
      <c r="C131" s="62"/>
      <c r="D131" s="62"/>
      <c r="E131" s="62"/>
      <c r="F131" s="83"/>
      <c r="G131" s="62"/>
      <c r="H131" s="84">
        <f>SUM(H129:H130)</f>
        <v>0</v>
      </c>
      <c r="I131" s="84">
        <f t="shared" ref="I131:R131" si="64">SUM(I129:I130)</f>
        <v>0</v>
      </c>
      <c r="J131" s="84">
        <f t="shared" si="64"/>
        <v>0</v>
      </c>
      <c r="K131" s="84">
        <f t="shared" si="64"/>
        <v>0</v>
      </c>
      <c r="L131" s="84">
        <f t="shared" si="64"/>
        <v>0</v>
      </c>
      <c r="M131" s="84">
        <f t="shared" si="64"/>
        <v>0</v>
      </c>
      <c r="N131" s="84">
        <f t="shared" si="64"/>
        <v>3802737.2552909586</v>
      </c>
      <c r="O131" s="84">
        <f t="shared" si="64"/>
        <v>0</v>
      </c>
      <c r="P131" s="84">
        <f t="shared" si="64"/>
        <v>0</v>
      </c>
      <c r="Q131" s="84">
        <f t="shared" si="64"/>
        <v>0</v>
      </c>
      <c r="R131" s="84">
        <f t="shared" si="64"/>
        <v>0</v>
      </c>
    </row>
    <row r="132" spans="2:18" ht="5.0999999999999996" customHeight="1" x14ac:dyDescent="0.25">
      <c r="B132" s="85"/>
      <c r="C132" s="85"/>
      <c r="D132" s="85"/>
      <c r="E132" s="85"/>
      <c r="F132" s="86"/>
      <c r="G132" s="85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</row>
    <row r="133" spans="2:18" x14ac:dyDescent="0.25">
      <c r="B133" s="85" t="s">
        <v>14</v>
      </c>
      <c r="C133" s="88" t="str">
        <f>IFERROR(XIRR(H131:R131,H21:R21),"NA")</f>
        <v>NA</v>
      </c>
      <c r="D133" s="85"/>
      <c r="E133" s="85"/>
      <c r="F133" s="58"/>
      <c r="G133" s="85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</row>
    <row r="134" spans="2:18" x14ac:dyDescent="0.25">
      <c r="B134" s="58" t="s">
        <v>36</v>
      </c>
      <c r="C134" s="89" t="str">
        <f>IFERROR(SUM(I130:R130)/-SUM(H129:R129),"NA")</f>
        <v>NA</v>
      </c>
      <c r="D134" s="58"/>
      <c r="E134" s="58"/>
      <c r="F134" s="81"/>
      <c r="G134" s="58"/>
      <c r="H134" s="78"/>
      <c r="I134" s="82"/>
      <c r="J134" s="82"/>
      <c r="K134" s="82"/>
      <c r="L134" s="82"/>
      <c r="M134" s="82"/>
      <c r="N134" s="82"/>
      <c r="O134" s="82"/>
      <c r="P134" s="82"/>
      <c r="Q134" s="82"/>
      <c r="R134" s="82"/>
    </row>
    <row r="135" spans="2:18" ht="5.0999999999999996" customHeight="1" x14ac:dyDescent="0.25"/>
    <row r="136" spans="2:18" x14ac:dyDescent="0.25">
      <c r="B136" s="66" t="s">
        <v>37</v>
      </c>
      <c r="C136" s="92"/>
      <c r="D136" s="66"/>
      <c r="E136" s="66"/>
      <c r="F136" s="66"/>
      <c r="G136" s="66"/>
      <c r="H136" s="68"/>
      <c r="I136" s="68">
        <f>ROUND(I23-SUM(I123,I131),2)</f>
        <v>0</v>
      </c>
      <c r="J136" s="68">
        <f t="shared" ref="J136:R136" si="65">ROUND(J23-SUM(J123,J131),2)</f>
        <v>0</v>
      </c>
      <c r="K136" s="68">
        <f t="shared" si="65"/>
        <v>0</v>
      </c>
      <c r="L136" s="68">
        <f t="shared" si="65"/>
        <v>0</v>
      </c>
      <c r="M136" s="68">
        <f t="shared" si="65"/>
        <v>0</v>
      </c>
      <c r="N136" s="68">
        <f t="shared" si="65"/>
        <v>0</v>
      </c>
      <c r="O136" s="68">
        <f t="shared" si="65"/>
        <v>0</v>
      </c>
      <c r="P136" s="68">
        <f t="shared" si="65"/>
        <v>0</v>
      </c>
      <c r="Q136" s="68">
        <f t="shared" si="65"/>
        <v>0</v>
      </c>
      <c r="R136" s="68">
        <f t="shared" si="65"/>
        <v>0</v>
      </c>
    </row>
  </sheetData>
  <pageMargins left="0.7" right="0.7" top="0.75" bottom="0.75" header="0.3" footer="0.3"/>
  <pageSetup scale="3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 Waterfall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Lynch</dc:creator>
  <cp:lastModifiedBy>Peter Lynch</cp:lastModifiedBy>
  <dcterms:created xsi:type="dcterms:W3CDTF">2017-08-18T20:53:39Z</dcterms:created>
  <dcterms:modified xsi:type="dcterms:W3CDTF">2017-08-21T16:08:52Z</dcterms:modified>
</cp:coreProperties>
</file>