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cfca5b6a9babee/Desktop/Modeling/A Simple Model/Integrating Financial Statements/"/>
    </mc:Choice>
  </mc:AlternateContent>
  <xr:revisionPtr revIDLastSave="4" documentId="8_{8F028BEC-36F6-4831-877F-C2E6A21255BD}" xr6:coauthVersionLast="45" xr6:coauthVersionMax="45" xr10:uidLastSave="{2E478387-7B5D-4B50-8F62-7046E039472E}"/>
  <bookViews>
    <workbookView xWindow="-108" yWindow="-108" windowWidth="19416" windowHeight="11016" xr2:uid="{2B714EAC-0466-48A8-BAA6-4BEB8D45518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H35" i="1"/>
  <c r="I35" i="1"/>
  <c r="J35" i="1"/>
  <c r="F35" i="1"/>
  <c r="G62" i="1" l="1"/>
  <c r="H62" i="1"/>
  <c r="I62" i="1"/>
  <c r="J62" i="1"/>
  <c r="F62" i="1"/>
  <c r="G29" i="1"/>
  <c r="H29" i="1"/>
  <c r="I29" i="1"/>
  <c r="J29" i="1"/>
  <c r="F29" i="1"/>
  <c r="G63" i="1"/>
  <c r="H63" i="1"/>
  <c r="I63" i="1"/>
  <c r="J63" i="1"/>
  <c r="G60" i="1"/>
  <c r="H60" i="1"/>
  <c r="I60" i="1"/>
  <c r="J60" i="1"/>
  <c r="G61" i="1"/>
  <c r="H61" i="1"/>
  <c r="I61" i="1"/>
  <c r="J61" i="1"/>
  <c r="G27" i="1"/>
  <c r="H27" i="1"/>
  <c r="I27" i="1"/>
  <c r="J27" i="1"/>
  <c r="F27" i="1"/>
  <c r="G57" i="1"/>
  <c r="H57" i="1"/>
  <c r="I57" i="1"/>
  <c r="J57" i="1"/>
  <c r="F57" i="1"/>
  <c r="G92" i="1"/>
  <c r="H92" i="1"/>
  <c r="I92" i="1"/>
  <c r="J92" i="1"/>
  <c r="F92" i="1"/>
  <c r="G38" i="1"/>
  <c r="H38" i="1"/>
  <c r="I38" i="1"/>
  <c r="J38" i="1"/>
  <c r="F38" i="1"/>
  <c r="G70" i="1"/>
  <c r="H70" i="1"/>
  <c r="I70" i="1"/>
  <c r="J70" i="1"/>
  <c r="F70" i="1"/>
  <c r="E83" i="1" l="1"/>
  <c r="D83" i="1"/>
  <c r="E100" i="1"/>
  <c r="H100" i="1" s="1"/>
  <c r="D100" i="1"/>
  <c r="I100" i="1" s="1"/>
  <c r="F97" i="1"/>
  <c r="F78" i="1"/>
  <c r="G67" i="1"/>
  <c r="H67" i="1"/>
  <c r="F67" i="1"/>
  <c r="G66" i="1"/>
  <c r="H66" i="1"/>
  <c r="I66" i="1"/>
  <c r="I67" i="1" s="1"/>
  <c r="J66" i="1"/>
  <c r="J67" i="1" s="1"/>
  <c r="F66" i="1"/>
  <c r="E44" i="1"/>
  <c r="D44" i="1"/>
  <c r="D39" i="1"/>
  <c r="D45" i="1" s="1"/>
  <c r="E36" i="1"/>
  <c r="E39" i="1" s="1"/>
  <c r="E45" i="1" s="1"/>
  <c r="E46" i="1" s="1"/>
  <c r="D36" i="1"/>
  <c r="E31" i="1"/>
  <c r="D31" i="1"/>
  <c r="D46" i="1" s="1"/>
  <c r="E51" i="1"/>
  <c r="D51" i="1"/>
  <c r="E50" i="1"/>
  <c r="D50" i="1"/>
  <c r="E49" i="1"/>
  <c r="D49" i="1"/>
  <c r="F28" i="1" s="1"/>
  <c r="F61" i="1" s="1"/>
  <c r="E48" i="1"/>
  <c r="D48" i="1"/>
  <c r="E15" i="1"/>
  <c r="E18" i="1" s="1"/>
  <c r="E12" i="1"/>
  <c r="D12" i="1"/>
  <c r="F5" i="1"/>
  <c r="F7" i="1" s="1"/>
  <c r="E8" i="1"/>
  <c r="D8" i="1"/>
  <c r="E6" i="1"/>
  <c r="E9" i="1"/>
  <c r="E13" i="1" s="1"/>
  <c r="E20" i="1" s="1"/>
  <c r="E23" i="1" s="1"/>
  <c r="D9" i="1"/>
  <c r="D13" i="1" s="1"/>
  <c r="D15" i="1" s="1"/>
  <c r="D18" i="1" s="1"/>
  <c r="F33" i="1" l="1"/>
  <c r="F100" i="1"/>
  <c r="F99" i="1" s="1"/>
  <c r="G100" i="1"/>
  <c r="J100" i="1"/>
  <c r="E10" i="1"/>
  <c r="F11" i="1"/>
  <c r="D20" i="1"/>
  <c r="D23" i="1" s="1"/>
  <c r="D10" i="1"/>
  <c r="G5" i="1"/>
  <c r="F9" i="1"/>
  <c r="F21" i="1" l="1"/>
  <c r="F101" i="1"/>
  <c r="F30" i="1" s="1"/>
  <c r="G97" i="1" s="1"/>
  <c r="F63" i="1"/>
  <c r="F60" i="1"/>
  <c r="G99" i="1"/>
  <c r="F13" i="1"/>
  <c r="F10" i="1"/>
  <c r="H5" i="1"/>
  <c r="G7" i="1"/>
  <c r="G9" i="1" s="1"/>
  <c r="G11" i="1"/>
  <c r="G21" i="1" l="1"/>
  <c r="G33" i="1"/>
  <c r="H99" i="1"/>
  <c r="G101" i="1"/>
  <c r="G30" i="1" s="1"/>
  <c r="H97" i="1" s="1"/>
  <c r="H101" i="1" s="1"/>
  <c r="H30" i="1" s="1"/>
  <c r="I97" i="1" s="1"/>
  <c r="G28" i="1"/>
  <c r="F23" i="1"/>
  <c r="G13" i="1"/>
  <c r="G10" i="1"/>
  <c r="H7" i="1"/>
  <c r="H11" i="1"/>
  <c r="I5" i="1"/>
  <c r="F20" i="1"/>
  <c r="H9" i="1" l="1"/>
  <c r="H33" i="1"/>
  <c r="H28" i="1"/>
  <c r="G23" i="1"/>
  <c r="I99" i="1"/>
  <c r="I101" i="1" s="1"/>
  <c r="I30" i="1" s="1"/>
  <c r="J97" i="1" s="1"/>
  <c r="H21" i="1"/>
  <c r="H13" i="1"/>
  <c r="H10" i="1"/>
  <c r="I11" i="1"/>
  <c r="I7" i="1"/>
  <c r="I9" i="1"/>
  <c r="J5" i="1"/>
  <c r="G20" i="1"/>
  <c r="J99" i="1" l="1"/>
  <c r="I28" i="1"/>
  <c r="I33" i="1"/>
  <c r="I21" i="1"/>
  <c r="J11" i="1"/>
  <c r="J7" i="1"/>
  <c r="I13" i="1"/>
  <c r="I10" i="1"/>
  <c r="H20" i="1"/>
  <c r="H23" i="1" s="1"/>
  <c r="J21" i="1" l="1"/>
  <c r="J9" i="1"/>
  <c r="J10" i="1" s="1"/>
  <c r="J33" i="1"/>
  <c r="J28" i="1"/>
  <c r="J101" i="1"/>
  <c r="J30" i="1" s="1"/>
  <c r="J13" i="1"/>
  <c r="I20" i="1"/>
  <c r="I23" i="1" s="1"/>
  <c r="J23" i="1" l="1"/>
  <c r="J20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8" i="1"/>
  <c r="G18" i="1"/>
  <c r="H18" i="1"/>
  <c r="I18" i="1"/>
  <c r="J18" i="1"/>
  <c r="F26" i="1"/>
  <c r="G26" i="1"/>
  <c r="H26" i="1"/>
  <c r="I26" i="1"/>
  <c r="J26" i="1"/>
  <c r="F31" i="1"/>
  <c r="G31" i="1"/>
  <c r="H31" i="1"/>
  <c r="I31" i="1"/>
  <c r="J31" i="1"/>
  <c r="F34" i="1"/>
  <c r="G34" i="1"/>
  <c r="H34" i="1"/>
  <c r="I34" i="1"/>
  <c r="J34" i="1"/>
  <c r="F36" i="1"/>
  <c r="G36" i="1"/>
  <c r="H36" i="1"/>
  <c r="I36" i="1"/>
  <c r="J36" i="1"/>
  <c r="F39" i="1"/>
  <c r="G39" i="1"/>
  <c r="H39" i="1"/>
  <c r="I39" i="1"/>
  <c r="J39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55" i="1"/>
  <c r="G55" i="1"/>
  <c r="H55" i="1"/>
  <c r="I55" i="1"/>
  <c r="J55" i="1"/>
  <c r="F64" i="1"/>
  <c r="G64" i="1"/>
  <c r="H64" i="1"/>
  <c r="I64" i="1"/>
  <c r="J64" i="1"/>
  <c r="F69" i="1"/>
  <c r="G69" i="1"/>
  <c r="H69" i="1"/>
  <c r="I69" i="1"/>
  <c r="J69" i="1"/>
  <c r="F71" i="1"/>
  <c r="G71" i="1"/>
  <c r="H71" i="1"/>
  <c r="I71" i="1"/>
  <c r="J71" i="1"/>
  <c r="F72" i="1"/>
  <c r="G72" i="1"/>
  <c r="H72" i="1"/>
  <c r="I72" i="1"/>
  <c r="J72" i="1"/>
  <c r="F73" i="1"/>
  <c r="G73" i="1"/>
  <c r="H73" i="1"/>
  <c r="I73" i="1"/>
  <c r="J73" i="1"/>
  <c r="G78" i="1"/>
  <c r="H78" i="1"/>
  <c r="I78" i="1"/>
  <c r="J78" i="1"/>
  <c r="F79" i="1"/>
  <c r="G79" i="1"/>
  <c r="H79" i="1"/>
  <c r="I79" i="1"/>
  <c r="J79" i="1"/>
  <c r="F80" i="1"/>
  <c r="G80" i="1"/>
  <c r="H80" i="1"/>
  <c r="I80" i="1"/>
  <c r="J80" i="1"/>
  <c r="F82" i="1"/>
  <c r="G82" i="1"/>
  <c r="H82" i="1"/>
  <c r="I82" i="1"/>
  <c r="J82" i="1"/>
  <c r="F83" i="1"/>
  <c r="G83" i="1"/>
  <c r="H83" i="1"/>
  <c r="I83" i="1"/>
  <c r="J83" i="1"/>
  <c r="F93" i="1"/>
  <c r="G93" i="1"/>
  <c r="H93" i="1"/>
  <c r="I93" i="1"/>
  <c r="J93" i="1"/>
  <c r="F94" i="1"/>
  <c r="G94" i="1"/>
  <c r="H94" i="1"/>
  <c r="I94" i="1"/>
  <c r="J94" i="1"/>
</calcChain>
</file>

<file path=xl/sharedStrings.xml><?xml version="1.0" encoding="utf-8"?>
<sst xmlns="http://schemas.openxmlformats.org/spreadsheetml/2006/main" count="125" uniqueCount="81">
  <si>
    <t>Income Statement</t>
  </si>
  <si>
    <t>Actual</t>
  </si>
  <si>
    <t>Projected</t>
  </si>
  <si>
    <t>20X1</t>
  </si>
  <si>
    <t>20XX</t>
  </si>
  <si>
    <t>20X2</t>
  </si>
  <si>
    <t>20X3</t>
  </si>
  <si>
    <t>Revenue</t>
  </si>
  <si>
    <t>Cost  of Goods Sold</t>
  </si>
  <si>
    <t>Gross Profit</t>
  </si>
  <si>
    <t>Operating Expenses</t>
  </si>
  <si>
    <t>Operating Income (EBIT)</t>
  </si>
  <si>
    <t>Interest Expense</t>
  </si>
  <si>
    <t>Pretax Income (EBT)</t>
  </si>
  <si>
    <t>Income Tax Expense</t>
  </si>
  <si>
    <t>Net Income</t>
  </si>
  <si>
    <t>Balance Sheet</t>
  </si>
  <si>
    <t>Cash</t>
  </si>
  <si>
    <t>Accounts Receivable</t>
  </si>
  <si>
    <t>Inventory</t>
  </si>
  <si>
    <t>Total Assets</t>
  </si>
  <si>
    <t>Plant, Property &amp; Equipment</t>
  </si>
  <si>
    <t>Accounts Payable</t>
  </si>
  <si>
    <t>Current Portion on Long Term Debt</t>
  </si>
  <si>
    <t>Total Current Liabilities</t>
  </si>
  <si>
    <t>Long Term Debt</t>
  </si>
  <si>
    <t>Total Liabilities</t>
  </si>
  <si>
    <t>Common Stock</t>
  </si>
  <si>
    <t>Retained Earnings</t>
  </si>
  <si>
    <t>Total Equity</t>
  </si>
  <si>
    <t>Total Equity &amp; Liabilities</t>
  </si>
  <si>
    <t>Check</t>
  </si>
  <si>
    <t>Cash Flow Statement</t>
  </si>
  <si>
    <t>CFO</t>
  </si>
  <si>
    <t>Add Back Non-Cash Expenses</t>
  </si>
  <si>
    <t>Depreciation</t>
  </si>
  <si>
    <t>Amortization</t>
  </si>
  <si>
    <t>Changes in Working Capital</t>
  </si>
  <si>
    <t>Net Cash From CFO</t>
  </si>
  <si>
    <t>CFI</t>
  </si>
  <si>
    <t>Capital Expenditures</t>
  </si>
  <si>
    <t>CFF</t>
  </si>
  <si>
    <t>Revolving Credit Facility</t>
  </si>
  <si>
    <t>Current Portion of Long Term Debt</t>
  </si>
  <si>
    <t>Net Cash Used in CFI</t>
  </si>
  <si>
    <t>Net Cash Provided (Used) in CFF</t>
  </si>
  <si>
    <t>Net Cash Flow</t>
  </si>
  <si>
    <t>Supporting Schedules</t>
  </si>
  <si>
    <t>Cash Balance Opening</t>
  </si>
  <si>
    <t>Plus: CFO + CFI</t>
  </si>
  <si>
    <t>Less: Minimum Cash Balance</t>
  </si>
  <si>
    <t>Total Cash Available or (Required) for Debt Servicing</t>
  </si>
  <si>
    <t>Debt</t>
  </si>
  <si>
    <t>Line of Credit</t>
  </si>
  <si>
    <t>Interest Rate on Long Term Debt</t>
  </si>
  <si>
    <t>Interest Rate on Line of Credit</t>
  </si>
  <si>
    <t>Interest Expense on Long Term Debt</t>
  </si>
  <si>
    <t>Interest Expense on Line of Credit</t>
  </si>
  <si>
    <t>Total Interest Expense</t>
  </si>
  <si>
    <t>PP&amp;E Schedule</t>
  </si>
  <si>
    <t>Beginning: PP&amp;E Net of Accumulated Depreciation</t>
  </si>
  <si>
    <t>Plus: Capital Expenditures</t>
  </si>
  <si>
    <t>Less: Depreciation</t>
  </si>
  <si>
    <t>End: PP&amp;E Net of Accumulated Depreciation</t>
  </si>
  <si>
    <t>Debt Schedule</t>
  </si>
  <si>
    <t>EBITDA</t>
  </si>
  <si>
    <t>Tax Rate</t>
  </si>
  <si>
    <t>Prepaid Expenses</t>
  </si>
  <si>
    <t>20X4</t>
  </si>
  <si>
    <t>20X5</t>
  </si>
  <si>
    <t>Additional Paid In Capital</t>
  </si>
  <si>
    <t>Days of Accounts Receivable</t>
  </si>
  <si>
    <t>Days of Inventory</t>
  </si>
  <si>
    <t>Days of Accounts Payable</t>
  </si>
  <si>
    <t>Balance Sheet Assumptions</t>
  </si>
  <si>
    <t>Growth</t>
  </si>
  <si>
    <t>% of Revenue</t>
  </si>
  <si>
    <t>Plus: CFF (Before Line of Credit)</t>
  </si>
  <si>
    <t>% of Revenues</t>
  </si>
  <si>
    <t>ON</t>
  </si>
  <si>
    <t>Prepaid Expenses as % of COGS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</si>
</sst>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Border="1"/>
    <xf numFmtId="0" fontId="1" fillId="4" borderId="0" xfId="0" applyFont="1" applyFill="1"/>
    <xf numFmtId="0" fontId="0" fillId="0" borderId="0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1" xfId="0" applyNumberFormat="1" applyFont="1" applyBorder="1" applyAlignment="1">
      <alignment horizontal="center"/>
    </xf>
    <xf numFmtId="41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/>
    <xf numFmtId="1" fontId="3" fillId="0" borderId="0" xfId="0" applyNumberFormat="1" applyFont="1"/>
    <xf numFmtId="41" fontId="0" fillId="5" borderId="1" xfId="0" applyNumberFormat="1" applyFill="1" applyBorder="1" applyAlignment="1">
      <alignment horizontal="center"/>
    </xf>
    <xf numFmtId="41" fontId="0" fillId="5" borderId="0" xfId="0" applyNumberFormat="1" applyFill="1" applyAlignment="1">
      <alignment horizontal="center"/>
    </xf>
    <xf numFmtId="0" fontId="0" fillId="5" borderId="0" xfId="0" applyFill="1"/>
    <xf numFmtId="0" fontId="0" fillId="5" borderId="1" xfId="0" applyFill="1" applyBorder="1"/>
    <xf numFmtId="41" fontId="0" fillId="5" borderId="0" xfId="0" applyNumberFormat="1" applyFill="1" applyBorder="1" applyAlignment="1">
      <alignment horizontal="center"/>
    </xf>
    <xf numFmtId="41" fontId="0" fillId="0" borderId="1" xfId="0" applyNumberFormat="1" applyBorder="1"/>
    <xf numFmtId="0" fontId="2" fillId="0" borderId="1" xfId="0" applyFont="1" applyBorder="1" applyAlignment="1">
      <alignment horizontal="left" indent="1"/>
    </xf>
    <xf numFmtId="0" fontId="2" fillId="0" borderId="0" xfId="0" applyFont="1" applyBorder="1"/>
    <xf numFmtId="0" fontId="3" fillId="0" borderId="0" xfId="0" applyFont="1" applyAlignment="1">
      <alignment horizontal="left" indent="2"/>
    </xf>
    <xf numFmtId="41" fontId="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indent="2"/>
    </xf>
    <xf numFmtId="0" fontId="8" fillId="5" borderId="0" xfId="0" applyFont="1" applyFill="1" applyAlignment="1">
      <alignment horizontal="left" indent="2"/>
    </xf>
    <xf numFmtId="0" fontId="3" fillId="5" borderId="0" xfId="0" applyFont="1" applyFill="1" applyAlignment="1"/>
    <xf numFmtId="0" fontId="3" fillId="5" borderId="0" xfId="0" applyFont="1" applyFill="1" applyAlignment="1">
      <alignment horizontal="left" indent="2"/>
    </xf>
    <xf numFmtId="1" fontId="3" fillId="5" borderId="0" xfId="0" applyNumberFormat="1" applyFont="1" applyFill="1" applyAlignment="1"/>
    <xf numFmtId="164" fontId="3" fillId="5" borderId="0" xfId="0" applyNumberFormat="1" applyFont="1" applyFill="1" applyAlignment="1"/>
    <xf numFmtId="41" fontId="5" fillId="5" borderId="0" xfId="0" applyNumberFormat="1" applyFont="1" applyFill="1" applyAlignment="1">
      <alignment horizontal="center"/>
    </xf>
    <xf numFmtId="10" fontId="10" fillId="5" borderId="0" xfId="1" applyNumberFormat="1" applyFont="1" applyFill="1" applyAlignment="1"/>
    <xf numFmtId="0" fontId="3" fillId="5" borderId="1" xfId="0" applyFont="1" applyFill="1" applyBorder="1" applyAlignment="1">
      <alignment horizontal="left" indent="2"/>
    </xf>
    <xf numFmtId="0" fontId="0" fillId="5" borderId="0" xfId="0" applyFill="1" applyBorder="1" applyAlignment="1">
      <alignment horizontal="left" indent="1"/>
    </xf>
    <xf numFmtId="0" fontId="0" fillId="5" borderId="0" xfId="0" applyFill="1" applyBorder="1"/>
    <xf numFmtId="0" fontId="0" fillId="5" borderId="1" xfId="0" applyFill="1" applyBorder="1" applyAlignment="1">
      <alignment horizontal="left" indent="1"/>
    </xf>
    <xf numFmtId="0" fontId="2" fillId="5" borderId="2" xfId="0" applyFont="1" applyFill="1" applyBorder="1"/>
    <xf numFmtId="0" fontId="0" fillId="5" borderId="2" xfId="0" applyFill="1" applyBorder="1"/>
    <xf numFmtId="41" fontId="0" fillId="5" borderId="0" xfId="0" applyNumberFormat="1" applyFill="1"/>
    <xf numFmtId="0" fontId="0" fillId="5" borderId="0" xfId="0" applyFill="1" applyAlignment="1">
      <alignment horizontal="left" indent="1"/>
    </xf>
    <xf numFmtId="0" fontId="2" fillId="5" borderId="0" xfId="0" applyFont="1" applyFill="1"/>
    <xf numFmtId="41" fontId="2" fillId="5" borderId="0" xfId="0" applyNumberFormat="1" applyFont="1" applyFill="1"/>
    <xf numFmtId="10" fontId="9" fillId="5" borderId="0" xfId="1" applyNumberFormat="1" applyFont="1" applyFill="1" applyAlignment="1"/>
    <xf numFmtId="0" fontId="5" fillId="5" borderId="0" xfId="0" applyFont="1" applyFill="1"/>
    <xf numFmtId="41" fontId="2" fillId="0" borderId="2" xfId="0" applyNumberFormat="1" applyFont="1" applyBorder="1"/>
    <xf numFmtId="10" fontId="5" fillId="5" borderId="0" xfId="1" applyNumberFormat="1" applyFont="1" applyFill="1" applyBorder="1"/>
    <xf numFmtId="164" fontId="0" fillId="5" borderId="1" xfId="0" applyNumberFormat="1" applyFill="1" applyBorder="1"/>
    <xf numFmtId="1" fontId="2" fillId="5" borderId="2" xfId="0" applyNumberFormat="1" applyFont="1" applyFill="1" applyBorder="1"/>
    <xf numFmtId="0" fontId="5" fillId="5" borderId="0" xfId="0" applyFont="1" applyFill="1" applyBorder="1"/>
    <xf numFmtId="0" fontId="3" fillId="5" borderId="1" xfId="0" applyFont="1" applyFill="1" applyBorder="1" applyAlignment="1">
      <alignment horizontal="left" indent="3"/>
    </xf>
    <xf numFmtId="10" fontId="3" fillId="5" borderId="1" xfId="1" applyNumberFormat="1" applyFont="1" applyFill="1" applyBorder="1"/>
    <xf numFmtId="10" fontId="0" fillId="5" borderId="1" xfId="0" applyNumberFormat="1" applyFill="1" applyBorder="1"/>
    <xf numFmtId="41" fontId="0" fillId="5" borderId="0" xfId="0" applyNumberFormat="1" applyFill="1" applyBorder="1"/>
    <xf numFmtId="41" fontId="0" fillId="5" borderId="2" xfId="0" applyNumberFormat="1" applyFill="1" applyBorder="1"/>
    <xf numFmtId="41" fontId="0" fillId="5" borderId="1" xfId="0" applyNumberFormat="1" applyFill="1" applyBorder="1"/>
    <xf numFmtId="41" fontId="0" fillId="0" borderId="2" xfId="0" applyNumberFormat="1" applyBorder="1"/>
    <xf numFmtId="9" fontId="9" fillId="0" borderId="1" xfId="1" applyFont="1" applyBorder="1" applyAlignment="1"/>
    <xf numFmtId="10" fontId="9" fillId="5" borderId="1" xfId="1" applyNumberFormat="1" applyFont="1" applyFill="1" applyBorder="1" applyAlignment="1"/>
    <xf numFmtId="10" fontId="3" fillId="5" borderId="0" xfId="1" applyNumberFormat="1" applyFont="1" applyFill="1" applyAlignment="1"/>
    <xf numFmtId="38" fontId="0" fillId="5" borderId="0" xfId="0" applyNumberFormat="1" applyFill="1"/>
    <xf numFmtId="165" fontId="0" fillId="5" borderId="0" xfId="0" applyNumberForma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5992-4F02-4964-8E8A-96CF4BE1DB16}">
  <dimension ref="B2:J102"/>
  <sheetViews>
    <sheetView showGridLines="0" tabSelected="1" topLeftCell="A4" workbookViewId="0">
      <selection activeCell="F55" sqref="F55"/>
    </sheetView>
  </sheetViews>
  <sheetFormatPr defaultRowHeight="14.4" outlineLevelRow="1" x14ac:dyDescent="0.3"/>
  <cols>
    <col min="1" max="1" width="3.77734375" customWidth="1"/>
    <col min="2" max="2" width="45.88671875" customWidth="1"/>
    <col min="3" max="3" width="3.6640625" bestFit="1" customWidth="1"/>
    <col min="4" max="5" width="10.5546875" bestFit="1" customWidth="1"/>
    <col min="6" max="6" width="10" bestFit="1" customWidth="1"/>
    <col min="7" max="8" width="9" bestFit="1" customWidth="1"/>
  </cols>
  <sheetData>
    <row r="2" spans="2:10" x14ac:dyDescent="0.3">
      <c r="B2" s="3"/>
      <c r="C2" s="4"/>
      <c r="D2" s="76" t="s">
        <v>1</v>
      </c>
      <c r="E2" s="76"/>
      <c r="F2" s="77" t="s">
        <v>2</v>
      </c>
      <c r="G2" s="77"/>
      <c r="H2" s="77"/>
      <c r="I2" s="77"/>
      <c r="J2" s="77"/>
    </row>
    <row r="4" spans="2:10" x14ac:dyDescent="0.3">
      <c r="B4" s="3" t="s">
        <v>0</v>
      </c>
      <c r="C4" s="4"/>
      <c r="D4" s="3" t="s">
        <v>4</v>
      </c>
      <c r="E4" s="4" t="s">
        <v>4</v>
      </c>
      <c r="F4" s="7" t="s">
        <v>3</v>
      </c>
      <c r="G4" s="7" t="s">
        <v>5</v>
      </c>
      <c r="H4" s="7" t="s">
        <v>6</v>
      </c>
      <c r="I4" s="8" t="s">
        <v>68</v>
      </c>
      <c r="J4" s="8" t="s">
        <v>69</v>
      </c>
    </row>
    <row r="5" spans="2:10" outlineLevel="1" x14ac:dyDescent="0.3">
      <c r="B5" s="1" t="s">
        <v>7</v>
      </c>
      <c r="C5" s="1"/>
      <c r="D5" s="23">
        <v>303075.96000000008</v>
      </c>
      <c r="E5" s="23">
        <v>291559.07</v>
      </c>
      <c r="F5" s="19">
        <f>E5*(1+F6)</f>
        <v>276981.1165</v>
      </c>
      <c r="G5" s="19">
        <f t="shared" ref="G5:J5" si="0">F5*(1+G6)</f>
        <v>272826.3997525</v>
      </c>
      <c r="H5" s="19">
        <f t="shared" si="0"/>
        <v>259457.90616462749</v>
      </c>
      <c r="I5" s="19">
        <f t="shared" si="0"/>
        <v>252971.45851051179</v>
      </c>
      <c r="J5" s="19">
        <f t="shared" si="0"/>
        <v>252971.45851051179</v>
      </c>
    </row>
    <row r="6" spans="2:10" outlineLevel="1" x14ac:dyDescent="0.3">
      <c r="B6" s="42" t="s">
        <v>75</v>
      </c>
      <c r="C6" s="42"/>
      <c r="D6" s="45"/>
      <c r="E6" s="46">
        <f>E5/D5-1</f>
        <v>-3.8000011614250373E-2</v>
      </c>
      <c r="F6" s="57">
        <v>-0.05</v>
      </c>
      <c r="G6" s="57">
        <v>-1.4999999999999999E-2</v>
      </c>
      <c r="H6" s="57">
        <v>-4.9000000000000002E-2</v>
      </c>
      <c r="I6" s="57">
        <v>-2.5000000000000001E-2</v>
      </c>
      <c r="J6" s="57">
        <v>0</v>
      </c>
    </row>
    <row r="7" spans="2:10" outlineLevel="1" x14ac:dyDescent="0.3">
      <c r="B7" s="15" t="s">
        <v>8</v>
      </c>
      <c r="C7" s="15"/>
      <c r="D7" s="38">
        <v>-248219.21</v>
      </c>
      <c r="E7" s="38">
        <v>-245492.74</v>
      </c>
      <c r="F7" s="21">
        <f>-F5*F8</f>
        <v>-244574.3258695</v>
      </c>
      <c r="G7" s="21">
        <f t="shared" ref="G7:J7" si="1">-G5*G8</f>
        <v>-238723.0997834375</v>
      </c>
      <c r="H7" s="21">
        <f t="shared" si="1"/>
        <v>-235068.86298515252</v>
      </c>
      <c r="I7" s="21">
        <f t="shared" si="1"/>
        <v>-220844.08327967679</v>
      </c>
      <c r="J7" s="21">
        <f t="shared" si="1"/>
        <v>-210219.28202223527</v>
      </c>
    </row>
    <row r="8" spans="2:10" outlineLevel="1" x14ac:dyDescent="0.3">
      <c r="B8" s="47" t="s">
        <v>76</v>
      </c>
      <c r="C8" s="47"/>
      <c r="D8" s="72">
        <f>-D7/D5</f>
        <v>0.81899999590861616</v>
      </c>
      <c r="E8" s="72">
        <f>-E7/E5</f>
        <v>0.84200001049530027</v>
      </c>
      <c r="F8" s="72">
        <v>0.88300000000000001</v>
      </c>
      <c r="G8" s="72">
        <v>0.875</v>
      </c>
      <c r="H8" s="72">
        <v>0.90600000000000003</v>
      </c>
      <c r="I8" s="72">
        <v>0.873</v>
      </c>
      <c r="J8" s="72">
        <v>0.83099999999999996</v>
      </c>
    </row>
    <row r="9" spans="2:10" outlineLevel="1" x14ac:dyDescent="0.3">
      <c r="B9" s="1" t="s">
        <v>9</v>
      </c>
      <c r="C9" s="1"/>
      <c r="D9" s="19">
        <f>D5+D7</f>
        <v>54856.750000000087</v>
      </c>
      <c r="E9" s="19">
        <f t="shared" ref="E9:J9" si="2">E5+E7</f>
        <v>46066.330000000016</v>
      </c>
      <c r="F9" s="19">
        <f t="shared" si="2"/>
        <v>32406.790630500007</v>
      </c>
      <c r="G9" s="19">
        <f t="shared" si="2"/>
        <v>34103.2999690625</v>
      </c>
      <c r="H9" s="19">
        <f t="shared" si="2"/>
        <v>24389.043179474975</v>
      </c>
      <c r="I9" s="19">
        <f t="shared" si="2"/>
        <v>32127.375230834994</v>
      </c>
      <c r="J9" s="19">
        <f t="shared" si="2"/>
        <v>42752.176488276513</v>
      </c>
    </row>
    <row r="10" spans="2:10" outlineLevel="1" x14ac:dyDescent="0.3">
      <c r="B10" s="42" t="s">
        <v>76</v>
      </c>
      <c r="C10" s="42"/>
      <c r="D10" s="46">
        <f>D9/D5</f>
        <v>0.18100000409138381</v>
      </c>
      <c r="E10" s="46">
        <f>E9/E5</f>
        <v>0.15799998950469973</v>
      </c>
      <c r="F10" s="46">
        <f>F9/F5</f>
        <v>0.11700000000000002</v>
      </c>
      <c r="G10" s="46">
        <f t="shared" ref="G10:J10" si="3">G9/G5</f>
        <v>0.125</v>
      </c>
      <c r="H10" s="46">
        <f t="shared" si="3"/>
        <v>9.3999999999999959E-2</v>
      </c>
      <c r="I10" s="46">
        <f t="shared" si="3"/>
        <v>0.127</v>
      </c>
      <c r="J10" s="46">
        <f t="shared" si="3"/>
        <v>0.16900000000000009</v>
      </c>
    </row>
    <row r="11" spans="2:10" outlineLevel="1" x14ac:dyDescent="0.3">
      <c r="B11" s="15" t="s">
        <v>10</v>
      </c>
      <c r="C11" s="15"/>
      <c r="D11" s="38">
        <v>-24883.21</v>
      </c>
      <c r="E11" s="38">
        <v>-24782.52</v>
      </c>
      <c r="F11" s="21">
        <f>-F5*F12</f>
        <v>-24374.338251999998</v>
      </c>
      <c r="G11" s="21">
        <f t="shared" ref="G11:J11" si="4">-G5*G12</f>
        <v>-23463.070378714998</v>
      </c>
      <c r="H11" s="21">
        <f t="shared" si="4"/>
        <v>-22053.922023993338</v>
      </c>
      <c r="I11" s="21">
        <f t="shared" si="4"/>
        <v>-22767.431265946059</v>
      </c>
      <c r="J11" s="21">
        <f t="shared" si="4"/>
        <v>-19731.773763819918</v>
      </c>
    </row>
    <row r="12" spans="2:10" outlineLevel="1" x14ac:dyDescent="0.3">
      <c r="B12" s="47" t="s">
        <v>76</v>
      </c>
      <c r="C12" s="47"/>
      <c r="D12" s="72">
        <f>-D11/D5</f>
        <v>8.2102222822291793E-2</v>
      </c>
      <c r="E12" s="72">
        <f>-E11/E5</f>
        <v>8.4999996741655134E-2</v>
      </c>
      <c r="F12" s="72">
        <v>8.7999999999999995E-2</v>
      </c>
      <c r="G12" s="72">
        <v>8.5999999999999993E-2</v>
      </c>
      <c r="H12" s="72">
        <v>8.5000000000000006E-2</v>
      </c>
      <c r="I12" s="72">
        <v>0.09</v>
      </c>
      <c r="J12" s="72">
        <v>7.8E-2</v>
      </c>
    </row>
    <row r="13" spans="2:10" outlineLevel="1" x14ac:dyDescent="0.3">
      <c r="B13" s="1" t="s">
        <v>11</v>
      </c>
      <c r="C13" s="1"/>
      <c r="D13" s="25">
        <f>D9+D11</f>
        <v>29973.540000000088</v>
      </c>
      <c r="E13" s="25">
        <f t="shared" ref="E13:J13" si="5">E9+E11</f>
        <v>21283.810000000016</v>
      </c>
      <c r="F13" s="25">
        <f t="shared" si="5"/>
        <v>8032.4523785000092</v>
      </c>
      <c r="G13" s="25">
        <f t="shared" si="5"/>
        <v>10640.229590347502</v>
      </c>
      <c r="H13" s="25">
        <f t="shared" si="5"/>
        <v>2335.1211554816364</v>
      </c>
      <c r="I13" s="25">
        <f t="shared" si="5"/>
        <v>9359.9439648889347</v>
      </c>
      <c r="J13" s="25">
        <f t="shared" si="5"/>
        <v>23020.402724456595</v>
      </c>
    </row>
    <row r="14" spans="2:10" outlineLevel="1" x14ac:dyDescent="0.3">
      <c r="B14" s="2" t="s">
        <v>12</v>
      </c>
      <c r="C14" s="2" t="s">
        <v>79</v>
      </c>
      <c r="D14" s="24">
        <v>-3600</v>
      </c>
      <c r="E14" s="24">
        <v>-3600</v>
      </c>
      <c r="F14" s="29">
        <f ca="1">-F94</f>
        <v>-3000</v>
      </c>
      <c r="G14" s="29">
        <f t="shared" ref="G14:J14" ca="1" si="6">-G94</f>
        <v>-2600</v>
      </c>
      <c r="H14" s="29">
        <f t="shared" ca="1" si="6"/>
        <v>-2285.2266924841106</v>
      </c>
      <c r="I14" s="29">
        <f t="shared" ca="1" si="6"/>
        <v>-2138.119521354321</v>
      </c>
      <c r="J14" s="29">
        <f t="shared" ca="1" si="6"/>
        <v>-1842.6509019369769</v>
      </c>
    </row>
    <row r="15" spans="2:10" outlineLevel="1" x14ac:dyDescent="0.3">
      <c r="B15" s="1" t="s">
        <v>13</v>
      </c>
      <c r="C15" s="1"/>
      <c r="D15" s="19">
        <f>D13+D14</f>
        <v>26373.540000000088</v>
      </c>
      <c r="E15" s="19">
        <f t="shared" ref="E15:J15" si="7">E13+E14</f>
        <v>17683.810000000016</v>
      </c>
      <c r="F15" s="19">
        <f t="shared" ca="1" si="7"/>
        <v>5032.4523785000092</v>
      </c>
      <c r="G15" s="19">
        <f t="shared" ca="1" si="7"/>
        <v>8040.2295903475024</v>
      </c>
      <c r="H15" s="19">
        <f t="shared" ca="1" si="7"/>
        <v>49.894462997525807</v>
      </c>
      <c r="I15" s="19">
        <f t="shared" ca="1" si="7"/>
        <v>7221.8244435346132</v>
      </c>
      <c r="J15" s="19">
        <f t="shared" ca="1" si="7"/>
        <v>21177.751822519618</v>
      </c>
    </row>
    <row r="16" spans="2:10" outlineLevel="1" x14ac:dyDescent="0.3">
      <c r="B16" s="15" t="s">
        <v>14</v>
      </c>
      <c r="C16" s="15"/>
      <c r="D16" s="38">
        <v>-9230.74</v>
      </c>
      <c r="E16" s="38">
        <v>-6189.33</v>
      </c>
      <c r="F16" s="21">
        <f ca="1">-F15*F17</f>
        <v>-1761.3583324750032</v>
      </c>
      <c r="G16" s="21">
        <f t="shared" ref="G16:J16" ca="1" si="8">-G15*G17</f>
        <v>-2814.0803566216255</v>
      </c>
      <c r="H16" s="21">
        <f t="shared" ca="1" si="8"/>
        <v>-17.463062049134031</v>
      </c>
      <c r="I16" s="21">
        <f t="shared" ca="1" si="8"/>
        <v>-2527.6385552371144</v>
      </c>
      <c r="J16" s="21">
        <f t="shared" ca="1" si="8"/>
        <v>-7412.2131378818658</v>
      </c>
    </row>
    <row r="17" spans="2:10" outlineLevel="1" x14ac:dyDescent="0.3">
      <c r="B17" s="39" t="s">
        <v>66</v>
      </c>
      <c r="C17" s="39"/>
      <c r="D17" s="71"/>
      <c r="E17" s="71"/>
      <c r="F17" s="71">
        <v>0.35</v>
      </c>
      <c r="G17" s="71">
        <v>0.35</v>
      </c>
      <c r="H17" s="71">
        <v>0.35</v>
      </c>
      <c r="I17" s="71">
        <v>0.35</v>
      </c>
      <c r="J17" s="71">
        <v>0.35</v>
      </c>
    </row>
    <row r="18" spans="2:10" outlineLevel="1" x14ac:dyDescent="0.3">
      <c r="B18" s="1" t="s">
        <v>15</v>
      </c>
      <c r="C18" s="1"/>
      <c r="D18" s="19">
        <f>D15+D16</f>
        <v>17142.80000000009</v>
      </c>
      <c r="E18" s="19">
        <f t="shared" ref="E18:J18" si="9">E15+E16</f>
        <v>11494.480000000016</v>
      </c>
      <c r="F18" s="19">
        <f t="shared" ca="1" si="9"/>
        <v>3271.0940460250058</v>
      </c>
      <c r="G18" s="19">
        <f t="shared" ca="1" si="9"/>
        <v>5226.1492337258769</v>
      </c>
      <c r="H18" s="19">
        <f t="shared" ca="1" si="9"/>
        <v>32.431400948391776</v>
      </c>
      <c r="I18" s="19">
        <f t="shared" ca="1" si="9"/>
        <v>4694.1858882974993</v>
      </c>
      <c r="J18" s="19">
        <f t="shared" ca="1" si="9"/>
        <v>13765.538684637751</v>
      </c>
    </row>
    <row r="19" spans="2:10" outlineLevel="1" x14ac:dyDescent="0.3">
      <c r="B19" s="1"/>
      <c r="C19" s="1"/>
      <c r="D19" s="19"/>
      <c r="E19" s="19"/>
      <c r="F19" s="19"/>
      <c r="G19" s="19"/>
      <c r="H19" s="19"/>
      <c r="I19" s="26"/>
      <c r="J19" s="26"/>
    </row>
    <row r="20" spans="2:10" outlineLevel="1" x14ac:dyDescent="0.3">
      <c r="B20" s="17" t="s">
        <v>11</v>
      </c>
      <c r="C20" s="17"/>
      <c r="D20" s="21">
        <f>D13</f>
        <v>29973.540000000088</v>
      </c>
      <c r="E20" s="21">
        <f t="shared" ref="E20:J20" si="10">E13</f>
        <v>21283.810000000016</v>
      </c>
      <c r="F20" s="21">
        <f t="shared" si="10"/>
        <v>8032.4523785000092</v>
      </c>
      <c r="G20" s="21">
        <f t="shared" si="10"/>
        <v>10640.229590347502</v>
      </c>
      <c r="H20" s="21">
        <f t="shared" si="10"/>
        <v>2335.1211554816364</v>
      </c>
      <c r="I20" s="21">
        <f t="shared" si="10"/>
        <v>9359.9439648889347</v>
      </c>
      <c r="J20" s="21">
        <f t="shared" si="10"/>
        <v>23020.402724456595</v>
      </c>
    </row>
    <row r="21" spans="2:10" outlineLevel="1" x14ac:dyDescent="0.3">
      <c r="B21" s="17" t="s">
        <v>35</v>
      </c>
      <c r="C21" s="17"/>
      <c r="D21" s="21">
        <v>10800.12</v>
      </c>
      <c r="E21" s="21">
        <v>10389.790000000001</v>
      </c>
      <c r="F21" s="33">
        <f>F99</f>
        <v>-9870.2650244182332</v>
      </c>
      <c r="G21" s="33">
        <f t="shared" ref="G21:J21" si="11">G99</f>
        <v>-9722.211049051959</v>
      </c>
      <c r="H21" s="33">
        <f t="shared" si="11"/>
        <v>-9245.8227076484127</v>
      </c>
      <c r="I21" s="33">
        <f t="shared" si="11"/>
        <v>-9014.6771399572026</v>
      </c>
      <c r="J21" s="33">
        <f t="shared" si="11"/>
        <v>-9014.6771399572026</v>
      </c>
    </row>
    <row r="22" spans="2:10" outlineLevel="1" x14ac:dyDescent="0.3">
      <c r="B22" s="18" t="s">
        <v>36</v>
      </c>
      <c r="C22" s="18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2:10" outlineLevel="1" x14ac:dyDescent="0.3">
      <c r="B23" s="5" t="s">
        <v>65</v>
      </c>
      <c r="C23" s="5"/>
      <c r="D23" s="22">
        <f>SUM(D20:D22)</f>
        <v>40773.660000000091</v>
      </c>
      <c r="E23" s="22">
        <f t="shared" ref="E23:J23" si="12">SUM(E20:E22)</f>
        <v>31673.600000000017</v>
      </c>
      <c r="F23" s="22">
        <f t="shared" si="12"/>
        <v>-1837.812645918224</v>
      </c>
      <c r="G23" s="22">
        <f t="shared" si="12"/>
        <v>918.0185412955434</v>
      </c>
      <c r="H23" s="22">
        <f t="shared" si="12"/>
        <v>-6910.7015521667763</v>
      </c>
      <c r="I23" s="22">
        <f t="shared" si="12"/>
        <v>345.26682493173212</v>
      </c>
      <c r="J23" s="22">
        <f t="shared" si="12"/>
        <v>14005.725584499392</v>
      </c>
    </row>
    <row r="24" spans="2:10" x14ac:dyDescent="0.3">
      <c r="D24" s="26"/>
      <c r="E24" s="26"/>
      <c r="F24" s="26"/>
      <c r="G24" s="26"/>
      <c r="H24" s="26"/>
      <c r="I24" s="26"/>
      <c r="J24" s="26"/>
    </row>
    <row r="25" spans="2:10" x14ac:dyDescent="0.3">
      <c r="B25" s="3" t="s">
        <v>16</v>
      </c>
      <c r="C25" s="4"/>
      <c r="D25" s="4" t="s">
        <v>4</v>
      </c>
      <c r="E25" s="4" t="s">
        <v>4</v>
      </c>
      <c r="F25" s="8" t="s">
        <v>3</v>
      </c>
      <c r="G25" s="8" t="s">
        <v>5</v>
      </c>
      <c r="H25" s="8" t="s">
        <v>6</v>
      </c>
      <c r="I25" s="8" t="s">
        <v>68</v>
      </c>
      <c r="J25" s="8" t="s">
        <v>69</v>
      </c>
    </row>
    <row r="26" spans="2:10" outlineLevel="1" x14ac:dyDescent="0.3">
      <c r="B26" s="9" t="s">
        <v>17</v>
      </c>
      <c r="C26" s="9"/>
      <c r="D26" s="23">
        <v>7440.26</v>
      </c>
      <c r="E26" s="23">
        <v>14498.2</v>
      </c>
      <c r="F26" s="30">
        <f ca="1">E26+F72</f>
        <v>11179.75294622945</v>
      </c>
      <c r="G26" s="30">
        <f t="shared" ref="G26:J26" ca="1" si="13">F26+G72</f>
        <v>9026.7452419385772</v>
      </c>
      <c r="H26" s="30">
        <f t="shared" ca="1" si="13"/>
        <v>2000</v>
      </c>
      <c r="I26" s="30">
        <f t="shared" ca="1" si="13"/>
        <v>2000</v>
      </c>
      <c r="J26" s="30">
        <f t="shared" ca="1" si="13"/>
        <v>2000.0000000000127</v>
      </c>
    </row>
    <row r="27" spans="2:10" outlineLevel="1" x14ac:dyDescent="0.3">
      <c r="B27" s="9" t="s">
        <v>18</v>
      </c>
      <c r="C27" s="9"/>
      <c r="D27" s="23">
        <v>31840.560000000001</v>
      </c>
      <c r="E27" s="23">
        <v>30630.62</v>
      </c>
      <c r="F27" s="19">
        <f>F5/365*F48</f>
        <v>29595.242584931508</v>
      </c>
      <c r="G27" s="19">
        <f t="shared" ref="G27:J27" si="14">G5/365*G48</f>
        <v>28662.602277569116</v>
      </c>
      <c r="H27" s="19">
        <f t="shared" si="14"/>
        <v>29855.430298395495</v>
      </c>
      <c r="I27" s="19">
        <f t="shared" si="14"/>
        <v>31188.262008145288</v>
      </c>
      <c r="J27" s="19">
        <f t="shared" si="14"/>
        <v>31881.334497215183</v>
      </c>
    </row>
    <row r="28" spans="2:10" outlineLevel="1" x14ac:dyDescent="0.3">
      <c r="B28" s="9" t="s">
        <v>19</v>
      </c>
      <c r="C28" s="9"/>
      <c r="D28" s="23">
        <v>18999.017</v>
      </c>
      <c r="E28" s="23">
        <v>18790.330000000002</v>
      </c>
      <c r="F28" s="19">
        <f>-F7/365*F49</f>
        <v>18720.032914145533</v>
      </c>
      <c r="G28" s="19">
        <f t="shared" ref="G28:J28" si="15">-G7/365*G49</f>
        <v>18272.172557054568</v>
      </c>
      <c r="H28" s="19">
        <f t="shared" si="15"/>
        <v>17992.472580792637</v>
      </c>
      <c r="I28" s="19">
        <f t="shared" si="15"/>
        <v>16903.689678759572</v>
      </c>
      <c r="J28" s="19">
        <f t="shared" si="15"/>
        <v>16090.453749197255</v>
      </c>
    </row>
    <row r="29" spans="2:10" outlineLevel="1" x14ac:dyDescent="0.3">
      <c r="B29" s="9" t="s">
        <v>67</v>
      </c>
      <c r="C29" s="9"/>
      <c r="D29" s="23">
        <v>1849</v>
      </c>
      <c r="E29" s="23">
        <v>1849</v>
      </c>
      <c r="F29" s="25">
        <f>-F7*F51</f>
        <v>1831.9658623432863</v>
      </c>
      <c r="G29" s="25">
        <f t="shared" ref="G29:J29" si="16">-G7*G51</f>
        <v>1788.1376869842807</v>
      </c>
      <c r="H29" s="25">
        <f t="shared" si="16"/>
        <v>1760.7658970648893</v>
      </c>
      <c r="I29" s="25">
        <f t="shared" si="16"/>
        <v>1654.2162388898532</v>
      </c>
      <c r="J29" s="25">
        <f t="shared" si="16"/>
        <v>1574.6319524827811</v>
      </c>
    </row>
    <row r="30" spans="2:10" outlineLevel="1" x14ac:dyDescent="0.3">
      <c r="B30" s="10" t="s">
        <v>21</v>
      </c>
      <c r="C30" s="10"/>
      <c r="D30" s="24">
        <v>12187.14</v>
      </c>
      <c r="E30" s="24">
        <v>12797.35</v>
      </c>
      <c r="F30" s="29">
        <f>F101</f>
        <v>15427.084975581765</v>
      </c>
      <c r="G30" s="29">
        <f t="shared" ref="G30:J30" si="17">G101</f>
        <v>18704.873926529806</v>
      </c>
      <c r="H30" s="29">
        <f t="shared" si="17"/>
        <v>22959.051218881395</v>
      </c>
      <c r="I30" s="29">
        <f t="shared" si="17"/>
        <v>27944.374078924193</v>
      </c>
      <c r="J30" s="29">
        <f t="shared" si="17"/>
        <v>33429.69693896699</v>
      </c>
    </row>
    <row r="31" spans="2:10" outlineLevel="1" x14ac:dyDescent="0.3">
      <c r="B31" s="1" t="s">
        <v>20</v>
      </c>
      <c r="C31" s="1"/>
      <c r="D31" s="19">
        <f>SUM(D26:D30)</f>
        <v>72315.976999999999</v>
      </c>
      <c r="E31" s="19">
        <f t="shared" ref="E31:J31" si="18">SUM(E26:E30)</f>
        <v>78565.5</v>
      </c>
      <c r="F31" s="19">
        <f t="shared" ca="1" si="18"/>
        <v>76754.079283231549</v>
      </c>
      <c r="G31" s="19">
        <f t="shared" ca="1" si="18"/>
        <v>76454.531690076343</v>
      </c>
      <c r="H31" s="19">
        <f t="shared" ca="1" si="18"/>
        <v>74567.719995134423</v>
      </c>
      <c r="I31" s="19">
        <f t="shared" ca="1" si="18"/>
        <v>79690.542004718911</v>
      </c>
      <c r="J31" s="19">
        <f t="shared" ca="1" si="18"/>
        <v>84976.117137862224</v>
      </c>
    </row>
    <row r="32" spans="2:10" outlineLevel="1" x14ac:dyDescent="0.3">
      <c r="D32" s="19"/>
      <c r="E32" s="19"/>
      <c r="F32" s="19"/>
      <c r="G32" s="19"/>
      <c r="H32" s="19"/>
    </row>
    <row r="33" spans="2:10" outlineLevel="1" x14ac:dyDescent="0.3">
      <c r="B33" s="9" t="s">
        <v>22</v>
      </c>
      <c r="C33" s="9"/>
      <c r="D33" s="23">
        <v>22300.98</v>
      </c>
      <c r="E33" s="23">
        <v>22056.02</v>
      </c>
      <c r="F33" s="19">
        <f>-F7/365*F50</f>
        <v>21973.505237206537</v>
      </c>
      <c r="G33" s="19">
        <f t="shared" ref="G33:J33" si="19">-G7/365*G50</f>
        <v>21447.808410325466</v>
      </c>
      <c r="H33" s="19">
        <f t="shared" si="19"/>
        <v>21119.497615070723</v>
      </c>
      <c r="I33" s="19">
        <f t="shared" si="19"/>
        <v>19841.488280913709</v>
      </c>
      <c r="J33" s="19">
        <f t="shared" si="19"/>
        <v>18886.914961557035</v>
      </c>
    </row>
    <row r="34" spans="2:10" outlineLevel="1" x14ac:dyDescent="0.3">
      <c r="B34" s="9" t="s">
        <v>53</v>
      </c>
      <c r="C34" s="9"/>
      <c r="D34" s="23">
        <v>0</v>
      </c>
      <c r="E34" s="23">
        <v>0</v>
      </c>
      <c r="F34" s="25">
        <f ca="1">F83</f>
        <v>0</v>
      </c>
      <c r="G34" s="25">
        <f t="shared" ref="G34:J34" ca="1" si="20">G83</f>
        <v>0</v>
      </c>
      <c r="H34" s="25">
        <f t="shared" ca="1" si="20"/>
        <v>3409.0676993644192</v>
      </c>
      <c r="I34" s="25">
        <f t="shared" ca="1" si="20"/>
        <v>10115.713154808423</v>
      </c>
      <c r="J34" s="25">
        <f t="shared" ca="1" si="20"/>
        <v>7590.322922670648</v>
      </c>
    </row>
    <row r="35" spans="2:10" outlineLevel="1" x14ac:dyDescent="0.3">
      <c r="B35" s="10" t="s">
        <v>23</v>
      </c>
      <c r="C35" s="10"/>
      <c r="D35" s="24">
        <v>5000</v>
      </c>
      <c r="E35" s="24">
        <v>5000</v>
      </c>
      <c r="F35" s="29">
        <f>F86</f>
        <v>5000</v>
      </c>
      <c r="G35" s="29">
        <f t="shared" ref="G35:J35" si="21">G86</f>
        <v>5000</v>
      </c>
      <c r="H35" s="29">
        <f t="shared" si="21"/>
        <v>5000</v>
      </c>
      <c r="I35" s="29">
        <f t="shared" si="21"/>
        <v>5000</v>
      </c>
      <c r="J35" s="29">
        <f t="shared" si="21"/>
        <v>5000</v>
      </c>
    </row>
    <row r="36" spans="2:10" outlineLevel="1" x14ac:dyDescent="0.3">
      <c r="B36" s="1" t="s">
        <v>24</v>
      </c>
      <c r="C36" s="1"/>
      <c r="D36" s="19">
        <f>SUM(D33:D35)</f>
        <v>27300.98</v>
      </c>
      <c r="E36" s="19">
        <f t="shared" ref="E36:J36" si="22">SUM(E33:E35)</f>
        <v>27056.02</v>
      </c>
      <c r="F36" s="19">
        <f t="shared" ca="1" si="22"/>
        <v>26973.505237206537</v>
      </c>
      <c r="G36" s="19">
        <f t="shared" ca="1" si="22"/>
        <v>26447.808410325466</v>
      </c>
      <c r="H36" s="19">
        <f t="shared" ca="1" si="22"/>
        <v>29528.565314435142</v>
      </c>
      <c r="I36" s="19">
        <f t="shared" ca="1" si="22"/>
        <v>34957.201435722134</v>
      </c>
      <c r="J36" s="19">
        <f t="shared" ca="1" si="22"/>
        <v>31477.237884227681</v>
      </c>
    </row>
    <row r="37" spans="2:10" outlineLevel="1" x14ac:dyDescent="0.3">
      <c r="B37" s="1"/>
      <c r="C37" s="1"/>
      <c r="D37" s="19"/>
      <c r="E37" s="19"/>
      <c r="F37" s="19"/>
      <c r="G37" s="19"/>
      <c r="H37" s="19"/>
    </row>
    <row r="38" spans="2:10" outlineLevel="1" x14ac:dyDescent="0.3">
      <c r="B38" s="10" t="s">
        <v>25</v>
      </c>
      <c r="C38" s="10"/>
      <c r="D38" s="24">
        <v>40000</v>
      </c>
      <c r="E38" s="24">
        <v>35000</v>
      </c>
      <c r="F38" s="29">
        <f>F87</f>
        <v>30000</v>
      </c>
      <c r="G38" s="29">
        <f t="shared" ref="G38:J38" si="23">G87</f>
        <v>25000</v>
      </c>
      <c r="H38" s="29">
        <f t="shared" si="23"/>
        <v>20000</v>
      </c>
      <c r="I38" s="29">
        <f t="shared" si="23"/>
        <v>15000</v>
      </c>
      <c r="J38" s="29">
        <f t="shared" si="23"/>
        <v>10000</v>
      </c>
    </row>
    <row r="39" spans="2:10" outlineLevel="1" x14ac:dyDescent="0.3">
      <c r="B39" s="1" t="s">
        <v>26</v>
      </c>
      <c r="C39" s="1"/>
      <c r="D39" s="19">
        <f>D36+D38</f>
        <v>67300.98</v>
      </c>
      <c r="E39" s="19">
        <f t="shared" ref="E39:J39" si="24">E36+E38</f>
        <v>62056.020000000004</v>
      </c>
      <c r="F39" s="19">
        <f t="shared" ca="1" si="24"/>
        <v>56973.50523720654</v>
      </c>
      <c r="G39" s="19">
        <f t="shared" ca="1" si="24"/>
        <v>51447.808410325466</v>
      </c>
      <c r="H39" s="19">
        <f t="shared" ca="1" si="24"/>
        <v>49528.565314435138</v>
      </c>
      <c r="I39" s="19">
        <f t="shared" ca="1" si="24"/>
        <v>49957.201435722134</v>
      </c>
      <c r="J39" s="19">
        <f t="shared" ca="1" si="24"/>
        <v>41477.237884227681</v>
      </c>
    </row>
    <row r="40" spans="2:10" outlineLevel="1" x14ac:dyDescent="0.3">
      <c r="D40" s="19"/>
      <c r="E40" s="19"/>
      <c r="F40" s="19"/>
      <c r="G40" s="19"/>
      <c r="H40" s="19"/>
    </row>
    <row r="41" spans="2:10" outlineLevel="1" x14ac:dyDescent="0.3">
      <c r="B41" s="9" t="s">
        <v>27</v>
      </c>
      <c r="C41" s="9"/>
      <c r="D41" s="23">
        <v>15</v>
      </c>
      <c r="E41" s="23">
        <v>15</v>
      </c>
      <c r="F41" s="23">
        <v>15</v>
      </c>
      <c r="G41" s="23">
        <v>15</v>
      </c>
      <c r="H41" s="23">
        <v>15</v>
      </c>
      <c r="I41" s="23">
        <v>15</v>
      </c>
      <c r="J41" s="23">
        <v>15</v>
      </c>
    </row>
    <row r="42" spans="2:10" outlineLevel="1" x14ac:dyDescent="0.3">
      <c r="B42" s="9" t="s">
        <v>70</v>
      </c>
      <c r="C42" s="9"/>
      <c r="D42" s="23">
        <v>5000</v>
      </c>
      <c r="E42" s="23">
        <v>5000</v>
      </c>
      <c r="F42" s="23">
        <v>5000</v>
      </c>
      <c r="G42" s="23">
        <v>5000</v>
      </c>
      <c r="H42" s="23">
        <v>5000</v>
      </c>
      <c r="I42" s="23">
        <v>5000</v>
      </c>
      <c r="J42" s="23">
        <v>5000</v>
      </c>
    </row>
    <row r="43" spans="2:10" outlineLevel="1" x14ac:dyDescent="0.3">
      <c r="B43" s="10" t="s">
        <v>28</v>
      </c>
      <c r="C43" s="10"/>
      <c r="D43" s="24">
        <v>0</v>
      </c>
      <c r="E43" s="24">
        <v>11494.48</v>
      </c>
      <c r="F43" s="20">
        <f ca="1">E43+F18</f>
        <v>14765.574046025005</v>
      </c>
      <c r="G43" s="20">
        <f t="shared" ref="G43:J43" ca="1" si="25">F43+G18</f>
        <v>19991.723279750884</v>
      </c>
      <c r="H43" s="20">
        <f t="shared" ca="1" si="25"/>
        <v>20024.154680699277</v>
      </c>
      <c r="I43" s="20">
        <f t="shared" ca="1" si="25"/>
        <v>24718.340568996777</v>
      </c>
      <c r="J43" s="20">
        <f t="shared" ca="1" si="25"/>
        <v>38483.879253634528</v>
      </c>
    </row>
    <row r="44" spans="2:10" outlineLevel="1" x14ac:dyDescent="0.3">
      <c r="B44" s="5" t="s">
        <v>29</v>
      </c>
      <c r="C44" s="5"/>
      <c r="D44" s="22">
        <f>SUM(D41:D43)</f>
        <v>5015</v>
      </c>
      <c r="E44" s="22">
        <f t="shared" ref="E44:J44" si="26">SUM(E41:E43)</f>
        <v>16509.48</v>
      </c>
      <c r="F44" s="22">
        <f t="shared" ca="1" si="26"/>
        <v>19780.574046025005</v>
      </c>
      <c r="G44" s="22">
        <f t="shared" ca="1" si="26"/>
        <v>25006.723279750884</v>
      </c>
      <c r="H44" s="22">
        <f t="shared" ca="1" si="26"/>
        <v>25039.154680699277</v>
      </c>
      <c r="I44" s="22">
        <f t="shared" ca="1" si="26"/>
        <v>29733.340568996777</v>
      </c>
      <c r="J44" s="22">
        <f t="shared" ca="1" si="26"/>
        <v>43498.879253634528</v>
      </c>
    </row>
    <row r="45" spans="2:10" outlineLevel="1" x14ac:dyDescent="0.3">
      <c r="B45" s="5" t="s">
        <v>30</v>
      </c>
      <c r="C45" s="5"/>
      <c r="D45" s="22">
        <f>D39+D44</f>
        <v>72315.98</v>
      </c>
      <c r="E45" s="22">
        <f t="shared" ref="E45:J45" si="27">E39+E44</f>
        <v>78565.5</v>
      </c>
      <c r="F45" s="22">
        <f t="shared" ca="1" si="27"/>
        <v>76754.079283231549</v>
      </c>
      <c r="G45" s="22">
        <f t="shared" ca="1" si="27"/>
        <v>76454.531690076343</v>
      </c>
      <c r="H45" s="22">
        <f t="shared" ca="1" si="27"/>
        <v>74567.719995134423</v>
      </c>
      <c r="I45" s="22">
        <f t="shared" ca="1" si="27"/>
        <v>79690.542004718911</v>
      </c>
      <c r="J45" s="22">
        <f t="shared" ca="1" si="27"/>
        <v>84976.117137862209</v>
      </c>
    </row>
    <row r="46" spans="2:10" outlineLevel="1" x14ac:dyDescent="0.3">
      <c r="B46" s="6" t="s">
        <v>31</v>
      </c>
      <c r="C46" s="6"/>
      <c r="D46" s="28">
        <f>D31-D45</f>
        <v>-2.9999999969732016E-3</v>
      </c>
      <c r="E46" s="28">
        <f t="shared" ref="E46" si="28">E31-E45</f>
        <v>0</v>
      </c>
      <c r="F46" s="28">
        <f t="shared" ref="F46" ca="1" si="29">F31-F45</f>
        <v>0</v>
      </c>
      <c r="G46" s="28">
        <f t="shared" ref="G46" ca="1" si="30">G31-G45</f>
        <v>0</v>
      </c>
      <c r="H46" s="28">
        <f t="shared" ref="H46" ca="1" si="31">H31-H45</f>
        <v>0</v>
      </c>
      <c r="I46" s="28">
        <f t="shared" ref="I46" ca="1" si="32">I31-I45</f>
        <v>0</v>
      </c>
      <c r="J46" s="28">
        <f t="shared" ref="J46" ca="1" si="33">J31-J45</f>
        <v>0</v>
      </c>
    </row>
    <row r="47" spans="2:10" outlineLevel="1" x14ac:dyDescent="0.3">
      <c r="B47" s="40" t="s">
        <v>74</v>
      </c>
      <c r="C47" s="40"/>
      <c r="D47" s="41"/>
      <c r="E47" s="41"/>
      <c r="F47" s="41"/>
      <c r="G47" s="41"/>
      <c r="H47" s="41"/>
      <c r="I47" s="41"/>
      <c r="J47" s="41"/>
    </row>
    <row r="48" spans="2:10" outlineLevel="1" x14ac:dyDescent="0.3">
      <c r="B48" s="42" t="s">
        <v>71</v>
      </c>
      <c r="C48" s="42"/>
      <c r="D48" s="43">
        <f>D27/D5*365</f>
        <v>38.346176978207041</v>
      </c>
      <c r="E48" s="43">
        <f>E27/E5*365</f>
        <v>38.346179043581117</v>
      </c>
      <c r="F48" s="43">
        <v>39</v>
      </c>
      <c r="G48" s="43">
        <v>38.346178525257841</v>
      </c>
      <c r="H48" s="43">
        <v>42</v>
      </c>
      <c r="I48" s="43">
        <v>45</v>
      </c>
      <c r="J48" s="43">
        <v>46</v>
      </c>
    </row>
    <row r="49" spans="2:10" outlineLevel="1" x14ac:dyDescent="0.3">
      <c r="B49" s="42" t="s">
        <v>72</v>
      </c>
      <c r="C49" s="42"/>
      <c r="D49" s="44">
        <f>D28/-D7*365</f>
        <v>27.937568591085274</v>
      </c>
      <c r="E49" s="44">
        <f>E28/-E7*365</f>
        <v>27.937569355411494</v>
      </c>
      <c r="F49" s="43">
        <v>27.937568628151809</v>
      </c>
      <c r="G49" s="43">
        <v>27.937568628151809</v>
      </c>
      <c r="H49" s="43">
        <v>27.937568628151809</v>
      </c>
      <c r="I49" s="43">
        <v>27.937568628151809</v>
      </c>
      <c r="J49" s="43">
        <v>27.937568628151809</v>
      </c>
    </row>
    <row r="50" spans="2:10" outlineLevel="1" x14ac:dyDescent="0.3">
      <c r="B50" s="42" t="s">
        <v>73</v>
      </c>
      <c r="C50" s="42"/>
      <c r="D50" s="44">
        <f>D33/-D7*365</f>
        <v>32.793020733568525</v>
      </c>
      <c r="E50" s="44">
        <f>E33/-E7*365</f>
        <v>32.793015793460938</v>
      </c>
      <c r="F50" s="74">
        <v>32.793014487791638</v>
      </c>
      <c r="G50" s="74">
        <v>32.793014487791638</v>
      </c>
      <c r="H50" s="74">
        <v>32.793014487791638</v>
      </c>
      <c r="I50" s="74">
        <v>32.793014487791638</v>
      </c>
      <c r="J50" s="74">
        <v>32.793014487791638</v>
      </c>
    </row>
    <row r="51" spans="2:10" outlineLevel="1" x14ac:dyDescent="0.3">
      <c r="B51" s="42" t="s">
        <v>80</v>
      </c>
      <c r="C51" s="42"/>
      <c r="D51" s="73">
        <f>D29/D5</f>
        <v>6.100780807557285E-3</v>
      </c>
      <c r="E51" s="73">
        <f>E29/E5</f>
        <v>6.3417680677881156E-3</v>
      </c>
      <c r="F51" s="75">
        <v>7.4904258892684707E-3</v>
      </c>
      <c r="G51" s="75">
        <v>7.4904258892684707E-3</v>
      </c>
      <c r="H51" s="75">
        <v>7.4904258892684707E-3</v>
      </c>
      <c r="I51" s="75">
        <v>7.4904258892684707E-3</v>
      </c>
      <c r="J51" s="75">
        <v>7.4904258892684707E-3</v>
      </c>
    </row>
    <row r="53" spans="2:10" x14ac:dyDescent="0.3">
      <c r="B53" s="3" t="s">
        <v>32</v>
      </c>
      <c r="C53" s="4"/>
      <c r="D53" s="4" t="s">
        <v>4</v>
      </c>
      <c r="E53" s="4" t="s">
        <v>4</v>
      </c>
      <c r="F53" s="8" t="s">
        <v>3</v>
      </c>
      <c r="G53" s="8" t="s">
        <v>5</v>
      </c>
      <c r="H53" s="8" t="s">
        <v>6</v>
      </c>
      <c r="I53" s="8" t="s">
        <v>68</v>
      </c>
      <c r="J53" s="8" t="s">
        <v>69</v>
      </c>
    </row>
    <row r="54" spans="2:10" outlineLevel="1" x14ac:dyDescent="0.3">
      <c r="B54" s="1" t="s">
        <v>33</v>
      </c>
      <c r="C54" s="1"/>
      <c r="D54" s="27"/>
      <c r="E54" s="27"/>
      <c r="F54" s="27"/>
      <c r="G54" s="27"/>
      <c r="H54" s="27"/>
      <c r="I54" s="27"/>
      <c r="J54" s="27"/>
    </row>
    <row r="55" spans="2:10" outlineLevel="1" x14ac:dyDescent="0.3">
      <c r="B55" s="11" t="s">
        <v>15</v>
      </c>
      <c r="C55" s="11"/>
      <c r="D55" s="27"/>
      <c r="E55" s="27"/>
      <c r="F55" s="27">
        <f ca="1">F18</f>
        <v>3271.0940460250058</v>
      </c>
      <c r="G55" s="27">
        <f t="shared" ref="G55:J55" ca="1" si="34">G18</f>
        <v>5226.1492337258769</v>
      </c>
      <c r="H55" s="27">
        <f t="shared" ca="1" si="34"/>
        <v>32.431400948391776</v>
      </c>
      <c r="I55" s="27">
        <f t="shared" ca="1" si="34"/>
        <v>4694.1858882974993</v>
      </c>
      <c r="J55" s="27">
        <f t="shared" ca="1" si="34"/>
        <v>13765.538684637751</v>
      </c>
    </row>
    <row r="56" spans="2:10" outlineLevel="1" x14ac:dyDescent="0.3">
      <c r="B56" s="37" t="s">
        <v>34</v>
      </c>
      <c r="C56" s="37"/>
      <c r="D56" s="27"/>
      <c r="E56" s="27"/>
      <c r="F56" s="27"/>
      <c r="G56" s="27"/>
      <c r="H56" s="27"/>
      <c r="I56" s="27"/>
      <c r="J56" s="27"/>
    </row>
    <row r="57" spans="2:10" outlineLevel="1" x14ac:dyDescent="0.3">
      <c r="B57" s="12" t="s">
        <v>35</v>
      </c>
      <c r="C57" s="12"/>
      <c r="D57" s="27"/>
      <c r="E57" s="27"/>
      <c r="F57" s="53">
        <f>-F99</f>
        <v>9870.2650244182332</v>
      </c>
      <c r="G57" s="53">
        <f t="shared" ref="G57:J57" si="35">-G99</f>
        <v>9722.211049051959</v>
      </c>
      <c r="H57" s="53">
        <f t="shared" si="35"/>
        <v>9245.8227076484127</v>
      </c>
      <c r="I57" s="53">
        <f t="shared" si="35"/>
        <v>9014.6771399572026</v>
      </c>
      <c r="J57" s="53">
        <f t="shared" si="35"/>
        <v>9014.6771399572026</v>
      </c>
    </row>
    <row r="58" spans="2:10" outlineLevel="1" x14ac:dyDescent="0.3">
      <c r="B58" s="12" t="s">
        <v>36</v>
      </c>
      <c r="C58" s="12"/>
      <c r="D58" s="27"/>
      <c r="E58" s="27"/>
      <c r="F58" s="53">
        <v>0</v>
      </c>
      <c r="G58" s="53">
        <v>0</v>
      </c>
      <c r="H58" s="53">
        <v>0</v>
      </c>
      <c r="I58" s="53">
        <v>0</v>
      </c>
      <c r="J58" s="53">
        <v>0</v>
      </c>
    </row>
    <row r="59" spans="2:10" outlineLevel="1" x14ac:dyDescent="0.3">
      <c r="B59" s="11" t="s">
        <v>37</v>
      </c>
      <c r="C59" s="11"/>
      <c r="D59" s="27"/>
      <c r="E59" s="27"/>
      <c r="F59" s="27"/>
      <c r="G59" s="27"/>
      <c r="H59" s="27"/>
      <c r="I59" s="27"/>
      <c r="J59" s="27"/>
    </row>
    <row r="60" spans="2:10" outlineLevel="1" x14ac:dyDescent="0.3">
      <c r="B60" s="12" t="s">
        <v>18</v>
      </c>
      <c r="C60" s="12"/>
      <c r="D60" s="27"/>
      <c r="E60" s="27"/>
      <c r="F60" s="27">
        <f>E27-F27</f>
        <v>1035.3774150684912</v>
      </c>
      <c r="G60" s="27">
        <f t="shared" ref="G60:J60" si="36">F27-G27</f>
        <v>932.64030736239147</v>
      </c>
      <c r="H60" s="27">
        <f t="shared" si="36"/>
        <v>-1192.8280208263786</v>
      </c>
      <c r="I60" s="27">
        <f t="shared" si="36"/>
        <v>-1332.8317097497929</v>
      </c>
      <c r="J60" s="27">
        <f t="shared" si="36"/>
        <v>-693.0724890698948</v>
      </c>
    </row>
    <row r="61" spans="2:10" outlineLevel="1" x14ac:dyDescent="0.3">
      <c r="B61" s="12" t="s">
        <v>19</v>
      </c>
      <c r="C61" s="12"/>
      <c r="D61" s="27"/>
      <c r="E61" s="27"/>
      <c r="F61" s="27">
        <f>E28-F28</f>
        <v>70.297085854468605</v>
      </c>
      <c r="G61" s="27">
        <f t="shared" ref="G61:J61" si="37">F28-G28</f>
        <v>447.86035709096541</v>
      </c>
      <c r="H61" s="27">
        <f t="shared" si="37"/>
        <v>279.69997626193071</v>
      </c>
      <c r="I61" s="27">
        <f t="shared" si="37"/>
        <v>1088.7829020330646</v>
      </c>
      <c r="J61" s="27">
        <f t="shared" si="37"/>
        <v>813.23592956231732</v>
      </c>
    </row>
    <row r="62" spans="2:10" outlineLevel="1" x14ac:dyDescent="0.3">
      <c r="B62" s="12" t="s">
        <v>67</v>
      </c>
      <c r="C62" s="12"/>
      <c r="D62" s="27"/>
      <c r="E62" s="27"/>
      <c r="F62" s="25">
        <f>E29-F29</f>
        <v>17.03413765671371</v>
      </c>
      <c r="G62" s="25">
        <f t="shared" ref="G62:J62" si="38">F29-G29</f>
        <v>43.828175359005627</v>
      </c>
      <c r="H62" s="25">
        <f t="shared" si="38"/>
        <v>27.371789919391404</v>
      </c>
      <c r="I62" s="25">
        <f t="shared" si="38"/>
        <v>106.54965817503603</v>
      </c>
      <c r="J62" s="25">
        <f t="shared" si="38"/>
        <v>79.584286407072113</v>
      </c>
    </row>
    <row r="63" spans="2:10" outlineLevel="1" x14ac:dyDescent="0.3">
      <c r="B63" s="14" t="s">
        <v>22</v>
      </c>
      <c r="C63" s="14"/>
      <c r="D63" s="34"/>
      <c r="E63" s="34"/>
      <c r="F63" s="34">
        <f>F33-E33</f>
        <v>-82.514762793463888</v>
      </c>
      <c r="G63" s="34">
        <f t="shared" ref="G63:J63" si="39">G33-F33</f>
        <v>-525.69682688107059</v>
      </c>
      <c r="H63" s="34">
        <f t="shared" si="39"/>
        <v>-328.31079525474343</v>
      </c>
      <c r="I63" s="34">
        <f t="shared" si="39"/>
        <v>-1278.0093341570137</v>
      </c>
      <c r="J63" s="34">
        <f t="shared" si="39"/>
        <v>-954.57331935667389</v>
      </c>
    </row>
    <row r="64" spans="2:10" outlineLevel="1" x14ac:dyDescent="0.3">
      <c r="B64" s="13" t="s">
        <v>38</v>
      </c>
      <c r="C64" s="13"/>
      <c r="D64" s="27"/>
      <c r="E64" s="27"/>
      <c r="F64" s="27">
        <f ca="1">F55+F57+F58+F60+F61+F62+F63</f>
        <v>14181.552946229449</v>
      </c>
      <c r="G64" s="27">
        <f t="shared" ref="G64:J64" ca="1" si="40">G55+G57+G58+G60+G61+G62+G63</f>
        <v>15846.992295709128</v>
      </c>
      <c r="H64" s="27">
        <f t="shared" ca="1" si="40"/>
        <v>8064.1870586970035</v>
      </c>
      <c r="I64" s="27">
        <f t="shared" ca="1" si="40"/>
        <v>12293.354544555996</v>
      </c>
      <c r="J64" s="27">
        <f t="shared" ca="1" si="40"/>
        <v>22025.390232137775</v>
      </c>
    </row>
    <row r="65" spans="2:10" outlineLevel="1" x14ac:dyDescent="0.3">
      <c r="B65" s="1" t="s">
        <v>39</v>
      </c>
      <c r="C65" s="1"/>
      <c r="D65" s="27"/>
      <c r="E65" s="27"/>
      <c r="F65" s="27"/>
      <c r="G65" s="27"/>
      <c r="H65" s="27"/>
      <c r="I65" s="27"/>
      <c r="J65" s="27"/>
    </row>
    <row r="66" spans="2:10" outlineLevel="1" x14ac:dyDescent="0.3">
      <c r="B66" s="10" t="s">
        <v>40</v>
      </c>
      <c r="C66" s="10"/>
      <c r="D66" s="34"/>
      <c r="E66" s="34"/>
      <c r="F66" s="69">
        <f>-F98</f>
        <v>-12500</v>
      </c>
      <c r="G66" s="69">
        <f t="shared" ref="G66:J66" si="41">-G98</f>
        <v>-13000</v>
      </c>
      <c r="H66" s="69">
        <f t="shared" si="41"/>
        <v>-13500</v>
      </c>
      <c r="I66" s="69">
        <f t="shared" si="41"/>
        <v>-14000</v>
      </c>
      <c r="J66" s="69">
        <f t="shared" si="41"/>
        <v>-14500</v>
      </c>
    </row>
    <row r="67" spans="2:10" outlineLevel="1" x14ac:dyDescent="0.3">
      <c r="B67" s="11" t="s">
        <v>44</v>
      </c>
      <c r="C67" s="11"/>
      <c r="D67" s="27"/>
      <c r="E67" s="27"/>
      <c r="F67" s="27">
        <f>F66</f>
        <v>-12500</v>
      </c>
      <c r="G67" s="27">
        <f t="shared" ref="G67:J67" si="42">G66</f>
        <v>-13000</v>
      </c>
      <c r="H67" s="27">
        <f t="shared" si="42"/>
        <v>-13500</v>
      </c>
      <c r="I67" s="27">
        <f t="shared" si="42"/>
        <v>-14000</v>
      </c>
      <c r="J67" s="27">
        <f t="shared" si="42"/>
        <v>-14500</v>
      </c>
    </row>
    <row r="68" spans="2:10" outlineLevel="1" x14ac:dyDescent="0.3">
      <c r="B68" s="1" t="s">
        <v>41</v>
      </c>
      <c r="C68" s="1"/>
      <c r="D68" s="27"/>
      <c r="E68" s="27"/>
      <c r="F68" s="27"/>
      <c r="G68" s="27"/>
      <c r="H68" s="27"/>
      <c r="I68" s="27"/>
      <c r="J68" s="27"/>
    </row>
    <row r="69" spans="2:10" outlineLevel="1" x14ac:dyDescent="0.3">
      <c r="B69" s="9" t="s">
        <v>42</v>
      </c>
      <c r="C69" s="9"/>
      <c r="D69" s="27"/>
      <c r="E69" s="27"/>
      <c r="F69" s="53">
        <f ca="1">F83-E83</f>
        <v>0</v>
      </c>
      <c r="G69" s="53">
        <f t="shared" ref="G69:J69" ca="1" si="43">G83-F83</f>
        <v>0</v>
      </c>
      <c r="H69" s="53">
        <f t="shared" ca="1" si="43"/>
        <v>3409.0676993644192</v>
      </c>
      <c r="I69" s="53">
        <f t="shared" ca="1" si="43"/>
        <v>6706.6454554440043</v>
      </c>
      <c r="J69" s="53">
        <f t="shared" ca="1" si="43"/>
        <v>-2525.3902321377755</v>
      </c>
    </row>
    <row r="70" spans="2:10" outlineLevel="1" x14ac:dyDescent="0.3">
      <c r="B70" s="10" t="s">
        <v>43</v>
      </c>
      <c r="C70" s="10"/>
      <c r="D70" s="34"/>
      <c r="E70" s="34"/>
      <c r="F70" s="69">
        <f>-F86</f>
        <v>-5000</v>
      </c>
      <c r="G70" s="69">
        <f t="shared" ref="G70:J70" si="44">-G86</f>
        <v>-5000</v>
      </c>
      <c r="H70" s="69">
        <f t="shared" si="44"/>
        <v>-5000</v>
      </c>
      <c r="I70" s="69">
        <f t="shared" si="44"/>
        <v>-5000</v>
      </c>
      <c r="J70" s="69">
        <f t="shared" si="44"/>
        <v>-5000</v>
      </c>
    </row>
    <row r="71" spans="2:10" outlineLevel="1" x14ac:dyDescent="0.3">
      <c r="B71" s="35" t="s">
        <v>45</v>
      </c>
      <c r="C71" s="35"/>
      <c r="D71" s="34"/>
      <c r="E71" s="34"/>
      <c r="F71" s="34">
        <f ca="1">SUM(F69:F70)</f>
        <v>-5000</v>
      </c>
      <c r="G71" s="34">
        <f t="shared" ref="G71:J71" ca="1" si="45">SUM(G69:G70)</f>
        <v>-5000</v>
      </c>
      <c r="H71" s="34">
        <f t="shared" ca="1" si="45"/>
        <v>-1590.9323006355808</v>
      </c>
      <c r="I71" s="34">
        <f t="shared" ca="1" si="45"/>
        <v>1706.6454554440043</v>
      </c>
      <c r="J71" s="34">
        <f t="shared" ca="1" si="45"/>
        <v>-7525.3902321377755</v>
      </c>
    </row>
    <row r="72" spans="2:10" outlineLevel="1" x14ac:dyDescent="0.3">
      <c r="B72" s="5" t="s">
        <v>46</v>
      </c>
      <c r="C72" s="5"/>
      <c r="D72" s="70"/>
      <c r="E72" s="70"/>
      <c r="F72" s="70">
        <f ca="1">F64+F67+F71</f>
        <v>-3318.4470537705511</v>
      </c>
      <c r="G72" s="70">
        <f t="shared" ref="G72:J72" ca="1" si="46">G64+G67+G71</f>
        <v>-2153.0077042908724</v>
      </c>
      <c r="H72" s="70">
        <f t="shared" ca="1" si="46"/>
        <v>-7026.7452419385772</v>
      </c>
      <c r="I72" s="70">
        <f t="shared" ca="1" si="46"/>
        <v>0</v>
      </c>
      <c r="J72" s="70">
        <f t="shared" ca="1" si="46"/>
        <v>0</v>
      </c>
    </row>
    <row r="73" spans="2:10" outlineLevel="1" x14ac:dyDescent="0.3">
      <c r="B73" s="6" t="s">
        <v>31</v>
      </c>
      <c r="C73" s="6"/>
      <c r="F73" s="28">
        <f ca="1">F26-F72-E26</f>
        <v>0</v>
      </c>
      <c r="G73" s="28">
        <f t="shared" ref="G73:J73" ca="1" si="47">G26-G72-F26</f>
        <v>0</v>
      </c>
      <c r="H73" s="28">
        <f t="shared" ca="1" si="47"/>
        <v>0</v>
      </c>
      <c r="I73" s="28">
        <f t="shared" ca="1" si="47"/>
        <v>0</v>
      </c>
      <c r="J73" s="28">
        <f t="shared" ca="1" si="47"/>
        <v>1.2732925824820995E-11</v>
      </c>
    </row>
    <row r="75" spans="2:10" x14ac:dyDescent="0.3">
      <c r="B75" s="76" t="s">
        <v>47</v>
      </c>
      <c r="C75" s="76"/>
      <c r="D75" s="76"/>
      <c r="E75" s="76"/>
      <c r="F75" s="76"/>
      <c r="G75" s="76"/>
      <c r="H75" s="76"/>
      <c r="I75" s="76"/>
      <c r="J75" s="76"/>
    </row>
    <row r="76" spans="2:10" outlineLevel="1" x14ac:dyDescent="0.3">
      <c r="B76" s="16"/>
      <c r="C76" s="16"/>
      <c r="D76" s="16"/>
      <c r="E76" s="16"/>
      <c r="F76" s="16"/>
      <c r="G76" s="16"/>
      <c r="H76" s="16"/>
    </row>
    <row r="77" spans="2:10" outlineLevel="1" x14ac:dyDescent="0.3">
      <c r="B77" s="3" t="s">
        <v>64</v>
      </c>
      <c r="C77" s="4"/>
      <c r="D77" s="4" t="s">
        <v>4</v>
      </c>
      <c r="E77" s="4" t="s">
        <v>4</v>
      </c>
      <c r="F77" s="8" t="s">
        <v>3</v>
      </c>
      <c r="G77" s="8" t="s">
        <v>5</v>
      </c>
      <c r="H77" s="8" t="s">
        <v>6</v>
      </c>
      <c r="I77" s="8" t="s">
        <v>68</v>
      </c>
      <c r="J77" s="8" t="s">
        <v>69</v>
      </c>
    </row>
    <row r="78" spans="2:10" outlineLevel="1" x14ac:dyDescent="0.3">
      <c r="B78" s="31" t="s">
        <v>48</v>
      </c>
      <c r="C78" s="31"/>
      <c r="D78" s="31"/>
      <c r="E78" s="31"/>
      <c r="F78" s="53">
        <f>E26</f>
        <v>14498.2</v>
      </c>
      <c r="G78" s="53">
        <f t="shared" ref="G78:J78" ca="1" si="48">F26</f>
        <v>11179.75294622945</v>
      </c>
      <c r="H78" s="53">
        <f t="shared" ca="1" si="48"/>
        <v>9026.7452419385772</v>
      </c>
      <c r="I78" s="53">
        <f t="shared" ca="1" si="48"/>
        <v>2000</v>
      </c>
      <c r="J78" s="53">
        <f t="shared" ca="1" si="48"/>
        <v>2000</v>
      </c>
    </row>
    <row r="79" spans="2:10" outlineLevel="1" x14ac:dyDescent="0.3">
      <c r="B79" s="54" t="s">
        <v>49</v>
      </c>
      <c r="C79" s="54"/>
      <c r="D79" s="31"/>
      <c r="E79" s="31"/>
      <c r="F79" s="53">
        <f ca="1">F67+F64</f>
        <v>1681.5529462294489</v>
      </c>
      <c r="G79" s="53">
        <f t="shared" ref="G79:J79" ca="1" si="49">G67+G64</f>
        <v>2846.9922957091276</v>
      </c>
      <c r="H79" s="53">
        <f t="shared" ca="1" si="49"/>
        <v>-5435.8129413029965</v>
      </c>
      <c r="I79" s="53">
        <f t="shared" ca="1" si="49"/>
        <v>-1706.6454554440043</v>
      </c>
      <c r="J79" s="53">
        <f t="shared" ca="1" si="49"/>
        <v>7525.3902321377755</v>
      </c>
    </row>
    <row r="80" spans="2:10" outlineLevel="1" x14ac:dyDescent="0.3">
      <c r="B80" s="54" t="s">
        <v>77</v>
      </c>
      <c r="C80" s="54"/>
      <c r="D80" s="31"/>
      <c r="E80" s="31"/>
      <c r="F80" s="53">
        <f ca="1">F71+-F69</f>
        <v>-5000</v>
      </c>
      <c r="G80" s="53">
        <f t="shared" ref="G80:J80" ca="1" si="50">G71+-G69</f>
        <v>-5000</v>
      </c>
      <c r="H80" s="53">
        <f t="shared" ca="1" si="50"/>
        <v>-5000</v>
      </c>
      <c r="I80" s="53">
        <f t="shared" ca="1" si="50"/>
        <v>-5000</v>
      </c>
      <c r="J80" s="53">
        <f t="shared" ca="1" si="50"/>
        <v>-5000</v>
      </c>
    </row>
    <row r="81" spans="2:10" outlineLevel="1" x14ac:dyDescent="0.3">
      <c r="B81" s="50" t="s">
        <v>50</v>
      </c>
      <c r="C81" s="50"/>
      <c r="D81" s="32"/>
      <c r="E81" s="32"/>
      <c r="F81" s="32">
        <v>-2000</v>
      </c>
      <c r="G81" s="32">
        <v>-2000</v>
      </c>
      <c r="H81" s="32">
        <v>-2000</v>
      </c>
      <c r="I81" s="32">
        <v>-2000</v>
      </c>
      <c r="J81" s="32">
        <v>-2000</v>
      </c>
    </row>
    <row r="82" spans="2:10" outlineLevel="1" x14ac:dyDescent="0.3">
      <c r="B82" s="55" t="s">
        <v>51</v>
      </c>
      <c r="C82" s="55"/>
      <c r="D82" s="55"/>
      <c r="E82" s="55"/>
      <c r="F82" s="56">
        <f ca="1">SUM(F78:F81)</f>
        <v>9179.7529462294497</v>
      </c>
      <c r="G82" s="56">
        <f t="shared" ref="G82:J82" ca="1" si="51">SUM(G78:G81)</f>
        <v>7026.7452419385772</v>
      </c>
      <c r="H82" s="56">
        <f t="shared" ca="1" si="51"/>
        <v>-3409.0676993644192</v>
      </c>
      <c r="I82" s="56">
        <f t="shared" ca="1" si="51"/>
        <v>-6706.6454554440043</v>
      </c>
      <c r="J82" s="56">
        <f t="shared" ca="1" si="51"/>
        <v>2525.3902321377755</v>
      </c>
    </row>
    <row r="83" spans="2:10" outlineLevel="1" x14ac:dyDescent="0.3">
      <c r="B83" s="5" t="s">
        <v>53</v>
      </c>
      <c r="C83" s="5"/>
      <c r="D83" s="59">
        <f>D34</f>
        <v>0</v>
      </c>
      <c r="E83" s="59">
        <f t="shared" ref="E83" si="52">E34</f>
        <v>0</v>
      </c>
      <c r="F83" s="59">
        <f ca="1">MAX(0,E83-F82)</f>
        <v>0</v>
      </c>
      <c r="G83" s="59">
        <f t="shared" ref="G83:J83" ca="1" si="53">MAX(0,F83-G82)</f>
        <v>0</v>
      </c>
      <c r="H83" s="59">
        <f t="shared" ca="1" si="53"/>
        <v>3409.0676993644192</v>
      </c>
      <c r="I83" s="59">
        <f t="shared" ca="1" si="53"/>
        <v>10115.713154808423</v>
      </c>
      <c r="J83" s="59">
        <f t="shared" ca="1" si="53"/>
        <v>7590.322922670648</v>
      </c>
    </row>
    <row r="84" spans="2:10" outlineLevel="1" x14ac:dyDescent="0.3">
      <c r="B84" s="36"/>
      <c r="C84" s="36"/>
      <c r="D84" s="36"/>
      <c r="E84" s="36"/>
      <c r="F84" s="36"/>
      <c r="G84" s="36"/>
      <c r="H84" s="36"/>
      <c r="I84" s="15"/>
      <c r="J84" s="15"/>
    </row>
    <row r="85" spans="2:10" outlineLevel="1" x14ac:dyDescent="0.3">
      <c r="B85" s="1" t="s">
        <v>52</v>
      </c>
      <c r="C85" s="1"/>
    </row>
    <row r="86" spans="2:10" outlineLevel="1" x14ac:dyDescent="0.3">
      <c r="B86" s="54" t="s">
        <v>43</v>
      </c>
      <c r="C86" s="54"/>
      <c r="D86" s="31"/>
      <c r="E86" s="58">
        <v>5000</v>
      </c>
      <c r="F86" s="58">
        <v>5000</v>
      </c>
      <c r="G86" s="58">
        <v>5000</v>
      </c>
      <c r="H86" s="58">
        <v>5000</v>
      </c>
      <c r="I86" s="58">
        <v>5000</v>
      </c>
      <c r="J86" s="58">
        <v>5000</v>
      </c>
    </row>
    <row r="87" spans="2:10" outlineLevel="1" x14ac:dyDescent="0.3">
      <c r="B87" s="54" t="s">
        <v>25</v>
      </c>
      <c r="C87" s="54"/>
      <c r="D87" s="58">
        <v>40000</v>
      </c>
      <c r="E87" s="58">
        <v>35000</v>
      </c>
      <c r="F87" s="58">
        <v>30000</v>
      </c>
      <c r="G87" s="58">
        <v>25000</v>
      </c>
      <c r="H87" s="58">
        <v>20000</v>
      </c>
      <c r="I87" s="58">
        <v>15000</v>
      </c>
      <c r="J87" s="58">
        <v>10000</v>
      </c>
    </row>
    <row r="88" spans="2:10" outlineLevel="1" x14ac:dyDescent="0.3"/>
    <row r="89" spans="2:10" outlineLevel="1" x14ac:dyDescent="0.3">
      <c r="B89" s="1" t="s">
        <v>12</v>
      </c>
      <c r="C89" s="1"/>
    </row>
    <row r="90" spans="2:10" outlineLevel="1" x14ac:dyDescent="0.3">
      <c r="B90" s="48" t="s">
        <v>54</v>
      </c>
      <c r="C90" s="48"/>
      <c r="D90" s="49"/>
      <c r="E90" s="49"/>
      <c r="F90" s="60">
        <v>0.08</v>
      </c>
      <c r="G90" s="60">
        <v>0.08</v>
      </c>
      <c r="H90" s="60">
        <v>0.08</v>
      </c>
      <c r="I90" s="60">
        <v>0.08</v>
      </c>
      <c r="J90" s="60">
        <v>0.08</v>
      </c>
    </row>
    <row r="91" spans="2:10" outlineLevel="1" x14ac:dyDescent="0.3">
      <c r="B91" s="48" t="s">
        <v>55</v>
      </c>
      <c r="C91" s="48"/>
      <c r="D91" s="49"/>
      <c r="E91" s="49"/>
      <c r="F91" s="60">
        <v>0.05</v>
      </c>
      <c r="G91" s="60">
        <v>0.05</v>
      </c>
      <c r="H91" s="60">
        <v>0.05</v>
      </c>
      <c r="I91" s="60">
        <v>0.05</v>
      </c>
      <c r="J91" s="60">
        <v>0.05</v>
      </c>
    </row>
    <row r="92" spans="2:10" outlineLevel="1" x14ac:dyDescent="0.3">
      <c r="B92" s="48" t="s">
        <v>56</v>
      </c>
      <c r="C92" s="48"/>
      <c r="D92" s="49"/>
      <c r="E92" s="49"/>
      <c r="F92" s="49">
        <f>AVERAGE(SUM(E86:E87),SUM(F86:F87))*F90</f>
        <v>3000</v>
      </c>
      <c r="G92" s="49">
        <f t="shared" ref="G92:J92" si="54">AVERAGE(SUM(F86:F87),SUM(G86:G87))*G90</f>
        <v>2600</v>
      </c>
      <c r="H92" s="49">
        <f t="shared" si="54"/>
        <v>2200</v>
      </c>
      <c r="I92" s="49">
        <f t="shared" si="54"/>
        <v>1800</v>
      </c>
      <c r="J92" s="49">
        <f t="shared" si="54"/>
        <v>1400</v>
      </c>
    </row>
    <row r="93" spans="2:10" outlineLevel="1" x14ac:dyDescent="0.3">
      <c r="B93" s="50" t="s">
        <v>57</v>
      </c>
      <c r="C93" s="50"/>
      <c r="D93" s="32"/>
      <c r="E93" s="32"/>
      <c r="F93" s="61">
        <f ca="1">E83+F83/2*F91</f>
        <v>0</v>
      </c>
      <c r="G93" s="61">
        <f t="shared" ref="G93" ca="1" si="55">F83+G83/2*G91</f>
        <v>0</v>
      </c>
      <c r="H93" s="61">
        <f ca="1">((G83+H83)/2)*H91</f>
        <v>85.226692484110487</v>
      </c>
      <c r="I93" s="61">
        <f t="shared" ref="I93" ca="1" si="56">((H83+I83)/2)*I91</f>
        <v>338.11952135432108</v>
      </c>
      <c r="J93" s="61">
        <f ca="1">((I83+J83)/2)*J91</f>
        <v>442.65090193697682</v>
      </c>
    </row>
    <row r="94" spans="2:10" outlineLevel="1" x14ac:dyDescent="0.3">
      <c r="B94" s="51" t="s">
        <v>58</v>
      </c>
      <c r="C94" s="51"/>
      <c r="D94" s="51"/>
      <c r="E94" s="51"/>
      <c r="F94" s="62">
        <f ca="1">SUM(F92:F93)</f>
        <v>3000</v>
      </c>
      <c r="G94" s="62">
        <f t="shared" ref="G94:J94" ca="1" si="57">SUM(G92:G93)</f>
        <v>2600</v>
      </c>
      <c r="H94" s="62">
        <f t="shared" ca="1" si="57"/>
        <v>2285.2266924841106</v>
      </c>
      <c r="I94" s="62">
        <f t="shared" ca="1" si="57"/>
        <v>2138.119521354321</v>
      </c>
      <c r="J94" s="62">
        <f t="shared" ca="1" si="57"/>
        <v>1842.6509019369769</v>
      </c>
    </row>
    <row r="95" spans="2:10" outlineLevel="1" x14ac:dyDescent="0.3"/>
    <row r="96" spans="2:10" outlineLevel="1" x14ac:dyDescent="0.3">
      <c r="B96" s="3" t="s">
        <v>59</v>
      </c>
      <c r="C96" s="4"/>
      <c r="D96" s="3" t="s">
        <v>4</v>
      </c>
      <c r="E96" s="4" t="s">
        <v>4</v>
      </c>
      <c r="F96" s="7" t="s">
        <v>3</v>
      </c>
      <c r="G96" s="7" t="s">
        <v>5</v>
      </c>
      <c r="H96" s="7" t="s">
        <v>6</v>
      </c>
      <c r="I96" s="8" t="s">
        <v>68</v>
      </c>
      <c r="J96" s="8" t="s">
        <v>69</v>
      </c>
    </row>
    <row r="97" spans="2:10" outlineLevel="1" x14ac:dyDescent="0.3">
      <c r="B97" s="31" t="s">
        <v>60</v>
      </c>
      <c r="C97" s="31"/>
      <c r="D97" s="31"/>
      <c r="E97" s="31"/>
      <c r="F97" s="53">
        <f>E30</f>
        <v>12797.35</v>
      </c>
      <c r="G97" s="53">
        <f t="shared" ref="G97:J97" si="58">F30</f>
        <v>15427.084975581765</v>
      </c>
      <c r="H97" s="53">
        <f t="shared" si="58"/>
        <v>18704.873926529806</v>
      </c>
      <c r="I97" s="53">
        <f t="shared" si="58"/>
        <v>22959.051218881395</v>
      </c>
      <c r="J97" s="53">
        <f t="shared" si="58"/>
        <v>27944.374078924193</v>
      </c>
    </row>
    <row r="98" spans="2:10" outlineLevel="1" x14ac:dyDescent="0.3">
      <c r="B98" s="48" t="s">
        <v>61</v>
      </c>
      <c r="C98" s="48"/>
      <c r="D98" s="49"/>
      <c r="E98" s="49"/>
      <c r="F98" s="63">
        <v>12500</v>
      </c>
      <c r="G98" s="63">
        <v>13000</v>
      </c>
      <c r="H98" s="63">
        <v>13500</v>
      </c>
      <c r="I98" s="63">
        <v>14000</v>
      </c>
      <c r="J98" s="63">
        <v>14500</v>
      </c>
    </row>
    <row r="99" spans="2:10" outlineLevel="1" x14ac:dyDescent="0.3">
      <c r="B99" s="48" t="s">
        <v>62</v>
      </c>
      <c r="C99" s="48"/>
      <c r="D99" s="49"/>
      <c r="E99" s="49"/>
      <c r="F99" s="67">
        <f>-F100*F5</f>
        <v>-9870.2650244182332</v>
      </c>
      <c r="G99" s="67">
        <f t="shared" ref="G99:J99" si="59">-G100*G5</f>
        <v>-9722.211049051959</v>
      </c>
      <c r="H99" s="67">
        <f t="shared" si="59"/>
        <v>-9245.8227076484127</v>
      </c>
      <c r="I99" s="67">
        <f t="shared" si="59"/>
        <v>-9014.6771399572026</v>
      </c>
      <c r="J99" s="67">
        <f t="shared" si="59"/>
        <v>-9014.6771399572026</v>
      </c>
    </row>
    <row r="100" spans="2:10" outlineLevel="1" x14ac:dyDescent="0.3">
      <c r="B100" s="64" t="s">
        <v>78</v>
      </c>
      <c r="C100" s="64"/>
      <c r="D100" s="65">
        <f>D21/D5</f>
        <v>3.5635026941760732E-2</v>
      </c>
      <c r="E100" s="65">
        <f>E21/E5</f>
        <v>3.5635283100608053E-2</v>
      </c>
      <c r="F100" s="66">
        <f>AVERAGE($D$100:$E$100)</f>
        <v>3.5635155021184389E-2</v>
      </c>
      <c r="G100" s="66">
        <f t="shared" ref="G100:J100" si="60">AVERAGE($D$100:$E$100)</f>
        <v>3.5635155021184389E-2</v>
      </c>
      <c r="H100" s="66">
        <f t="shared" si="60"/>
        <v>3.5635155021184389E-2</v>
      </c>
      <c r="I100" s="66">
        <f t="shared" si="60"/>
        <v>3.5635155021184389E-2</v>
      </c>
      <c r="J100" s="66">
        <f t="shared" si="60"/>
        <v>3.5635155021184389E-2</v>
      </c>
    </row>
    <row r="101" spans="2:10" outlineLevel="1" x14ac:dyDescent="0.3">
      <c r="B101" s="52" t="s">
        <v>63</v>
      </c>
      <c r="C101" s="52"/>
      <c r="D101" s="52"/>
      <c r="E101" s="52"/>
      <c r="F101" s="68">
        <f>SUM(F97:F99)</f>
        <v>15427.084975581765</v>
      </c>
      <c r="G101" s="68">
        <f t="shared" ref="G101:J101" si="61">SUM(G97:G99)</f>
        <v>18704.873926529806</v>
      </c>
      <c r="H101" s="68">
        <f t="shared" si="61"/>
        <v>22959.051218881395</v>
      </c>
      <c r="I101" s="68">
        <f t="shared" si="61"/>
        <v>27944.374078924193</v>
      </c>
      <c r="J101" s="68">
        <f t="shared" si="61"/>
        <v>33429.69693896699</v>
      </c>
    </row>
    <row r="102" spans="2:10" outlineLevel="1" x14ac:dyDescent="0.3"/>
  </sheetData>
  <mergeCells count="3">
    <mergeCell ref="B75:J75"/>
    <mergeCell ref="F2:J2"/>
    <mergeCell ref="D2:E2"/>
  </mergeCells>
  <phoneticPr fontId="7" type="noConversion"/>
  <dataValidations disablePrompts="1" count="1">
    <dataValidation type="list" allowBlank="1" showInputMessage="1" showErrorMessage="1" sqref="C14" xr:uid="{13721271-A643-4BF0-B5B0-32981C2663AC}">
      <formula1>$C$14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Buchanan-Clarke Buchanan-Clarke</dc:creator>
  <cp:lastModifiedBy>David Buchanan-Clarke Buchanan-Clarke</cp:lastModifiedBy>
  <dcterms:created xsi:type="dcterms:W3CDTF">2020-08-15T11:46:04Z</dcterms:created>
  <dcterms:modified xsi:type="dcterms:W3CDTF">2020-08-18T19:07:05Z</dcterms:modified>
</cp:coreProperties>
</file>