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zeller/Downloads/"/>
    </mc:Choice>
  </mc:AlternateContent>
  <xr:revisionPtr revIDLastSave="0" documentId="13_ncr:1_{2BFB3F36-FC73-C44E-9E7E-59ACB209E7B7}" xr6:coauthVersionLast="45" xr6:coauthVersionMax="45" xr10:uidLastSave="{00000000-0000-0000-0000-000000000000}"/>
  <bookViews>
    <workbookView xWindow="440" yWindow="1060" windowWidth="19460" windowHeight="16500" tabRatio="813" activeTab="1" xr2:uid="{00000000-000D-0000-FFFF-FFFF00000000}"/>
  </bookViews>
  <sheets>
    <sheet name="Input" sheetId="2" r:id="rId1"/>
    <sheet name="FCFF" sheetId="7" r:id="rId2"/>
  </sheets>
  <definedNames>
    <definedName name="_xlnm.Print_Area" localSheetId="1">FCFF!$A$1:$L$35</definedName>
    <definedName name="_xlnm.Print_Area" localSheetId="0">Input!$A$1:$K$26</definedName>
  </definedNames>
  <calcPr calcId="191029" iterate="1" iterateCount="100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7" l="1"/>
  <c r="D27" i="7"/>
  <c r="D25" i="7"/>
  <c r="L10" i="7"/>
  <c r="L9" i="7"/>
  <c r="L8" i="7"/>
  <c r="L7" i="7"/>
  <c r="L6" i="7"/>
  <c r="L5" i="7"/>
  <c r="L4" i="7"/>
  <c r="E10" i="7"/>
  <c r="F10" i="7"/>
  <c r="G10" i="7"/>
  <c r="H10" i="7"/>
  <c r="I10" i="7"/>
  <c r="J10" i="7"/>
  <c r="K10" i="7"/>
  <c r="D10" i="7"/>
  <c r="E9" i="7"/>
  <c r="F9" i="7"/>
  <c r="G9" i="7"/>
  <c r="H9" i="7"/>
  <c r="I9" i="7"/>
  <c r="J9" i="7"/>
  <c r="K9" i="7"/>
  <c r="D9" i="7"/>
  <c r="E8" i="7"/>
  <c r="F8" i="7"/>
  <c r="G8" i="7"/>
  <c r="H8" i="7"/>
  <c r="I8" i="7"/>
  <c r="J8" i="7"/>
  <c r="K8" i="7"/>
  <c r="D8" i="7"/>
  <c r="E7" i="7"/>
  <c r="F7" i="7"/>
  <c r="G7" i="7"/>
  <c r="H7" i="7"/>
  <c r="I7" i="7"/>
  <c r="J7" i="7"/>
  <c r="K7" i="7"/>
  <c r="D7" i="7"/>
  <c r="E6" i="7"/>
  <c r="F6" i="7"/>
  <c r="G6" i="7"/>
  <c r="H6" i="7"/>
  <c r="I6" i="7"/>
  <c r="J6" i="7"/>
  <c r="K6" i="7"/>
  <c r="D6" i="7"/>
  <c r="E5" i="7"/>
  <c r="F5" i="7"/>
  <c r="G5" i="7"/>
  <c r="H5" i="7"/>
  <c r="I5" i="7"/>
  <c r="J5" i="7"/>
  <c r="K5" i="7"/>
  <c r="D5" i="7"/>
  <c r="E4" i="7"/>
  <c r="F4" i="7"/>
  <c r="G4" i="7"/>
  <c r="H4" i="7"/>
  <c r="I4" i="7"/>
  <c r="J4" i="7"/>
  <c r="K4" i="7"/>
  <c r="D4" i="7"/>
  <c r="I14" i="2"/>
  <c r="J14" i="2"/>
  <c r="K14" i="2"/>
  <c r="H14" i="2"/>
  <c r="I12" i="2"/>
  <c r="J12" i="2"/>
  <c r="K12" i="2"/>
  <c r="H12" i="2"/>
  <c r="I9" i="2"/>
  <c r="J9" i="2"/>
  <c r="K9" i="2"/>
  <c r="H9" i="2"/>
  <c r="I8" i="2"/>
  <c r="J8" i="2"/>
  <c r="K8" i="2"/>
  <c r="H8" i="2"/>
  <c r="I10" i="2"/>
  <c r="J10" i="2"/>
  <c r="K10" i="2"/>
  <c r="H10" i="2"/>
  <c r="I4" i="2"/>
  <c r="I6" i="2"/>
  <c r="J4" i="2"/>
  <c r="J6" i="2"/>
  <c r="K4" i="2"/>
  <c r="K6" i="2"/>
  <c r="H6" i="2"/>
  <c r="H4" i="2"/>
  <c r="L11" i="7"/>
  <c r="D21" i="7"/>
  <c r="D22" i="7"/>
  <c r="D18" i="7"/>
  <c r="D13" i="7"/>
  <c r="E13" i="7"/>
  <c r="F13" i="7"/>
  <c r="G13" i="7"/>
  <c r="H13" i="7"/>
  <c r="I13" i="7"/>
  <c r="J13" i="7"/>
  <c r="K13" i="7"/>
  <c r="L13" i="7"/>
  <c r="L14" i="7"/>
  <c r="D14" i="7"/>
  <c r="D11" i="7"/>
  <c r="D15" i="7"/>
  <c r="E14" i="7"/>
  <c r="E11" i="7"/>
  <c r="E15" i="7"/>
  <c r="F14" i="7"/>
  <c r="F11" i="7"/>
  <c r="F15" i="7"/>
  <c r="G14" i="7"/>
  <c r="G11" i="7"/>
  <c r="G15" i="7"/>
  <c r="H14" i="7"/>
  <c r="H11" i="7"/>
  <c r="H15" i="7"/>
  <c r="I14" i="7"/>
  <c r="I11" i="7"/>
  <c r="I15" i="7"/>
  <c r="J14" i="7"/>
  <c r="J11" i="7"/>
  <c r="J15" i="7"/>
  <c r="K14" i="7"/>
  <c r="K11" i="7"/>
  <c r="K15" i="7"/>
  <c r="C25" i="2"/>
  <c r="D28" i="7"/>
  <c r="D32" i="7"/>
  <c r="L15" i="7"/>
  <c r="B15" i="2"/>
  <c r="C8" i="2"/>
  <c r="B11" i="2"/>
  <c r="B7" i="2"/>
  <c r="B8" i="2"/>
  <c r="G13" i="2"/>
  <c r="F13" i="2"/>
  <c r="E13" i="2"/>
  <c r="D13" i="2"/>
  <c r="C13" i="2"/>
  <c r="B13" i="2"/>
  <c r="G11" i="2"/>
  <c r="F11" i="2"/>
  <c r="E11" i="2"/>
  <c r="D11" i="2"/>
  <c r="C11" i="2"/>
  <c r="G7" i="2"/>
  <c r="F7" i="2"/>
  <c r="E7" i="2"/>
  <c r="D7" i="2"/>
  <c r="C7" i="2"/>
  <c r="C19" i="2"/>
  <c r="C24" i="2"/>
  <c r="C23" i="2"/>
  <c r="G8" i="2"/>
  <c r="F8" i="2"/>
  <c r="E8" i="2"/>
  <c r="D8" i="2"/>
  <c r="G5" i="2"/>
  <c r="B16" i="2"/>
  <c r="C16" i="2"/>
  <c r="D16" i="2"/>
  <c r="E16" i="2"/>
  <c r="C15" i="2"/>
  <c r="D15" i="2"/>
  <c r="D14" i="2"/>
  <c r="G9" i="2"/>
  <c r="F9" i="2"/>
  <c r="E9" i="2"/>
  <c r="D9" i="2"/>
  <c r="C9" i="2"/>
  <c r="B9" i="2"/>
  <c r="F5" i="2"/>
  <c r="E5" i="2"/>
  <c r="D5" i="2"/>
  <c r="C5" i="2"/>
  <c r="E15" i="2"/>
  <c r="F16" i="2"/>
  <c r="E14" i="2"/>
  <c r="F15" i="2"/>
  <c r="G16" i="2"/>
  <c r="F14" i="2"/>
  <c r="G15" i="2"/>
  <c r="H16" i="2"/>
  <c r="G14" i="2"/>
  <c r="H15" i="2"/>
  <c r="E12" i="7"/>
  <c r="I16" i="2"/>
  <c r="F12" i="7"/>
  <c r="J16" i="2"/>
  <c r="I15" i="2"/>
  <c r="G12" i="7"/>
  <c r="J15" i="2"/>
  <c r="K16" i="2"/>
  <c r="K15" i="2"/>
  <c r="H12" i="7"/>
  <c r="I12" i="7"/>
  <c r="J12" i="7"/>
  <c r="K12" i="7"/>
  <c r="D29" i="7"/>
  <c r="D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sib</author>
  </authors>
  <commentList>
    <comment ref="B14" authorId="0" shapeId="0" xr:uid="{00000000-0006-0000-0000-000001000000}">
      <text>
        <r>
          <rPr>
            <sz val="9"/>
            <color indexed="81"/>
            <rFont val="Tahoma"/>
            <family val="2"/>
          </rPr>
          <t>Pg 62, AR 2016</t>
        </r>
      </text>
    </comment>
    <comment ref="C14" authorId="0" shapeId="0" xr:uid="{00000000-0006-0000-0000-000002000000}">
      <text>
        <r>
          <rPr>
            <sz val="9"/>
            <color indexed="81"/>
            <rFont val="Tahoma"/>
            <family val="2"/>
          </rPr>
          <t>Pg 62, AR 2016</t>
        </r>
      </text>
    </comment>
    <comment ref="B16" authorId="0" shapeId="0" xr:uid="{00000000-0006-0000-0000-000003000000}">
      <text>
        <r>
          <rPr>
            <sz val="9"/>
            <color indexed="81"/>
            <rFont val="Tahoma"/>
            <family val="2"/>
          </rPr>
          <t>Income tax expense/Profit before income tax; Pg 59, AR 2016</t>
        </r>
      </text>
    </comment>
    <comment ref="C16" authorId="0" shapeId="0" xr:uid="{00000000-0006-0000-0000-000004000000}">
      <text>
        <r>
          <rPr>
            <sz val="9"/>
            <color indexed="81"/>
            <rFont val="Tahoma"/>
            <family val="2"/>
          </rPr>
          <t>Income tax expense/Profit before income tax; Pg 59, AR 2016</t>
        </r>
      </text>
    </comment>
    <comment ref="C18" authorId="0" shapeId="0" xr:uid="{00000000-0006-0000-0000-000005000000}">
      <text>
        <r>
          <rPr>
            <sz val="9"/>
            <color rgb="FF000000"/>
            <rFont val="Tahoma"/>
            <family val="2"/>
          </rPr>
          <t>Pg 61, AR 2016</t>
        </r>
      </text>
    </comment>
    <comment ref="C19" authorId="0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Available-for-sale investments + Held-to-maturity investments;
</t>
        </r>
        <r>
          <rPr>
            <sz val="9"/>
            <color rgb="FF000000"/>
            <rFont val="Tahoma"/>
            <family val="2"/>
          </rPr>
          <t>Pg 95, AR 2016</t>
        </r>
      </text>
    </comment>
    <comment ref="C20" authorId="0" shapeId="0" xr:uid="{00000000-0006-0000-0000-000007000000}">
      <text>
        <r>
          <rPr>
            <sz val="9"/>
            <color rgb="FF000000"/>
            <rFont val="Tahoma"/>
            <family val="2"/>
          </rPr>
          <t>Pg 101, AR 2016</t>
        </r>
      </text>
    </comment>
    <comment ref="C21" authorId="0" shapeId="0" xr:uid="{00000000-0006-0000-0000-000008000000}">
      <text>
        <r>
          <rPr>
            <sz val="9"/>
            <color rgb="FF000000"/>
            <rFont val="Tahoma"/>
            <family val="2"/>
          </rPr>
          <t>Pg 61, AR 2016</t>
        </r>
      </text>
    </comment>
    <comment ref="C22" authorId="0" shapeId="0" xr:uid="{00000000-0006-0000-0000-000009000000}">
      <text>
        <r>
          <rPr>
            <sz val="9"/>
            <color rgb="FF000000"/>
            <rFont val="Tahoma"/>
            <family val="2"/>
          </rPr>
          <t>Pg 61, AR 2016</t>
        </r>
      </text>
    </comment>
    <comment ref="C23" authorId="0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Non-current + Current;
</t>
        </r>
        <r>
          <rPr>
            <sz val="9"/>
            <color rgb="FF000000"/>
            <rFont val="Tahoma"/>
            <family val="2"/>
          </rPr>
          <t>Pg 61, AR 2016</t>
        </r>
      </text>
    </comment>
    <comment ref="C24" authorId="0" shapeId="0" xr:uid="{00000000-0006-0000-0000-00000B000000}">
      <text>
        <r>
          <rPr>
            <sz val="9"/>
            <color rgb="FF000000"/>
            <rFont val="Tahoma"/>
            <family val="2"/>
          </rPr>
          <t>Pg 61, AR 2016</t>
        </r>
      </text>
    </comment>
    <comment ref="C25" authorId="0" shapeId="0" xr:uid="{00000000-0006-0000-0000-00000C000000}">
      <text>
        <r>
          <rPr>
            <sz val="9"/>
            <color rgb="FF000000"/>
            <rFont val="Tahoma"/>
            <family val="2"/>
          </rPr>
          <t xml:space="preserve">Page 98; Shares outstanding minus Treasury Shares
</t>
        </r>
      </text>
    </comment>
  </commentList>
</comments>
</file>

<file path=xl/sharedStrings.xml><?xml version="1.0" encoding="utf-8"?>
<sst xmlns="http://schemas.openxmlformats.org/spreadsheetml/2006/main" count="53" uniqueCount="47">
  <si>
    <t>EBIT</t>
  </si>
  <si>
    <t>% Growth</t>
  </si>
  <si>
    <t>WACC</t>
  </si>
  <si>
    <t>Revenue</t>
  </si>
  <si>
    <t>EBITDA</t>
  </si>
  <si>
    <t>% Margin</t>
  </si>
  <si>
    <t>D&amp;A</t>
  </si>
  <si>
    <t>Capex</t>
  </si>
  <si>
    <t>Changes in WC</t>
  </si>
  <si>
    <t>Effective Tax Rate</t>
  </si>
  <si>
    <t>Net Debt/ (Net Cash)</t>
  </si>
  <si>
    <t>Norm</t>
  </si>
  <si>
    <t>Growth</t>
  </si>
  <si>
    <t>% Tax Rate</t>
  </si>
  <si>
    <t>EBIT*Tax Rate</t>
  </si>
  <si>
    <t>NOPAT</t>
  </si>
  <si>
    <t>Add: D&amp;A</t>
  </si>
  <si>
    <t>Less: Capex</t>
  </si>
  <si>
    <t>Add/Less: Changes in WC</t>
  </si>
  <si>
    <t>Free Cash Flow to Firm (FCFF)</t>
  </si>
  <si>
    <t>Years Discounted</t>
  </si>
  <si>
    <t>Discount Factor</t>
  </si>
  <si>
    <t>Discounted Cash Flow</t>
  </si>
  <si>
    <t>Date of Valuation</t>
  </si>
  <si>
    <t>Terminal Growth</t>
  </si>
  <si>
    <t>Normalized FCF</t>
  </si>
  <si>
    <t>Terminal Value</t>
  </si>
  <si>
    <t>Discounted Terminal Value</t>
  </si>
  <si>
    <t>Enterprise Value (EV)</t>
  </si>
  <si>
    <t>Equity Value</t>
  </si>
  <si>
    <t>Implied Share Price</t>
  </si>
  <si>
    <t>Terminal Value / EV</t>
  </si>
  <si>
    <t>Investments in Associates and JV's</t>
  </si>
  <si>
    <t>Pension</t>
  </si>
  <si>
    <t>Provisions</t>
  </si>
  <si>
    <t>EURmn - Dec y/e</t>
  </si>
  <si>
    <t>Other Investments and Receivables</t>
  </si>
  <si>
    <t>Non-Controlling Interests</t>
  </si>
  <si>
    <t>Classified as Held for Sale</t>
  </si>
  <si>
    <t>No of Shares Outstanding</t>
  </si>
  <si>
    <t>Upside</t>
  </si>
  <si>
    <t>Implied Exit Multiple</t>
  </si>
  <si>
    <t>Fiscal Year End</t>
  </si>
  <si>
    <t>Share Price on Date of Valuation</t>
  </si>
  <si>
    <t>Input</t>
  </si>
  <si>
    <t>Discounted Cash Flows</t>
  </si>
  <si>
    <t>FCFF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</si>
</sst>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0000&quot;E&quot;"/>
    <numFmt numFmtId="165" formatCode="#,##0.0"/>
    <numFmt numFmtId="166" formatCode="0.0%"/>
    <numFmt numFmtId="167" formatCode="General&quot;A&quot;"/>
    <numFmt numFmtId="168" formatCode="_(* #,##0_);_(* \(#,##0\);_(* &quot;-&quot;??_);_(@_)"/>
    <numFmt numFmtId="169" formatCode="#,##0.0_);\(#,##0.0\)"/>
    <numFmt numFmtId="170" formatCode="0.0000"/>
    <numFmt numFmtId="171" formatCode="[$-409]d\-mmm\-yy;@"/>
    <numFmt numFmtId="172" formatCode="0.0&quot;x&quot;"/>
    <numFmt numFmtId="173" formatCode="0.0"/>
    <numFmt numFmtId="174" formatCode="[$€-2]\ #,##0.0"/>
    <numFmt numFmtId="175" formatCode="0.0\x"/>
    <numFmt numFmtId="176" formatCode="yyyy&quot;A&quot;"/>
    <numFmt numFmtId="177" formatCode="yyyy&quot;E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1"/>
      <name val="Tahoma"/>
      <family val="2"/>
    </font>
    <font>
      <i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0" fontId="0" fillId="0" borderId="0" xfId="1" applyNumberFormat="1" applyFont="1"/>
    <xf numFmtId="166" fontId="0" fillId="0" borderId="0" xfId="1" applyNumberFormat="1" applyFont="1"/>
    <xf numFmtId="3" fontId="0" fillId="0" borderId="0" xfId="0" applyNumberFormat="1"/>
    <xf numFmtId="0" fontId="3" fillId="0" borderId="0" xfId="0" applyFont="1"/>
    <xf numFmtId="0" fontId="6" fillId="3" borderId="1" xfId="0" applyFont="1" applyFill="1" applyBorder="1" applyAlignment="1">
      <alignment horizontal="left"/>
    </xf>
    <xf numFmtId="167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7" fillId="0" borderId="0" xfId="0" applyFont="1"/>
    <xf numFmtId="37" fontId="8" fillId="0" borderId="0" xfId="0" applyNumberFormat="1" applyFont="1" applyAlignment="1">
      <alignment horizontal="center"/>
    </xf>
    <xf numFmtId="0" fontId="10" fillId="0" borderId="0" xfId="0" applyFont="1"/>
    <xf numFmtId="166" fontId="10" fillId="0" borderId="0" xfId="1" applyNumberFormat="1" applyFont="1" applyAlignment="1">
      <alignment horizontal="center"/>
    </xf>
    <xf numFmtId="166" fontId="11" fillId="2" borderId="0" xfId="1" applyNumberFormat="1" applyFont="1" applyFill="1" applyAlignment="1">
      <alignment horizontal="center"/>
    </xf>
    <xf numFmtId="166" fontId="12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37" fontId="13" fillId="2" borderId="0" xfId="2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7" fillId="0" borderId="2" xfId="0" applyFont="1" applyBorder="1"/>
    <xf numFmtId="166" fontId="15" fillId="0" borderId="0" xfId="1" applyNumberFormat="1" applyFont="1" applyAlignment="1">
      <alignment horizontal="center"/>
    </xf>
    <xf numFmtId="169" fontId="7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left"/>
    </xf>
    <xf numFmtId="9" fontId="15" fillId="0" borderId="0" xfId="1" applyFont="1" applyAlignment="1">
      <alignment horizontal="center"/>
    </xf>
    <xf numFmtId="169" fontId="8" fillId="0" borderId="2" xfId="0" applyNumberFormat="1" applyFont="1" applyBorder="1" applyAlignment="1">
      <alignment horizontal="center"/>
    </xf>
    <xf numFmtId="170" fontId="7" fillId="0" borderId="0" xfId="0" applyNumberFormat="1" applyFont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center"/>
    </xf>
    <xf numFmtId="166" fontId="7" fillId="0" borderId="0" xfId="1" applyNumberFormat="1" applyFont="1"/>
    <xf numFmtId="0" fontId="6" fillId="0" borderId="0" xfId="0" applyFont="1"/>
    <xf numFmtId="166" fontId="7" fillId="0" borderId="2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9" fontId="7" fillId="0" borderId="0" xfId="1" applyFont="1" applyAlignment="1">
      <alignment horizontal="center" vertical="center"/>
    </xf>
    <xf numFmtId="168" fontId="7" fillId="0" borderId="0" xfId="2" applyNumberFormat="1" applyFont="1"/>
    <xf numFmtId="43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37" fontId="7" fillId="0" borderId="2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0" fontId="7" fillId="0" borderId="0" xfId="0" applyNumberFormat="1" applyFont="1"/>
    <xf numFmtId="173" fontId="7" fillId="0" borderId="0" xfId="0" applyNumberFormat="1" applyFont="1" applyAlignment="1">
      <alignment horizontal="center"/>
    </xf>
    <xf numFmtId="174" fontId="6" fillId="0" borderId="2" xfId="0" applyNumberFormat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65" fontId="7" fillId="0" borderId="0" xfId="2" applyNumberFormat="1" applyFont="1" applyAlignment="1">
      <alignment horizontal="center"/>
    </xf>
    <xf numFmtId="37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175" fontId="6" fillId="0" borderId="2" xfId="0" applyNumberFormat="1" applyFont="1" applyBorder="1" applyAlignment="1">
      <alignment horizontal="center"/>
    </xf>
    <xf numFmtId="0" fontId="18" fillId="0" borderId="0" xfId="0" applyFont="1"/>
    <xf numFmtId="171" fontId="13" fillId="2" borderId="3" xfId="0" applyNumberFormat="1" applyFont="1" applyFill="1" applyBorder="1" applyAlignment="1">
      <alignment horizontal="center"/>
    </xf>
    <xf numFmtId="0" fontId="7" fillId="0" borderId="3" xfId="0" applyFont="1" applyBorder="1"/>
    <xf numFmtId="37" fontId="3" fillId="0" borderId="0" xfId="0" applyNumberFormat="1" applyFont="1"/>
    <xf numFmtId="176" fontId="6" fillId="3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171" fontId="9" fillId="0" borderId="3" xfId="0" applyNumberFormat="1" applyFont="1" applyBorder="1" applyAlignment="1">
      <alignment horizontal="center"/>
    </xf>
    <xf numFmtId="166" fontId="11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165" fontId="13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6" fontId="7" fillId="0" borderId="0" xfId="1" applyNumberFormat="1" applyFont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10" fontId="0" fillId="0" borderId="0" xfId="0" applyNumberFormat="1"/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74" fontId="20" fillId="0" borderId="0" xfId="0" applyNumberFormat="1" applyFont="1" applyAlignment="1">
      <alignment horizontal="left"/>
    </xf>
    <xf numFmtId="173" fontId="0" fillId="0" borderId="0" xfId="0" applyNumberFormat="1" applyAlignment="1">
      <alignment horizontal="center"/>
    </xf>
    <xf numFmtId="17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8">
    <cellStyle name="Comma" xfId="2" builtinId="3"/>
    <cellStyle name="Followed Hyperlink" xfId="5" builtinId="9" hidden="1"/>
    <cellStyle name="Followed Hyperlink" xfId="6" builtinId="9" hidden="1"/>
    <cellStyle name="Followed Hyperlink" xfId="7" builtinId="9" hidden="1"/>
    <cellStyle name="Normal" xfId="0" builtinId="0"/>
    <cellStyle name="Normal 2" xfId="3" xr:uid="{00000000-0005-0000-0000-000005000000}"/>
    <cellStyle name="Normal 2 2" xfId="4" xr:uid="{00000000-0005-0000-0000-000006000000}"/>
    <cellStyle name="Percent" xfId="1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view="pageBreakPreview" zoomScale="125" zoomScaleSheetLayoutView="125" workbookViewId="0">
      <selection activeCell="K12" sqref="K12"/>
    </sheetView>
  </sheetViews>
  <sheetFormatPr baseColWidth="10" defaultColWidth="8.83203125" defaultRowHeight="15" x14ac:dyDescent="0.2"/>
  <cols>
    <col min="1" max="1" width="23" customWidth="1"/>
    <col min="2" max="3" width="9.6640625" customWidth="1"/>
    <col min="4" max="11" width="10.5" customWidth="1"/>
  </cols>
  <sheetData>
    <row r="1" spans="1:11" ht="29" x14ac:dyDescent="0.35">
      <c r="A1" s="8" t="s">
        <v>44</v>
      </c>
      <c r="B1" s="59"/>
      <c r="C1" s="59"/>
      <c r="D1" s="8"/>
      <c r="E1" s="8"/>
      <c r="F1" s="8"/>
      <c r="G1" s="8"/>
      <c r="H1" s="8"/>
      <c r="I1" s="8"/>
      <c r="J1" s="8"/>
      <c r="K1" s="8"/>
    </row>
    <row r="2" spans="1:11" x14ac:dyDescent="0.2">
      <c r="A2" s="2"/>
    </row>
    <row r="3" spans="1:11" x14ac:dyDescent="0.2">
      <c r="A3" s="9" t="s">
        <v>35</v>
      </c>
      <c r="B3" s="60">
        <v>42369</v>
      </c>
      <c r="C3" s="60">
        <v>42735</v>
      </c>
      <c r="D3" s="61">
        <v>43100</v>
      </c>
      <c r="E3" s="61">
        <v>43465</v>
      </c>
      <c r="F3" s="61">
        <v>43830</v>
      </c>
      <c r="G3" s="61">
        <v>44196</v>
      </c>
      <c r="H3" s="61">
        <v>44561</v>
      </c>
      <c r="I3" s="61">
        <v>44926</v>
      </c>
      <c r="J3" s="61">
        <v>45291</v>
      </c>
      <c r="K3" s="61">
        <v>45657</v>
      </c>
    </row>
    <row r="4" spans="1:11" x14ac:dyDescent="0.2">
      <c r="A4" s="12" t="s">
        <v>3</v>
      </c>
      <c r="B4" s="13">
        <v>20511</v>
      </c>
      <c r="C4" s="13">
        <v>20792</v>
      </c>
      <c r="D4" s="13">
        <v>21559.46</v>
      </c>
      <c r="E4" s="13">
        <v>22661.75</v>
      </c>
      <c r="F4" s="13">
        <v>23672.55</v>
      </c>
      <c r="G4" s="13">
        <v>24499</v>
      </c>
      <c r="H4" s="21">
        <f>G4*(1+H5)</f>
        <v>25233.97</v>
      </c>
      <c r="I4" s="21">
        <f t="shared" ref="I4:K4" si="0">H4*(1+I5)</f>
        <v>25915.287189999999</v>
      </c>
      <c r="J4" s="21">
        <f t="shared" si="0"/>
        <v>26563.169369749998</v>
      </c>
      <c r="K4" s="21">
        <f t="shared" si="0"/>
        <v>27094.432757144998</v>
      </c>
    </row>
    <row r="5" spans="1:11" x14ac:dyDescent="0.2">
      <c r="A5" s="14" t="s">
        <v>1</v>
      </c>
      <c r="B5" s="15"/>
      <c r="C5" s="63">
        <f>C4/B4-1</f>
        <v>1.3699965871971198E-2</v>
      </c>
      <c r="D5" s="63">
        <f t="shared" ref="D5:G5" si="1">D4/C4-1</f>
        <v>3.6911312043093503E-2</v>
      </c>
      <c r="E5" s="63">
        <f t="shared" si="1"/>
        <v>5.1127903945646258E-2</v>
      </c>
      <c r="F5" s="63">
        <f t="shared" si="1"/>
        <v>4.4603792734453362E-2</v>
      </c>
      <c r="G5" s="63">
        <f t="shared" si="1"/>
        <v>3.491174377073869E-2</v>
      </c>
      <c r="H5" s="16">
        <v>0.03</v>
      </c>
      <c r="I5" s="16">
        <v>2.7E-2</v>
      </c>
      <c r="J5" s="16">
        <v>2.5000000000000001E-2</v>
      </c>
      <c r="K5" s="16">
        <v>0.02</v>
      </c>
    </row>
    <row r="6" spans="1:11" x14ac:dyDescent="0.2">
      <c r="A6" s="12" t="s">
        <v>4</v>
      </c>
      <c r="B6" s="13">
        <v>4654</v>
      </c>
      <c r="C6" s="13">
        <v>5042</v>
      </c>
      <c r="D6" s="13">
        <v>5270.82</v>
      </c>
      <c r="E6" s="13">
        <v>5608.13</v>
      </c>
      <c r="F6" s="13">
        <v>5914.6</v>
      </c>
      <c r="G6" s="13">
        <v>5937</v>
      </c>
      <c r="H6" s="21">
        <f>H4*H7</f>
        <v>6056.1527999999998</v>
      </c>
      <c r="I6" s="21">
        <f t="shared" ref="I6:K6" si="2">I4*I7</f>
        <v>6167.8383512199998</v>
      </c>
      <c r="J6" s="21">
        <f t="shared" si="2"/>
        <v>6242.3448018912495</v>
      </c>
      <c r="K6" s="21">
        <f t="shared" si="2"/>
        <v>6285.9083996576401</v>
      </c>
    </row>
    <row r="7" spans="1:11" x14ac:dyDescent="0.2">
      <c r="A7" s="14" t="s">
        <v>5</v>
      </c>
      <c r="B7" s="63">
        <f>B6/B$4</f>
        <v>0.2269026376090878</v>
      </c>
      <c r="C7" s="63">
        <f t="shared" ref="C7:G7" si="3">C6/C$4</f>
        <v>0.24249711427472104</v>
      </c>
      <c r="D7" s="63">
        <f t="shared" si="3"/>
        <v>0.24447829398324447</v>
      </c>
      <c r="E7" s="63">
        <f t="shared" si="3"/>
        <v>0.24747117941023972</v>
      </c>
      <c r="F7" s="63">
        <f t="shared" si="3"/>
        <v>0.24985056531721342</v>
      </c>
      <c r="G7" s="63">
        <f t="shared" si="3"/>
        <v>0.24233642189477123</v>
      </c>
      <c r="H7" s="16">
        <v>0.24</v>
      </c>
      <c r="I7" s="16">
        <v>0.23799999999999999</v>
      </c>
      <c r="J7" s="16">
        <v>0.23499999999999999</v>
      </c>
      <c r="K7" s="16">
        <v>0.23200000000000001</v>
      </c>
    </row>
    <row r="8" spans="1:11" x14ac:dyDescent="0.2">
      <c r="A8" s="12" t="s">
        <v>6</v>
      </c>
      <c r="B8" s="21">
        <f t="shared" ref="B8:G8" si="4">B6-B10</f>
        <v>1096</v>
      </c>
      <c r="C8" s="21">
        <f>C6-C10</f>
        <v>1502</v>
      </c>
      <c r="D8" s="21">
        <f t="shared" si="4"/>
        <v>1585.4299999999998</v>
      </c>
      <c r="E8" s="21">
        <f t="shared" si="4"/>
        <v>1666</v>
      </c>
      <c r="F8" s="21">
        <f t="shared" si="4"/>
        <v>1701.33</v>
      </c>
      <c r="G8" s="21">
        <f t="shared" si="4"/>
        <v>1767.67</v>
      </c>
      <c r="H8" s="21">
        <f>H6-H10</f>
        <v>1816.845839999999</v>
      </c>
      <c r="I8" s="21">
        <f t="shared" ref="I8:K8" si="5">I6-I10</f>
        <v>1891.8159648699993</v>
      </c>
      <c r="J8" s="21">
        <f t="shared" si="5"/>
        <v>1912.5481946219998</v>
      </c>
      <c r="K8" s="21">
        <f t="shared" si="5"/>
        <v>1950.79915851444</v>
      </c>
    </row>
    <row r="9" spans="1:11" x14ac:dyDescent="0.2">
      <c r="A9" s="14" t="s">
        <v>5</v>
      </c>
      <c r="B9" s="23">
        <f>B8/B4</f>
        <v>5.3434742333382086E-2</v>
      </c>
      <c r="C9" s="23">
        <f>C8/C4</f>
        <v>7.2239322816467874E-2</v>
      </c>
      <c r="D9" s="23">
        <f t="shared" ref="D9" si="6">D8/D4</f>
        <v>7.3537556135450516E-2</v>
      </c>
      <c r="E9" s="23">
        <f t="shared" ref="E9:G9" si="7">E8/E4</f>
        <v>7.3515946473683633E-2</v>
      </c>
      <c r="F9" s="23">
        <f t="shared" si="7"/>
        <v>7.1869316993733251E-2</v>
      </c>
      <c r="G9" s="23">
        <f t="shared" si="7"/>
        <v>7.2152740928201148E-2</v>
      </c>
      <c r="H9" s="23">
        <f>H8/H4</f>
        <v>7.1999999999999953E-2</v>
      </c>
      <c r="I9" s="23">
        <f t="shared" ref="I9:K9" si="8">I8/I4</f>
        <v>7.2999999999999982E-2</v>
      </c>
      <c r="J9" s="23">
        <f t="shared" si="8"/>
        <v>7.1999999999999995E-2</v>
      </c>
      <c r="K9" s="23">
        <f t="shared" si="8"/>
        <v>7.2000000000000008E-2</v>
      </c>
    </row>
    <row r="10" spans="1:11" x14ac:dyDescent="0.2">
      <c r="A10" s="12" t="s">
        <v>0</v>
      </c>
      <c r="B10" s="13">
        <v>3558</v>
      </c>
      <c r="C10" s="13">
        <v>3540</v>
      </c>
      <c r="D10" s="13">
        <v>3685.39</v>
      </c>
      <c r="E10" s="13">
        <v>3942.13</v>
      </c>
      <c r="F10" s="13">
        <v>4213.2700000000004</v>
      </c>
      <c r="G10" s="13">
        <v>4169.33</v>
      </c>
      <c r="H10" s="21">
        <f>H4*H11</f>
        <v>4239.3069600000008</v>
      </c>
      <c r="I10" s="21">
        <f t="shared" ref="I10:K10" si="9">I4*I11</f>
        <v>4276.0223863500005</v>
      </c>
      <c r="J10" s="21">
        <f t="shared" si="9"/>
        <v>4329.7966072692498</v>
      </c>
      <c r="K10" s="21">
        <f t="shared" si="9"/>
        <v>4335.1092411432001</v>
      </c>
    </row>
    <row r="11" spans="1:11" x14ac:dyDescent="0.2">
      <c r="A11" s="14" t="s">
        <v>5</v>
      </c>
      <c r="B11" s="63">
        <f>B10/B$4</f>
        <v>0.17346789527570572</v>
      </c>
      <c r="C11" s="63">
        <f t="shared" ref="C11:G11" si="10">C10/C$4</f>
        <v>0.17025779145825318</v>
      </c>
      <c r="D11" s="63">
        <f t="shared" si="10"/>
        <v>0.17094073784779396</v>
      </c>
      <c r="E11" s="63">
        <f t="shared" si="10"/>
        <v>0.1739552329365561</v>
      </c>
      <c r="F11" s="63">
        <f t="shared" si="10"/>
        <v>0.17798124832348017</v>
      </c>
      <c r="G11" s="63">
        <f t="shared" si="10"/>
        <v>0.17018368096657005</v>
      </c>
      <c r="H11" s="16">
        <v>0.16800000000000001</v>
      </c>
      <c r="I11" s="16">
        <v>0.16500000000000001</v>
      </c>
      <c r="J11" s="16">
        <v>0.16300000000000001</v>
      </c>
      <c r="K11" s="16">
        <v>0.16</v>
      </c>
    </row>
    <row r="12" spans="1:11" x14ac:dyDescent="0.2">
      <c r="A12" s="12" t="s">
        <v>7</v>
      </c>
      <c r="B12" s="13">
        <v>1638</v>
      </c>
      <c r="C12" s="13">
        <v>1757</v>
      </c>
      <c r="D12" s="13">
        <v>1923.93</v>
      </c>
      <c r="E12" s="13">
        <v>1880.32</v>
      </c>
      <c r="F12" s="13">
        <v>1930.03</v>
      </c>
      <c r="G12" s="13">
        <v>1814.04</v>
      </c>
      <c r="H12" s="21">
        <f>H4*H13</f>
        <v>1968.2496600000002</v>
      </c>
      <c r="I12" s="21">
        <f t="shared" ref="I12:K12" si="11">I4*I13</f>
        <v>1943.6465392499999</v>
      </c>
      <c r="J12" s="21">
        <f t="shared" si="11"/>
        <v>1939.1113639917496</v>
      </c>
      <c r="K12" s="21">
        <f t="shared" si="11"/>
        <v>1950.7991585144396</v>
      </c>
    </row>
    <row r="13" spans="1:11" x14ac:dyDescent="0.2">
      <c r="A13" s="14" t="s">
        <v>5</v>
      </c>
      <c r="B13" s="63">
        <f t="shared" ref="B13:G13" si="12">B12/B$4</f>
        <v>7.9859587538394033E-2</v>
      </c>
      <c r="C13" s="63">
        <f t="shared" si="12"/>
        <v>8.4503655252020013E-2</v>
      </c>
      <c r="D13" s="63">
        <f t="shared" si="12"/>
        <v>8.9238320440307883E-2</v>
      </c>
      <c r="E13" s="63">
        <f t="shared" si="12"/>
        <v>8.2973292000838417E-2</v>
      </c>
      <c r="F13" s="63">
        <f t="shared" si="12"/>
        <v>8.1530295637774558E-2</v>
      </c>
      <c r="G13" s="63">
        <f t="shared" si="12"/>
        <v>7.4045471243724237E-2</v>
      </c>
      <c r="H13" s="16">
        <v>7.8E-2</v>
      </c>
      <c r="I13" s="16">
        <v>7.4999999999999997E-2</v>
      </c>
      <c r="J13" s="16">
        <v>7.2999999999999995E-2</v>
      </c>
      <c r="K13" s="16">
        <v>7.1999999999999995E-2</v>
      </c>
    </row>
    <row r="14" spans="1:11" x14ac:dyDescent="0.2">
      <c r="A14" s="12" t="s">
        <v>8</v>
      </c>
      <c r="B14" s="13">
        <v>371</v>
      </c>
      <c r="C14" s="13">
        <v>80</v>
      </c>
      <c r="D14" s="21">
        <f>+D$4*D15</f>
        <v>236.45864886415265</v>
      </c>
      <c r="E14" s="21">
        <f t="shared" ref="E14:G14" si="13">+E$4*E15</f>
        <v>248.54828395039632</v>
      </c>
      <c r="F14" s="21">
        <f t="shared" si="13"/>
        <v>259.6344800922239</v>
      </c>
      <c r="G14" s="21">
        <f t="shared" si="13"/>
        <v>268.69877253525254</v>
      </c>
      <c r="H14" s="21">
        <f>H4*H15</f>
        <v>276.75973571131016</v>
      </c>
      <c r="I14" s="21">
        <f t="shared" ref="I14:K14" si="14">I4*I15</f>
        <v>284.23224857551548</v>
      </c>
      <c r="J14" s="21">
        <f t="shared" si="14"/>
        <v>291.33805478990337</v>
      </c>
      <c r="K14" s="21">
        <f t="shared" si="14"/>
        <v>297.16481588570144</v>
      </c>
    </row>
    <row r="15" spans="1:11" x14ac:dyDescent="0.2">
      <c r="A15" s="14" t="s">
        <v>5</v>
      </c>
      <c r="B15" s="15">
        <f>B14/B4</f>
        <v>1.8087855297157621E-2</v>
      </c>
      <c r="C15" s="15">
        <f>C14/C4</f>
        <v>3.8476337052712581E-3</v>
      </c>
      <c r="D15" s="16">
        <f>AVERAGE(B15:C15)</f>
        <v>1.096774450121444E-2</v>
      </c>
      <c r="E15" s="16">
        <f t="shared" ref="E15:K15" si="15">D15</f>
        <v>1.096774450121444E-2</v>
      </c>
      <c r="F15" s="16">
        <f t="shared" si="15"/>
        <v>1.096774450121444E-2</v>
      </c>
      <c r="G15" s="16">
        <f t="shared" si="15"/>
        <v>1.096774450121444E-2</v>
      </c>
      <c r="H15" s="16">
        <f t="shared" si="15"/>
        <v>1.096774450121444E-2</v>
      </c>
      <c r="I15" s="16">
        <f t="shared" si="15"/>
        <v>1.096774450121444E-2</v>
      </c>
      <c r="J15" s="16">
        <f t="shared" si="15"/>
        <v>1.096774450121444E-2</v>
      </c>
      <c r="K15" s="16">
        <f t="shared" si="15"/>
        <v>1.096774450121444E-2</v>
      </c>
    </row>
    <row r="16" spans="1:11" x14ac:dyDescent="0.2">
      <c r="A16" s="12" t="s">
        <v>9</v>
      </c>
      <c r="B16" s="17">
        <f>697/2838</f>
        <v>0.24559548978153628</v>
      </c>
      <c r="C16" s="17">
        <f>673/2412</f>
        <v>0.27902155887230512</v>
      </c>
      <c r="D16" s="16">
        <f>C16</f>
        <v>0.27902155887230512</v>
      </c>
      <c r="E16" s="16">
        <f t="shared" ref="E16:K16" si="16">D16-0.4%</f>
        <v>0.27502155887230512</v>
      </c>
      <c r="F16" s="16">
        <f t="shared" si="16"/>
        <v>0.27102155887230511</v>
      </c>
      <c r="G16" s="16">
        <f t="shared" si="16"/>
        <v>0.26702155887230511</v>
      </c>
      <c r="H16" s="16">
        <f t="shared" si="16"/>
        <v>0.26302155887230511</v>
      </c>
      <c r="I16" s="16">
        <f t="shared" si="16"/>
        <v>0.2590215588723051</v>
      </c>
      <c r="J16" s="16">
        <f t="shared" si="16"/>
        <v>0.2550215588723051</v>
      </c>
      <c r="K16" s="16">
        <f t="shared" si="16"/>
        <v>0.2510215588723051</v>
      </c>
    </row>
    <row r="17" spans="1:11" x14ac:dyDescent="0.2">
      <c r="A17" s="12"/>
      <c r="B17" s="12"/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2">
      <c r="A18" s="12" t="s">
        <v>32</v>
      </c>
      <c r="B18" s="12"/>
      <c r="C18" s="19">
        <v>2166</v>
      </c>
      <c r="D18" s="18"/>
      <c r="H18" s="18"/>
      <c r="I18" s="20"/>
      <c r="J18" s="20"/>
      <c r="K18" s="20"/>
    </row>
    <row r="19" spans="1:11" x14ac:dyDescent="0.2">
      <c r="A19" s="12" t="s">
        <v>36</v>
      </c>
      <c r="B19" s="12"/>
      <c r="C19" s="19">
        <f>427+1</f>
        <v>428</v>
      </c>
      <c r="D19" s="18"/>
      <c r="H19" s="18"/>
      <c r="J19" s="20"/>
      <c r="K19" s="20"/>
    </row>
    <row r="20" spans="1:11" x14ac:dyDescent="0.2">
      <c r="A20" s="12" t="s">
        <v>10</v>
      </c>
      <c r="B20" s="12"/>
      <c r="C20" s="19">
        <v>11293</v>
      </c>
      <c r="D20" s="18"/>
      <c r="E20" s="18"/>
      <c r="F20" s="18"/>
      <c r="G20" s="18"/>
      <c r="H20" s="18"/>
      <c r="I20" s="20"/>
      <c r="J20" s="20"/>
      <c r="K20" s="20"/>
    </row>
    <row r="21" spans="1:11" x14ac:dyDescent="0.2">
      <c r="A21" s="12" t="s">
        <v>37</v>
      </c>
      <c r="B21" s="12"/>
      <c r="C21" s="19">
        <v>1335</v>
      </c>
      <c r="D21" s="18"/>
      <c r="E21" s="18"/>
      <c r="F21" s="18"/>
      <c r="G21" s="18"/>
      <c r="H21" s="18"/>
      <c r="I21" s="20"/>
      <c r="J21" s="20"/>
      <c r="K21" s="20"/>
    </row>
    <row r="22" spans="1:11" x14ac:dyDescent="0.2">
      <c r="A22" s="12" t="s">
        <v>33</v>
      </c>
      <c r="B22" s="12"/>
      <c r="C22" s="19">
        <v>1420</v>
      </c>
      <c r="D22" s="18"/>
      <c r="E22" s="18"/>
      <c r="F22" s="18"/>
      <c r="G22" s="18"/>
      <c r="H22" s="18"/>
      <c r="I22" s="20"/>
      <c r="J22" s="20"/>
      <c r="K22" s="20"/>
    </row>
    <row r="23" spans="1:11" x14ac:dyDescent="0.2">
      <c r="A23" s="12" t="s">
        <v>34</v>
      </c>
      <c r="B23" s="12"/>
      <c r="C23" s="19">
        <f>302+154</f>
        <v>456</v>
      </c>
      <c r="D23" s="18"/>
      <c r="E23" s="18"/>
      <c r="F23" s="18"/>
      <c r="G23" s="18"/>
      <c r="H23" s="18"/>
      <c r="I23" s="20"/>
      <c r="J23" s="20"/>
      <c r="K23" s="20"/>
    </row>
    <row r="24" spans="1:11" x14ac:dyDescent="0.2">
      <c r="A24" s="12" t="s">
        <v>38</v>
      </c>
      <c r="B24" s="12"/>
      <c r="C24" s="19">
        <f>57-17</f>
        <v>40</v>
      </c>
      <c r="D24" s="18"/>
      <c r="E24" s="18"/>
      <c r="F24" s="18"/>
      <c r="G24" s="18"/>
      <c r="H24" s="18"/>
      <c r="I24" s="20"/>
      <c r="J24" s="20"/>
      <c r="K24" s="20"/>
    </row>
    <row r="25" spans="1:11" x14ac:dyDescent="0.2">
      <c r="A25" s="12" t="s">
        <v>39</v>
      </c>
      <c r="B25" s="12"/>
      <c r="C25" s="65">
        <f>569680780/1000000</f>
        <v>569.68078000000003</v>
      </c>
      <c r="D25" s="1"/>
      <c r="E25" s="18"/>
      <c r="F25" s="18"/>
      <c r="G25" s="18"/>
      <c r="H25" s="1"/>
      <c r="I25" s="1"/>
      <c r="J25" s="1"/>
      <c r="K25" s="1"/>
    </row>
    <row r="26" spans="1:11" x14ac:dyDescent="0.2">
      <c r="C26" s="1"/>
      <c r="D26" s="1"/>
      <c r="E26" s="18"/>
      <c r="F26" s="18"/>
      <c r="G26" s="18"/>
      <c r="H26" s="1"/>
      <c r="I26" s="1"/>
      <c r="J26" s="1"/>
      <c r="K26" s="1"/>
    </row>
    <row r="27" spans="1:11" x14ac:dyDescent="0.2">
      <c r="C27" s="1"/>
      <c r="D27" s="1"/>
      <c r="E27" s="18"/>
      <c r="F27" s="18"/>
      <c r="G27" s="18"/>
      <c r="H27" s="1"/>
      <c r="I27" s="1"/>
      <c r="J27" s="1"/>
      <c r="K27" s="1"/>
    </row>
    <row r="28" spans="1:11" x14ac:dyDescent="0.2">
      <c r="C28" s="1"/>
      <c r="D28" s="1"/>
      <c r="E28" s="18"/>
      <c r="F28" s="18"/>
      <c r="G28" s="18"/>
      <c r="H28" s="1"/>
      <c r="I28" s="1"/>
      <c r="J28" s="1"/>
      <c r="K28" s="1"/>
    </row>
    <row r="29" spans="1:11" x14ac:dyDescent="0.2">
      <c r="C29" s="1"/>
      <c r="D29" s="1"/>
      <c r="E29" s="18"/>
      <c r="F29" s="18"/>
      <c r="G29" s="18"/>
      <c r="H29" s="1"/>
      <c r="I29" s="1"/>
      <c r="J29" s="1"/>
      <c r="K29" s="1"/>
    </row>
    <row r="30" spans="1:11" x14ac:dyDescent="0.2"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C32" s="1"/>
      <c r="D32" s="1"/>
      <c r="E32" s="1"/>
      <c r="F32" s="1"/>
      <c r="G32" s="1"/>
      <c r="H32" s="1"/>
      <c r="I32" s="1"/>
      <c r="J32" s="1"/>
      <c r="K32" s="1"/>
    </row>
    <row r="33" spans="3:12" x14ac:dyDescent="0.2">
      <c r="C33" s="1"/>
      <c r="D33" s="1"/>
      <c r="E33" s="1"/>
      <c r="F33" s="1"/>
      <c r="G33" s="1"/>
      <c r="H33" s="1"/>
      <c r="I33" s="1"/>
      <c r="J33" s="1"/>
      <c r="K33" s="1"/>
    </row>
    <row r="34" spans="3:12" x14ac:dyDescent="0.2">
      <c r="C34" s="1"/>
      <c r="D34" s="1"/>
      <c r="E34" s="1"/>
      <c r="F34" s="1"/>
      <c r="G34" s="1"/>
      <c r="H34" s="1"/>
      <c r="I34" s="1"/>
      <c r="J34" s="1"/>
      <c r="K34" s="1"/>
    </row>
    <row r="35" spans="3:12" x14ac:dyDescent="0.2">
      <c r="C35" s="1"/>
      <c r="D35" s="1"/>
      <c r="E35" s="1"/>
      <c r="F35" s="1"/>
      <c r="G35" s="1"/>
      <c r="H35" s="1"/>
      <c r="I35" s="1"/>
      <c r="J35" s="1"/>
      <c r="K35" s="1"/>
    </row>
    <row r="36" spans="3:12" x14ac:dyDescent="0.2">
      <c r="C36" s="1"/>
      <c r="D36" s="1"/>
      <c r="E36" s="1"/>
      <c r="F36" s="1"/>
      <c r="G36" s="1"/>
      <c r="H36" s="1"/>
      <c r="I36" s="1"/>
      <c r="J36" s="1"/>
      <c r="K36" s="1"/>
    </row>
    <row r="37" spans="3:12" x14ac:dyDescent="0.2">
      <c r="C37" s="1"/>
      <c r="D37" s="1"/>
      <c r="E37" s="1"/>
      <c r="F37" s="1"/>
      <c r="G37" s="1"/>
      <c r="H37" s="1"/>
      <c r="I37" s="1"/>
      <c r="J37" s="1"/>
      <c r="K37" s="1"/>
    </row>
    <row r="38" spans="3:12" x14ac:dyDescent="0.2">
      <c r="C38" s="1"/>
      <c r="D38" s="1"/>
      <c r="E38" s="1"/>
      <c r="F38" s="1"/>
      <c r="G38" s="1"/>
      <c r="H38" s="1"/>
      <c r="I38" s="1"/>
      <c r="J38" s="1"/>
      <c r="K38" s="1"/>
    </row>
    <row r="39" spans="3:12" x14ac:dyDescent="0.2">
      <c r="C39" s="1"/>
      <c r="D39" s="1"/>
      <c r="E39" s="1"/>
      <c r="F39" s="1"/>
      <c r="G39" s="1"/>
      <c r="H39" s="1"/>
      <c r="I39" s="1"/>
      <c r="J39" s="1"/>
      <c r="K39" s="1"/>
      <c r="L39" s="3"/>
    </row>
    <row r="40" spans="3:12" x14ac:dyDescent="0.2">
      <c r="C40" s="1"/>
      <c r="D40" s="1"/>
      <c r="E40" s="1"/>
      <c r="F40" s="1"/>
      <c r="G40" s="1"/>
      <c r="H40" s="1"/>
      <c r="I40" s="1"/>
      <c r="J40" s="1"/>
      <c r="K40" s="1"/>
    </row>
    <row r="41" spans="3:12" x14ac:dyDescent="0.2">
      <c r="C41" s="1"/>
      <c r="D41" s="1"/>
      <c r="E41" s="1"/>
      <c r="F41" s="1"/>
      <c r="G41" s="1"/>
      <c r="H41" s="1"/>
      <c r="I41" s="1"/>
      <c r="J41" s="1"/>
      <c r="K41" s="1"/>
    </row>
    <row r="42" spans="3:12" x14ac:dyDescent="0.2">
      <c r="C42" s="1"/>
      <c r="D42" s="1"/>
      <c r="E42" s="1"/>
      <c r="F42" s="1"/>
      <c r="G42" s="1"/>
      <c r="H42" s="1"/>
      <c r="I42" s="1"/>
      <c r="J42" s="1"/>
      <c r="K42" s="1"/>
    </row>
    <row r="43" spans="3:12" x14ac:dyDescent="0.2">
      <c r="C43" s="1"/>
      <c r="D43" s="1"/>
      <c r="E43" s="1"/>
      <c r="F43" s="1"/>
      <c r="G43" s="1"/>
      <c r="H43" s="1"/>
      <c r="I43" s="1"/>
      <c r="J43" s="1"/>
      <c r="K43" s="1"/>
    </row>
    <row r="44" spans="3:12" x14ac:dyDescent="0.2">
      <c r="C44" s="1"/>
      <c r="D44" s="1"/>
      <c r="E44" s="1"/>
      <c r="F44" s="1"/>
      <c r="G44" s="1"/>
      <c r="H44" s="1"/>
      <c r="I44" s="1"/>
      <c r="J44" s="1"/>
      <c r="K44" s="1"/>
    </row>
    <row r="45" spans="3:12" x14ac:dyDescent="0.2">
      <c r="C45" s="1"/>
      <c r="D45" s="1"/>
      <c r="E45" s="1"/>
      <c r="F45" s="1"/>
      <c r="G45" s="1"/>
      <c r="H45" s="1"/>
      <c r="I45" s="1"/>
      <c r="J45" s="1"/>
      <c r="K45" s="1"/>
    </row>
    <row r="46" spans="3:12" x14ac:dyDescent="0.2">
      <c r="C46" s="1"/>
      <c r="D46" s="1"/>
      <c r="E46" s="1"/>
      <c r="F46" s="1"/>
      <c r="G46" s="1"/>
      <c r="H46" s="1"/>
      <c r="I46" s="1"/>
      <c r="J46" s="1"/>
      <c r="K46" s="1"/>
    </row>
    <row r="47" spans="3:12" x14ac:dyDescent="0.2">
      <c r="C47" s="1"/>
      <c r="D47" s="1"/>
      <c r="E47" s="1"/>
      <c r="F47" s="1"/>
      <c r="G47" s="1"/>
      <c r="H47" s="1"/>
      <c r="I47" s="1"/>
      <c r="J47" s="1"/>
      <c r="K47" s="1"/>
    </row>
    <row r="48" spans="3:12" x14ac:dyDescent="0.2">
      <c r="C48" s="1"/>
      <c r="D48" s="1"/>
      <c r="E48" s="1"/>
      <c r="F48" s="1"/>
      <c r="G48" s="1"/>
      <c r="H48" s="1"/>
      <c r="I48" s="1"/>
      <c r="J48" s="1"/>
      <c r="K48" s="1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  <row r="53" spans="3:11" x14ac:dyDescent="0.2">
      <c r="C53" s="1"/>
      <c r="D53" s="1"/>
      <c r="E53" s="1"/>
      <c r="F53" s="1"/>
      <c r="G53" s="1"/>
      <c r="H53" s="1"/>
      <c r="I53" s="1"/>
      <c r="J53" s="1"/>
      <c r="K53" s="1"/>
    </row>
    <row r="54" spans="3:11" x14ac:dyDescent="0.2">
      <c r="C54" s="1"/>
      <c r="D54" s="1"/>
      <c r="E54" s="1"/>
      <c r="F54" s="1"/>
      <c r="G54" s="1"/>
      <c r="H54" s="1"/>
      <c r="I54" s="1"/>
      <c r="J54" s="1"/>
      <c r="K54" s="1"/>
    </row>
    <row r="55" spans="3:11" x14ac:dyDescent="0.2">
      <c r="C55" s="1"/>
      <c r="D55" s="1"/>
      <c r="E55" s="1"/>
      <c r="F55" s="1"/>
      <c r="G55" s="1"/>
      <c r="H55" s="1"/>
      <c r="I55" s="1"/>
      <c r="J55" s="1"/>
      <c r="K55" s="1"/>
    </row>
    <row r="56" spans="3:11" x14ac:dyDescent="0.2">
      <c r="C56" s="1"/>
      <c r="D56" s="1"/>
      <c r="E56" s="1"/>
      <c r="F56" s="1"/>
      <c r="G56" s="1"/>
      <c r="H56" s="1"/>
      <c r="I56" s="1"/>
      <c r="J56" s="1"/>
      <c r="K56" s="1"/>
    </row>
    <row r="57" spans="3:11" x14ac:dyDescent="0.2">
      <c r="C57" s="1"/>
      <c r="D57" s="1"/>
      <c r="E57" s="1"/>
      <c r="F57" s="1"/>
      <c r="G57" s="1"/>
      <c r="H57" s="1"/>
      <c r="I57" s="1"/>
      <c r="J57" s="1"/>
      <c r="K57" s="1"/>
    </row>
    <row r="58" spans="3:11" x14ac:dyDescent="0.2">
      <c r="C58" s="1"/>
      <c r="D58" s="1"/>
      <c r="E58" s="1"/>
      <c r="F58" s="1"/>
      <c r="G58" s="1"/>
      <c r="H58" s="1"/>
      <c r="I58" s="1"/>
      <c r="J58" s="1"/>
      <c r="K58" s="1"/>
    </row>
    <row r="59" spans="3:11" x14ac:dyDescent="0.2">
      <c r="C59" s="1"/>
      <c r="D59" s="1"/>
      <c r="E59" s="1"/>
      <c r="F59" s="1"/>
      <c r="G59" s="1"/>
      <c r="H59" s="1"/>
      <c r="I59" s="1"/>
      <c r="J59" s="1"/>
      <c r="K59" s="1"/>
    </row>
    <row r="60" spans="3:11" x14ac:dyDescent="0.2">
      <c r="C60" s="1"/>
      <c r="D60" s="1"/>
      <c r="E60" s="1"/>
      <c r="F60" s="1"/>
      <c r="G60" s="1"/>
      <c r="H60" s="1"/>
      <c r="I60" s="1"/>
      <c r="J60" s="1"/>
      <c r="K60" s="1"/>
    </row>
    <row r="61" spans="3:11" x14ac:dyDescent="0.2">
      <c r="C61" s="1"/>
      <c r="D61" s="1"/>
      <c r="E61" s="1"/>
      <c r="F61" s="1"/>
      <c r="G61" s="1"/>
      <c r="H61" s="1"/>
      <c r="I61" s="1"/>
      <c r="J61" s="1"/>
      <c r="K61" s="1"/>
    </row>
    <row r="62" spans="3:11" x14ac:dyDescent="0.2">
      <c r="C62" s="1"/>
      <c r="D62" s="1"/>
      <c r="E62" s="1"/>
      <c r="F62" s="1"/>
      <c r="G62" s="1"/>
      <c r="H62" s="1"/>
      <c r="I62" s="1"/>
      <c r="J62" s="1"/>
      <c r="K62" s="1"/>
    </row>
    <row r="63" spans="3:11" x14ac:dyDescent="0.2">
      <c r="C63" s="1"/>
    </row>
    <row r="68" spans="7:8" x14ac:dyDescent="0.2">
      <c r="G68" s="7"/>
      <c r="H68" s="7"/>
    </row>
    <row r="69" spans="7:8" x14ac:dyDescent="0.2">
      <c r="G69" s="7"/>
      <c r="H69" s="7"/>
    </row>
    <row r="71" spans="7:8" x14ac:dyDescent="0.2">
      <c r="G71" s="7"/>
      <c r="H71" s="7"/>
    </row>
    <row r="72" spans="7:8" x14ac:dyDescent="0.2">
      <c r="G72" s="6"/>
      <c r="H72" s="6"/>
    </row>
  </sheetData>
  <pageMargins left="0.7" right="0.7" top="0.75" bottom="0.75" header="0.3" footer="0.3"/>
  <pageSetup scale="73" orientation="portrait" horizontalDpi="300" verticalDpi="300" r:id="rId1"/>
  <ignoredErrors>
    <ignoredError sqref="H15:K16" 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8"/>
  <sheetViews>
    <sheetView showGridLines="0" tabSelected="1" view="pageBreakPreview" topLeftCell="A6" zoomScale="110" zoomScaleSheetLayoutView="110" workbookViewId="0">
      <selection activeCell="G25" sqref="G25"/>
    </sheetView>
  </sheetViews>
  <sheetFormatPr baseColWidth="10" defaultColWidth="8.83203125" defaultRowHeight="15" x14ac:dyDescent="0.2"/>
  <cols>
    <col min="1" max="1" width="22.6640625" customWidth="1"/>
    <col min="2" max="2" width="8" customWidth="1"/>
    <col min="3" max="12" width="10.6640625" customWidth="1"/>
  </cols>
  <sheetData>
    <row r="1" spans="1:19" ht="29" x14ac:dyDescent="0.35">
      <c r="A1" s="4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9" x14ac:dyDescent="0.2">
      <c r="A2" s="2"/>
    </row>
    <row r="3" spans="1:19" x14ac:dyDescent="0.2">
      <c r="A3" s="9" t="s">
        <v>35</v>
      </c>
      <c r="B3" s="10"/>
      <c r="C3" s="10"/>
      <c r="D3" s="61">
        <v>43100</v>
      </c>
      <c r="E3" s="61">
        <v>43465</v>
      </c>
      <c r="F3" s="61">
        <v>43830</v>
      </c>
      <c r="G3" s="61">
        <v>44196</v>
      </c>
      <c r="H3" s="61">
        <v>44561</v>
      </c>
      <c r="I3" s="61">
        <v>44926</v>
      </c>
      <c r="J3" s="61">
        <v>45291</v>
      </c>
      <c r="K3" s="61">
        <v>45657</v>
      </c>
      <c r="L3" s="11" t="s">
        <v>11</v>
      </c>
    </row>
    <row r="4" spans="1:19" x14ac:dyDescent="0.2">
      <c r="A4" s="22" t="s">
        <v>0</v>
      </c>
      <c r="B4" s="22"/>
      <c r="C4" s="22"/>
      <c r="D4" s="41">
        <f>Input!D10</f>
        <v>3685.39</v>
      </c>
      <c r="E4" s="41">
        <f>Input!E10</f>
        <v>3942.13</v>
      </c>
      <c r="F4" s="41">
        <f>Input!F10</f>
        <v>4213.2700000000004</v>
      </c>
      <c r="G4" s="41">
        <f>Input!G10</f>
        <v>4169.33</v>
      </c>
      <c r="H4" s="41">
        <f>Input!H10</f>
        <v>4239.3069600000008</v>
      </c>
      <c r="I4" s="41">
        <f>Input!I10</f>
        <v>4276.0223863500005</v>
      </c>
      <c r="J4" s="41">
        <f>Input!J10</f>
        <v>4329.7966072692498</v>
      </c>
      <c r="K4" s="41">
        <f>Input!K10</f>
        <v>4335.1092411432001</v>
      </c>
      <c r="L4" s="41">
        <f>K4</f>
        <v>4335.1092411432001</v>
      </c>
      <c r="M4" s="66"/>
    </row>
    <row r="5" spans="1:19" x14ac:dyDescent="0.2">
      <c r="A5" s="14" t="s">
        <v>13</v>
      </c>
      <c r="B5" s="14"/>
      <c r="C5" s="14"/>
      <c r="D5" s="23">
        <f>Input!D16</f>
        <v>0.27902155887230512</v>
      </c>
      <c r="E5" s="23">
        <f>Input!E16</f>
        <v>0.27502155887230512</v>
      </c>
      <c r="F5" s="23">
        <f>Input!F16</f>
        <v>0.27102155887230511</v>
      </c>
      <c r="G5" s="23">
        <f>Input!G16</f>
        <v>0.26702155887230511</v>
      </c>
      <c r="H5" s="23">
        <f>Input!H16</f>
        <v>0.26302155887230511</v>
      </c>
      <c r="I5" s="23">
        <f>Input!I16</f>
        <v>0.2590215588723051</v>
      </c>
      <c r="J5" s="23">
        <f>Input!J16</f>
        <v>0.2550215588723051</v>
      </c>
      <c r="K5" s="23">
        <f>Input!K16</f>
        <v>0.2510215588723051</v>
      </c>
      <c r="L5" s="23">
        <f>K5</f>
        <v>0.2510215588723051</v>
      </c>
      <c r="M5" s="23"/>
    </row>
    <row r="6" spans="1:19" x14ac:dyDescent="0.2">
      <c r="A6" s="22" t="s">
        <v>14</v>
      </c>
      <c r="B6" s="22"/>
      <c r="C6" s="22"/>
      <c r="D6" s="42">
        <f>D4*-D5</f>
        <v>-1028.3032628524045</v>
      </c>
      <c r="E6" s="42">
        <f t="shared" ref="E6:K6" si="0">E4*-E5</f>
        <v>-1084.1707378772801</v>
      </c>
      <c r="F6" s="42">
        <f t="shared" si="0"/>
        <v>-1141.887003349917</v>
      </c>
      <c r="G6" s="42">
        <f t="shared" si="0"/>
        <v>-1113.3009960530678</v>
      </c>
      <c r="H6" s="42">
        <f t="shared" si="0"/>
        <v>-1115.0291251574131</v>
      </c>
      <c r="I6" s="42">
        <f t="shared" si="0"/>
        <v>-1107.5819842852511</v>
      </c>
      <c r="J6" s="42">
        <f t="shared" si="0"/>
        <v>-1104.1914803858219</v>
      </c>
      <c r="K6" s="42">
        <f t="shared" si="0"/>
        <v>-1088.2058795935015</v>
      </c>
      <c r="L6" s="42">
        <f>K6</f>
        <v>-1088.2058795935015</v>
      </c>
      <c r="M6" s="66"/>
    </row>
    <row r="7" spans="1:19" x14ac:dyDescent="0.2">
      <c r="A7" s="12" t="s">
        <v>15</v>
      </c>
      <c r="B7" s="12"/>
      <c r="C7" s="12"/>
      <c r="D7" s="43">
        <f>D4+D6</f>
        <v>2657.0867371475952</v>
      </c>
      <c r="E7" s="43">
        <f t="shared" ref="E7:K7" si="1">E4+E6</f>
        <v>2857.9592621227202</v>
      </c>
      <c r="F7" s="43">
        <f t="shared" si="1"/>
        <v>3071.3829966500834</v>
      </c>
      <c r="G7" s="43">
        <f t="shared" si="1"/>
        <v>3056.0290039469319</v>
      </c>
      <c r="H7" s="43">
        <f t="shared" si="1"/>
        <v>3124.2778348425877</v>
      </c>
      <c r="I7" s="43">
        <f t="shared" si="1"/>
        <v>3168.4404020647494</v>
      </c>
      <c r="J7" s="43">
        <f t="shared" si="1"/>
        <v>3225.6051268834281</v>
      </c>
      <c r="K7" s="43">
        <f t="shared" si="1"/>
        <v>3246.9033615496983</v>
      </c>
      <c r="L7" s="43">
        <f>K7</f>
        <v>3246.9033615496983</v>
      </c>
      <c r="M7" s="66"/>
    </row>
    <row r="8" spans="1:19" x14ac:dyDescent="0.2">
      <c r="A8" s="22" t="s">
        <v>16</v>
      </c>
      <c r="B8" s="22"/>
      <c r="C8" s="22"/>
      <c r="D8" s="42">
        <f>Input!D8</f>
        <v>1585.4299999999998</v>
      </c>
      <c r="E8" s="42">
        <f>Input!E8</f>
        <v>1666</v>
      </c>
      <c r="F8" s="42">
        <f>Input!F8</f>
        <v>1701.33</v>
      </c>
      <c r="G8" s="42">
        <f>Input!G8</f>
        <v>1767.67</v>
      </c>
      <c r="H8" s="42">
        <f>Input!H8</f>
        <v>1816.845839999999</v>
      </c>
      <c r="I8" s="42">
        <f>Input!I8</f>
        <v>1891.8159648699993</v>
      </c>
      <c r="J8" s="42">
        <f>Input!J8</f>
        <v>1912.5481946219998</v>
      </c>
      <c r="K8" s="42">
        <f>Input!K8</f>
        <v>1950.79915851444</v>
      </c>
      <c r="L8" s="42">
        <f>K8</f>
        <v>1950.79915851444</v>
      </c>
      <c r="M8" s="66"/>
    </row>
    <row r="9" spans="1:19" x14ac:dyDescent="0.2">
      <c r="A9" s="22" t="s">
        <v>17</v>
      </c>
      <c r="B9" s="22"/>
      <c r="C9" s="22"/>
      <c r="D9" s="42">
        <f>-Input!D12</f>
        <v>-1923.93</v>
      </c>
      <c r="E9" s="42">
        <f>-Input!E12</f>
        <v>-1880.32</v>
      </c>
      <c r="F9" s="42">
        <f>-Input!F12</f>
        <v>-1930.03</v>
      </c>
      <c r="G9" s="42">
        <f>-Input!G12</f>
        <v>-1814.04</v>
      </c>
      <c r="H9" s="42">
        <f>-Input!H12</f>
        <v>-1968.2496600000002</v>
      </c>
      <c r="I9" s="42">
        <f>-Input!I12</f>
        <v>-1943.6465392499999</v>
      </c>
      <c r="J9" s="42">
        <f>-Input!J12</f>
        <v>-1939.1113639917496</v>
      </c>
      <c r="K9" s="42">
        <f>-Input!K12</f>
        <v>-1950.7991585144396</v>
      </c>
      <c r="L9" s="42">
        <f>K9</f>
        <v>-1950.7991585144396</v>
      </c>
      <c r="M9" s="66"/>
    </row>
    <row r="10" spans="1:19" x14ac:dyDescent="0.2">
      <c r="A10" s="12" t="s">
        <v>18</v>
      </c>
      <c r="B10" s="12"/>
      <c r="C10" s="12"/>
      <c r="D10" s="43">
        <f>Input!D14</f>
        <v>236.45864886415265</v>
      </c>
      <c r="E10" s="43">
        <f>Input!E14</f>
        <v>248.54828395039632</v>
      </c>
      <c r="F10" s="43">
        <f>Input!F14</f>
        <v>259.6344800922239</v>
      </c>
      <c r="G10" s="43">
        <f>Input!G14</f>
        <v>268.69877253525254</v>
      </c>
      <c r="H10" s="43">
        <f>Input!H14</f>
        <v>276.75973571131016</v>
      </c>
      <c r="I10" s="43">
        <f>Input!I14</f>
        <v>284.23224857551548</v>
      </c>
      <c r="J10" s="43">
        <f>Input!J14</f>
        <v>291.33805478990337</v>
      </c>
      <c r="K10" s="43">
        <f>Input!K14</f>
        <v>297.16481588570144</v>
      </c>
      <c r="L10" s="43">
        <f>K10</f>
        <v>297.16481588570144</v>
      </c>
      <c r="M10" s="66"/>
    </row>
    <row r="11" spans="1:19" x14ac:dyDescent="0.2">
      <c r="A11" s="25" t="s">
        <v>19</v>
      </c>
      <c r="B11" s="25"/>
      <c r="C11" s="25"/>
      <c r="D11" s="44">
        <f>+(D7+D8+D9+D10)*D13</f>
        <v>1778.0315836903665</v>
      </c>
      <c r="E11" s="44">
        <f t="shared" ref="E11:K11" si="2">+E7+E8+E9+E10</f>
        <v>2892.1875460731167</v>
      </c>
      <c r="F11" s="44">
        <f t="shared" si="2"/>
        <v>3102.3174767423075</v>
      </c>
      <c r="G11" s="44">
        <f t="shared" si="2"/>
        <v>3278.3577764821844</v>
      </c>
      <c r="H11" s="44">
        <f t="shared" si="2"/>
        <v>3249.6337505538968</v>
      </c>
      <c r="I11" s="44">
        <f t="shared" si="2"/>
        <v>3400.8420762602645</v>
      </c>
      <c r="J11" s="44">
        <f t="shared" si="2"/>
        <v>3490.3800123035817</v>
      </c>
      <c r="K11" s="44">
        <f t="shared" si="2"/>
        <v>3544.0681774354002</v>
      </c>
      <c r="L11" s="44">
        <f>+L7+L8+L9+L10</f>
        <v>3544.0681774354002</v>
      </c>
      <c r="M11" s="66"/>
    </row>
    <row r="12" spans="1:19" x14ac:dyDescent="0.2">
      <c r="A12" s="14" t="s">
        <v>12</v>
      </c>
      <c r="B12" s="26"/>
      <c r="C12" s="26"/>
      <c r="D12" s="27"/>
      <c r="E12" s="23">
        <f>+E11/D11-1</f>
        <v>0.62662326845189154</v>
      </c>
      <c r="F12" s="23">
        <f t="shared" ref="F12:K12" si="3">+F11/E11-1</f>
        <v>7.2654323871387927E-2</v>
      </c>
      <c r="G12" s="23">
        <f t="shared" si="3"/>
        <v>5.6744772596495796E-2</v>
      </c>
      <c r="H12" s="23">
        <f t="shared" si="3"/>
        <v>-8.7617117736031869E-3</v>
      </c>
      <c r="I12" s="23">
        <f t="shared" si="3"/>
        <v>4.6530882343462476E-2</v>
      </c>
      <c r="J12" s="23">
        <f t="shared" si="3"/>
        <v>2.6328166388066343E-2</v>
      </c>
      <c r="K12" s="23">
        <f t="shared" si="3"/>
        <v>1.5381753546194865E-2</v>
      </c>
      <c r="L12" s="23"/>
      <c r="M12" s="23"/>
    </row>
    <row r="13" spans="1:19" x14ac:dyDescent="0.2">
      <c r="A13" s="22" t="s">
        <v>20</v>
      </c>
      <c r="B13" s="22"/>
      <c r="C13" s="22"/>
      <c r="D13" s="28">
        <f>(D18-D17)/365</f>
        <v>0.69589041095890414</v>
      </c>
      <c r="E13" s="24">
        <f>+D13+1</f>
        <v>1.6958904109589041</v>
      </c>
      <c r="F13" s="24">
        <f>+E13+1</f>
        <v>2.6958904109589041</v>
      </c>
      <c r="G13" s="24">
        <f t="shared" ref="G13:K13" si="4">+F13+1</f>
        <v>3.6958904109589041</v>
      </c>
      <c r="H13" s="24">
        <f t="shared" si="4"/>
        <v>4.6958904109589046</v>
      </c>
      <c r="I13" s="24">
        <f t="shared" si="4"/>
        <v>5.6958904109589046</v>
      </c>
      <c r="J13" s="24">
        <f t="shared" si="4"/>
        <v>6.6958904109589046</v>
      </c>
      <c r="K13" s="24">
        <f t="shared" si="4"/>
        <v>7.6958904109589046</v>
      </c>
      <c r="L13" s="24">
        <f>+K13</f>
        <v>7.6958904109589046</v>
      </c>
    </row>
    <row r="14" spans="1:19" x14ac:dyDescent="0.2">
      <c r="A14" s="12" t="s">
        <v>21</v>
      </c>
      <c r="B14" s="12"/>
      <c r="C14" s="12"/>
      <c r="D14" s="29">
        <f>1/((1+$D$19)^D13)</f>
        <v>0.95215126098390679</v>
      </c>
      <c r="E14" s="29">
        <f t="shared" ref="E14:L14" si="5">1/((1+$D$19)^E13)</f>
        <v>0.88737302980792798</v>
      </c>
      <c r="F14" s="29">
        <f t="shared" si="5"/>
        <v>0.82700189171288729</v>
      </c>
      <c r="G14" s="29">
        <f t="shared" si="5"/>
        <v>0.7707380165078167</v>
      </c>
      <c r="H14" s="29">
        <f t="shared" si="5"/>
        <v>0.71830197251427463</v>
      </c>
      <c r="I14" s="29">
        <f t="shared" si="5"/>
        <v>0.66943333878310785</v>
      </c>
      <c r="J14" s="29">
        <f t="shared" si="5"/>
        <v>0.62388941172703438</v>
      </c>
      <c r="K14" s="29">
        <f t="shared" si="5"/>
        <v>0.58144399974560523</v>
      </c>
      <c r="L14" s="29">
        <f t="shared" si="5"/>
        <v>0.58144399974560523</v>
      </c>
    </row>
    <row r="15" spans="1:19" x14ac:dyDescent="0.2">
      <c r="A15" s="25" t="s">
        <v>22</v>
      </c>
      <c r="B15" s="25"/>
      <c r="C15" s="25"/>
      <c r="D15" s="45">
        <f>+D11*D14</f>
        <v>1692.9550144799953</v>
      </c>
      <c r="E15" s="45">
        <f t="shared" ref="E15:K15" si="6">+E11*E14</f>
        <v>2566.4492255316577</v>
      </c>
      <c r="F15" s="45">
        <f t="shared" si="6"/>
        <v>2565.6224219598394</v>
      </c>
      <c r="G15" s="45">
        <f t="shared" si="6"/>
        <v>2526.7549700488553</v>
      </c>
      <c r="H15" s="45">
        <f t="shared" si="6"/>
        <v>2334.2183329718246</v>
      </c>
      <c r="I15" s="45">
        <f t="shared" si="6"/>
        <v>2276.6370657849857</v>
      </c>
      <c r="J15" s="45">
        <f t="shared" si="6"/>
        <v>2177.6111325798806</v>
      </c>
      <c r="K15" s="45">
        <f t="shared" si="6"/>
        <v>2060.6771764591563</v>
      </c>
      <c r="L15" s="45">
        <f>+L11*L14</f>
        <v>2060.6771764591563</v>
      </c>
      <c r="P15" s="5"/>
      <c r="Q15" s="5"/>
      <c r="R15" s="5"/>
      <c r="S15" s="5"/>
    </row>
    <row r="16" spans="1:19" x14ac:dyDescent="0.2">
      <c r="A16" s="12"/>
      <c r="B16" s="12"/>
      <c r="C16" s="12"/>
      <c r="D16" s="12"/>
      <c r="E16" s="12"/>
      <c r="F16" s="12"/>
      <c r="G16" s="12"/>
      <c r="H16" s="12"/>
      <c r="I16" s="48"/>
      <c r="J16" s="48"/>
      <c r="K16" s="48"/>
      <c r="L16" s="12"/>
    </row>
    <row r="17" spans="1:19" x14ac:dyDescent="0.2">
      <c r="A17" s="58" t="s">
        <v>23</v>
      </c>
      <c r="B17" s="58"/>
      <c r="C17" s="58"/>
      <c r="D17" s="57">
        <v>42846</v>
      </c>
      <c r="E17" s="12"/>
      <c r="F17" s="75"/>
      <c r="G17" s="75"/>
      <c r="H17" s="75"/>
      <c r="I17" s="75"/>
      <c r="J17" s="75"/>
      <c r="K17" s="75"/>
      <c r="L17" s="75"/>
    </row>
    <row r="18" spans="1:19" x14ac:dyDescent="0.2">
      <c r="A18" s="58" t="s">
        <v>42</v>
      </c>
      <c r="B18" s="58"/>
      <c r="C18" s="58"/>
      <c r="D18" s="62">
        <f>D3</f>
        <v>43100</v>
      </c>
      <c r="E18" s="43"/>
      <c r="F18" s="26"/>
      <c r="G18" s="26"/>
      <c r="H18" s="75"/>
      <c r="I18" s="75"/>
      <c r="J18" s="75"/>
      <c r="K18" s="75"/>
      <c r="L18" s="75"/>
    </row>
    <row r="19" spans="1:19" x14ac:dyDescent="0.2">
      <c r="A19" s="22" t="s">
        <v>2</v>
      </c>
      <c r="B19" s="22"/>
      <c r="C19" s="22"/>
      <c r="D19" s="30">
        <v>7.2999999999999995E-2</v>
      </c>
      <c r="E19" s="47"/>
      <c r="F19" s="12"/>
      <c r="G19" s="53"/>
      <c r="H19" s="67"/>
      <c r="I19" s="67"/>
      <c r="J19" s="68"/>
      <c r="K19" s="67"/>
      <c r="L19" s="67"/>
    </row>
    <row r="20" spans="1:19" x14ac:dyDescent="0.2">
      <c r="A20" s="12" t="s">
        <v>24</v>
      </c>
      <c r="B20" s="12"/>
      <c r="C20" s="12"/>
      <c r="D20" s="30">
        <v>0.02</v>
      </c>
      <c r="E20" s="12"/>
      <c r="F20" s="76"/>
      <c r="G20" s="50"/>
      <c r="H20" s="51"/>
      <c r="I20" s="51"/>
      <c r="J20" s="51"/>
      <c r="K20" s="51"/>
      <c r="L20" s="51"/>
    </row>
    <row r="21" spans="1:19" x14ac:dyDescent="0.2">
      <c r="A21" s="22" t="s">
        <v>25</v>
      </c>
      <c r="B21" s="22"/>
      <c r="C21" s="22"/>
      <c r="D21" s="42">
        <f>L11</f>
        <v>3544.0681774354002</v>
      </c>
      <c r="E21" s="31"/>
      <c r="F21" s="76"/>
      <c r="G21" s="50"/>
      <c r="H21" s="51"/>
      <c r="I21" s="51"/>
      <c r="J21" s="51"/>
      <c r="K21" s="51"/>
      <c r="L21" s="51"/>
    </row>
    <row r="22" spans="1:19" x14ac:dyDescent="0.2">
      <c r="A22" s="12" t="s">
        <v>26</v>
      </c>
      <c r="B22" s="12"/>
      <c r="C22" s="12"/>
      <c r="D22" s="46">
        <f>D21*(1+D20)/(D19-D20)</f>
        <v>68206.595112907715</v>
      </c>
      <c r="E22" s="12"/>
      <c r="F22" s="76"/>
      <c r="G22" s="64"/>
      <c r="H22" s="51"/>
      <c r="I22" s="51"/>
      <c r="J22" s="51"/>
      <c r="K22" s="51"/>
      <c r="L22" s="51"/>
    </row>
    <row r="23" spans="1:19" x14ac:dyDescent="0.2">
      <c r="A23" s="12"/>
      <c r="B23" s="12"/>
      <c r="C23" s="12"/>
      <c r="D23" s="12"/>
      <c r="E23" s="12"/>
      <c r="F23" s="76"/>
      <c r="G23" s="50"/>
      <c r="H23" s="51"/>
      <c r="I23" s="51"/>
      <c r="J23" s="51"/>
      <c r="K23" s="51"/>
      <c r="L23" s="51"/>
    </row>
    <row r="24" spans="1:19" x14ac:dyDescent="0.2">
      <c r="A24" s="22" t="s">
        <v>27</v>
      </c>
      <c r="B24" s="22"/>
      <c r="C24" s="22"/>
      <c r="D24" s="41"/>
      <c r="E24" s="12"/>
      <c r="F24" s="76"/>
      <c r="G24" s="50"/>
      <c r="H24" s="51"/>
      <c r="I24" s="51"/>
      <c r="J24" s="51"/>
      <c r="K24" s="51"/>
      <c r="L24" s="51"/>
      <c r="N24" s="72"/>
      <c r="O24" s="70"/>
      <c r="P24" s="70"/>
      <c r="Q24" s="70"/>
      <c r="R24" s="70"/>
      <c r="S24" s="70"/>
    </row>
    <row r="25" spans="1:19" x14ac:dyDescent="0.2">
      <c r="A25" s="12" t="s">
        <v>45</v>
      </c>
      <c r="B25" s="12"/>
      <c r="C25" s="12"/>
      <c r="D25" s="20">
        <f>SUM(D15:K15)</f>
        <v>18200.925339816196</v>
      </c>
      <c r="E25" s="34"/>
      <c r="F25" s="34"/>
      <c r="I25" s="12"/>
      <c r="J25" s="12"/>
      <c r="K25" s="12"/>
      <c r="L25" s="12"/>
      <c r="N25" s="71"/>
      <c r="O25" s="73"/>
      <c r="P25" s="73"/>
      <c r="Q25" s="73"/>
      <c r="R25" s="73"/>
      <c r="S25" s="73"/>
    </row>
    <row r="26" spans="1:19" x14ac:dyDescent="0.2">
      <c r="A26" s="25" t="s">
        <v>28</v>
      </c>
      <c r="B26" s="25"/>
      <c r="C26" s="25"/>
      <c r="D26" s="45">
        <f>D24+D25</f>
        <v>18200.925339816196</v>
      </c>
      <c r="E26" s="12"/>
      <c r="F26" s="75"/>
      <c r="G26" s="75"/>
      <c r="H26" s="75"/>
      <c r="I26" s="75"/>
      <c r="J26" s="75"/>
      <c r="K26" s="75"/>
      <c r="L26" s="75"/>
      <c r="N26" s="71"/>
      <c r="O26" s="73"/>
      <c r="P26" s="73"/>
      <c r="Q26" s="73"/>
      <c r="R26" s="73"/>
      <c r="S26" s="73"/>
    </row>
    <row r="27" spans="1:19" x14ac:dyDescent="0.2">
      <c r="A27" s="35" t="s">
        <v>29</v>
      </c>
      <c r="B27" s="35"/>
      <c r="C27" s="35"/>
      <c r="D27" s="46">
        <f>D26-Input!C20-Input!C22-Input!C21-Input!C23+Input!C18+Input!C19+Input!C24</f>
        <v>6330.9253398161964</v>
      </c>
      <c r="E27" s="12"/>
      <c r="F27" s="26"/>
      <c r="G27" s="26"/>
      <c r="H27" s="75"/>
      <c r="I27" s="75"/>
      <c r="J27" s="75"/>
      <c r="K27" s="75"/>
      <c r="L27" s="75"/>
      <c r="N27" s="71"/>
      <c r="O27" s="73"/>
      <c r="P27" s="73"/>
      <c r="Q27" s="74"/>
      <c r="R27" s="73"/>
      <c r="S27" s="73"/>
    </row>
    <row r="28" spans="1:19" x14ac:dyDescent="0.2">
      <c r="A28" s="25" t="s">
        <v>30</v>
      </c>
      <c r="B28" s="25"/>
      <c r="C28" s="25"/>
      <c r="D28" s="49">
        <f>D27/Input!C25</f>
        <v>11.113110292778696</v>
      </c>
      <c r="E28" s="12"/>
      <c r="F28" s="12"/>
      <c r="G28" s="54"/>
      <c r="H28" s="67"/>
      <c r="I28" s="67"/>
      <c r="J28" s="68"/>
      <c r="K28" s="67"/>
      <c r="L28" s="67"/>
      <c r="N28" s="71"/>
      <c r="O28" s="73"/>
      <c r="P28" s="73"/>
      <c r="Q28" s="73"/>
      <c r="R28" s="73"/>
      <c r="S28" s="73"/>
    </row>
    <row r="29" spans="1:19" x14ac:dyDescent="0.2">
      <c r="A29" s="22" t="s">
        <v>31</v>
      </c>
      <c r="B29" s="22"/>
      <c r="C29" s="22"/>
      <c r="D29" s="36">
        <f>D24/D26</f>
        <v>0</v>
      </c>
      <c r="E29" s="12"/>
      <c r="F29" s="76"/>
      <c r="G29" s="50"/>
      <c r="H29" s="52"/>
      <c r="I29" s="52"/>
      <c r="J29" s="52"/>
      <c r="K29" s="52"/>
      <c r="L29" s="52"/>
      <c r="N29" s="71"/>
      <c r="O29" s="73"/>
      <c r="P29" s="73"/>
      <c r="Q29" s="73"/>
      <c r="R29" s="73"/>
      <c r="S29" s="73"/>
    </row>
    <row r="30" spans="1:19" x14ac:dyDescent="0.2">
      <c r="A30" s="12"/>
      <c r="B30" s="12"/>
      <c r="C30" s="12"/>
      <c r="D30" s="12"/>
      <c r="E30" s="12"/>
      <c r="F30" s="76"/>
      <c r="G30" s="50"/>
      <c r="H30" s="52"/>
      <c r="I30" s="52"/>
      <c r="J30" s="52"/>
      <c r="K30" s="52"/>
      <c r="L30" s="52"/>
      <c r="N30" s="69"/>
    </row>
    <row r="31" spans="1:19" x14ac:dyDescent="0.2">
      <c r="A31" s="25" t="s">
        <v>43</v>
      </c>
      <c r="B31" s="22"/>
      <c r="C31" s="22"/>
      <c r="D31" s="49">
        <v>81.34</v>
      </c>
      <c r="F31" s="76"/>
      <c r="G31" s="64"/>
      <c r="H31" s="52"/>
      <c r="I31" s="52"/>
      <c r="J31" s="52"/>
      <c r="K31" s="52"/>
      <c r="L31" s="52"/>
    </row>
    <row r="32" spans="1:19" x14ac:dyDescent="0.2">
      <c r="A32" s="14" t="s">
        <v>40</v>
      </c>
      <c r="B32" s="56"/>
      <c r="C32" s="56"/>
      <c r="D32" s="15">
        <f>D28/D31-1</f>
        <v>-0.86337459684314366</v>
      </c>
      <c r="F32" s="76"/>
      <c r="G32" s="50"/>
      <c r="H32" s="52"/>
      <c r="I32" s="52"/>
      <c r="J32" s="52"/>
      <c r="K32" s="52"/>
      <c r="L32" s="52"/>
    </row>
    <row r="33" spans="1:15" x14ac:dyDescent="0.2">
      <c r="A33" s="12"/>
      <c r="F33" s="76"/>
      <c r="G33" s="50"/>
      <c r="H33" s="52"/>
      <c r="I33" s="52"/>
      <c r="J33" s="52"/>
      <c r="K33" s="52"/>
      <c r="L33" s="52"/>
    </row>
    <row r="34" spans="1:15" x14ac:dyDescent="0.2">
      <c r="A34" s="25" t="s">
        <v>41</v>
      </c>
      <c r="B34" s="25"/>
      <c r="C34" s="25"/>
      <c r="D34" s="55">
        <f>D22/(L4+L8)</f>
        <v>10.850714133318036</v>
      </c>
      <c r="I34" s="39"/>
      <c r="J34" s="12"/>
      <c r="K34" s="12"/>
      <c r="L34" s="12"/>
    </row>
    <row r="35" spans="1:15" x14ac:dyDescent="0.2">
      <c r="I35" s="39"/>
      <c r="J35" s="12"/>
      <c r="K35" s="12"/>
      <c r="L35" s="12"/>
    </row>
    <row r="36" spans="1:15" x14ac:dyDescent="0.2">
      <c r="I36" s="39"/>
      <c r="J36" s="12"/>
      <c r="K36" s="12"/>
      <c r="L36" s="12"/>
    </row>
    <row r="37" spans="1:15" x14ac:dyDescent="0.2">
      <c r="I37" s="39"/>
      <c r="J37" s="12"/>
      <c r="K37" s="12"/>
      <c r="L37" s="12"/>
    </row>
    <row r="38" spans="1:15" x14ac:dyDescent="0.2">
      <c r="E38" s="12"/>
      <c r="F38" s="12"/>
      <c r="G38" s="12"/>
      <c r="H38" s="12"/>
      <c r="I38" s="12"/>
      <c r="J38" s="12"/>
      <c r="K38" s="12"/>
      <c r="L38" s="12"/>
    </row>
    <row r="39" spans="1:15" x14ac:dyDescent="0.2">
      <c r="A39" s="12"/>
      <c r="B39" s="12"/>
      <c r="C39" s="12"/>
      <c r="D39" s="12"/>
      <c r="I39" s="39"/>
      <c r="J39" s="12"/>
      <c r="K39" s="12"/>
      <c r="L39" s="12"/>
    </row>
    <row r="40" spans="1:15" x14ac:dyDescent="0.2">
      <c r="A40" s="12"/>
      <c r="I40" s="12"/>
      <c r="J40" s="12"/>
      <c r="K40" s="37"/>
      <c r="L40" s="37"/>
      <c r="M40" s="3"/>
      <c r="N40" s="3"/>
      <c r="O40" s="3"/>
    </row>
    <row r="41" spans="1:15" x14ac:dyDescent="0.2">
      <c r="A41" s="12"/>
      <c r="I41" s="12"/>
      <c r="J41" s="12"/>
      <c r="K41" s="38"/>
      <c r="L41" s="12"/>
    </row>
    <row r="42" spans="1:15" x14ac:dyDescent="0.2">
      <c r="A42" s="12"/>
      <c r="I42" s="40"/>
      <c r="J42" s="12"/>
      <c r="K42" s="12"/>
      <c r="L42" s="12"/>
    </row>
    <row r="43" spans="1:15" x14ac:dyDescent="0.2">
      <c r="A43" s="12"/>
      <c r="I43" s="40"/>
      <c r="J43" s="12"/>
      <c r="K43" s="12"/>
      <c r="L43" s="12"/>
    </row>
    <row r="44" spans="1:15" x14ac:dyDescent="0.2">
      <c r="A44" s="12"/>
      <c r="I44" s="40"/>
      <c r="J44" s="12"/>
      <c r="K44" s="12"/>
      <c r="L44" s="12"/>
    </row>
    <row r="45" spans="1:15" x14ac:dyDescent="0.2">
      <c r="A45" s="12"/>
      <c r="I45" s="40"/>
      <c r="J45" s="12"/>
      <c r="K45" s="12"/>
      <c r="L45" s="12"/>
    </row>
    <row r="46" spans="1:15" x14ac:dyDescent="0.2">
      <c r="A46" s="12"/>
      <c r="I46" s="40"/>
      <c r="J46" s="12"/>
      <c r="K46" s="12"/>
      <c r="L46" s="12"/>
    </row>
    <row r="47" spans="1:15" x14ac:dyDescent="0.2">
      <c r="A47" s="12"/>
      <c r="E47" s="12"/>
      <c r="F47" s="12"/>
      <c r="I47" s="12"/>
      <c r="J47" s="12"/>
      <c r="K47" s="12"/>
      <c r="L47" s="12"/>
    </row>
    <row r="48" spans="1:15" x14ac:dyDescent="0.2">
      <c r="A48" s="12"/>
      <c r="B48" s="12"/>
      <c r="C48" s="12"/>
      <c r="D48" s="12"/>
      <c r="E48" s="12"/>
      <c r="F48" s="12"/>
      <c r="I48" s="12"/>
      <c r="J48" s="12"/>
      <c r="K48" s="12"/>
      <c r="L48" s="12"/>
    </row>
    <row r="49" spans="1:8" x14ac:dyDescent="0.2">
      <c r="A49" s="12"/>
      <c r="B49" s="12"/>
      <c r="C49" s="12"/>
      <c r="D49" s="12"/>
    </row>
    <row r="57" spans="1:8" x14ac:dyDescent="0.2">
      <c r="G57" s="32"/>
      <c r="H57" s="32"/>
    </row>
    <row r="58" spans="1:8" x14ac:dyDescent="0.2">
      <c r="G58" s="33"/>
      <c r="H58" s="33"/>
    </row>
  </sheetData>
  <mergeCells count="6">
    <mergeCell ref="F17:L17"/>
    <mergeCell ref="F26:L26"/>
    <mergeCell ref="F20:F24"/>
    <mergeCell ref="F29:F33"/>
    <mergeCell ref="H18:L18"/>
    <mergeCell ref="H27:L27"/>
  </mergeCells>
  <pageMargins left="0.7" right="0.7" top="0.75" bottom="0.75" header="0.3" footer="0.3"/>
  <pageSetup scale="67" orientation="portrait" horizontalDpi="300" verticalDpi="300" r:id="rId1"/>
  <ignoredErrors>
    <ignoredError sqref="D11:L11 D13:L13 D12 L12 D14" emptyCellReference="1"/>
    <ignoredError sqref="E12:K12 D29 D34" evalError="1" emptyCellReference="1"/>
    <ignoredError sqref="D30:D31 D33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</vt:lpstr>
      <vt:lpstr>FCFF</vt:lpstr>
      <vt:lpstr>FCFF!Print_Area</vt:lpstr>
      <vt:lpstr>Input!Print_Area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</dc:creator>
  <cp:lastModifiedBy>J Zeller</cp:lastModifiedBy>
  <cp:lastPrinted>2014-05-30T16:53:33Z</cp:lastPrinted>
  <dcterms:created xsi:type="dcterms:W3CDTF">2010-10-15T05:13:33Z</dcterms:created>
  <dcterms:modified xsi:type="dcterms:W3CDTF">2020-05-21T16:51:20Z</dcterms:modified>
</cp:coreProperties>
</file>