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CDECBD60-4A34-4441-907D-DD239E17F9BF}" xr6:coauthVersionLast="47" xr6:coauthVersionMax="47" xr10:uidLastSave="{00000000-0000-0000-0000-000000000000}"/>
  <bookViews>
    <workbookView xWindow="-120" yWindow="-120" windowWidth="20730" windowHeight="11760" xr2:uid="{8F33729D-FF0B-4144-A675-99933335401F}"/>
  </bookViews>
  <sheets>
    <sheet name="Growth" sheetId="12" r:id="rId1"/>
    <sheet name="PL_BS_CF" sheetId="4" r:id="rId2"/>
    <sheet name="DEBT SCHEDULE" sheetId="5" r:id="rId3"/>
    <sheet name="PPE SCHEDULE" sheetId="6" r:id="rId4"/>
    <sheet name="DIVIDEND SCHEDULE" sheetId="7" r:id="rId5"/>
    <sheet name="WACC" sheetId="10" r:id="rId6"/>
    <sheet name="DCF" sheetId="11" r:id="rId7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2" l="1"/>
  <c r="D6" i="12"/>
  <c r="E6" i="12"/>
  <c r="F6" i="12"/>
  <c r="G6" i="12"/>
  <c r="C6" i="12"/>
  <c r="D4" i="12"/>
  <c r="E4" i="12"/>
  <c r="F4" i="12"/>
  <c r="G4" i="12"/>
  <c r="C4" i="12"/>
  <c r="D3" i="12"/>
  <c r="E3" i="12"/>
  <c r="F3" i="12"/>
  <c r="G3" i="12"/>
  <c r="C3" i="12"/>
  <c r="D2" i="12"/>
  <c r="E2" i="12"/>
  <c r="F2" i="12"/>
  <c r="G2" i="12"/>
  <c r="C2" i="12"/>
  <c r="G21" i="4"/>
  <c r="G88" i="4"/>
  <c r="G39" i="4"/>
  <c r="G20" i="5"/>
  <c r="G34" i="4"/>
  <c r="G31" i="4"/>
  <c r="G29" i="4"/>
  <c r="G27" i="4"/>
  <c r="G13" i="4"/>
  <c r="F88" i="4"/>
  <c r="F27" i="4"/>
  <c r="N27" i="11"/>
  <c r="N26" i="11"/>
  <c r="B155" i="4" l="1"/>
  <c r="N35" i="11" l="1"/>
  <c r="N34" i="11"/>
  <c r="K9" i="10" l="1"/>
  <c r="K13" i="10" s="1"/>
  <c r="E11" i="10"/>
  <c r="E13" i="10" l="1"/>
  <c r="G3" i="10" s="1"/>
  <c r="I3" i="6" l="1"/>
  <c r="L16" i="11" l="1"/>
  <c r="K16" i="11"/>
  <c r="J16" i="11"/>
  <c r="I16" i="11"/>
  <c r="H16" i="11"/>
  <c r="C26" i="11" l="1"/>
  <c r="I19" i="11"/>
  <c r="H19" i="11"/>
  <c r="L19" i="11"/>
  <c r="J19" i="11"/>
  <c r="K19" i="11"/>
  <c r="C33" i="11" l="1"/>
  <c r="C155" i="4"/>
  <c r="C4" i="7" s="1"/>
  <c r="D155" i="4"/>
  <c r="D4" i="7" s="1"/>
  <c r="E155" i="4"/>
  <c r="E4" i="7" s="1"/>
  <c r="B4" i="7"/>
  <c r="B3" i="7"/>
  <c r="C3" i="7"/>
  <c r="D3" i="7"/>
  <c r="E3" i="7"/>
  <c r="M12" i="6" l="1"/>
  <c r="M11" i="6"/>
  <c r="L11" i="6"/>
  <c r="M10" i="6"/>
  <c r="L10" i="6"/>
  <c r="K10" i="6"/>
  <c r="M9" i="6"/>
  <c r="L9" i="6"/>
  <c r="K9" i="6"/>
  <c r="J9" i="6"/>
  <c r="M8" i="6"/>
  <c r="L8" i="6"/>
  <c r="K8" i="6"/>
  <c r="J8" i="6"/>
  <c r="I8" i="6"/>
  <c r="C6" i="6" l="1"/>
  <c r="J3" i="6"/>
  <c r="H176" i="4" s="1"/>
  <c r="I11" i="11" s="1"/>
  <c r="L3" i="6"/>
  <c r="J176" i="4" s="1"/>
  <c r="K11" i="11" s="1"/>
  <c r="K3" i="6"/>
  <c r="I176" i="4" s="1"/>
  <c r="J11" i="11" s="1"/>
  <c r="M3" i="6"/>
  <c r="K176" i="4" s="1"/>
  <c r="L11" i="11" s="1"/>
  <c r="I2" i="6" l="1"/>
  <c r="J6" i="6"/>
  <c r="J13" i="6" s="1"/>
  <c r="K6" i="6"/>
  <c r="K13" i="6" s="1"/>
  <c r="M6" i="6"/>
  <c r="M13" i="6" s="1"/>
  <c r="I6" i="6"/>
  <c r="I13" i="6" s="1"/>
  <c r="L6" i="6"/>
  <c r="L13" i="6" s="1"/>
  <c r="M89" i="4"/>
  <c r="L53" i="4"/>
  <c r="L56" i="4"/>
  <c r="L57" i="4"/>
  <c r="L59" i="4"/>
  <c r="L60" i="4"/>
  <c r="L62" i="4"/>
  <c r="L63" i="4"/>
  <c r="L66" i="4"/>
  <c r="L67" i="4"/>
  <c r="L71" i="4"/>
  <c r="L72" i="4"/>
  <c r="L73" i="4"/>
  <c r="L74" i="4"/>
  <c r="L76" i="4"/>
  <c r="L77" i="4"/>
  <c r="L79" i="4"/>
  <c r="L80" i="4"/>
  <c r="L81" i="4"/>
  <c r="L84" i="4"/>
  <c r="L85" i="4"/>
  <c r="L86" i="4"/>
  <c r="L89" i="4"/>
  <c r="K45" i="4" l="1"/>
  <c r="L8" i="11" s="1"/>
  <c r="K167" i="4"/>
  <c r="I45" i="4"/>
  <c r="J8" i="11" s="1"/>
  <c r="I167" i="4"/>
  <c r="J167" i="4"/>
  <c r="J45" i="4"/>
  <c r="K8" i="11" s="1"/>
  <c r="H45" i="4"/>
  <c r="I8" i="11" s="1"/>
  <c r="H167" i="4"/>
  <c r="G167" i="4"/>
  <c r="G45" i="4"/>
  <c r="H8" i="11" s="1"/>
  <c r="L69" i="4"/>
  <c r="H69" i="4"/>
  <c r="I69" i="4"/>
  <c r="J69" i="4"/>
  <c r="K69" i="4"/>
  <c r="B13" i="5"/>
  <c r="C13" i="5"/>
  <c r="D13" i="5"/>
  <c r="E13" i="5"/>
  <c r="F13" i="5"/>
  <c r="G13" i="5" s="1"/>
  <c r="B12" i="5"/>
  <c r="C12" i="5"/>
  <c r="D12" i="5"/>
  <c r="E12" i="5"/>
  <c r="F12" i="5"/>
  <c r="G2" i="5"/>
  <c r="B8" i="5"/>
  <c r="C8" i="5"/>
  <c r="D8" i="5"/>
  <c r="E8" i="5"/>
  <c r="F8" i="5"/>
  <c r="G186" i="4"/>
  <c r="F64" i="4"/>
  <c r="D20" i="4"/>
  <c r="E20" i="4"/>
  <c r="E21" i="4" s="1"/>
  <c r="F20" i="4"/>
  <c r="F21" i="4" s="1"/>
  <c r="C20" i="4"/>
  <c r="B20" i="4"/>
  <c r="B21" i="4" s="1"/>
  <c r="C95" i="4"/>
  <c r="D95" i="4"/>
  <c r="E95" i="4"/>
  <c r="F95" i="4"/>
  <c r="B95" i="4"/>
  <c r="C94" i="4"/>
  <c r="D94" i="4"/>
  <c r="E94" i="4"/>
  <c r="F94" i="4"/>
  <c r="B94" i="4"/>
  <c r="C93" i="4"/>
  <c r="D93" i="4"/>
  <c r="E93" i="4"/>
  <c r="F93" i="4"/>
  <c r="B93" i="4"/>
  <c r="C23" i="4"/>
  <c r="D23" i="4"/>
  <c r="E23" i="4"/>
  <c r="F23" i="4"/>
  <c r="B23" i="4"/>
  <c r="D14" i="4"/>
  <c r="C14" i="4"/>
  <c r="B14" i="4"/>
  <c r="G182" i="4" l="1"/>
  <c r="H13" i="5"/>
  <c r="G5" i="5"/>
  <c r="K23" i="4"/>
  <c r="J93" i="4"/>
  <c r="K94" i="4"/>
  <c r="K93" i="4"/>
  <c r="J23" i="4"/>
  <c r="G23" i="4"/>
  <c r="I23" i="4"/>
  <c r="H23" i="4"/>
  <c r="H95" i="4"/>
  <c r="I93" i="4"/>
  <c r="G93" i="4"/>
  <c r="H93" i="4"/>
  <c r="J94" i="4"/>
  <c r="K95" i="4"/>
  <c r="I94" i="4"/>
  <c r="J95" i="4"/>
  <c r="G94" i="4"/>
  <c r="H94" i="4"/>
  <c r="I95" i="4"/>
  <c r="G95" i="4"/>
  <c r="B31" i="4"/>
  <c r="F163" i="4"/>
  <c r="F148" i="4"/>
  <c r="F119" i="4"/>
  <c r="F134" i="4" s="1"/>
  <c r="F139" i="4" s="1"/>
  <c r="E163" i="4"/>
  <c r="E158" i="4"/>
  <c r="D148" i="4"/>
  <c r="E148" i="4"/>
  <c r="E119" i="4"/>
  <c r="E134" i="4" s="1"/>
  <c r="E139" i="4" s="1"/>
  <c r="D163" i="4"/>
  <c r="D158" i="4"/>
  <c r="D119" i="4"/>
  <c r="D134" i="4" s="1"/>
  <c r="D139" i="4" s="1"/>
  <c r="C119" i="4"/>
  <c r="C134" i="4" s="1"/>
  <c r="L78" i="4" l="1"/>
  <c r="G82" i="4"/>
  <c r="I13" i="5"/>
  <c r="H182" i="4"/>
  <c r="H78" i="4"/>
  <c r="H20" i="5"/>
  <c r="B44" i="4"/>
  <c r="B48" i="4" s="1"/>
  <c r="B32" i="4"/>
  <c r="B38" i="4" s="1"/>
  <c r="B40" i="4" s="1"/>
  <c r="C163" i="4"/>
  <c r="B163" i="4"/>
  <c r="C158" i="4"/>
  <c r="C148" i="4"/>
  <c r="C139" i="4"/>
  <c r="B158" i="4"/>
  <c r="B148" i="4"/>
  <c r="B119" i="4"/>
  <c r="B134" i="4" s="1"/>
  <c r="B139" i="4" s="1"/>
  <c r="J13" i="5" l="1"/>
  <c r="J20" i="5" s="1"/>
  <c r="I182" i="4"/>
  <c r="I78" i="4"/>
  <c r="I82" i="4" s="1"/>
  <c r="H82" i="4"/>
  <c r="I20" i="5"/>
  <c r="F90" i="4"/>
  <c r="E90" i="4"/>
  <c r="D90" i="4"/>
  <c r="C90" i="4"/>
  <c r="B90" i="4"/>
  <c r="F82" i="4"/>
  <c r="E82" i="4"/>
  <c r="D82" i="4"/>
  <c r="C82" i="4"/>
  <c r="B82" i="4"/>
  <c r="F75" i="4"/>
  <c r="E75" i="4"/>
  <c r="D75" i="4"/>
  <c r="C75" i="4"/>
  <c r="B75" i="4"/>
  <c r="E64" i="4"/>
  <c r="D64" i="4"/>
  <c r="C64" i="4"/>
  <c r="B64" i="4"/>
  <c r="F58" i="4"/>
  <c r="F65" i="4" s="1"/>
  <c r="E58" i="4"/>
  <c r="D58" i="4"/>
  <c r="C58" i="4"/>
  <c r="B58" i="4"/>
  <c r="K13" i="5" l="1"/>
  <c r="J78" i="4"/>
  <c r="J82" i="4" s="1"/>
  <c r="J182" i="4"/>
  <c r="D65" i="4"/>
  <c r="B83" i="4"/>
  <c r="B65" i="4"/>
  <c r="E83" i="4"/>
  <c r="E91" i="4" s="1"/>
  <c r="C65" i="4"/>
  <c r="F83" i="4"/>
  <c r="F91" i="4" s="1"/>
  <c r="F92" i="4" s="1"/>
  <c r="C83" i="4"/>
  <c r="C91" i="4" s="1"/>
  <c r="E65" i="4"/>
  <c r="D83" i="4"/>
  <c r="D91" i="4" s="1"/>
  <c r="B91" i="4"/>
  <c r="K78" i="4" l="1"/>
  <c r="K82" i="4" s="1"/>
  <c r="K182" i="4"/>
  <c r="K20" i="5"/>
  <c r="E92" i="4"/>
  <c r="B92" i="4"/>
  <c r="C92" i="4"/>
  <c r="D92" i="4"/>
  <c r="C43" i="4"/>
  <c r="D43" i="4"/>
  <c r="E43" i="4"/>
  <c r="B43" i="4"/>
  <c r="E14" i="4"/>
  <c r="F14" i="4"/>
  <c r="C21" i="4"/>
  <c r="D21" i="4"/>
  <c r="C31" i="4" l="1"/>
  <c r="C44" i="4" s="1"/>
  <c r="C48" i="4" s="1"/>
  <c r="D31" i="4"/>
  <c r="D44" i="4" s="1"/>
  <c r="D48" i="4" s="1"/>
  <c r="F31" i="4"/>
  <c r="E31" i="4"/>
  <c r="E44" i="4" s="1"/>
  <c r="E48" i="4" s="1"/>
  <c r="H17" i="4"/>
  <c r="H14" i="4" s="1"/>
  <c r="K17" i="4"/>
  <c r="K14" i="4" s="1"/>
  <c r="H7" i="4"/>
  <c r="J17" i="4"/>
  <c r="J14" i="4" s="1"/>
  <c r="I17" i="4"/>
  <c r="I14" i="4" s="1"/>
  <c r="K7" i="4"/>
  <c r="J7" i="4"/>
  <c r="I7" i="4"/>
  <c r="L54" i="4" l="1"/>
  <c r="F44" i="4"/>
  <c r="F48" i="4" s="1"/>
  <c r="F32" i="4"/>
  <c r="F38" i="4" s="1"/>
  <c r="H6" i="4"/>
  <c r="D32" i="4"/>
  <c r="D38" i="4" s="1"/>
  <c r="D40" i="4" s="1"/>
  <c r="C32" i="4"/>
  <c r="C38" i="4" s="1"/>
  <c r="C40" i="4" s="1"/>
  <c r="E32" i="4"/>
  <c r="E38" i="4" s="1"/>
  <c r="E40" i="4" s="1"/>
  <c r="F40" i="4" l="1"/>
  <c r="F41" i="4"/>
  <c r="G170" i="4"/>
  <c r="I6" i="4"/>
  <c r="H54" i="4"/>
  <c r="H22" i="4"/>
  <c r="L70" i="4"/>
  <c r="L52" i="4"/>
  <c r="G20" i="4"/>
  <c r="H40" i="4"/>
  <c r="I4" i="11" s="1"/>
  <c r="K40" i="4"/>
  <c r="L4" i="11" s="1"/>
  <c r="G40" i="4"/>
  <c r="H4" i="11" s="1"/>
  <c r="J40" i="4"/>
  <c r="K4" i="11" s="1"/>
  <c r="I40" i="4"/>
  <c r="J4" i="11" s="1"/>
  <c r="H13" i="4"/>
  <c r="F155" i="4" l="1"/>
  <c r="F3" i="7"/>
  <c r="F43" i="4"/>
  <c r="H177" i="4"/>
  <c r="G171" i="4"/>
  <c r="G172" i="4"/>
  <c r="H170" i="4"/>
  <c r="H70" i="4"/>
  <c r="H52" i="4"/>
  <c r="H20" i="4"/>
  <c r="H21" i="4" s="1"/>
  <c r="J6" i="4"/>
  <c r="I54" i="4"/>
  <c r="I170" i="4" s="1"/>
  <c r="I22" i="4"/>
  <c r="I13" i="4"/>
  <c r="F4" i="7" l="1"/>
  <c r="F158" i="4"/>
  <c r="H12" i="11"/>
  <c r="G44" i="4"/>
  <c r="G48" i="4" s="1"/>
  <c r="H2" i="11"/>
  <c r="J177" i="4"/>
  <c r="I177" i="4"/>
  <c r="G32" i="4"/>
  <c r="H171" i="4"/>
  <c r="H172" i="4"/>
  <c r="H31" i="4"/>
  <c r="K6" i="4"/>
  <c r="J54" i="4"/>
  <c r="J170" i="4" s="1"/>
  <c r="J22" i="4"/>
  <c r="I70" i="4"/>
  <c r="I52" i="4"/>
  <c r="I20" i="4"/>
  <c r="I21" i="4" s="1"/>
  <c r="J13" i="4"/>
  <c r="G4" i="7" l="1"/>
  <c r="H4" i="7"/>
  <c r="J4" i="7"/>
  <c r="K4" i="7"/>
  <c r="I4" i="7"/>
  <c r="I12" i="11"/>
  <c r="H32" i="4"/>
  <c r="I2" i="11"/>
  <c r="I3" i="11" s="1"/>
  <c r="I5" i="11" s="1"/>
  <c r="H3" i="11"/>
  <c r="H5" i="11" s="1"/>
  <c r="H44" i="4"/>
  <c r="H48" i="4" s="1"/>
  <c r="I171" i="4"/>
  <c r="I172" i="4"/>
  <c r="I31" i="4"/>
  <c r="K54" i="4"/>
  <c r="K170" i="4" s="1"/>
  <c r="K22" i="4"/>
  <c r="J52" i="4"/>
  <c r="J171" i="4" s="1"/>
  <c r="J70" i="4"/>
  <c r="J20" i="4"/>
  <c r="J21" i="4" s="1"/>
  <c r="K13" i="4"/>
  <c r="I14" i="11" l="1"/>
  <c r="I20" i="11" s="1"/>
  <c r="J12" i="11"/>
  <c r="I44" i="4"/>
  <c r="I48" i="4" s="1"/>
  <c r="J2" i="11"/>
  <c r="J3" i="11" s="1"/>
  <c r="J5" i="11" s="1"/>
  <c r="K177" i="4"/>
  <c r="I32" i="4"/>
  <c r="J172" i="4"/>
  <c r="K12" i="11" s="1"/>
  <c r="J31" i="4"/>
  <c r="K52" i="4"/>
  <c r="K70" i="4"/>
  <c r="K20" i="4"/>
  <c r="K31" i="4" s="1"/>
  <c r="L2" i="11" s="1"/>
  <c r="I34" i="11" s="1"/>
  <c r="L3" i="11" l="1"/>
  <c r="L5" i="11" s="1"/>
  <c r="J14" i="11"/>
  <c r="J20" i="11" s="1"/>
  <c r="J44" i="4"/>
  <c r="J48" i="4" s="1"/>
  <c r="K2" i="11"/>
  <c r="J32" i="4"/>
  <c r="K21" i="4"/>
  <c r="K172" i="4"/>
  <c r="K171" i="4"/>
  <c r="K32" i="4"/>
  <c r="K44" i="4"/>
  <c r="K48" i="4" s="1"/>
  <c r="K3" i="11" l="1"/>
  <c r="K5" i="11" s="1"/>
  <c r="K14" i="11" s="1"/>
  <c r="K20" i="11" s="1"/>
  <c r="L12" i="11"/>
  <c r="L14" i="11" s="1"/>
  <c r="H27" i="11" s="1"/>
  <c r="G176" i="4"/>
  <c r="H11" i="11" s="1"/>
  <c r="H14" i="11" s="1"/>
  <c r="H20" i="11" s="1"/>
  <c r="G177" i="4"/>
  <c r="L177" i="4" s="1"/>
  <c r="I15" i="6"/>
  <c r="L20" i="11" l="1"/>
  <c r="F27" i="11" s="1"/>
  <c r="F34" i="11" s="1"/>
  <c r="G64" i="4"/>
  <c r="L61" i="4"/>
  <c r="J2" i="6"/>
  <c r="J15" i="6" s="1"/>
  <c r="J34" i="11" l="1"/>
  <c r="M34" i="11" s="1"/>
  <c r="M35" i="11" s="1"/>
  <c r="J27" i="11"/>
  <c r="M26" i="11" s="1"/>
  <c r="M27" i="11" s="1"/>
  <c r="H61" i="4"/>
  <c r="H64" i="4" s="1"/>
  <c r="K2" i="6"/>
  <c r="K15" i="6" s="1"/>
  <c r="L2" i="6" l="1"/>
  <c r="L15" i="6" s="1"/>
  <c r="I61" i="4"/>
  <c r="I64" i="4" s="1"/>
  <c r="J61" i="4" l="1"/>
  <c r="M2" i="6"/>
  <c r="M15" i="6" s="1"/>
  <c r="K61" i="4" s="1"/>
  <c r="K64" i="4" s="1"/>
  <c r="O61" i="4" l="1"/>
  <c r="J64" i="4"/>
  <c r="G38" i="4"/>
  <c r="G41" i="4" s="1"/>
  <c r="G43" i="4" l="1"/>
  <c r="G3" i="7"/>
  <c r="G6" i="7" s="1"/>
  <c r="G183" i="4" s="1"/>
  <c r="G4" i="5" s="1"/>
  <c r="G165" i="4"/>
  <c r="G173" i="4" s="1"/>
  <c r="G3" i="5" l="1"/>
  <c r="G6" i="5" s="1"/>
  <c r="G8" i="5" s="1"/>
  <c r="G19" i="5" s="1"/>
  <c r="G90" i="4" l="1"/>
  <c r="L87" i="4"/>
  <c r="G180" i="4"/>
  <c r="G184" i="4" s="1"/>
  <c r="G185" i="4" s="1"/>
  <c r="G187" i="4" s="1"/>
  <c r="H186" i="4" l="1"/>
  <c r="G75" i="4"/>
  <c r="G83" i="4" s="1"/>
  <c r="G91" i="4" s="1"/>
  <c r="L68" i="4"/>
  <c r="G58" i="4" l="1"/>
  <c r="G65" i="4" s="1"/>
  <c r="G92" i="4" s="1"/>
  <c r="H2" i="5"/>
  <c r="L55" i="4"/>
  <c r="H5" i="5" l="1"/>
  <c r="I2" i="5"/>
  <c r="J2" i="5"/>
  <c r="K2" i="5"/>
  <c r="H3" i="5"/>
  <c r="I3" i="5"/>
  <c r="J3" i="5"/>
  <c r="K3" i="5"/>
  <c r="H4" i="5"/>
  <c r="I4" i="5"/>
  <c r="J4" i="5"/>
  <c r="K4" i="5"/>
  <c r="I5" i="5"/>
  <c r="J5" i="5"/>
  <c r="K5" i="5"/>
  <c r="H6" i="5"/>
  <c r="I6" i="5"/>
  <c r="J6" i="5"/>
  <c r="K6" i="5"/>
  <c r="H8" i="5"/>
  <c r="I8" i="5"/>
  <c r="J8" i="5"/>
  <c r="K8" i="5"/>
  <c r="H19" i="5"/>
  <c r="I19" i="5"/>
  <c r="J19" i="5"/>
  <c r="K19" i="5"/>
  <c r="H22" i="5"/>
  <c r="I22" i="5"/>
  <c r="J22" i="5"/>
  <c r="K22" i="5"/>
  <c r="H3" i="7"/>
  <c r="I3" i="7"/>
  <c r="J3" i="7"/>
  <c r="K3" i="7"/>
  <c r="H6" i="7"/>
  <c r="I6" i="7"/>
  <c r="J6" i="7"/>
  <c r="K6" i="7"/>
  <c r="H34" i="4"/>
  <c r="I34" i="4"/>
  <c r="J34" i="4"/>
  <c r="K34" i="4"/>
  <c r="H38" i="4"/>
  <c r="I38" i="4"/>
  <c r="J38" i="4"/>
  <c r="K38" i="4"/>
  <c r="H39" i="4"/>
  <c r="I39" i="4"/>
  <c r="J39" i="4"/>
  <c r="K39" i="4"/>
  <c r="H41" i="4"/>
  <c r="I41" i="4"/>
  <c r="J41" i="4"/>
  <c r="K41" i="4"/>
  <c r="H43" i="4"/>
  <c r="I43" i="4"/>
  <c r="J43" i="4"/>
  <c r="K43" i="4"/>
  <c r="H55" i="4"/>
  <c r="I55" i="4"/>
  <c r="J55" i="4"/>
  <c r="K55" i="4"/>
  <c r="H58" i="4"/>
  <c r="I58" i="4"/>
  <c r="J58" i="4"/>
  <c r="K58" i="4"/>
  <c r="H65" i="4"/>
  <c r="I65" i="4"/>
  <c r="J65" i="4"/>
  <c r="K65" i="4"/>
  <c r="H68" i="4"/>
  <c r="I68" i="4"/>
  <c r="J68" i="4"/>
  <c r="K68" i="4"/>
  <c r="H75" i="4"/>
  <c r="I75" i="4"/>
  <c r="J75" i="4"/>
  <c r="K75" i="4"/>
  <c r="H83" i="4"/>
  <c r="I83" i="4"/>
  <c r="J83" i="4"/>
  <c r="K83" i="4"/>
  <c r="H87" i="4"/>
  <c r="I87" i="4"/>
  <c r="J87" i="4"/>
  <c r="K87" i="4"/>
  <c r="H90" i="4"/>
  <c r="I90" i="4"/>
  <c r="J90" i="4"/>
  <c r="K90" i="4"/>
  <c r="H91" i="4"/>
  <c r="I91" i="4"/>
  <c r="J91" i="4"/>
  <c r="K91" i="4"/>
  <c r="H92" i="4"/>
  <c r="I92" i="4"/>
  <c r="J92" i="4"/>
  <c r="K92" i="4"/>
  <c r="H165" i="4"/>
  <c r="I165" i="4"/>
  <c r="J165" i="4"/>
  <c r="K165" i="4"/>
  <c r="H173" i="4"/>
  <c r="I173" i="4"/>
  <c r="J173" i="4"/>
  <c r="K173" i="4"/>
  <c r="H180" i="4"/>
  <c r="I180" i="4"/>
  <c r="J180" i="4"/>
  <c r="K180" i="4"/>
  <c r="H183" i="4"/>
  <c r="I183" i="4"/>
  <c r="J183" i="4"/>
  <c r="K183" i="4"/>
  <c r="H184" i="4"/>
  <c r="I184" i="4"/>
  <c r="J184" i="4"/>
  <c r="K184" i="4"/>
  <c r="H185" i="4"/>
  <c r="I185" i="4"/>
  <c r="J185" i="4"/>
  <c r="K185" i="4"/>
  <c r="I186" i="4"/>
  <c r="J186" i="4"/>
  <c r="K186" i="4"/>
  <c r="H187" i="4"/>
  <c r="I187" i="4"/>
  <c r="J187" i="4"/>
  <c r="K18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F1" authorId="0" shapeId="0" xr:uid="{6B31D076-11E4-465E-832A-526EABDF8F0A}">
      <text>
        <r>
          <rPr>
            <b/>
            <sz val="9"/>
            <color indexed="81"/>
            <rFont val="Tahoma"/>
            <family val="2"/>
          </rPr>
          <t>NENGI:</t>
        </r>
        <r>
          <rPr>
            <sz val="9"/>
            <color indexed="81"/>
            <rFont val="Tahoma"/>
            <family val="2"/>
          </rPr>
          <t xml:space="preserve">
UNAUDITED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F5" authorId="0" shapeId="0" xr:uid="{0F91A0DA-6032-443A-A8A1-3B603DC49364}">
      <text>
        <r>
          <rPr>
            <b/>
            <sz val="9"/>
            <color indexed="81"/>
            <rFont val="Tahoma"/>
            <family val="2"/>
          </rPr>
          <t>NENGI:</t>
        </r>
        <r>
          <rPr>
            <sz val="9"/>
            <color indexed="81"/>
            <rFont val="Tahoma"/>
            <family val="2"/>
          </rPr>
          <t xml:space="preserve">
UNAUDITED
</t>
        </r>
      </text>
    </comment>
    <comment ref="E29" authorId="0" shapeId="0" xr:uid="{DF778346-E72C-440C-A9F2-FC7CD2C26D31}">
      <text>
        <r>
          <rPr>
            <b/>
            <sz val="9"/>
            <color indexed="81"/>
            <rFont val="Tahoma"/>
            <family val="2"/>
          </rPr>
          <t xml:space="preserve">Check why line item was moved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G5" authorId="0" shapeId="0" xr:uid="{E84962E0-76EF-4353-AF92-0DD455D59C92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ASSUMPTION THAT 25% OF CASH IS MADE AVAILABLE IN CASH
</t>
        </r>
      </text>
    </comment>
    <comment ref="G16" authorId="0" shapeId="0" xr:uid="{3FFC3905-6B43-46C6-A43E-27DB9BAAADA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ASSUMPTIONS
</t>
        </r>
      </text>
    </comment>
    <comment ref="G17" authorId="0" shapeId="0" xr:uid="{F96ADFBA-6855-4F53-A1EC-AD37B187F22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ASSUMPTIONS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I3" authorId="0" shapeId="0" xr:uid="{79CCD5A0-0A8B-4B81-AF5E-E402B61E7EB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Taking an Average Capex of %6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K6" authorId="0" shapeId="0" xr:uid="{65AA96ED-C2C2-44A3-8CC9-6523F312B4E9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ASSUME BORROWING AT 10%</t>
        </r>
      </text>
    </comment>
    <comment ref="E7" authorId="0" shapeId="0" xr:uid="{47E9338A-3741-4D37-98BB-DAA82C179B6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ASI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E24" authorId="0" shapeId="0" xr:uid="{602CDAFD-D991-48A2-884C-5BD871738A2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IMF GROWTH RATE</t>
        </r>
      </text>
    </comment>
  </commentList>
</comments>
</file>

<file path=xl/sharedStrings.xml><?xml version="1.0" encoding="utf-8"?>
<sst xmlns="http://schemas.openxmlformats.org/spreadsheetml/2006/main" count="331" uniqueCount="240">
  <si>
    <t>2019A</t>
  </si>
  <si>
    <t>2020A</t>
  </si>
  <si>
    <t>Revenue</t>
  </si>
  <si>
    <t>Gross profit</t>
  </si>
  <si>
    <t>Operating Profit</t>
  </si>
  <si>
    <t>Profit before taxation</t>
  </si>
  <si>
    <t>Profit after taxation</t>
  </si>
  <si>
    <t>Cost of Sales</t>
  </si>
  <si>
    <t>Other gains and losses</t>
  </si>
  <si>
    <t>Finance Cost</t>
  </si>
  <si>
    <t>Finance income</t>
  </si>
  <si>
    <t>Tax expense</t>
  </si>
  <si>
    <t>S.G &amp; A</t>
  </si>
  <si>
    <t>Distribution expenses</t>
  </si>
  <si>
    <t>-</t>
  </si>
  <si>
    <t>Gains/Loss on BA revaluation</t>
  </si>
  <si>
    <t>in thousands of naira</t>
  </si>
  <si>
    <t>Other comprehensive Income(net tax)</t>
  </si>
  <si>
    <t>Gains/Loss on BA revaluation (2020-21)</t>
  </si>
  <si>
    <t>Total Comprehensive Income</t>
  </si>
  <si>
    <t xml:space="preserve">in thousand naira </t>
  </si>
  <si>
    <t>ASSETS</t>
  </si>
  <si>
    <t>CURRENT ASSETS</t>
  </si>
  <si>
    <t>Inventories</t>
  </si>
  <si>
    <t>Biological Assets</t>
  </si>
  <si>
    <t>Trade and other receivables</t>
  </si>
  <si>
    <t>Cash and Bank balances</t>
  </si>
  <si>
    <t>TOTAL CURRENT ASSETS</t>
  </si>
  <si>
    <t>NON CURRENT ASSETS</t>
  </si>
  <si>
    <t>Intangible assets</t>
  </si>
  <si>
    <t>Property, plant and equipment</t>
  </si>
  <si>
    <t>TOTAL NON CURRENT ASSETS</t>
  </si>
  <si>
    <t>TOTAL ASSETS</t>
  </si>
  <si>
    <t>LIABILITIES</t>
  </si>
  <si>
    <t>CURRENT LIABILITIES</t>
  </si>
  <si>
    <t>Overdrafts</t>
  </si>
  <si>
    <t>Borrowings</t>
  </si>
  <si>
    <t>Trade and other payables</t>
  </si>
  <si>
    <t>Current tax liabilities</t>
  </si>
  <si>
    <t>Obligation under finance leases</t>
  </si>
  <si>
    <t>Deferred Income</t>
  </si>
  <si>
    <t>TOTAL CURRENT LIABILITIES</t>
  </si>
  <si>
    <t>NON CURRENT LIABILITIES</t>
  </si>
  <si>
    <t>Defined benefit Obligation</t>
  </si>
  <si>
    <t>Deffered Income</t>
  </si>
  <si>
    <t>Deffered tax liabilities</t>
  </si>
  <si>
    <t>TOTAL NON CURRENT LIABILITIES</t>
  </si>
  <si>
    <t>EQUITY</t>
  </si>
  <si>
    <t>Share Capital</t>
  </si>
  <si>
    <t>Share Premium</t>
  </si>
  <si>
    <t>Retained earnings</t>
  </si>
  <si>
    <t>Other reserves</t>
  </si>
  <si>
    <t>TOTAL EQUITY</t>
  </si>
  <si>
    <t>2017A</t>
  </si>
  <si>
    <t>2018A</t>
  </si>
  <si>
    <t>2021A</t>
  </si>
  <si>
    <t>TOTAL LIABILITIES</t>
  </si>
  <si>
    <t>TOTAL EQUITY &amp; LIABILITIES</t>
  </si>
  <si>
    <t>Other Assets</t>
  </si>
  <si>
    <t>Deposit for Import</t>
  </si>
  <si>
    <t>Right of use of asset</t>
  </si>
  <si>
    <t>Contract liabilities</t>
  </si>
  <si>
    <t>Lease Liabilities</t>
  </si>
  <si>
    <t>Investment in SNL</t>
  </si>
  <si>
    <t>CASH FLOW FROM OPERATING ACTIVITIES</t>
  </si>
  <si>
    <t>PROFIT FOR THE YEAR</t>
  </si>
  <si>
    <t>ADJUSTMENTS FOR:</t>
  </si>
  <si>
    <t>Tax expense/(Credit)</t>
  </si>
  <si>
    <t>Ingtangible assets reclassified to CWIP</t>
  </si>
  <si>
    <t>Depreciation and Ammortization</t>
  </si>
  <si>
    <t>Recognition of Government grant on additional loan</t>
  </si>
  <si>
    <t>TOTAL</t>
  </si>
  <si>
    <t>Increase in trade and other recievable</t>
  </si>
  <si>
    <t>Decrease/(increase) in inventories</t>
  </si>
  <si>
    <t>Decrease in other non current assets</t>
  </si>
  <si>
    <t>Increase in trade and other payable</t>
  </si>
  <si>
    <t>Decrease in deferred income</t>
  </si>
  <si>
    <t>CASH GENERATED FROM OPERATING ACTIVITIES</t>
  </si>
  <si>
    <t>Increase in retirement benefits</t>
  </si>
  <si>
    <t>Tax paid</t>
  </si>
  <si>
    <t>NET CASH GENERATED FROM OPERATING ACTIVITIES</t>
  </si>
  <si>
    <t>Acquisition of Property, Plant and equipment</t>
  </si>
  <si>
    <t>Acquisition of Intangibles</t>
  </si>
  <si>
    <t>Proceeds from sale of property, plant and equipment</t>
  </si>
  <si>
    <t>CASH FLOW FROM INVESTING ACTIVITIES</t>
  </si>
  <si>
    <t>CASH FLOW FROM FINANCING ACTIVITIES</t>
  </si>
  <si>
    <t>Loan received during the year</t>
  </si>
  <si>
    <t>Repayment during the year</t>
  </si>
  <si>
    <t>Dividends paid</t>
  </si>
  <si>
    <t>Net cash generated from/(used in) financing activities</t>
  </si>
  <si>
    <t>NET DECREASE IN CASH AND CASH EQV</t>
  </si>
  <si>
    <t>CASH AND CASH EQV AT BEGINNING OF YEAR</t>
  </si>
  <si>
    <t>CASH AND CASH EQV AT THE END OF THE YEAR</t>
  </si>
  <si>
    <t>Gain on disposal of palm seedlings</t>
  </si>
  <si>
    <t>Finance cost</t>
  </si>
  <si>
    <t>IFRS 16 lease liability remeasurement</t>
  </si>
  <si>
    <t>Remeasurement on net defined benefit liabilities</t>
  </si>
  <si>
    <t xml:space="preserve">Reversal of strategic spares  on property, plant and equipment </t>
  </si>
  <si>
    <t>Increase in contract liabilities</t>
  </si>
  <si>
    <t>Decrease/(increase) in other assets</t>
  </si>
  <si>
    <t>Decrease/(increase) in deposit for import</t>
  </si>
  <si>
    <t>Decrease in lease liability</t>
  </si>
  <si>
    <t>Increase/(Decrease) in retirement benefits</t>
  </si>
  <si>
    <t>Proceeds from sale of palm seedling</t>
  </si>
  <si>
    <t>Interest received</t>
  </si>
  <si>
    <t>Interest paid</t>
  </si>
  <si>
    <t>MOVEMENT IN WORKING CAPITAL:</t>
  </si>
  <si>
    <t>Depreciation of Property, Plant and Equipment</t>
  </si>
  <si>
    <t>Depreciation of Right-of-use assets</t>
  </si>
  <si>
    <t>Amortization of intagible assets</t>
  </si>
  <si>
    <t>Service cost</t>
  </si>
  <si>
    <t>Actuarial loss on long service award</t>
  </si>
  <si>
    <t>Expected Credit Loss Allowance/(Write-back)</t>
  </si>
  <si>
    <t>Increase in deferred income from adavances from customers</t>
  </si>
  <si>
    <t>Strategic spares transferred into inventory</t>
  </si>
  <si>
    <t>Unclaimed dividend received from Registrars</t>
  </si>
  <si>
    <t>Repayment of lease liabilities</t>
  </si>
  <si>
    <t>Investments in SNL</t>
  </si>
  <si>
    <t>Y-O-Y Growth%</t>
  </si>
  <si>
    <t>2022E</t>
  </si>
  <si>
    <t>2023E</t>
  </si>
  <si>
    <t>2024E</t>
  </si>
  <si>
    <t>2025E</t>
  </si>
  <si>
    <t>2026E</t>
  </si>
  <si>
    <t>Base Case</t>
  </si>
  <si>
    <t>Best Case</t>
  </si>
  <si>
    <t>Worst Case</t>
  </si>
  <si>
    <t>SCENARIOS</t>
  </si>
  <si>
    <t>Best case</t>
  </si>
  <si>
    <t>IMF GROWTH RATE @ 4%</t>
  </si>
  <si>
    <t>Worst case</t>
  </si>
  <si>
    <t>Base case</t>
  </si>
  <si>
    <t>Long Term Borrowings</t>
  </si>
  <si>
    <t>Operating Income</t>
  </si>
  <si>
    <t>EBITDA</t>
  </si>
  <si>
    <t>AR DAYS</t>
  </si>
  <si>
    <t>INVENTORY DAYS</t>
  </si>
  <si>
    <t>AP DAYS</t>
  </si>
  <si>
    <t>CHECK</t>
  </si>
  <si>
    <t>Net Income</t>
  </si>
  <si>
    <t>Depreciation &amp; Ammortization</t>
  </si>
  <si>
    <t>Ammortization of intangible assets</t>
  </si>
  <si>
    <t>ADD BACK NON CASH ITEMS</t>
  </si>
  <si>
    <t>CHANGES IN WORKING CAPITAL</t>
  </si>
  <si>
    <t>Account Recievable</t>
  </si>
  <si>
    <t>Inventory</t>
  </si>
  <si>
    <t>Accounts Payable</t>
  </si>
  <si>
    <t>Net cash Provided by Operating Activities</t>
  </si>
  <si>
    <t>Capital Expenditures - Purchase of PP&amp;E</t>
  </si>
  <si>
    <t>Net Cash Used in Investing Activities</t>
  </si>
  <si>
    <t>Net Cash Provided by (Used in) Finance Activities</t>
  </si>
  <si>
    <t>Net Cash Flow</t>
  </si>
  <si>
    <t>Beginning Cash Balance</t>
  </si>
  <si>
    <t>Ending Cash Balance</t>
  </si>
  <si>
    <t>Plus: Free cash flow from Operating and Investing</t>
  </si>
  <si>
    <t>Cash Balance @ Beginning of year (End of last year)</t>
  </si>
  <si>
    <t>Less: Minimum Cash Balalnce</t>
  </si>
  <si>
    <t>Total Cash Available or  Required from Overdraft</t>
  </si>
  <si>
    <t>Plus: Free cash flow from financing (BEFORE OVERDRAFT)</t>
  </si>
  <si>
    <t>Overdraft</t>
  </si>
  <si>
    <t>DEBT</t>
  </si>
  <si>
    <t>Long term Borrowings</t>
  </si>
  <si>
    <t>Interest Expense</t>
  </si>
  <si>
    <t>Interest rate on Overdraft</t>
  </si>
  <si>
    <t>2022F</t>
  </si>
  <si>
    <t>2023F</t>
  </si>
  <si>
    <t>2024F</t>
  </si>
  <si>
    <t>2025F</t>
  </si>
  <si>
    <t>2026F</t>
  </si>
  <si>
    <t>Interest rate on Long term Borrowing</t>
  </si>
  <si>
    <t>Interest Expense on Long term Borrowings</t>
  </si>
  <si>
    <t xml:space="preserve"> Interest Expense on Overdraft</t>
  </si>
  <si>
    <t>TOTAL INTEREST EXPENSE</t>
  </si>
  <si>
    <t>Plus: Capital Expenditures</t>
  </si>
  <si>
    <t>PP&amp;E Category 1</t>
  </si>
  <si>
    <t>Beginning Balance: PP&amp;E</t>
  </si>
  <si>
    <t>Less Depreciation</t>
  </si>
  <si>
    <t>Asset Base</t>
  </si>
  <si>
    <t>Period 1</t>
  </si>
  <si>
    <t>Period 2</t>
  </si>
  <si>
    <t>Period 3</t>
  </si>
  <si>
    <t>Period 4</t>
  </si>
  <si>
    <t>Period 5</t>
  </si>
  <si>
    <t>Total Depreciation</t>
  </si>
  <si>
    <t>Ending Balance:PP&amp;E</t>
  </si>
  <si>
    <t>Useful Life</t>
  </si>
  <si>
    <t>Capex</t>
  </si>
  <si>
    <t>Cash Dividend Paid</t>
  </si>
  <si>
    <t>CASH DIVIDEND ASSUMPTIONS</t>
  </si>
  <si>
    <t>Dividend Payout Ratio</t>
  </si>
  <si>
    <t>CASH DIVIDENDS</t>
  </si>
  <si>
    <t>PRESENT VALUE OF CASH FLOWS (PV OF CF)</t>
  </si>
  <si>
    <t>PRESENT VALUE OF CASHFLOWS</t>
  </si>
  <si>
    <t>PV OF TERMINAL VALUE</t>
  </si>
  <si>
    <t>+</t>
  </si>
  <si>
    <t>=</t>
  </si>
  <si>
    <t xml:space="preserve">   WEIGHTED AVERAGE COST OF CAPITAL (WACC)</t>
  </si>
  <si>
    <t>WEIGHTED AVERAGE COST OF CAPITAL</t>
  </si>
  <si>
    <t>COST OF EQUITY</t>
  </si>
  <si>
    <t>COST OF DEBT</t>
  </si>
  <si>
    <t>RISK FREE RATE</t>
  </si>
  <si>
    <t>EXPECTED MARKET RETURN</t>
  </si>
  <si>
    <t>BETA</t>
  </si>
  <si>
    <t>E/(D+E)</t>
  </si>
  <si>
    <t>TAX RATE</t>
  </si>
  <si>
    <t>AFTER TAX COST OF DEBT</t>
  </si>
  <si>
    <t>D/(D+E)</t>
  </si>
  <si>
    <t>FREE CASH FLOW (FCF)</t>
  </si>
  <si>
    <t>EBIT</t>
  </si>
  <si>
    <t>Tax</t>
  </si>
  <si>
    <t>Tax Rate</t>
  </si>
  <si>
    <t>Capital Expenditures</t>
  </si>
  <si>
    <t>Change in Working Capital</t>
  </si>
  <si>
    <t>FREE CASH FLOW</t>
  </si>
  <si>
    <t>TAX EFFECTED EBIT</t>
  </si>
  <si>
    <t>Plus:</t>
  </si>
  <si>
    <t>Depreciation:</t>
  </si>
  <si>
    <t>Less :</t>
  </si>
  <si>
    <t>DISCOUNT FACTOR</t>
  </si>
  <si>
    <t>PRESCO VALUE: PERPETUITY GROWTH RATE METHOD</t>
  </si>
  <si>
    <t>GROWTH RATE IN PERPETUITY</t>
  </si>
  <si>
    <t>WACC</t>
  </si>
  <si>
    <t>PV of CF</t>
  </si>
  <si>
    <t>FIRM VALUE</t>
  </si>
  <si>
    <t>PRESCO VALUE: EBITDA MULTIPLE METHOD</t>
  </si>
  <si>
    <t>EBITDA MULTIPLE</t>
  </si>
  <si>
    <t>MARKET CAP</t>
  </si>
  <si>
    <t>PERPERTUITY</t>
  </si>
  <si>
    <t>Market Price</t>
  </si>
  <si>
    <t xml:space="preserve">EBITDA </t>
  </si>
  <si>
    <t>Loss on Sale of property, plant &amp; equipment- net</t>
  </si>
  <si>
    <t>Loss on sales of palm on seedlings</t>
  </si>
  <si>
    <t>Gain/Loss on biological asset valuation</t>
  </si>
  <si>
    <t>Acquisition premium on SNL</t>
  </si>
  <si>
    <t>2022A</t>
  </si>
  <si>
    <t>Net Profit Margin</t>
  </si>
  <si>
    <t>Asset Turnover</t>
  </si>
  <si>
    <t>Leverage</t>
  </si>
  <si>
    <t>Growth Rate</t>
  </si>
  <si>
    <t>Average 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</si>
</sst>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[$₦-470]* #,##0.00_-;\-[$₦-470]* #,##0.00_-;_-[$₦-470]* &quot;-&quot;??_-;_-@_-"/>
    <numFmt numFmtId="165" formatCode="_-[$₦-470]* #,##0_-;\-[$₦-470]* #,##0_-;_-[$₦-470]* &quot;-&quot;??_-;_-@_-"/>
    <numFmt numFmtId="166" formatCode="&quot;PERIOD&quot;\ 0"/>
    <numFmt numFmtId="167" formatCode="&quot;YEAR&quot;\ 0"/>
    <numFmt numFmtId="168" formatCode="&quot;YEAR &quot;0"/>
    <numFmt numFmtId="169" formatCode="0.0%"/>
    <numFmt numFmtId="170" formatCode="[$₦-470]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  <font>
      <sz val="24"/>
      <name val="Century"/>
      <family val="1"/>
    </font>
    <font>
      <b/>
      <sz val="24"/>
      <name val="Century"/>
      <family val="1"/>
    </font>
    <font>
      <sz val="22"/>
      <name val="Century"/>
      <family val="1"/>
    </font>
    <font>
      <sz val="11"/>
      <name val="Century"/>
      <family val="1"/>
    </font>
    <font>
      <b/>
      <sz val="22"/>
      <name val="Century"/>
      <family val="1"/>
    </font>
    <font>
      <b/>
      <sz val="11"/>
      <name val="Century"/>
      <family val="1"/>
    </font>
    <font>
      <i/>
      <sz val="24"/>
      <name val="Century"/>
      <family val="1"/>
    </font>
    <font>
      <b/>
      <i/>
      <sz val="24"/>
      <name val="Century"/>
      <family val="1"/>
    </font>
    <font>
      <b/>
      <sz val="12"/>
      <color theme="1"/>
      <name val="Century"/>
      <family val="1"/>
    </font>
    <font>
      <sz val="12"/>
      <color theme="1"/>
      <name val="Century"/>
      <family val="1"/>
    </font>
    <font>
      <i/>
      <sz val="11"/>
      <name val="Century"/>
      <family val="1"/>
    </font>
    <font>
      <b/>
      <sz val="10"/>
      <name val="Century"/>
      <family val="1"/>
    </font>
    <font>
      <sz val="10"/>
      <color theme="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gradientFill degree="90">
        <stop position="0">
          <color theme="0"/>
        </stop>
        <stop position="0.5">
          <color rgb="FFFF0066"/>
        </stop>
        <stop position="1">
          <color theme="0"/>
        </stop>
      </gradient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2" applyNumberFormat="0" applyFill="0" applyAlignment="0" applyProtection="0"/>
    <xf numFmtId="0" fontId="4" fillId="3" borderId="0" applyAlignment="0"/>
    <xf numFmtId="9" fontId="1" fillId="0" borderId="0" applyFon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</cellStyleXfs>
  <cellXfs count="118">
    <xf numFmtId="0" fontId="0" fillId="0" borderId="0" xfId="0"/>
    <xf numFmtId="164" fontId="12" fillId="0" borderId="0" xfId="0" applyNumberFormat="1" applyFont="1"/>
    <xf numFmtId="164" fontId="13" fillId="0" borderId="0" xfId="2" applyNumberFormat="1" applyFont="1" applyFill="1" applyBorder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3" fillId="0" borderId="0" xfId="0" applyFont="1"/>
    <xf numFmtId="43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165" fontId="12" fillId="0" borderId="0" xfId="1" applyNumberFormat="1" applyFont="1" applyFill="1" applyBorder="1"/>
    <xf numFmtId="164" fontId="12" fillId="0" borderId="0" xfId="1" applyNumberFormat="1" applyFont="1" applyFill="1" applyBorder="1" applyAlignment="1">
      <alignment horizontal="center"/>
    </xf>
    <xf numFmtId="164" fontId="12" fillId="0" borderId="0" xfId="1" applyNumberFormat="1" applyFont="1" applyFill="1" applyBorder="1" applyAlignment="1"/>
    <xf numFmtId="9" fontId="12" fillId="0" borderId="0" xfId="5" applyFont="1" applyFill="1" applyBorder="1"/>
    <xf numFmtId="0" fontId="13" fillId="0" borderId="0" xfId="0" applyFont="1" applyAlignment="1">
      <alignment horizontal="centerContinuous"/>
    </xf>
    <xf numFmtId="10" fontId="12" fillId="0" borderId="0" xfId="0" applyNumberFormat="1" applyFont="1"/>
    <xf numFmtId="9" fontId="12" fillId="0" borderId="0" xfId="0" applyNumberFormat="1" applyFont="1"/>
    <xf numFmtId="164" fontId="12" fillId="0" borderId="0" xfId="1" applyNumberFormat="1" applyFont="1" applyFill="1" applyBorder="1"/>
    <xf numFmtId="9" fontId="12" fillId="0" borderId="0" xfId="5" applyFont="1" applyFill="1" applyBorder="1" applyAlignment="1">
      <alignment horizontal="right"/>
    </xf>
    <xf numFmtId="0" fontId="13" fillId="0" borderId="0" xfId="2" applyFont="1" applyFill="1" applyBorder="1"/>
    <xf numFmtId="0" fontId="17" fillId="0" borderId="0" xfId="2" applyFont="1" applyFill="1" applyBorder="1"/>
    <xf numFmtId="9" fontId="13" fillId="0" borderId="0" xfId="5" applyFont="1" applyFill="1" applyBorder="1"/>
    <xf numFmtId="164" fontId="12" fillId="0" borderId="0" xfId="1" applyNumberFormat="1" applyFont="1" applyFill="1" applyBorder="1" applyAlignment="1">
      <alignment horizontal="left"/>
    </xf>
    <xf numFmtId="9" fontId="12" fillId="0" borderId="0" xfId="5" applyFont="1" applyFill="1" applyBorder="1" applyAlignment="1"/>
    <xf numFmtId="0" fontId="13" fillId="0" borderId="0" xfId="3" applyFont="1" applyFill="1" applyBorder="1"/>
    <xf numFmtId="164" fontId="13" fillId="0" borderId="0" xfId="3" applyNumberFormat="1" applyFont="1" applyFill="1" applyBorder="1"/>
    <xf numFmtId="0" fontId="17" fillId="0" borderId="0" xfId="3" applyFont="1" applyFill="1" applyBorder="1"/>
    <xf numFmtId="164" fontId="18" fillId="0" borderId="0" xfId="0" applyNumberFormat="1" applyFont="1"/>
    <xf numFmtId="0" fontId="13" fillId="0" borderId="0" xfId="6" applyFont="1" applyFill="1" applyBorder="1"/>
    <xf numFmtId="0" fontId="13" fillId="0" borderId="0" xfId="6" applyFont="1" applyFill="1" applyBorder="1" applyAlignment="1">
      <alignment horizontal="center"/>
    </xf>
    <xf numFmtId="164" fontId="13" fillId="0" borderId="0" xfId="6" applyNumberFormat="1" applyFont="1" applyFill="1" applyBorder="1"/>
    <xf numFmtId="0" fontId="13" fillId="0" borderId="0" xfId="7" applyFont="1" applyFill="1" applyBorder="1"/>
    <xf numFmtId="164" fontId="13" fillId="0" borderId="0" xfId="7" applyNumberFormat="1" applyFont="1" applyFill="1" applyBorder="1"/>
    <xf numFmtId="164" fontId="14" fillId="0" borderId="0" xfId="0" applyNumberFormat="1" applyFont="1"/>
    <xf numFmtId="0" fontId="13" fillId="0" borderId="0" xfId="8" applyFont="1" applyFill="1" applyBorder="1"/>
    <xf numFmtId="164" fontId="13" fillId="0" borderId="0" xfId="8" applyNumberFormat="1" applyFont="1" applyFill="1" applyBorder="1"/>
    <xf numFmtId="0" fontId="19" fillId="0" borderId="0" xfId="3" applyFont="1" applyFill="1" applyBorder="1"/>
    <xf numFmtId="0" fontId="13" fillId="0" borderId="0" xfId="3" applyNumberFormat="1" applyFont="1" applyFill="1" applyBorder="1"/>
    <xf numFmtId="43" fontId="13" fillId="0" borderId="0" xfId="1" applyFont="1" applyFill="1" applyBorder="1"/>
    <xf numFmtId="1" fontId="12" fillId="0" borderId="0" xfId="0" applyNumberFormat="1" applyFont="1"/>
    <xf numFmtId="0" fontId="13" fillId="0" borderId="0" xfId="9" applyFont="1" applyFill="1" applyBorder="1"/>
    <xf numFmtId="164" fontId="13" fillId="0" borderId="0" xfId="9" applyNumberFormat="1" applyFont="1" applyFill="1" applyBorder="1"/>
    <xf numFmtId="164" fontId="12" fillId="0" borderId="0" xfId="5" applyNumberFormat="1" applyFont="1" applyFill="1" applyBorder="1"/>
    <xf numFmtId="164" fontId="13" fillId="0" borderId="0" xfId="0" applyNumberFormat="1" applyFont="1"/>
    <xf numFmtId="164" fontId="19" fillId="0" borderId="0" xfId="0" applyNumberFormat="1" applyFont="1"/>
    <xf numFmtId="0" fontId="15" fillId="0" borderId="10" xfId="0" applyFont="1" applyBorder="1"/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165" fontId="15" fillId="0" borderId="0" xfId="0" applyNumberFormat="1" applyFont="1"/>
    <xf numFmtId="9" fontId="15" fillId="0" borderId="0" xfId="0" applyNumberFormat="1" applyFont="1"/>
    <xf numFmtId="10" fontId="15" fillId="0" borderId="0" xfId="0" applyNumberFormat="1" applyFont="1"/>
    <xf numFmtId="0" fontId="17" fillId="0" borderId="10" xfId="0" applyFont="1" applyBorder="1"/>
    <xf numFmtId="0" fontId="15" fillId="0" borderId="7" xfId="0" applyFont="1" applyBorder="1"/>
    <xf numFmtId="165" fontId="15" fillId="0" borderId="7" xfId="0" applyNumberFormat="1" applyFont="1" applyBorder="1"/>
    <xf numFmtId="0" fontId="11" fillId="0" borderId="10" xfId="0" applyFont="1" applyBorder="1"/>
    <xf numFmtId="0" fontId="11" fillId="0" borderId="7" xfId="0" applyFont="1" applyBorder="1"/>
    <xf numFmtId="0" fontId="20" fillId="0" borderId="7" xfId="0" applyFont="1" applyBorder="1" applyAlignment="1">
      <alignment horizontal="center"/>
    </xf>
    <xf numFmtId="166" fontId="20" fillId="0" borderId="7" xfId="0" applyNumberFormat="1" applyFont="1" applyBorder="1" applyAlignment="1">
      <alignment horizontal="center"/>
    </xf>
    <xf numFmtId="0" fontId="10" fillId="0" borderId="0" xfId="0" applyFont="1"/>
    <xf numFmtId="0" fontId="21" fillId="0" borderId="0" xfId="0" applyFont="1"/>
    <xf numFmtId="165" fontId="21" fillId="0" borderId="0" xfId="0" applyNumberFormat="1" applyFont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0" borderId="13" xfId="0" applyFont="1" applyBorder="1"/>
    <xf numFmtId="165" fontId="10" fillId="0" borderId="6" xfId="0" applyNumberFormat="1" applyFont="1" applyBorder="1"/>
    <xf numFmtId="0" fontId="11" fillId="0" borderId="6" xfId="0" applyFont="1" applyBorder="1" applyAlignment="1">
      <alignment horizontal="center"/>
    </xf>
    <xf numFmtId="164" fontId="21" fillId="0" borderId="0" xfId="0" applyNumberFormat="1" applyFont="1"/>
    <xf numFmtId="0" fontId="20" fillId="0" borderId="7" xfId="0" applyFont="1" applyBorder="1"/>
    <xf numFmtId="165" fontId="11" fillId="0" borderId="7" xfId="0" applyNumberFormat="1" applyFont="1" applyBorder="1"/>
    <xf numFmtId="0" fontId="10" fillId="0" borderId="7" xfId="0" applyFont="1" applyBorder="1"/>
    <xf numFmtId="165" fontId="20" fillId="0" borderId="7" xfId="0" applyNumberFormat="1" applyFont="1" applyBorder="1"/>
    <xf numFmtId="0" fontId="17" fillId="0" borderId="7" xfId="0" applyFont="1" applyBorder="1"/>
    <xf numFmtId="164" fontId="15" fillId="0" borderId="0" xfId="0" applyNumberFormat="1" applyFont="1"/>
    <xf numFmtId="164" fontId="17" fillId="0" borderId="7" xfId="0" applyNumberFormat="1" applyFont="1" applyBorder="1"/>
    <xf numFmtId="0" fontId="10" fillId="0" borderId="10" xfId="0" applyFont="1" applyBorder="1" applyAlignment="1">
      <alignment horizontal="centerContinuous"/>
    </xf>
    <xf numFmtId="0" fontId="10" fillId="0" borderId="7" xfId="0" applyFont="1" applyBorder="1" applyAlignment="1">
      <alignment horizontal="centerContinuous"/>
    </xf>
    <xf numFmtId="0" fontId="10" fillId="0" borderId="8" xfId="0" applyFont="1" applyBorder="1" applyAlignment="1">
      <alignment horizontal="centerContinuous"/>
    </xf>
    <xf numFmtId="0" fontId="10" fillId="0" borderId="0" xfId="0" applyFont="1" applyAlignment="1">
      <alignment horizontal="centerContinuous"/>
    </xf>
    <xf numFmtId="169" fontId="10" fillId="0" borderId="0" xfId="0" applyNumberFormat="1" applyFont="1"/>
    <xf numFmtId="9" fontId="10" fillId="0" borderId="0" xfId="5" applyFont="1" applyFill="1"/>
    <xf numFmtId="0" fontId="11" fillId="0" borderId="0" xfId="0" applyFont="1"/>
    <xf numFmtId="0" fontId="17" fillId="0" borderId="0" xfId="0" applyFont="1" applyAlignment="1">
      <alignment horizontal="center"/>
    </xf>
    <xf numFmtId="0" fontId="22" fillId="0" borderId="0" xfId="0" applyFont="1"/>
    <xf numFmtId="0" fontId="17" fillId="0" borderId="14" xfId="0" applyFont="1" applyBorder="1"/>
    <xf numFmtId="165" fontId="17" fillId="0" borderId="14" xfId="0" applyNumberFormat="1" applyFont="1" applyBorder="1"/>
    <xf numFmtId="164" fontId="17" fillId="0" borderId="14" xfId="0" applyNumberFormat="1" applyFont="1" applyBorder="1"/>
    <xf numFmtId="168" fontId="17" fillId="0" borderId="7" xfId="0" applyNumberFormat="1" applyFont="1" applyBorder="1" applyAlignment="1">
      <alignment horizontal="center"/>
    </xf>
    <xf numFmtId="167" fontId="17" fillId="0" borderId="0" xfId="0" applyNumberFormat="1" applyFont="1" applyAlignment="1">
      <alignment horizontal="center"/>
    </xf>
    <xf numFmtId="2" fontId="15" fillId="0" borderId="0" xfId="0" applyNumberFormat="1" applyFont="1"/>
    <xf numFmtId="9" fontId="15" fillId="0" borderId="9" xfId="0" applyNumberFormat="1" applyFont="1" applyBorder="1"/>
    <xf numFmtId="0" fontId="17" fillId="0" borderId="10" xfId="0" applyFont="1" applyBorder="1" applyAlignment="1">
      <alignment horizontal="center"/>
    </xf>
    <xf numFmtId="169" fontId="15" fillId="0" borderId="0" xfId="5" applyNumberFormat="1" applyFont="1" applyFill="1"/>
    <xf numFmtId="0" fontId="17" fillId="0" borderId="0" xfId="0" applyFont="1" applyAlignment="1">
      <alignment horizontal="centerContinuous"/>
    </xf>
    <xf numFmtId="165" fontId="17" fillId="0" borderId="0" xfId="0" applyNumberFormat="1" applyFont="1"/>
    <xf numFmtId="0" fontId="15" fillId="0" borderId="0" xfId="0" applyFont="1" applyAlignment="1">
      <alignment horizontal="center"/>
    </xf>
    <xf numFmtId="164" fontId="17" fillId="0" borderId="0" xfId="0" applyNumberFormat="1" applyFont="1"/>
    <xf numFmtId="0" fontId="17" fillId="0" borderId="9" xfId="0" applyFont="1" applyBorder="1"/>
    <xf numFmtId="169" fontId="15" fillId="0" borderId="0" xfId="0" applyNumberFormat="1" applyFont="1"/>
    <xf numFmtId="170" fontId="12" fillId="0" borderId="0" xfId="0" applyNumberFormat="1" applyFont="1"/>
    <xf numFmtId="43" fontId="23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10" fontId="24" fillId="0" borderId="0" xfId="5" applyNumberFormat="1" applyFont="1"/>
    <xf numFmtId="2" fontId="24" fillId="0" borderId="0" xfId="0" applyNumberFormat="1" applyFont="1"/>
    <xf numFmtId="1" fontId="24" fillId="0" borderId="0" xfId="0" applyNumberFormat="1" applyFont="1"/>
    <xf numFmtId="0" fontId="10" fillId="0" borderId="0" xfId="0" applyFont="1" applyAlignment="1">
      <alignment horizontal="center"/>
    </xf>
    <xf numFmtId="9" fontId="10" fillId="0" borderId="15" xfId="0" applyNumberFormat="1" applyFont="1" applyBorder="1" applyAlignment="1">
      <alignment horizontal="center"/>
    </xf>
    <xf numFmtId="9" fontId="10" fillId="0" borderId="16" xfId="0" applyNumberFormat="1" applyFont="1" applyBorder="1" applyAlignment="1">
      <alignment horizontal="center"/>
    </xf>
    <xf numFmtId="9" fontId="10" fillId="0" borderId="0" xfId="5" applyFont="1" applyFill="1" applyAlignment="1">
      <alignment horizontal="center"/>
    </xf>
    <xf numFmtId="9" fontId="10" fillId="0" borderId="9" xfId="0" applyNumberFormat="1" applyFont="1" applyBorder="1" applyAlignment="1">
      <alignment horizontal="center"/>
    </xf>
    <xf numFmtId="10" fontId="10" fillId="0" borderId="15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9" fontId="10" fillId="0" borderId="0" xfId="0" applyNumberFormat="1" applyFont="1" applyAlignment="1">
      <alignment horizontal="center"/>
    </xf>
    <xf numFmtId="10" fontId="10" fillId="0" borderId="0" xfId="5" applyNumberFormat="1" applyFont="1"/>
    <xf numFmtId="10" fontId="11" fillId="0" borderId="0" xfId="5" applyNumberFormat="1" applyFont="1"/>
  </cellXfs>
  <cellStyles count="10">
    <cellStyle name="Comma" xfId="1" builtinId="3"/>
    <cellStyle name="Heading 1" xfId="6" builtinId="16"/>
    <cellStyle name="Heading 2" xfId="7" builtinId="17"/>
    <cellStyle name="Heading 3" xfId="8" builtinId="18"/>
    <cellStyle name="Heading 4" xfId="9" builtinId="19"/>
    <cellStyle name="Normal" xfId="0" builtinId="0"/>
    <cellStyle name="Output" xfId="2" builtinId="21"/>
    <cellStyle name="Percent" xfId="5" builtinId="5"/>
    <cellStyle name="Style 1" xfId="4" xr:uid="{06BAF85F-E7CF-4AD4-9F3D-5BA8C6864A11}"/>
    <cellStyle name="Total" xfId="3" builtinId="25"/>
  </cellStyles>
  <dxfs count="0"/>
  <tableStyles count="0" defaultTableStyle="TableStyleMedium2" defaultPivotStyle="PivotStyleLight16"/>
  <colors>
    <mruColors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" dropStyle="combo" dx="22" fmlaLink="$W$3" fmlaRange="$X$2:$X$4" noThreeD="1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0</xdr:row>
          <xdr:rowOff>0</xdr:rowOff>
        </xdr:from>
        <xdr:to>
          <xdr:col>1</xdr:col>
          <xdr:colOff>1457325</xdr:colOff>
          <xdr:row>0</xdr:row>
          <xdr:rowOff>190500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90667-988D-4A6C-B56D-201C46C06CC8}">
  <dimension ref="A1:G10"/>
  <sheetViews>
    <sheetView showGridLines="0" tabSelected="1" workbookViewId="0">
      <selection activeCell="D15" sqref="D15"/>
    </sheetView>
  </sheetViews>
  <sheetFormatPr defaultRowHeight="15" x14ac:dyDescent="0.25"/>
  <cols>
    <col min="1" max="1" width="30.7109375" customWidth="1"/>
    <col min="2" max="7" width="15.7109375" customWidth="1"/>
  </cols>
  <sheetData>
    <row r="1" spans="1:7" x14ac:dyDescent="0.25">
      <c r="A1" s="104"/>
      <c r="B1" s="101" t="s">
        <v>53</v>
      </c>
      <c r="C1" s="101" t="s">
        <v>54</v>
      </c>
      <c r="D1" s="102" t="s">
        <v>0</v>
      </c>
      <c r="E1" s="102" t="s">
        <v>1</v>
      </c>
      <c r="F1" s="102" t="s">
        <v>55</v>
      </c>
      <c r="G1" s="103" t="s">
        <v>234</v>
      </c>
    </row>
    <row r="2" spans="1:7" x14ac:dyDescent="0.25">
      <c r="A2" s="101" t="s">
        <v>235</v>
      </c>
      <c r="B2" s="104"/>
      <c r="C2" s="105">
        <f>PL_BS_CF!C43/PL_BS_CF!C6</f>
        <v>0.20144579013180303</v>
      </c>
      <c r="D2" s="105">
        <f>PL_BS_CF!D43/PL_BS_CF!D6</f>
        <v>0.18943703142842641</v>
      </c>
      <c r="E2" s="105">
        <f>PL_BS_CF!E43/PL_BS_CF!E6</f>
        <v>0.21612374740318485</v>
      </c>
      <c r="F2" s="105">
        <f>PL_BS_CF!F43/PL_BS_CF!F6</f>
        <v>0.4073667793102837</v>
      </c>
      <c r="G2" s="105">
        <f>PL_BS_CF!G43/PL_BS_CF!G6</f>
        <v>0.16083239254829634</v>
      </c>
    </row>
    <row r="3" spans="1:7" x14ac:dyDescent="0.25">
      <c r="A3" s="101" t="s">
        <v>236</v>
      </c>
      <c r="B3" s="104"/>
      <c r="C3" s="106">
        <f>PL_BS_CF!C6/PL_BS_CF!C65</f>
        <v>0.36018509343702565</v>
      </c>
      <c r="D3" s="106">
        <f>PL_BS_CF!D6/PL_BS_CF!D65</f>
        <v>0.27775930459205439</v>
      </c>
      <c r="E3" s="106">
        <f>PL_BS_CF!E6/PL_BS_CF!E65</f>
        <v>0.32387273271108002</v>
      </c>
      <c r="F3" s="106">
        <f>PL_BS_CF!F6/PL_BS_CF!F65</f>
        <v>0.33729947344042421</v>
      </c>
      <c r="G3" s="106">
        <f>PL_BS_CF!G6/PL_BS_CF!G65</f>
        <v>0.61214915695652061</v>
      </c>
    </row>
    <row r="4" spans="1:7" x14ac:dyDescent="0.25">
      <c r="A4" s="101" t="s">
        <v>237</v>
      </c>
      <c r="B4" s="104"/>
      <c r="C4" s="107">
        <f>((PL_BS_CF!B65+PL_BS_CF!C65)/2)/((PL_BS_CF!B90+PL_BS_CF!C90)/2)</f>
        <v>2.2855421797682021</v>
      </c>
      <c r="D4" s="107">
        <f>((PL_BS_CF!C65+PL_BS_CF!D65)/2)/((PL_BS_CF!C90+PL_BS_CF!D90)/2)</f>
        <v>2.5022037670388917</v>
      </c>
      <c r="E4" s="107">
        <f>((PL_BS_CF!D65+PL_BS_CF!E65)/2)/((PL_BS_CF!D90+PL_BS_CF!E90)/2)</f>
        <v>2.4564043228859234</v>
      </c>
      <c r="F4" s="107">
        <f>((PL_BS_CF!E65+PL_BS_CF!F65)/2)/((PL_BS_CF!E90+PL_BS_CF!F90)/2)</f>
        <v>3.5240121942894005</v>
      </c>
      <c r="G4" s="107">
        <f>((PL_BS_CF!F65+PL_BS_CF!G65)/2)/((PL_BS_CF!F90+PL_BS_CF!G90)/2)</f>
        <v>4.2691252839611389</v>
      </c>
    </row>
    <row r="5" spans="1:7" x14ac:dyDescent="0.25">
      <c r="A5" s="101"/>
      <c r="B5" s="104"/>
      <c r="C5" s="104"/>
      <c r="D5" s="104"/>
      <c r="E5" s="104"/>
      <c r="F5" s="104"/>
      <c r="G5" s="104"/>
    </row>
    <row r="6" spans="1:7" x14ac:dyDescent="0.25">
      <c r="A6" s="101" t="s">
        <v>238</v>
      </c>
      <c r="C6" s="116">
        <f>PRODUCT(C2:C4)</f>
        <v>0.16583384549877844</v>
      </c>
      <c r="D6" s="116">
        <f t="shared" ref="D6:G6" si="0">PRODUCT(D2:D4)</f>
        <v>0.13166070287337556</v>
      </c>
      <c r="E6" s="116">
        <f t="shared" si="0"/>
        <v>0.17193992300909955</v>
      </c>
      <c r="F6" s="116">
        <f t="shared" si="0"/>
        <v>0.4842154865099435</v>
      </c>
      <c r="G6" s="116">
        <f t="shared" si="0"/>
        <v>0.42030995690671136</v>
      </c>
    </row>
    <row r="7" spans="1:7" x14ac:dyDescent="0.25">
      <c r="A7" s="101" t="s">
        <v>239</v>
      </c>
      <c r="C7" s="117">
        <f>GEOMEAN(C6:G6)</f>
        <v>0.23802517025801728</v>
      </c>
      <c r="D7" s="60"/>
      <c r="E7" s="60"/>
      <c r="F7" s="60"/>
      <c r="G7" s="60"/>
    </row>
    <row r="8" spans="1:7" x14ac:dyDescent="0.25">
      <c r="A8" s="101"/>
    </row>
    <row r="9" spans="1:7" x14ac:dyDescent="0.25">
      <c r="A9" s="101"/>
    </row>
    <row r="10" spans="1:7" x14ac:dyDescent="0.25">
      <c r="A10" s="101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C8657-0D3E-4F7D-9CC2-F50740CC647C}">
  <sheetPr>
    <tabColor theme="9" tint="-0.499984740745262"/>
  </sheetPr>
  <dimension ref="A1:X187"/>
  <sheetViews>
    <sheetView showGridLines="0" zoomScale="40" zoomScaleNormal="40" workbookViewId="0">
      <pane xSplit="1" topLeftCell="B1" activePane="topRight" state="frozen"/>
      <selection pane="topRight" activeCell="J51" sqref="J51"/>
    </sheetView>
  </sheetViews>
  <sheetFormatPr defaultRowHeight="30" x14ac:dyDescent="0.4"/>
  <cols>
    <col min="1" max="1" width="117.28515625" style="3" customWidth="1"/>
    <col min="2" max="11" width="55.7109375" style="3" customWidth="1"/>
    <col min="12" max="12" width="55.7109375" style="4" customWidth="1"/>
    <col min="13" max="23" width="55.7109375" style="5" customWidth="1"/>
    <col min="24" max="16384" width="9.140625" style="5"/>
  </cols>
  <sheetData>
    <row r="1" spans="1:24" x14ac:dyDescent="0.4">
      <c r="A1" s="3" t="s">
        <v>127</v>
      </c>
    </row>
    <row r="2" spans="1:24" x14ac:dyDescent="0.4">
      <c r="A2" s="3" t="s">
        <v>125</v>
      </c>
      <c r="X2" s="5" t="s">
        <v>128</v>
      </c>
    </row>
    <row r="3" spans="1:24" x14ac:dyDescent="0.4">
      <c r="A3" s="3" t="s">
        <v>124</v>
      </c>
      <c r="W3" s="5">
        <v>3</v>
      </c>
      <c r="X3" s="5" t="s">
        <v>124</v>
      </c>
    </row>
    <row r="4" spans="1:24" x14ac:dyDescent="0.4">
      <c r="A4" s="3" t="s">
        <v>126</v>
      </c>
      <c r="X4" s="5" t="s">
        <v>126</v>
      </c>
    </row>
    <row r="5" spans="1:24" s="11" customFormat="1" x14ac:dyDescent="0.4">
      <c r="A5" s="6" t="s">
        <v>16</v>
      </c>
      <c r="B5" s="7" t="s">
        <v>53</v>
      </c>
      <c r="C5" s="7" t="s">
        <v>54</v>
      </c>
      <c r="D5" s="8" t="s">
        <v>0</v>
      </c>
      <c r="E5" s="8" t="s">
        <v>1</v>
      </c>
      <c r="F5" s="8" t="s">
        <v>55</v>
      </c>
      <c r="G5" s="9" t="s">
        <v>234</v>
      </c>
      <c r="H5" s="9" t="s">
        <v>120</v>
      </c>
      <c r="I5" s="9" t="s">
        <v>121</v>
      </c>
      <c r="J5" s="9" t="s">
        <v>122</v>
      </c>
      <c r="K5" s="9" t="s">
        <v>123</v>
      </c>
      <c r="L5" s="10"/>
    </row>
    <row r="6" spans="1:24" x14ac:dyDescent="0.4">
      <c r="A6" s="6" t="s">
        <v>2</v>
      </c>
      <c r="B6" s="12">
        <v>22365372</v>
      </c>
      <c r="C6" s="13">
        <v>21344730</v>
      </c>
      <c r="D6" s="13">
        <v>19723641</v>
      </c>
      <c r="E6" s="14">
        <v>23891766</v>
      </c>
      <c r="F6" s="13">
        <v>47426435</v>
      </c>
      <c r="G6" s="12">
        <v>81029846</v>
      </c>
      <c r="H6" s="12">
        <f>G6*(1+H7)</f>
        <v>98856412.120000005</v>
      </c>
      <c r="I6" s="12">
        <f>H6*(1+I7)</f>
        <v>120604822.78640001</v>
      </c>
      <c r="J6" s="12">
        <f>I6*(1+J7)</f>
        <v>147137883.79940799</v>
      </c>
      <c r="K6" s="12">
        <f>J6*(1+K7)</f>
        <v>179508218.23527774</v>
      </c>
    </row>
    <row r="7" spans="1:24" x14ac:dyDescent="0.4">
      <c r="A7" s="6" t="s">
        <v>118</v>
      </c>
      <c r="C7" s="15"/>
      <c r="D7" s="15"/>
      <c r="E7" s="15"/>
      <c r="F7" s="15"/>
      <c r="G7" s="15"/>
      <c r="H7" s="15">
        <f>INDEX(H9:H11,$W$3)</f>
        <v>0.22</v>
      </c>
      <c r="I7" s="15">
        <f>INDEX(I9:I11,$W$3)</f>
        <v>0.22</v>
      </c>
      <c r="J7" s="15">
        <f>INDEX(J9:J11,$W$3)</f>
        <v>0.22</v>
      </c>
      <c r="K7" s="15">
        <f>INDEX(K9:K11,$W$3)</f>
        <v>0.22</v>
      </c>
    </row>
    <row r="8" spans="1:24" x14ac:dyDescent="0.4">
      <c r="A8" s="6"/>
      <c r="C8" s="15"/>
      <c r="D8" s="15"/>
      <c r="E8" s="15"/>
      <c r="F8" s="15"/>
      <c r="G8" s="15"/>
      <c r="H8" s="15"/>
      <c r="I8" s="15"/>
      <c r="J8" s="15"/>
      <c r="K8" s="15"/>
    </row>
    <row r="9" spans="1:24" x14ac:dyDescent="0.4">
      <c r="A9" s="6" t="s">
        <v>128</v>
      </c>
      <c r="B9" s="16" t="s">
        <v>129</v>
      </c>
      <c r="C9" s="16"/>
      <c r="D9" s="16"/>
      <c r="E9" s="16"/>
      <c r="F9" s="16"/>
      <c r="G9" s="17"/>
      <c r="H9" s="17">
        <v>0.25</v>
      </c>
      <c r="I9" s="17">
        <v>0.25</v>
      </c>
      <c r="J9" s="17">
        <v>0.25</v>
      </c>
      <c r="K9" s="17">
        <v>0.25</v>
      </c>
    </row>
    <row r="10" spans="1:24" x14ac:dyDescent="0.4">
      <c r="A10" s="6" t="s">
        <v>131</v>
      </c>
      <c r="B10" s="16"/>
      <c r="C10" s="16"/>
      <c r="D10" s="16"/>
      <c r="E10" s="16"/>
      <c r="F10" s="16"/>
      <c r="G10" s="18"/>
      <c r="H10" s="18">
        <v>0.23799999999999999</v>
      </c>
      <c r="I10" s="18">
        <v>0.23799999999999999</v>
      </c>
      <c r="J10" s="18">
        <v>0.23799999999999999</v>
      </c>
      <c r="K10" s="18">
        <v>0.23799999999999999</v>
      </c>
    </row>
    <row r="11" spans="1:24" x14ac:dyDescent="0.4">
      <c r="A11" s="6" t="s">
        <v>130</v>
      </c>
      <c r="B11" s="16"/>
      <c r="C11" s="16"/>
      <c r="D11" s="16"/>
      <c r="E11" s="16"/>
      <c r="F11" s="16"/>
      <c r="G11" s="17"/>
      <c r="H11" s="17">
        <v>0.22</v>
      </c>
      <c r="I11" s="17">
        <v>0.22</v>
      </c>
      <c r="J11" s="17">
        <v>0.22</v>
      </c>
      <c r="K11" s="17">
        <v>0.22</v>
      </c>
    </row>
    <row r="12" spans="1:24" x14ac:dyDescent="0.4">
      <c r="A12" s="6"/>
      <c r="B12" s="6"/>
      <c r="C12" s="6"/>
      <c r="D12" s="6"/>
      <c r="E12" s="6"/>
      <c r="F12" s="6"/>
      <c r="G12" s="17"/>
      <c r="H12" s="17"/>
      <c r="I12" s="17"/>
      <c r="J12" s="17"/>
      <c r="K12" s="17"/>
    </row>
    <row r="13" spans="1:24" x14ac:dyDescent="0.4">
      <c r="A13" s="6" t="s">
        <v>7</v>
      </c>
      <c r="B13" s="19">
        <v>5941308</v>
      </c>
      <c r="C13" s="19">
        <v>4753275</v>
      </c>
      <c r="D13" s="13">
        <v>7001810</v>
      </c>
      <c r="E13" s="14">
        <v>7803248</v>
      </c>
      <c r="F13" s="13">
        <v>15673905</v>
      </c>
      <c r="G13" s="1">
        <f>31057010</f>
        <v>31057010</v>
      </c>
      <c r="H13" s="1">
        <f>H14*H6</f>
        <v>31871307.267488003</v>
      </c>
      <c r="I13" s="1">
        <f>I14*I6</f>
        <v>38882994.866335362</v>
      </c>
      <c r="J13" s="1">
        <f>J14*J6</f>
        <v>47437253.736929141</v>
      </c>
      <c r="K13" s="1">
        <f>K14*K6</f>
        <v>57873449.559053548</v>
      </c>
    </row>
    <row r="14" spans="1:24" x14ac:dyDescent="0.4">
      <c r="A14" s="6" t="s">
        <v>118</v>
      </c>
      <c r="B14" s="15">
        <f>B13/B6</f>
        <v>0.26564762705489542</v>
      </c>
      <c r="C14" s="15">
        <f>C13/C6</f>
        <v>0.22269080002417457</v>
      </c>
      <c r="D14" s="15">
        <f>D13/D6</f>
        <v>0.35499581441377887</v>
      </c>
      <c r="E14" s="15">
        <f>E13/E6</f>
        <v>0.32660825491091783</v>
      </c>
      <c r="F14" s="15">
        <f>F13/F6</f>
        <v>0.33048878752957078</v>
      </c>
      <c r="G14" s="15"/>
      <c r="H14" s="15">
        <f>INDEX(H16:H18,$W$3)</f>
        <v>0.32240000000000002</v>
      </c>
      <c r="I14" s="15">
        <f>INDEX(I16:I18,$W$3)</f>
        <v>0.32240000000000002</v>
      </c>
      <c r="J14" s="15">
        <f>INDEX(J16:J18,$W$3)</f>
        <v>0.32240000000000002</v>
      </c>
      <c r="K14" s="15">
        <f>INDEX(K16:K18,$W$3)</f>
        <v>0.32240000000000002</v>
      </c>
    </row>
    <row r="15" spans="1:24" x14ac:dyDescent="0.4">
      <c r="A15" s="6"/>
      <c r="B15" s="19"/>
      <c r="C15" s="15"/>
      <c r="D15" s="15"/>
      <c r="E15" s="15"/>
      <c r="F15" s="15"/>
      <c r="G15" s="15"/>
      <c r="H15" s="15"/>
      <c r="I15" s="15"/>
      <c r="J15" s="15"/>
      <c r="K15" s="15"/>
    </row>
    <row r="16" spans="1:24" x14ac:dyDescent="0.4">
      <c r="A16" s="6" t="s">
        <v>128</v>
      </c>
      <c r="B16" s="16" t="s">
        <v>129</v>
      </c>
      <c r="C16" s="16"/>
      <c r="D16" s="16"/>
      <c r="E16" s="16"/>
      <c r="F16" s="16"/>
      <c r="G16" s="20"/>
      <c r="H16" s="20">
        <v>0.29759999999999998</v>
      </c>
      <c r="I16" s="20">
        <v>0.29759999999999998</v>
      </c>
      <c r="J16" s="20">
        <v>0.29759999999999998</v>
      </c>
      <c r="K16" s="20">
        <v>0.29759999999999998</v>
      </c>
    </row>
    <row r="17" spans="1:22" x14ac:dyDescent="0.4">
      <c r="A17" s="6" t="s">
        <v>131</v>
      </c>
      <c r="B17" s="16"/>
      <c r="C17" s="16"/>
      <c r="D17" s="16"/>
      <c r="E17" s="16"/>
      <c r="F17" s="16"/>
      <c r="G17" s="18"/>
      <c r="H17" s="18">
        <f>AVERAGE($C14:$F14)</f>
        <v>0.30869591421961051</v>
      </c>
      <c r="I17" s="18">
        <f>AVERAGE($C14:$F14)</f>
        <v>0.30869591421961051</v>
      </c>
      <c r="J17" s="18">
        <f>AVERAGE($C14:$F14)</f>
        <v>0.30869591421961051</v>
      </c>
      <c r="K17" s="18">
        <f>AVERAGE($C14:$F14)</f>
        <v>0.30869591421961051</v>
      </c>
    </row>
    <row r="18" spans="1:22" x14ac:dyDescent="0.4">
      <c r="A18" s="6" t="s">
        <v>130</v>
      </c>
      <c r="B18" s="16"/>
      <c r="C18" s="16"/>
      <c r="D18" s="16"/>
      <c r="E18" s="16"/>
      <c r="F18" s="16"/>
      <c r="G18" s="15"/>
      <c r="H18" s="15">
        <v>0.32240000000000002</v>
      </c>
      <c r="I18" s="15">
        <v>0.32240000000000002</v>
      </c>
      <c r="J18" s="15">
        <v>0.32240000000000002</v>
      </c>
      <c r="K18" s="15">
        <v>0.32240000000000002</v>
      </c>
    </row>
    <row r="19" spans="1:22" x14ac:dyDescent="0.4">
      <c r="A19" s="6"/>
      <c r="B19" s="13"/>
      <c r="C19" s="13"/>
      <c r="D19" s="13"/>
      <c r="E19" s="13"/>
      <c r="F19" s="13"/>
      <c r="G19" s="15"/>
      <c r="H19" s="15"/>
      <c r="I19" s="15"/>
      <c r="J19" s="15"/>
      <c r="K19" s="15"/>
    </row>
    <row r="20" spans="1:22" s="22" customFormat="1" x14ac:dyDescent="0.4">
      <c r="A20" s="21" t="s">
        <v>3</v>
      </c>
      <c r="B20" s="2">
        <f t="shared" ref="B20:K20" si="0">(B6-B13)</f>
        <v>16424064</v>
      </c>
      <c r="C20" s="2">
        <f t="shared" si="0"/>
        <v>16591455</v>
      </c>
      <c r="D20" s="2">
        <f t="shared" si="0"/>
        <v>12721831</v>
      </c>
      <c r="E20" s="2">
        <f t="shared" si="0"/>
        <v>16088518</v>
      </c>
      <c r="F20" s="2">
        <f t="shared" si="0"/>
        <v>31752530</v>
      </c>
      <c r="G20" s="2">
        <f t="shared" si="0"/>
        <v>49972836</v>
      </c>
      <c r="H20" s="2">
        <f t="shared" si="0"/>
        <v>66985104.852512002</v>
      </c>
      <c r="I20" s="2">
        <f t="shared" si="0"/>
        <v>81721827.920064643</v>
      </c>
      <c r="J20" s="2">
        <f t="shared" si="0"/>
        <v>99700630.06247884</v>
      </c>
      <c r="K20" s="2">
        <f t="shared" si="0"/>
        <v>121634768.6762242</v>
      </c>
      <c r="L20" s="4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s="22" customFormat="1" x14ac:dyDescent="0.4">
      <c r="A21" s="21"/>
      <c r="B21" s="23">
        <f t="shared" ref="B21:K21" si="1">B20/B6</f>
        <v>0.73435237294510458</v>
      </c>
      <c r="C21" s="23">
        <f t="shared" si="1"/>
        <v>0.77730919997582537</v>
      </c>
      <c r="D21" s="23">
        <f t="shared" si="1"/>
        <v>0.64500418558622108</v>
      </c>
      <c r="E21" s="23">
        <f t="shared" si="1"/>
        <v>0.67339174508908217</v>
      </c>
      <c r="F21" s="23">
        <f t="shared" si="1"/>
        <v>0.66951121247042922</v>
      </c>
      <c r="G21" s="23">
        <f>G20/G6</f>
        <v>0.6167213498097972</v>
      </c>
      <c r="H21" s="23">
        <f t="shared" si="1"/>
        <v>0.67759999999999998</v>
      </c>
      <c r="I21" s="23">
        <f t="shared" si="1"/>
        <v>0.67759999999999998</v>
      </c>
      <c r="J21" s="23">
        <f t="shared" si="1"/>
        <v>0.67759999999999987</v>
      </c>
      <c r="K21" s="23">
        <f t="shared" si="1"/>
        <v>0.67759999999999998</v>
      </c>
      <c r="L21" s="4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x14ac:dyDescent="0.4">
      <c r="A22" s="6" t="s">
        <v>12</v>
      </c>
      <c r="B22" s="19">
        <v>-7184418</v>
      </c>
      <c r="C22" s="19">
        <v>-6384429</v>
      </c>
      <c r="D22" s="13">
        <v>-6813620</v>
      </c>
      <c r="E22" s="14">
        <v>-7133558</v>
      </c>
      <c r="F22" s="13">
        <v>-9466428</v>
      </c>
      <c r="G22" s="1">
        <v>-20362614</v>
      </c>
      <c r="H22" s="1">
        <f>H23*H6</f>
        <v>-28944658.698681697</v>
      </c>
      <c r="I22" s="1">
        <f>I23*I6</f>
        <v>-35312483.612391673</v>
      </c>
      <c r="J22" s="1">
        <f>J23*J6</f>
        <v>-43081230.00711783</v>
      </c>
      <c r="K22" s="1">
        <f>K23*K6</f>
        <v>-52559100.608683757</v>
      </c>
    </row>
    <row r="23" spans="1:22" x14ac:dyDescent="0.4">
      <c r="A23" s="6"/>
      <c r="B23" s="15">
        <f>B22/B6</f>
        <v>-0.32122953286893685</v>
      </c>
      <c r="C23" s="15">
        <f>C22/C6</f>
        <v>-0.29911031903425345</v>
      </c>
      <c r="D23" s="15">
        <f>D22/D6</f>
        <v>-0.34545447263007878</v>
      </c>
      <c r="E23" s="15">
        <f>E22/E6</f>
        <v>-0.29857809590132434</v>
      </c>
      <c r="F23" s="15">
        <f>F22/F6</f>
        <v>-0.19960235256982736</v>
      </c>
      <c r="G23" s="15">
        <f>AVERAGE($B$23:$F$23)</f>
        <v>-0.29279495460088417</v>
      </c>
      <c r="H23" s="15">
        <f>AVERAGE($B$23:$F$23)</f>
        <v>-0.29279495460088417</v>
      </c>
      <c r="I23" s="15">
        <f>AVERAGE($B$23:$F$23)</f>
        <v>-0.29279495460088417</v>
      </c>
      <c r="J23" s="15">
        <f>AVERAGE($B$23:$F$23)</f>
        <v>-0.29279495460088417</v>
      </c>
      <c r="K23" s="15">
        <f>AVERAGE($B$23:$F$23)</f>
        <v>-0.29279495460088417</v>
      </c>
    </row>
    <row r="24" spans="1:22" x14ac:dyDescent="0.4">
      <c r="A24" s="6"/>
      <c r="B24" s="19"/>
      <c r="C24" s="15"/>
      <c r="D24" s="15"/>
      <c r="E24" s="15"/>
      <c r="F24" s="15"/>
      <c r="G24" s="15"/>
      <c r="H24" s="15"/>
      <c r="I24" s="15"/>
      <c r="J24" s="15"/>
      <c r="K24" s="15"/>
    </row>
    <row r="25" spans="1:22" x14ac:dyDescent="0.4">
      <c r="A25" s="6" t="s">
        <v>13</v>
      </c>
      <c r="B25" s="19">
        <v>-317248</v>
      </c>
      <c r="C25" s="19">
        <v>-366923</v>
      </c>
      <c r="D25" s="24" t="s">
        <v>14</v>
      </c>
      <c r="E25" s="14" t="s">
        <v>14</v>
      </c>
      <c r="F25" s="24">
        <v>-747725</v>
      </c>
      <c r="G25" s="24">
        <v>-1790236</v>
      </c>
      <c r="H25" s="24" t="s">
        <v>14</v>
      </c>
      <c r="I25" s="24" t="s">
        <v>14</v>
      </c>
      <c r="J25" s="24" t="s">
        <v>14</v>
      </c>
      <c r="K25" s="24" t="s">
        <v>14</v>
      </c>
    </row>
    <row r="26" spans="1:22" x14ac:dyDescent="0.4">
      <c r="A26" s="6"/>
      <c r="B26" s="19"/>
      <c r="C26" s="15"/>
      <c r="D26" s="15"/>
      <c r="E26" s="15"/>
      <c r="F26" s="15"/>
    </row>
    <row r="27" spans="1:22" x14ac:dyDescent="0.4">
      <c r="A27" s="6" t="s">
        <v>8</v>
      </c>
      <c r="B27" s="19">
        <v>213358</v>
      </c>
      <c r="C27" s="19">
        <v>389845</v>
      </c>
      <c r="D27" s="13">
        <v>386202</v>
      </c>
      <c r="E27" s="14">
        <v>-250542</v>
      </c>
      <c r="F27" s="13">
        <f>312566+126743</f>
        <v>439309</v>
      </c>
      <c r="G27" s="13">
        <f>1319226+162900</f>
        <v>1482126</v>
      </c>
      <c r="H27" s="13">
        <v>-282433</v>
      </c>
      <c r="I27" s="13">
        <v>-282433</v>
      </c>
      <c r="J27" s="13">
        <v>-282433</v>
      </c>
      <c r="K27" s="13">
        <v>-282433</v>
      </c>
    </row>
    <row r="28" spans="1:22" x14ac:dyDescent="0.4">
      <c r="A28" s="6"/>
      <c r="B28" s="19"/>
      <c r="C28" s="15"/>
      <c r="D28" s="15"/>
      <c r="E28" s="15"/>
      <c r="F28" s="15"/>
      <c r="G28" s="18"/>
      <c r="H28" s="18"/>
      <c r="I28" s="18"/>
      <c r="J28" s="18"/>
      <c r="K28" s="18"/>
    </row>
    <row r="29" spans="1:22" x14ac:dyDescent="0.4">
      <c r="A29" s="6" t="s">
        <v>18</v>
      </c>
      <c r="B29" s="19"/>
      <c r="C29" s="19"/>
      <c r="D29" s="13"/>
      <c r="E29" s="14"/>
      <c r="F29" s="13">
        <v>6962382</v>
      </c>
      <c r="G29" s="100">
        <f>-(895035+137525)</f>
        <v>-1032560</v>
      </c>
    </row>
    <row r="30" spans="1:22" x14ac:dyDescent="0.4">
      <c r="F30" s="15"/>
    </row>
    <row r="31" spans="1:22" s="22" customFormat="1" x14ac:dyDescent="0.4">
      <c r="A31" s="21" t="s">
        <v>4</v>
      </c>
      <c r="B31" s="2">
        <f>SUM(B20:B29)</f>
        <v>9135756.4131228402</v>
      </c>
      <c r="C31" s="2">
        <f>SUM(C20:C29)</f>
        <v>10229948.47819888</v>
      </c>
      <c r="D31" s="2">
        <f>SUM(D20:D30)</f>
        <v>6294413.2995497119</v>
      </c>
      <c r="E31" s="2">
        <f>SUM(E20:E30)</f>
        <v>8704418.3748136479</v>
      </c>
      <c r="F31" s="2">
        <f>SUM(F20:F30)</f>
        <v>28940068.46990886</v>
      </c>
      <c r="G31" s="2">
        <f>SUM(G20,G22,G25,G27,G29)</f>
        <v>28269552</v>
      </c>
      <c r="H31" s="2">
        <f>SUM(H20,H22,H25,H27)</f>
        <v>37758013.153830305</v>
      </c>
      <c r="I31" s="2">
        <f>SUM(I20,I22,I25,I27)</f>
        <v>46126911.30767297</v>
      </c>
      <c r="J31" s="2">
        <f>SUM(J20,J22,J25,J27)</f>
        <v>56336967.05536101</v>
      </c>
      <c r="K31" s="2">
        <f>SUM(K20,K22,K25,K27)</f>
        <v>68793235.067540437</v>
      </c>
      <c r="L31" s="4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s="22" customFormat="1" x14ac:dyDescent="0.4">
      <c r="A32" s="21"/>
      <c r="B32" s="23">
        <f t="shared" ref="B32:K32" si="2">B31/B6</f>
        <v>0.40847773125002529</v>
      </c>
      <c r="C32" s="23">
        <f t="shared" si="2"/>
        <v>0.47927279840030212</v>
      </c>
      <c r="D32" s="23">
        <f t="shared" si="2"/>
        <v>0.31913039278851768</v>
      </c>
      <c r="E32" s="23">
        <f t="shared" si="2"/>
        <v>0.36432712319439459</v>
      </c>
      <c r="F32" s="23">
        <f t="shared" si="2"/>
        <v>0.61020965353834544</v>
      </c>
      <c r="G32" s="23">
        <f t="shared" si="2"/>
        <v>0.34887826394239968</v>
      </c>
      <c r="H32" s="23">
        <f t="shared" si="2"/>
        <v>0.3819480430667111</v>
      </c>
      <c r="I32" s="23">
        <f t="shared" si="2"/>
        <v>0.38246324020862016</v>
      </c>
      <c r="J32" s="23">
        <f t="shared" si="2"/>
        <v>0.3828855329478898</v>
      </c>
      <c r="K32" s="23">
        <f t="shared" si="2"/>
        <v>0.38323167453745516</v>
      </c>
      <c r="L32" s="4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x14ac:dyDescent="0.4">
      <c r="A33" s="6" t="s">
        <v>15</v>
      </c>
      <c r="B33" s="19">
        <v>-347214</v>
      </c>
      <c r="C33" s="19">
        <v>-2632070</v>
      </c>
      <c r="D33" s="13">
        <v>1832064</v>
      </c>
      <c r="E33" s="1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</row>
    <row r="34" spans="1:22" x14ac:dyDescent="0.4">
      <c r="A34" s="6" t="s">
        <v>9</v>
      </c>
      <c r="B34" s="19">
        <v>-973479</v>
      </c>
      <c r="C34" s="19">
        <v>-1276868</v>
      </c>
      <c r="D34" s="13">
        <v>-2133709</v>
      </c>
      <c r="E34" s="14">
        <v>-1918292</v>
      </c>
      <c r="F34" s="13">
        <v>-2579982</v>
      </c>
      <c r="G34" s="1">
        <f>-'DEBT SCHEDULE'!G22</f>
        <v>-8491775</v>
      </c>
      <c r="H34" s="1">
        <f ca="1">'DEBT SCHEDULE'!H22</f>
        <v>2711957.7044294197</v>
      </c>
      <c r="I34" s="1">
        <f ca="1">'DEBT SCHEDULE'!I22</f>
        <v>-140726.28942426457</v>
      </c>
      <c r="J34" s="1">
        <f ca="1">'DEBT SCHEDULE'!J22</f>
        <v>-2636615.9540332505</v>
      </c>
      <c r="K34" s="1">
        <f ca="1">'DEBT SCHEDULE'!K22</f>
        <v>-5403087.3280783724</v>
      </c>
    </row>
    <row r="35" spans="1:22" x14ac:dyDescent="0.4">
      <c r="A35" s="6"/>
      <c r="B35" s="19"/>
      <c r="C35" s="15"/>
      <c r="D35" s="15"/>
      <c r="E35" s="15"/>
      <c r="F35" s="15"/>
      <c r="G35" s="18"/>
      <c r="H35" s="18"/>
      <c r="I35" s="18"/>
      <c r="J35" s="18"/>
      <c r="K35" s="18"/>
    </row>
    <row r="36" spans="1:22" x14ac:dyDescent="0.4">
      <c r="A36" s="6" t="s">
        <v>10</v>
      </c>
      <c r="B36" s="19">
        <v>0</v>
      </c>
      <c r="C36" s="19">
        <v>0</v>
      </c>
      <c r="D36" s="13">
        <v>66915</v>
      </c>
      <c r="E36" s="14">
        <v>58858</v>
      </c>
      <c r="F36" s="13">
        <v>18184</v>
      </c>
      <c r="G36" s="13">
        <v>36864</v>
      </c>
      <c r="H36" s="13">
        <v>4425</v>
      </c>
      <c r="I36" s="13">
        <v>4425</v>
      </c>
      <c r="J36" s="13">
        <v>4425</v>
      </c>
      <c r="K36" s="13">
        <v>4425</v>
      </c>
    </row>
    <row r="37" spans="1:22" x14ac:dyDescent="0.4">
      <c r="A37" s="6"/>
      <c r="B37" s="19"/>
      <c r="C37" s="19"/>
      <c r="D37" s="13"/>
      <c r="E37" s="25"/>
      <c r="F37" s="25"/>
      <c r="G37" s="18"/>
      <c r="H37" s="18"/>
      <c r="I37" s="18"/>
      <c r="J37" s="18"/>
      <c r="K37" s="18"/>
    </row>
    <row r="38" spans="1:22" s="22" customFormat="1" x14ac:dyDescent="0.4">
      <c r="A38" s="21" t="s">
        <v>5</v>
      </c>
      <c r="B38" s="2">
        <f>SUM(B31:B37)</f>
        <v>7815063.8216005713</v>
      </c>
      <c r="C38" s="2">
        <f>SUM(C31:C37)</f>
        <v>6321010.957471678</v>
      </c>
      <c r="D38" s="2">
        <f>SUM(D31:D37)</f>
        <v>6059683.6186801046</v>
      </c>
      <c r="E38" s="2">
        <f>SUM(E31:E37)</f>
        <v>6844984.7391407713</v>
      </c>
      <c r="F38" s="2">
        <f>SUM(F31:F37)</f>
        <v>26378271.080118515</v>
      </c>
      <c r="G38" s="2">
        <f>SUM(G31,G34,G36)</f>
        <v>19814641</v>
      </c>
      <c r="H38" s="2">
        <f ca="1">SUM(H31,H34,H36)</f>
        <v>40474395.858259723</v>
      </c>
      <c r="I38" s="2">
        <f ca="1">SUM(I31,I34,I36)</f>
        <v>45990610.018248707</v>
      </c>
      <c r="J38" s="2">
        <f ca="1">SUM(J31,J34,J36)</f>
        <v>53704776.101327762</v>
      </c>
      <c r="K38" s="2">
        <f ca="1">SUM(K31,K34,K36)</f>
        <v>63394572.739462063</v>
      </c>
      <c r="L38" s="4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x14ac:dyDescent="0.4">
      <c r="A39" s="6" t="s">
        <v>11</v>
      </c>
      <c r="B39" s="19">
        <v>-2088858</v>
      </c>
      <c r="C39" s="19">
        <v>-2036822</v>
      </c>
      <c r="D39" s="13">
        <v>-2220937</v>
      </c>
      <c r="E39" s="14">
        <v>-3428422</v>
      </c>
      <c r="F39" s="13">
        <v>-7058317</v>
      </c>
      <c r="G39" s="1">
        <f>-6782417</f>
        <v>-6782417</v>
      </c>
      <c r="H39" s="1">
        <f ca="1">H38*H40</f>
        <v>-13959408.000364395</v>
      </c>
      <c r="I39" s="1">
        <f ca="1">I38*I40</f>
        <v>-15861921.48929543</v>
      </c>
      <c r="J39" s="1">
        <f ca="1">J38*J40</f>
        <v>-18522497.131076079</v>
      </c>
      <c r="K39" s="1">
        <f ca="1">K38*K40</f>
        <v>-21864457.445591122</v>
      </c>
    </row>
    <row r="40" spans="1:22" x14ac:dyDescent="0.4">
      <c r="B40" s="15">
        <f>B39/B38</f>
        <v>-0.2672861089408467</v>
      </c>
      <c r="C40" s="15">
        <f>C39/C38</f>
        <v>-0.32223041752401932</v>
      </c>
      <c r="D40" s="15">
        <f>D39/D38</f>
        <v>-0.36651038895059596</v>
      </c>
      <c r="E40" s="15">
        <f>E39/E38</f>
        <v>-0.50086627372530257</v>
      </c>
      <c r="F40" s="15">
        <f>F39/F38</f>
        <v>-0.26758072879613032</v>
      </c>
      <c r="G40" s="18">
        <f>AVERAGE($B$40:$F$40)</f>
        <v>-0.34489478358737896</v>
      </c>
      <c r="H40" s="18">
        <f>AVERAGE($B$40:$F$40)</f>
        <v>-0.34489478358737896</v>
      </c>
      <c r="I40" s="18">
        <f>AVERAGE($B$40:$F$40)</f>
        <v>-0.34489478358737896</v>
      </c>
      <c r="J40" s="18">
        <f>AVERAGE($B$40:$F$40)</f>
        <v>-0.34489478358737896</v>
      </c>
      <c r="K40" s="18">
        <f>AVERAGE($B$40:$F$40)</f>
        <v>-0.34489478358737896</v>
      </c>
    </row>
    <row r="41" spans="1:22" s="22" customFormat="1" x14ac:dyDescent="0.4">
      <c r="A41" s="21" t="s">
        <v>6</v>
      </c>
      <c r="B41" s="2">
        <v>5726205</v>
      </c>
      <c r="C41" s="2">
        <v>4284188</v>
      </c>
      <c r="D41" s="2">
        <v>3838746</v>
      </c>
      <c r="E41" s="2">
        <v>5261929</v>
      </c>
      <c r="F41" s="2">
        <f>F38+F39</f>
        <v>19319954.080118515</v>
      </c>
      <c r="G41" s="2">
        <f>SUM(G38:G39)</f>
        <v>13032224</v>
      </c>
      <c r="H41" s="2">
        <f ca="1">SUM(H38:H39)</f>
        <v>26514987.85789533</v>
      </c>
      <c r="I41" s="2">
        <f ca="1">SUM(I38:I39)</f>
        <v>30128688.528953277</v>
      </c>
      <c r="J41" s="2">
        <f ca="1">SUM(J38:J39)</f>
        <v>35182278.970251679</v>
      </c>
      <c r="K41" s="2">
        <f ca="1">SUM(K38:K39)</f>
        <v>41530115.293870941</v>
      </c>
      <c r="L41" s="4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x14ac:dyDescent="0.4">
      <c r="A42" s="6" t="s">
        <v>17</v>
      </c>
      <c r="B42" s="19">
        <v>-42445</v>
      </c>
      <c r="C42" s="19">
        <v>15618</v>
      </c>
      <c r="D42" s="13">
        <v>-102358</v>
      </c>
      <c r="E42" s="14">
        <v>-98351</v>
      </c>
      <c r="F42" s="3" t="s">
        <v>14</v>
      </c>
      <c r="G42" s="3" t="s">
        <v>14</v>
      </c>
      <c r="H42" s="3" t="s">
        <v>14</v>
      </c>
      <c r="I42" s="3" t="s">
        <v>14</v>
      </c>
      <c r="J42" s="3" t="s">
        <v>14</v>
      </c>
      <c r="K42" s="3" t="s">
        <v>14</v>
      </c>
    </row>
    <row r="43" spans="1:22" s="28" customFormat="1" x14ac:dyDescent="0.4">
      <c r="A43" s="26" t="s">
        <v>19</v>
      </c>
      <c r="B43" s="27">
        <f t="shared" ref="B43:K43" si="3">SUM(B41:B42)</f>
        <v>5683760</v>
      </c>
      <c r="C43" s="27">
        <f t="shared" si="3"/>
        <v>4299806</v>
      </c>
      <c r="D43" s="27">
        <f t="shared" si="3"/>
        <v>3736388</v>
      </c>
      <c r="E43" s="27">
        <f t="shared" si="3"/>
        <v>5163578</v>
      </c>
      <c r="F43" s="27">
        <f t="shared" si="3"/>
        <v>19319954.080118515</v>
      </c>
      <c r="G43" s="27">
        <f t="shared" si="3"/>
        <v>13032224</v>
      </c>
      <c r="H43" s="27">
        <f t="shared" ca="1" si="3"/>
        <v>26514987.85789533</v>
      </c>
      <c r="I43" s="27">
        <f t="shared" ca="1" si="3"/>
        <v>30128688.528953277</v>
      </c>
      <c r="J43" s="27">
        <f t="shared" ca="1" si="3"/>
        <v>35182278.970251679</v>
      </c>
      <c r="K43" s="27">
        <f t="shared" ca="1" si="3"/>
        <v>41530115.293870941</v>
      </c>
      <c r="L43" s="4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x14ac:dyDescent="0.4">
      <c r="A44" s="3" t="s">
        <v>133</v>
      </c>
      <c r="B44" s="29">
        <f>B31</f>
        <v>9135756.4131228402</v>
      </c>
      <c r="C44" s="29">
        <f t="shared" ref="C44:K44" si="4">C31</f>
        <v>10229948.47819888</v>
      </c>
      <c r="D44" s="29">
        <f t="shared" si="4"/>
        <v>6294413.2995497119</v>
      </c>
      <c r="E44" s="29">
        <f t="shared" si="4"/>
        <v>8704418.3748136479</v>
      </c>
      <c r="F44" s="29">
        <f t="shared" si="4"/>
        <v>28940068.46990886</v>
      </c>
      <c r="G44" s="29">
        <f t="shared" si="4"/>
        <v>28269552</v>
      </c>
      <c r="H44" s="29">
        <f t="shared" si="4"/>
        <v>37758013.153830305</v>
      </c>
      <c r="I44" s="29">
        <f t="shared" si="4"/>
        <v>46126911.30767297</v>
      </c>
      <c r="J44" s="29">
        <f t="shared" si="4"/>
        <v>56336967.05536101</v>
      </c>
      <c r="K44" s="29">
        <f t="shared" si="4"/>
        <v>68793235.067540437</v>
      </c>
    </row>
    <row r="45" spans="1:22" x14ac:dyDescent="0.4">
      <c r="A45" s="3" t="s">
        <v>140</v>
      </c>
      <c r="B45" s="29">
        <v>1096285</v>
      </c>
      <c r="C45" s="29">
        <v>1283270</v>
      </c>
      <c r="D45" s="1">
        <v>1431275</v>
      </c>
      <c r="E45" s="1">
        <v>1759029</v>
      </c>
      <c r="F45" s="1">
        <v>2457585</v>
      </c>
      <c r="G45" s="1">
        <f>'PPE SCHEDULE'!I13</f>
        <v>4412294.55</v>
      </c>
      <c r="H45" s="1">
        <f>'PPE SCHEDULE'!J13</f>
        <v>4645193.7</v>
      </c>
      <c r="I45" s="1">
        <f>'PPE SCHEDULE'!K13</f>
        <v>4940191.95</v>
      </c>
      <c r="J45" s="1">
        <f>'PPE SCHEDULE'!L13</f>
        <v>5313847.1500000004</v>
      </c>
      <c r="K45" s="1">
        <f>'PPE SCHEDULE'!M13</f>
        <v>5787131.9500000002</v>
      </c>
    </row>
    <row r="46" spans="1:22" x14ac:dyDescent="0.4">
      <c r="A46" s="3" t="s">
        <v>108</v>
      </c>
      <c r="B46" s="29">
        <v>0</v>
      </c>
      <c r="C46" s="29">
        <v>0</v>
      </c>
      <c r="D46" s="1">
        <v>23390</v>
      </c>
      <c r="E46" s="1">
        <v>23390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</row>
    <row r="47" spans="1:22" x14ac:dyDescent="0.4">
      <c r="A47" s="3" t="s">
        <v>141</v>
      </c>
      <c r="B47" s="29">
        <v>0</v>
      </c>
      <c r="C47" s="29">
        <v>0</v>
      </c>
      <c r="D47" s="1">
        <v>47</v>
      </c>
      <c r="E47" s="1">
        <v>47</v>
      </c>
      <c r="F47" s="1">
        <v>1050</v>
      </c>
      <c r="G47" s="1">
        <v>1050</v>
      </c>
      <c r="H47" s="1">
        <v>1050</v>
      </c>
      <c r="I47" s="1">
        <v>1050</v>
      </c>
      <c r="J47" s="1">
        <v>1050</v>
      </c>
      <c r="K47" s="1">
        <v>1050</v>
      </c>
    </row>
    <row r="48" spans="1:22" x14ac:dyDescent="0.4">
      <c r="A48" s="6" t="s">
        <v>134</v>
      </c>
      <c r="B48" s="29">
        <f>SUM(B44:B47)</f>
        <v>10232041.41312284</v>
      </c>
      <c r="C48" s="29">
        <f t="shared" ref="C48:K48" si="5">SUM(C44:C47)</f>
        <v>11513218.47819888</v>
      </c>
      <c r="D48" s="29">
        <f t="shared" si="5"/>
        <v>7749125.2995497119</v>
      </c>
      <c r="E48" s="29">
        <f>SUM(E44:E47)</f>
        <v>10486884.374813648</v>
      </c>
      <c r="F48" s="29">
        <f t="shared" si="5"/>
        <v>31398703.46990886</v>
      </c>
      <c r="G48" s="29">
        <f t="shared" si="5"/>
        <v>32682896.550000001</v>
      </c>
      <c r="H48" s="29">
        <f t="shared" si="5"/>
        <v>42404256.853830308</v>
      </c>
      <c r="I48" s="29">
        <f t="shared" si="5"/>
        <v>51068153.257672973</v>
      </c>
      <c r="J48" s="29">
        <f t="shared" si="5"/>
        <v>61651864.205361009</v>
      </c>
      <c r="K48" s="29">
        <f t="shared" si="5"/>
        <v>74581417.01754044</v>
      </c>
    </row>
    <row r="49" spans="1:15" x14ac:dyDescent="0.4">
      <c r="A49" s="30" t="s">
        <v>20</v>
      </c>
      <c r="B49" s="31" t="s">
        <v>53</v>
      </c>
      <c r="C49" s="31" t="s">
        <v>54</v>
      </c>
      <c r="D49" s="31" t="s">
        <v>0</v>
      </c>
      <c r="E49" s="31" t="s">
        <v>1</v>
      </c>
      <c r="F49" s="31" t="s">
        <v>55</v>
      </c>
      <c r="G49" s="31" t="s">
        <v>119</v>
      </c>
      <c r="H49" s="31" t="s">
        <v>120</v>
      </c>
      <c r="I49" s="31" t="s">
        <v>121</v>
      </c>
      <c r="J49" s="31" t="s">
        <v>122</v>
      </c>
      <c r="K49" s="31" t="s">
        <v>123</v>
      </c>
    </row>
    <row r="50" spans="1:15" x14ac:dyDescent="0.4">
      <c r="A50" s="30" t="s">
        <v>21</v>
      </c>
      <c r="B50" s="32"/>
      <c r="C50" s="32"/>
      <c r="D50" s="32"/>
      <c r="E50" s="32"/>
      <c r="F50" s="32"/>
      <c r="G50" s="30"/>
      <c r="H50" s="30"/>
      <c r="I50" s="30"/>
      <c r="J50" s="30"/>
      <c r="K50" s="30"/>
    </row>
    <row r="51" spans="1:15" x14ac:dyDescent="0.4">
      <c r="A51" s="33" t="s">
        <v>22</v>
      </c>
      <c r="B51" s="34"/>
      <c r="C51" s="34"/>
      <c r="D51" s="34"/>
      <c r="E51" s="34"/>
      <c r="F51" s="34"/>
      <c r="G51" s="33"/>
      <c r="H51" s="33"/>
      <c r="I51" s="33"/>
      <c r="J51" s="33"/>
      <c r="K51" s="33"/>
    </row>
    <row r="52" spans="1:15" x14ac:dyDescent="0.4">
      <c r="A52" s="3" t="s">
        <v>23</v>
      </c>
      <c r="B52" s="19">
        <v>4704706</v>
      </c>
      <c r="C52" s="19">
        <v>3489314</v>
      </c>
      <c r="D52" s="19">
        <v>3329438</v>
      </c>
      <c r="E52" s="19">
        <v>3549206</v>
      </c>
      <c r="F52" s="19">
        <v>4195922</v>
      </c>
      <c r="G52" s="1">
        <v>4127736</v>
      </c>
      <c r="H52" s="1">
        <f>H13/365*H94</f>
        <v>17363482.767285433</v>
      </c>
      <c r="I52" s="1">
        <f>I13/365*I94</f>
        <v>21183448.976088226</v>
      </c>
      <c r="J52" s="1">
        <f>J13/365*J94</f>
        <v>25843807.750827637</v>
      </c>
      <c r="K52" s="1">
        <f>K13/365*K94</f>
        <v>31529445.456009716</v>
      </c>
      <c r="L52" s="35">
        <f>G52-F52</f>
        <v>-68186</v>
      </c>
      <c r="M52" s="35"/>
      <c r="N52" s="35"/>
    </row>
    <row r="53" spans="1:15" x14ac:dyDescent="0.4">
      <c r="A53" s="3" t="s">
        <v>24</v>
      </c>
      <c r="B53" s="19">
        <v>5892483</v>
      </c>
      <c r="C53" s="19">
        <v>3260413</v>
      </c>
      <c r="D53" s="19">
        <v>5092477</v>
      </c>
      <c r="E53" s="19">
        <v>6937844</v>
      </c>
      <c r="F53" s="19">
        <v>15236322</v>
      </c>
      <c r="G53" s="19">
        <v>14341283</v>
      </c>
      <c r="H53" s="19">
        <v>9596001</v>
      </c>
      <c r="I53" s="19">
        <v>9596001</v>
      </c>
      <c r="J53" s="19">
        <v>9596001</v>
      </c>
      <c r="K53" s="19">
        <v>9596001</v>
      </c>
      <c r="L53" s="35">
        <f t="shared" ref="L53:L89" si="6">G53-F53</f>
        <v>-895039</v>
      </c>
      <c r="M53" s="35"/>
      <c r="N53" s="35"/>
    </row>
    <row r="54" spans="1:15" x14ac:dyDescent="0.4">
      <c r="A54" s="3" t="s">
        <v>25</v>
      </c>
      <c r="B54" s="19">
        <v>3607661</v>
      </c>
      <c r="C54" s="19">
        <v>4986614</v>
      </c>
      <c r="D54" s="19">
        <v>6793152</v>
      </c>
      <c r="E54" s="19">
        <v>6962759</v>
      </c>
      <c r="F54" s="19">
        <v>10081412</v>
      </c>
      <c r="G54" s="1">
        <v>7134163</v>
      </c>
      <c r="H54" s="1">
        <f>H6/365*H93</f>
        <v>24582501.673352383</v>
      </c>
      <c r="I54" s="1">
        <f>I6/365*I93</f>
        <v>29990652.04148991</v>
      </c>
      <c r="J54" s="1">
        <f>J6/365*J93</f>
        <v>36588595.490617685</v>
      </c>
      <c r="K54" s="1">
        <f>K6/365*K93</f>
        <v>44638086.498553574</v>
      </c>
      <c r="L54" s="35">
        <f t="shared" si="6"/>
        <v>-2947249</v>
      </c>
      <c r="M54" s="35"/>
      <c r="N54" s="35"/>
    </row>
    <row r="55" spans="1:15" x14ac:dyDescent="0.4">
      <c r="A55" s="3" t="s">
        <v>26</v>
      </c>
      <c r="B55" s="19">
        <v>3307211</v>
      </c>
      <c r="C55" s="19">
        <v>2812764</v>
      </c>
      <c r="D55" s="19">
        <v>5934937</v>
      </c>
      <c r="E55" s="19">
        <v>2585092</v>
      </c>
      <c r="F55" s="19">
        <v>22364597</v>
      </c>
      <c r="G55" s="1">
        <v>10104678</v>
      </c>
      <c r="H55" s="1">
        <f ca="1">H187</f>
        <v>-1987359.2499999944</v>
      </c>
      <c r="I55" s="1">
        <f ca="1">I187</f>
        <v>-496839.81250000186</v>
      </c>
      <c r="J55" s="1">
        <f ca="1">J187</f>
        <v>-124209.95312499441</v>
      </c>
      <c r="K55" s="1">
        <f ca="1">K187</f>
        <v>-31052.488283062354</v>
      </c>
      <c r="L55" s="35">
        <f>G55-F55</f>
        <v>-12259919</v>
      </c>
      <c r="M55" s="35"/>
      <c r="N55" s="35"/>
    </row>
    <row r="56" spans="1:15" x14ac:dyDescent="0.4">
      <c r="A56" s="3" t="s">
        <v>58</v>
      </c>
      <c r="B56" s="19">
        <v>0</v>
      </c>
      <c r="C56" s="19">
        <v>1321991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35">
        <f t="shared" si="6"/>
        <v>0</v>
      </c>
      <c r="M56" s="35"/>
      <c r="N56" s="35"/>
    </row>
    <row r="57" spans="1:15" x14ac:dyDescent="0.4">
      <c r="A57" s="3" t="s">
        <v>59</v>
      </c>
      <c r="B57" s="19">
        <v>0</v>
      </c>
      <c r="C57" s="19">
        <v>216988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35">
        <f t="shared" si="6"/>
        <v>0</v>
      </c>
      <c r="M57" s="35"/>
      <c r="N57" s="35"/>
    </row>
    <row r="58" spans="1:15" x14ac:dyDescent="0.4">
      <c r="A58" s="36" t="s">
        <v>27</v>
      </c>
      <c r="B58" s="37">
        <f>SUM(B52:B55)</f>
        <v>17512061</v>
      </c>
      <c r="C58" s="37">
        <f t="shared" ref="C58:K58" si="7">SUM(C52:C57)</f>
        <v>16088084</v>
      </c>
      <c r="D58" s="37">
        <f t="shared" si="7"/>
        <v>21150004</v>
      </c>
      <c r="E58" s="37">
        <f t="shared" si="7"/>
        <v>20034901</v>
      </c>
      <c r="F58" s="37">
        <f t="shared" si="7"/>
        <v>51878253</v>
      </c>
      <c r="G58" s="37">
        <f t="shared" si="7"/>
        <v>35707860</v>
      </c>
      <c r="H58" s="37">
        <f t="shared" ca="1" si="7"/>
        <v>49554626.190637819</v>
      </c>
      <c r="I58" s="37">
        <f t="shared" ca="1" si="7"/>
        <v>60273262.20507814</v>
      </c>
      <c r="J58" s="37">
        <f t="shared" ca="1" si="7"/>
        <v>71904194.288320333</v>
      </c>
      <c r="K58" s="37">
        <f t="shared" ca="1" si="7"/>
        <v>85732480.466280222</v>
      </c>
      <c r="L58" s="35"/>
      <c r="M58" s="35"/>
      <c r="N58" s="35"/>
    </row>
    <row r="59" spans="1:15" x14ac:dyDescent="0.4">
      <c r="A59" s="33" t="s">
        <v>28</v>
      </c>
      <c r="B59" s="34"/>
      <c r="C59" s="34"/>
      <c r="D59" s="34"/>
      <c r="E59" s="34"/>
      <c r="F59" s="34"/>
      <c r="G59" s="33"/>
      <c r="H59" s="33"/>
      <c r="I59" s="33"/>
      <c r="J59" s="33"/>
      <c r="K59" s="33"/>
      <c r="L59" s="35">
        <f t="shared" si="6"/>
        <v>0</v>
      </c>
      <c r="M59" s="35"/>
      <c r="N59" s="35"/>
    </row>
    <row r="60" spans="1:15" x14ac:dyDescent="0.4">
      <c r="A60" s="3" t="s">
        <v>29</v>
      </c>
      <c r="B60" s="19">
        <v>352043</v>
      </c>
      <c r="C60" s="19">
        <v>826845</v>
      </c>
      <c r="D60" s="19">
        <v>121</v>
      </c>
      <c r="E60" s="19">
        <v>74</v>
      </c>
      <c r="F60" s="19">
        <v>149755</v>
      </c>
      <c r="G60" s="19">
        <v>118907</v>
      </c>
      <c r="H60" s="19">
        <v>15826</v>
      </c>
      <c r="I60" s="19">
        <v>15826</v>
      </c>
      <c r="J60" s="19">
        <v>15826</v>
      </c>
      <c r="K60" s="19">
        <v>15826</v>
      </c>
      <c r="L60" s="35">
        <f t="shared" si="6"/>
        <v>-30848</v>
      </c>
      <c r="M60" s="35"/>
      <c r="N60" s="35"/>
    </row>
    <row r="61" spans="1:15" x14ac:dyDescent="0.4">
      <c r="A61" s="3" t="s">
        <v>30</v>
      </c>
      <c r="B61" s="19">
        <v>28122101</v>
      </c>
      <c r="C61" s="19">
        <v>41728907</v>
      </c>
      <c r="D61" s="19">
        <v>48211859</v>
      </c>
      <c r="E61" s="19">
        <v>52109564</v>
      </c>
      <c r="F61" s="19">
        <v>84568445</v>
      </c>
      <c r="G61" s="1">
        <v>92652564</v>
      </c>
      <c r="H61" s="1">
        <f>'PPE SCHEDULE'!J15</f>
        <v>83846385.75</v>
      </c>
      <c r="I61" s="1">
        <f>'PPE SCHEDULE'!K15</f>
        <v>84806158.799999997</v>
      </c>
      <c r="J61" s="1">
        <f>'PPE SCHEDULE'!L15</f>
        <v>86965415.649999991</v>
      </c>
      <c r="K61" s="1">
        <f>'PPE SCHEDULE'!M15</f>
        <v>90643979.699999988</v>
      </c>
      <c r="L61" s="35">
        <f t="shared" si="6"/>
        <v>8084119</v>
      </c>
      <c r="M61" s="35"/>
      <c r="N61" s="35"/>
      <c r="O61" s="35">
        <f>J61-I61</f>
        <v>2159256.849999994</v>
      </c>
    </row>
    <row r="62" spans="1:15" x14ac:dyDescent="0.4">
      <c r="A62" s="3" t="s">
        <v>60</v>
      </c>
      <c r="B62" s="19">
        <v>0</v>
      </c>
      <c r="C62" s="19">
        <v>616612</v>
      </c>
      <c r="D62" s="19">
        <v>1647846</v>
      </c>
      <c r="E62" s="19">
        <v>1624456</v>
      </c>
      <c r="F62" s="19">
        <v>4009859</v>
      </c>
      <c r="G62" s="19">
        <v>3890117</v>
      </c>
      <c r="H62" s="19">
        <v>1624456</v>
      </c>
      <c r="I62" s="19">
        <v>1624456</v>
      </c>
      <c r="J62" s="19">
        <v>1624456</v>
      </c>
      <c r="K62" s="19">
        <v>1624456</v>
      </c>
      <c r="L62" s="35">
        <f t="shared" si="6"/>
        <v>-119742</v>
      </c>
      <c r="M62" s="35"/>
      <c r="N62" s="35"/>
    </row>
    <row r="63" spans="1:15" x14ac:dyDescent="0.4">
      <c r="A63" s="3" t="s">
        <v>63</v>
      </c>
      <c r="B63" s="19">
        <v>0</v>
      </c>
      <c r="C63" s="19">
        <v>0</v>
      </c>
      <c r="D63" s="19">
        <v>0</v>
      </c>
      <c r="E63" s="19">
        <v>0</v>
      </c>
      <c r="F63" s="19"/>
      <c r="G63" s="19">
        <v>0</v>
      </c>
      <c r="H63" s="19">
        <v>23000000</v>
      </c>
      <c r="I63" s="19">
        <v>23000000</v>
      </c>
      <c r="J63" s="19">
        <v>23000000</v>
      </c>
      <c r="K63" s="19">
        <v>23000000</v>
      </c>
      <c r="L63" s="35">
        <f t="shared" si="6"/>
        <v>0</v>
      </c>
      <c r="M63" s="35"/>
      <c r="N63" s="35"/>
    </row>
    <row r="64" spans="1:15" x14ac:dyDescent="0.4">
      <c r="A64" s="36" t="s">
        <v>31</v>
      </c>
      <c r="B64" s="37">
        <f>SUM(B60:B62)</f>
        <v>28474144</v>
      </c>
      <c r="C64" s="37">
        <f>SUM(C60:C62)</f>
        <v>43172364</v>
      </c>
      <c r="D64" s="37">
        <f>SUM(D60:D62)</f>
        <v>49859826</v>
      </c>
      <c r="E64" s="37">
        <f>SUM(E60:E62)</f>
        <v>53734094</v>
      </c>
      <c r="F64" s="37">
        <f t="shared" ref="F64:K64" si="8">SUM(F60:F63)</f>
        <v>88728059</v>
      </c>
      <c r="G64" s="37">
        <f t="shared" si="8"/>
        <v>96661588</v>
      </c>
      <c r="H64" s="37">
        <f t="shared" si="8"/>
        <v>108486667.75</v>
      </c>
      <c r="I64" s="37">
        <f t="shared" si="8"/>
        <v>109446440.8</v>
      </c>
      <c r="J64" s="37">
        <f t="shared" si="8"/>
        <v>111605697.64999999</v>
      </c>
      <c r="K64" s="37">
        <f t="shared" si="8"/>
        <v>115284261.69999999</v>
      </c>
      <c r="L64" s="35"/>
      <c r="M64" s="35"/>
      <c r="N64" s="35"/>
    </row>
    <row r="65" spans="1:14" x14ac:dyDescent="0.4">
      <c r="A65" s="26" t="s">
        <v>32</v>
      </c>
      <c r="B65" s="27">
        <f t="shared" ref="B65:K65" si="9">SUM(B58,B64)</f>
        <v>45986205</v>
      </c>
      <c r="C65" s="27">
        <f t="shared" si="9"/>
        <v>59260448</v>
      </c>
      <c r="D65" s="27">
        <f t="shared" si="9"/>
        <v>71009830</v>
      </c>
      <c r="E65" s="27">
        <f t="shared" si="9"/>
        <v>73768995</v>
      </c>
      <c r="F65" s="27">
        <f t="shared" si="9"/>
        <v>140606312</v>
      </c>
      <c r="G65" s="27">
        <f t="shared" si="9"/>
        <v>132369448</v>
      </c>
      <c r="H65" s="27">
        <f t="shared" ca="1" si="9"/>
        <v>158041293.94063783</v>
      </c>
      <c r="I65" s="27">
        <f t="shared" ca="1" si="9"/>
        <v>169719703.00507814</v>
      </c>
      <c r="J65" s="27">
        <f t="shared" ca="1" si="9"/>
        <v>183509891.93832034</v>
      </c>
      <c r="K65" s="27">
        <f t="shared" ca="1" si="9"/>
        <v>201016742.16628021</v>
      </c>
      <c r="L65" s="35"/>
      <c r="M65" s="35"/>
      <c r="N65" s="35"/>
    </row>
    <row r="66" spans="1:14" x14ac:dyDescent="0.4">
      <c r="A66" s="30" t="s">
        <v>33</v>
      </c>
      <c r="B66" s="32"/>
      <c r="C66" s="32"/>
      <c r="D66" s="32"/>
      <c r="E66" s="32"/>
      <c r="F66" s="32"/>
      <c r="G66" s="30"/>
      <c r="H66" s="30"/>
      <c r="I66" s="30"/>
      <c r="J66" s="30"/>
      <c r="K66" s="30"/>
      <c r="L66" s="35">
        <f t="shared" si="6"/>
        <v>0</v>
      </c>
      <c r="M66" s="35"/>
      <c r="N66" s="35"/>
    </row>
    <row r="67" spans="1:14" x14ac:dyDescent="0.4">
      <c r="A67" s="33" t="s">
        <v>34</v>
      </c>
      <c r="B67" s="34"/>
      <c r="C67" s="34"/>
      <c r="D67" s="34"/>
      <c r="E67" s="34"/>
      <c r="F67" s="34"/>
      <c r="G67" s="33"/>
      <c r="H67" s="33"/>
      <c r="I67" s="33"/>
      <c r="J67" s="33"/>
      <c r="K67" s="33"/>
      <c r="L67" s="35">
        <f t="shared" si="6"/>
        <v>0</v>
      </c>
      <c r="M67" s="35"/>
      <c r="N67" s="35"/>
    </row>
    <row r="68" spans="1:14" x14ac:dyDescent="0.4">
      <c r="A68" s="3" t="s">
        <v>35</v>
      </c>
      <c r="B68" s="19">
        <v>3174048</v>
      </c>
      <c r="C68" s="19">
        <v>6867291</v>
      </c>
      <c r="D68" s="19">
        <v>7093237</v>
      </c>
      <c r="E68" s="19">
        <v>6364154</v>
      </c>
      <c r="F68" s="19">
        <v>5655259</v>
      </c>
      <c r="G68" s="1">
        <v>2235756</v>
      </c>
      <c r="H68" s="1">
        <f ca="1">'DEBT SCHEDULE'!H8</f>
        <v>16868519.467860322</v>
      </c>
      <c r="I68" s="1">
        <f ca="1">'DEBT SCHEDULE'!I8</f>
        <v>23490703.609033063</v>
      </c>
      <c r="J68" s="1">
        <f ca="1">'DEBT SCHEDULE'!J8</f>
        <v>26604996.227635667</v>
      </c>
      <c r="K68" s="1">
        <f ca="1">'DEBT SCHEDULE'!K8</f>
        <v>26462637.632905025</v>
      </c>
      <c r="L68" s="35">
        <f>G68-F68</f>
        <v>-3419503</v>
      </c>
      <c r="M68" s="35"/>
      <c r="N68" s="35"/>
    </row>
    <row r="69" spans="1:14" x14ac:dyDescent="0.4">
      <c r="A69" s="3" t="s">
        <v>36</v>
      </c>
      <c r="B69" s="19">
        <v>1371973</v>
      </c>
      <c r="C69" s="19">
        <v>5179745</v>
      </c>
      <c r="D69" s="19">
        <v>9155154</v>
      </c>
      <c r="E69" s="19">
        <v>6425272</v>
      </c>
      <c r="F69" s="19">
        <v>28685891</v>
      </c>
      <c r="G69" s="1">
        <v>3589924</v>
      </c>
      <c r="H69" s="1">
        <f>'DEBT SCHEDULE'!H12</f>
        <v>25089989</v>
      </c>
      <c r="I69" s="1">
        <f>'DEBT SCHEDULE'!I12</f>
        <v>25089989</v>
      </c>
      <c r="J69" s="1">
        <f>'DEBT SCHEDULE'!J12</f>
        <v>25089989</v>
      </c>
      <c r="K69" s="1">
        <f>'DEBT SCHEDULE'!K12</f>
        <v>25089989</v>
      </c>
      <c r="L69" s="35">
        <f t="shared" si="6"/>
        <v>-25095967</v>
      </c>
      <c r="M69" s="35"/>
      <c r="N69" s="35"/>
    </row>
    <row r="70" spans="1:14" x14ac:dyDescent="0.4">
      <c r="A70" s="3" t="s">
        <v>37</v>
      </c>
      <c r="B70" s="19">
        <v>7428138</v>
      </c>
      <c r="C70" s="19">
        <v>8034114</v>
      </c>
      <c r="D70" s="19">
        <v>8180957</v>
      </c>
      <c r="E70" s="19">
        <v>11541335</v>
      </c>
      <c r="F70" s="19">
        <v>32840900</v>
      </c>
      <c r="G70" s="1">
        <v>12009025</v>
      </c>
      <c r="H70" s="1">
        <f>H13/365*H95</f>
        <v>48974649.777445689</v>
      </c>
      <c r="I70" s="1">
        <f>I13/365*I95</f>
        <v>59749072.728483744</v>
      </c>
      <c r="J70" s="1">
        <f>J13/365*J95</f>
        <v>72893868.728750169</v>
      </c>
      <c r="K70" s="1">
        <f>K13/365*K95</f>
        <v>88930519.849075198</v>
      </c>
      <c r="L70" s="35">
        <f t="shared" si="6"/>
        <v>-20831875</v>
      </c>
      <c r="M70" s="35"/>
      <c r="N70" s="35"/>
    </row>
    <row r="71" spans="1:14" x14ac:dyDescent="0.4">
      <c r="A71" s="3" t="s">
        <v>61</v>
      </c>
      <c r="B71" s="19">
        <v>0</v>
      </c>
      <c r="C71" s="19">
        <v>21378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35">
        <f t="shared" si="6"/>
        <v>0</v>
      </c>
      <c r="M71" s="35"/>
      <c r="N71" s="35"/>
    </row>
    <row r="72" spans="1:14" x14ac:dyDescent="0.4">
      <c r="A72" s="3" t="s">
        <v>38</v>
      </c>
      <c r="B72" s="19">
        <v>860163</v>
      </c>
      <c r="C72" s="19">
        <v>1850812</v>
      </c>
      <c r="D72" s="19">
        <v>1562333</v>
      </c>
      <c r="E72" s="19">
        <v>628181</v>
      </c>
      <c r="F72" s="19">
        <v>5397904</v>
      </c>
      <c r="G72" s="19">
        <v>10525095</v>
      </c>
      <c r="H72" s="19">
        <v>4524498</v>
      </c>
      <c r="I72" s="19">
        <v>4524498</v>
      </c>
      <c r="J72" s="19">
        <v>4524498</v>
      </c>
      <c r="K72" s="19">
        <v>4524498</v>
      </c>
      <c r="L72" s="35">
        <f t="shared" si="6"/>
        <v>5127191</v>
      </c>
      <c r="M72" s="35"/>
      <c r="N72" s="35"/>
    </row>
    <row r="73" spans="1:14" x14ac:dyDescent="0.4">
      <c r="A73" s="3" t="s">
        <v>62</v>
      </c>
      <c r="B73" s="19">
        <v>29614</v>
      </c>
      <c r="C73" s="19">
        <v>29614</v>
      </c>
      <c r="D73" s="19">
        <v>33506</v>
      </c>
      <c r="E73" s="19">
        <v>33506</v>
      </c>
      <c r="F73" s="19">
        <v>53461</v>
      </c>
      <c r="G73" s="19">
        <v>61206</v>
      </c>
      <c r="H73" s="19">
        <v>33506</v>
      </c>
      <c r="I73" s="19">
        <v>33506</v>
      </c>
      <c r="J73" s="19">
        <v>33506</v>
      </c>
      <c r="K73" s="19">
        <v>33506</v>
      </c>
      <c r="L73" s="35">
        <f t="shared" si="6"/>
        <v>7745</v>
      </c>
      <c r="M73" s="35"/>
      <c r="N73" s="35"/>
    </row>
    <row r="74" spans="1:14" x14ac:dyDescent="0.4">
      <c r="A74" s="3" t="s">
        <v>40</v>
      </c>
      <c r="B74" s="19">
        <v>110565</v>
      </c>
      <c r="C74" s="19">
        <v>67127</v>
      </c>
      <c r="D74" s="19">
        <v>261097</v>
      </c>
      <c r="E74" s="19">
        <v>267489</v>
      </c>
      <c r="F74" s="19">
        <v>826675</v>
      </c>
      <c r="G74" s="19">
        <v>369936</v>
      </c>
      <c r="H74" s="19">
        <v>267489</v>
      </c>
      <c r="I74" s="19">
        <v>267489</v>
      </c>
      <c r="J74" s="19">
        <v>267489</v>
      </c>
      <c r="K74" s="19">
        <v>267489</v>
      </c>
      <c r="L74" s="35">
        <f t="shared" si="6"/>
        <v>-456739</v>
      </c>
      <c r="M74" s="35"/>
      <c r="N74" s="35"/>
    </row>
    <row r="75" spans="1:14" x14ac:dyDescent="0.4">
      <c r="A75" s="36" t="s">
        <v>41</v>
      </c>
      <c r="B75" s="37">
        <f t="shared" ref="B75:K75" si="10">SUM(B68:B74)</f>
        <v>12974501</v>
      </c>
      <c r="C75" s="37">
        <f t="shared" si="10"/>
        <v>22050081</v>
      </c>
      <c r="D75" s="37">
        <f t="shared" si="10"/>
        <v>26286284</v>
      </c>
      <c r="E75" s="37">
        <f t="shared" si="10"/>
        <v>25259937</v>
      </c>
      <c r="F75" s="37">
        <f t="shared" si="10"/>
        <v>73460090</v>
      </c>
      <c r="G75" s="37">
        <f t="shared" si="10"/>
        <v>28790942</v>
      </c>
      <c r="H75" s="37">
        <f t="shared" ca="1" si="10"/>
        <v>95758651.245306015</v>
      </c>
      <c r="I75" s="37">
        <f t="shared" ca="1" si="10"/>
        <v>113155258.33751681</v>
      </c>
      <c r="J75" s="37">
        <f t="shared" ca="1" si="10"/>
        <v>129414346.95638584</v>
      </c>
      <c r="K75" s="37">
        <f t="shared" ca="1" si="10"/>
        <v>145308639.4819802</v>
      </c>
      <c r="L75" s="35"/>
      <c r="M75" s="35"/>
      <c r="N75" s="35"/>
    </row>
    <row r="76" spans="1:14" x14ac:dyDescent="0.4">
      <c r="A76" s="33" t="s">
        <v>42</v>
      </c>
      <c r="B76" s="34"/>
      <c r="C76" s="34"/>
      <c r="D76" s="34"/>
      <c r="E76" s="34"/>
      <c r="F76" s="34"/>
      <c r="G76" s="33"/>
      <c r="H76" s="33"/>
      <c r="I76" s="33"/>
      <c r="J76" s="33"/>
      <c r="K76" s="33"/>
      <c r="L76" s="35">
        <f t="shared" si="6"/>
        <v>0</v>
      </c>
      <c r="M76" s="35"/>
      <c r="N76" s="35"/>
    </row>
    <row r="77" spans="1:14" x14ac:dyDescent="0.4">
      <c r="A77" s="3" t="s">
        <v>43</v>
      </c>
      <c r="B77" s="19">
        <v>409751</v>
      </c>
      <c r="C77" s="19">
        <v>189861</v>
      </c>
      <c r="D77" s="19">
        <v>694053</v>
      </c>
      <c r="E77" s="19">
        <v>938705</v>
      </c>
      <c r="F77" s="19">
        <v>1077797</v>
      </c>
      <c r="G77" s="19">
        <v>1351271</v>
      </c>
      <c r="H77" s="19">
        <v>1097695</v>
      </c>
      <c r="I77" s="19">
        <v>1097695</v>
      </c>
      <c r="J77" s="19">
        <v>1097695</v>
      </c>
      <c r="K77" s="19">
        <v>1097695</v>
      </c>
      <c r="L77" s="35">
        <f t="shared" si="6"/>
        <v>273474</v>
      </c>
      <c r="M77" s="35"/>
      <c r="N77" s="35"/>
    </row>
    <row r="78" spans="1:14" x14ac:dyDescent="0.4">
      <c r="A78" s="3" t="s">
        <v>132</v>
      </c>
      <c r="B78" s="19">
        <v>3969140</v>
      </c>
      <c r="C78" s="19">
        <v>6619142</v>
      </c>
      <c r="D78" s="19">
        <v>8487757</v>
      </c>
      <c r="E78" s="19">
        <v>6810189</v>
      </c>
      <c r="F78" s="19">
        <v>22373286</v>
      </c>
      <c r="G78" s="1">
        <v>57853315</v>
      </c>
      <c r="H78" s="1">
        <f>'DEBT SCHEDULE'!H13</f>
        <v>-27806692</v>
      </c>
      <c r="I78" s="1">
        <f>'DEBT SCHEDULE'!I13</f>
        <v>-52896681</v>
      </c>
      <c r="J78" s="1">
        <f>'DEBT SCHEDULE'!J13</f>
        <v>-77986670</v>
      </c>
      <c r="K78" s="1">
        <f>'DEBT SCHEDULE'!K13</f>
        <v>-103076659</v>
      </c>
      <c r="L78" s="35">
        <f t="shared" si="6"/>
        <v>35480029</v>
      </c>
      <c r="M78" s="35"/>
      <c r="N78" s="35"/>
    </row>
    <row r="79" spans="1:14" x14ac:dyDescent="0.4">
      <c r="A79" s="3" t="s">
        <v>44</v>
      </c>
      <c r="B79" s="19">
        <v>126608</v>
      </c>
      <c r="C79" s="19">
        <v>59481</v>
      </c>
      <c r="D79" s="19">
        <v>682697</v>
      </c>
      <c r="E79" s="19">
        <v>466365</v>
      </c>
      <c r="F79" s="19">
        <v>455916</v>
      </c>
      <c r="G79" s="19">
        <v>412254</v>
      </c>
      <c r="H79" s="19">
        <v>466365</v>
      </c>
      <c r="I79" s="19">
        <v>466365</v>
      </c>
      <c r="J79" s="19">
        <v>466365</v>
      </c>
      <c r="K79" s="19">
        <v>466365</v>
      </c>
      <c r="L79" s="35">
        <f t="shared" si="6"/>
        <v>-43662</v>
      </c>
      <c r="M79" s="35"/>
      <c r="N79" s="35"/>
    </row>
    <row r="80" spans="1:14" x14ac:dyDescent="0.4">
      <c r="A80" s="3" t="s">
        <v>39</v>
      </c>
      <c r="B80" s="19">
        <v>462074</v>
      </c>
      <c r="C80" s="19">
        <v>432440</v>
      </c>
      <c r="D80" s="19">
        <v>186531</v>
      </c>
      <c r="E80" s="19">
        <v>186529</v>
      </c>
      <c r="F80" s="19">
        <v>2511775</v>
      </c>
      <c r="G80" s="19">
        <v>2488220</v>
      </c>
      <c r="H80" s="19">
        <v>186529</v>
      </c>
      <c r="I80" s="19">
        <v>186529</v>
      </c>
      <c r="J80" s="19">
        <v>186529</v>
      </c>
      <c r="K80" s="19">
        <v>186529</v>
      </c>
      <c r="L80" s="35">
        <f t="shared" si="6"/>
        <v>-23555</v>
      </c>
      <c r="M80" s="35"/>
      <c r="N80" s="35"/>
    </row>
    <row r="81" spans="1:14" x14ac:dyDescent="0.4">
      <c r="A81" s="3" t="s">
        <v>45</v>
      </c>
      <c r="B81" s="19">
        <v>6169596</v>
      </c>
      <c r="C81" s="19">
        <v>5735101</v>
      </c>
      <c r="D81" s="19">
        <v>6784632</v>
      </c>
      <c r="E81" s="19">
        <v>9055816</v>
      </c>
      <c r="F81" s="19">
        <v>10946165</v>
      </c>
      <c r="G81" s="19">
        <v>7312881</v>
      </c>
      <c r="H81" s="19">
        <v>9295816</v>
      </c>
      <c r="I81" s="19">
        <v>9295816</v>
      </c>
      <c r="J81" s="19">
        <v>9295816</v>
      </c>
      <c r="K81" s="19">
        <v>9295816</v>
      </c>
      <c r="L81" s="35">
        <f t="shared" si="6"/>
        <v>-3633284</v>
      </c>
      <c r="M81" s="35"/>
      <c r="N81" s="35"/>
    </row>
    <row r="82" spans="1:14" x14ac:dyDescent="0.4">
      <c r="A82" s="36" t="s">
        <v>46</v>
      </c>
      <c r="B82" s="37">
        <f>SUM(B77:B81)</f>
        <v>11137169</v>
      </c>
      <c r="C82" s="37">
        <f>SUM(C77:C81)</f>
        <v>13036025</v>
      </c>
      <c r="D82" s="37">
        <f t="shared" ref="D82:K82" si="11">SUM(D77:D81)</f>
        <v>16835670</v>
      </c>
      <c r="E82" s="37">
        <f t="shared" si="11"/>
        <v>17457604</v>
      </c>
      <c r="F82" s="37">
        <f t="shared" si="11"/>
        <v>37364939</v>
      </c>
      <c r="G82" s="37">
        <f t="shared" si="11"/>
        <v>69417941</v>
      </c>
      <c r="H82" s="37">
        <f t="shared" si="11"/>
        <v>-16760287</v>
      </c>
      <c r="I82" s="37">
        <f t="shared" si="11"/>
        <v>-41850276</v>
      </c>
      <c r="J82" s="37">
        <f t="shared" si="11"/>
        <v>-66940265</v>
      </c>
      <c r="K82" s="37">
        <f t="shared" si="11"/>
        <v>-92030254</v>
      </c>
      <c r="L82" s="35"/>
      <c r="M82" s="35"/>
      <c r="N82" s="35"/>
    </row>
    <row r="83" spans="1:14" x14ac:dyDescent="0.4">
      <c r="A83" s="26" t="s">
        <v>56</v>
      </c>
      <c r="B83" s="27">
        <f>SUM(B75,B82)</f>
        <v>24111670</v>
      </c>
      <c r="C83" s="27">
        <f t="shared" ref="C83:K83" si="12">SUM(C82,C75)</f>
        <v>35086106</v>
      </c>
      <c r="D83" s="27">
        <f t="shared" si="12"/>
        <v>43121954</v>
      </c>
      <c r="E83" s="27">
        <f t="shared" si="12"/>
        <v>42717541</v>
      </c>
      <c r="F83" s="27">
        <f t="shared" si="12"/>
        <v>110825029</v>
      </c>
      <c r="G83" s="27">
        <f t="shared" si="12"/>
        <v>98208883</v>
      </c>
      <c r="H83" s="27">
        <f t="shared" ca="1" si="12"/>
        <v>78998364.245306015</v>
      </c>
      <c r="I83" s="27">
        <f t="shared" ca="1" si="12"/>
        <v>71304982.337516814</v>
      </c>
      <c r="J83" s="27">
        <f t="shared" ca="1" si="12"/>
        <v>62474081.956385836</v>
      </c>
      <c r="K83" s="27">
        <f t="shared" ca="1" si="12"/>
        <v>53278385.481980205</v>
      </c>
      <c r="L83" s="35"/>
      <c r="M83" s="35"/>
      <c r="N83" s="35"/>
    </row>
    <row r="84" spans="1:14" x14ac:dyDescent="0.4">
      <c r="A84" s="33" t="s">
        <v>47</v>
      </c>
      <c r="B84" s="34"/>
      <c r="C84" s="34"/>
      <c r="D84" s="34"/>
      <c r="E84" s="34"/>
      <c r="F84" s="34"/>
      <c r="G84" s="33"/>
      <c r="H84" s="33"/>
      <c r="I84" s="33"/>
      <c r="J84" s="33"/>
      <c r="K84" s="33"/>
      <c r="L84" s="35">
        <f t="shared" si="6"/>
        <v>0</v>
      </c>
      <c r="M84" s="35"/>
      <c r="N84" s="35"/>
    </row>
    <row r="85" spans="1:14" x14ac:dyDescent="0.4">
      <c r="A85" s="3" t="s">
        <v>48</v>
      </c>
      <c r="B85" s="19">
        <v>500000</v>
      </c>
      <c r="C85" s="19">
        <v>500000</v>
      </c>
      <c r="D85" s="19">
        <v>500000</v>
      </c>
      <c r="E85" s="19">
        <v>500000</v>
      </c>
      <c r="F85" s="19">
        <v>500000</v>
      </c>
      <c r="G85" s="19">
        <v>500000</v>
      </c>
      <c r="H85" s="19">
        <v>500000</v>
      </c>
      <c r="I85" s="19">
        <v>500000</v>
      </c>
      <c r="J85" s="19">
        <v>500000</v>
      </c>
      <c r="K85" s="19">
        <v>500000</v>
      </c>
      <c r="L85" s="35">
        <f t="shared" si="6"/>
        <v>0</v>
      </c>
      <c r="M85" s="35"/>
      <c r="N85" s="35"/>
    </row>
    <row r="86" spans="1:14" x14ac:dyDescent="0.4">
      <c r="A86" s="3" t="s">
        <v>49</v>
      </c>
      <c r="B86" s="19">
        <v>1173528</v>
      </c>
      <c r="C86" s="19">
        <v>1173528</v>
      </c>
      <c r="D86" s="19">
        <v>1173528</v>
      </c>
      <c r="E86" s="19">
        <v>1173528</v>
      </c>
      <c r="F86" s="19">
        <v>1173528</v>
      </c>
      <c r="G86" s="19">
        <v>1173528</v>
      </c>
      <c r="H86" s="19">
        <v>1173528</v>
      </c>
      <c r="I86" s="19">
        <v>1173528</v>
      </c>
      <c r="J86" s="19">
        <v>1173528</v>
      </c>
      <c r="K86" s="19">
        <v>1173528</v>
      </c>
      <c r="L86" s="35">
        <f t="shared" si="6"/>
        <v>0</v>
      </c>
      <c r="M86" s="35"/>
      <c r="N86" s="35"/>
    </row>
    <row r="87" spans="1:14" x14ac:dyDescent="0.4">
      <c r="A87" s="3" t="s">
        <v>50</v>
      </c>
      <c r="B87" s="19">
        <v>20156005</v>
      </c>
      <c r="C87" s="19">
        <v>22440193</v>
      </c>
      <c r="D87" s="19">
        <v>26256085</v>
      </c>
      <c r="E87" s="19">
        <v>29518014</v>
      </c>
      <c r="F87" s="19">
        <v>45843042</v>
      </c>
      <c r="G87" s="1">
        <v>50279557</v>
      </c>
      <c r="H87" s="1">
        <f t="shared" ref="H87:K87" ca="1" si="13">G87+H41+H183</f>
        <v>67327853.075706974</v>
      </c>
      <c r="I87" s="1">
        <f t="shared" ca="1" si="13"/>
        <v>86699644.047936484</v>
      </c>
      <c r="J87" s="1">
        <f t="shared" ca="1" si="13"/>
        <v>109320733.36230963</v>
      </c>
      <c r="K87" s="1">
        <f t="shared" ca="1" si="13"/>
        <v>136023280.06467706</v>
      </c>
      <c r="L87" s="35">
        <f>G87-F87</f>
        <v>4436515</v>
      </c>
      <c r="M87" s="35"/>
      <c r="N87" s="35"/>
    </row>
    <row r="88" spans="1:14" x14ac:dyDescent="0.4">
      <c r="A88" s="3" t="s">
        <v>233</v>
      </c>
      <c r="B88" s="19">
        <v>0</v>
      </c>
      <c r="C88" s="19">
        <v>0</v>
      </c>
      <c r="D88" s="19">
        <v>0</v>
      </c>
      <c r="E88" s="19">
        <v>0</v>
      </c>
      <c r="F88" s="19">
        <f>-17848831</f>
        <v>-17848831</v>
      </c>
      <c r="G88" s="1">
        <f>-17848831</f>
        <v>-17848831</v>
      </c>
      <c r="H88" s="1"/>
      <c r="I88" s="1"/>
      <c r="J88" s="1"/>
      <c r="K88" s="1"/>
      <c r="L88" s="35"/>
      <c r="M88" s="35"/>
      <c r="N88" s="35"/>
    </row>
    <row r="89" spans="1:14" x14ac:dyDescent="0.4">
      <c r="A89" s="3" t="s">
        <v>51</v>
      </c>
      <c r="B89" s="19">
        <v>45003</v>
      </c>
      <c r="C89" s="19">
        <v>60621</v>
      </c>
      <c r="D89" s="19">
        <v>-41737</v>
      </c>
      <c r="E89" s="19">
        <v>-140088</v>
      </c>
      <c r="F89" s="19">
        <v>113544</v>
      </c>
      <c r="G89" s="19">
        <v>56311</v>
      </c>
      <c r="H89" s="19">
        <v>-140088</v>
      </c>
      <c r="I89" s="19">
        <v>-140088</v>
      </c>
      <c r="J89" s="19">
        <v>-140088</v>
      </c>
      <c r="K89" s="19">
        <v>-140088</v>
      </c>
      <c r="L89" s="35">
        <f t="shared" si="6"/>
        <v>-57233</v>
      </c>
      <c r="M89" s="35">
        <f>H89-G89</f>
        <v>-196399</v>
      </c>
      <c r="N89" s="35"/>
    </row>
    <row r="90" spans="1:14" x14ac:dyDescent="0.4">
      <c r="A90" s="26" t="s">
        <v>52</v>
      </c>
      <c r="B90" s="27">
        <f t="shared" ref="B90:K90" si="14">SUM(B85:B89)</f>
        <v>21874536</v>
      </c>
      <c r="C90" s="27">
        <f t="shared" si="14"/>
        <v>24174342</v>
      </c>
      <c r="D90" s="27">
        <f t="shared" si="14"/>
        <v>27887876</v>
      </c>
      <c r="E90" s="27">
        <f t="shared" si="14"/>
        <v>31051454</v>
      </c>
      <c r="F90" s="27">
        <f t="shared" si="14"/>
        <v>29781283</v>
      </c>
      <c r="G90" s="27">
        <f t="shared" si="14"/>
        <v>34160565</v>
      </c>
      <c r="H90" s="27">
        <f t="shared" ca="1" si="14"/>
        <v>68861293.075706974</v>
      </c>
      <c r="I90" s="27">
        <f t="shared" ca="1" si="14"/>
        <v>88233084.047936484</v>
      </c>
      <c r="J90" s="27">
        <f t="shared" ca="1" si="14"/>
        <v>110854173.36230963</v>
      </c>
      <c r="K90" s="27">
        <f t="shared" ca="1" si="14"/>
        <v>137556720.06467706</v>
      </c>
      <c r="L90" s="35"/>
    </row>
    <row r="91" spans="1:14" x14ac:dyDescent="0.4">
      <c r="A91" s="26" t="s">
        <v>57</v>
      </c>
      <c r="B91" s="27">
        <f t="shared" ref="B91:K91" si="15">SUM(B90,B83)</f>
        <v>45986206</v>
      </c>
      <c r="C91" s="27">
        <f t="shared" si="15"/>
        <v>59260448</v>
      </c>
      <c r="D91" s="27">
        <f t="shared" si="15"/>
        <v>71009830</v>
      </c>
      <c r="E91" s="27">
        <f t="shared" si="15"/>
        <v>73768995</v>
      </c>
      <c r="F91" s="27">
        <f t="shared" si="15"/>
        <v>140606312</v>
      </c>
      <c r="G91" s="27">
        <f t="shared" si="15"/>
        <v>132369448</v>
      </c>
      <c r="H91" s="27">
        <f t="shared" ca="1" si="15"/>
        <v>147859657.32101297</v>
      </c>
      <c r="I91" s="27">
        <f t="shared" ca="1" si="15"/>
        <v>159538066.38545328</v>
      </c>
      <c r="J91" s="27">
        <f t="shared" ca="1" si="15"/>
        <v>173328255.31869549</v>
      </c>
      <c r="K91" s="27">
        <f t="shared" ca="1" si="15"/>
        <v>190835105.54665726</v>
      </c>
      <c r="L91" s="35"/>
    </row>
    <row r="92" spans="1:14" x14ac:dyDescent="0.4">
      <c r="A92" s="38" t="s">
        <v>138</v>
      </c>
      <c r="B92" s="39">
        <f t="shared" ref="B92:K92" si="16">B65-B91</f>
        <v>-1</v>
      </c>
      <c r="C92" s="39">
        <f t="shared" si="16"/>
        <v>0</v>
      </c>
      <c r="D92" s="39">
        <f t="shared" si="16"/>
        <v>0</v>
      </c>
      <c r="E92" s="39">
        <f t="shared" si="16"/>
        <v>0</v>
      </c>
      <c r="F92" s="40">
        <f t="shared" si="16"/>
        <v>0</v>
      </c>
      <c r="G92" s="40">
        <f>G65-G91</f>
        <v>0</v>
      </c>
      <c r="H92" s="40">
        <f t="shared" ca="1" si="16"/>
        <v>10181636.619624853</v>
      </c>
      <c r="I92" s="40">
        <f t="shared" ca="1" si="16"/>
        <v>10181636.619624853</v>
      </c>
      <c r="J92" s="40">
        <f t="shared" ca="1" si="16"/>
        <v>10181636.619624853</v>
      </c>
      <c r="K92" s="40">
        <f t="shared" ca="1" si="16"/>
        <v>10181636.619622946</v>
      </c>
      <c r="L92" s="35"/>
    </row>
    <row r="93" spans="1:14" x14ac:dyDescent="0.4">
      <c r="A93" s="3" t="s">
        <v>135</v>
      </c>
      <c r="B93" s="41">
        <f>B54/(B6/365)</f>
        <v>58.876564405009674</v>
      </c>
      <c r="C93" s="41">
        <f>C54/(C6/365)</f>
        <v>85.272294847486947</v>
      </c>
      <c r="D93" s="41">
        <f>D54/(D6/365)</f>
        <v>125.71210761745257</v>
      </c>
      <c r="E93" s="41">
        <f>E54/(E6/365)</f>
        <v>106.37166942786899</v>
      </c>
      <c r="F93" s="41">
        <f>F54/(F6/365)</f>
        <v>77.587855380654275</v>
      </c>
      <c r="G93" s="41">
        <f>AVERAGE($B$93:$F$93)</f>
        <v>90.764098335694484</v>
      </c>
      <c r="H93" s="41">
        <f>AVERAGE($B$93:$F$93)</f>
        <v>90.764098335694484</v>
      </c>
      <c r="I93" s="41">
        <f>AVERAGE($B$93:$F$93)</f>
        <v>90.764098335694484</v>
      </c>
      <c r="J93" s="41">
        <f>AVERAGE($B$93:$F$93)</f>
        <v>90.764098335694484</v>
      </c>
      <c r="K93" s="41">
        <f>AVERAGE($B$93:$F$93)</f>
        <v>90.764098335694484</v>
      </c>
    </row>
    <row r="94" spans="1:14" x14ac:dyDescent="0.4">
      <c r="A94" s="3" t="s">
        <v>136</v>
      </c>
      <c r="B94" s="41">
        <f>B52/(B13/365)</f>
        <v>289.03024216216363</v>
      </c>
      <c r="C94" s="41">
        <f>C52/(C13/365)</f>
        <v>267.94149507444871</v>
      </c>
      <c r="D94" s="41">
        <f>D52/(D13/365)</f>
        <v>173.56153194673948</v>
      </c>
      <c r="E94" s="41">
        <f>E52/(E13/365)</f>
        <v>166.01550918284283</v>
      </c>
      <c r="F94" s="41">
        <f>F52/(F13/365)</f>
        <v>97.710910586736375</v>
      </c>
      <c r="G94" s="41">
        <f>AVERAGE($B$94:$F$94)</f>
        <v>198.85193779058622</v>
      </c>
      <c r="H94" s="41">
        <f>AVERAGE($B$94:$F$94)</f>
        <v>198.85193779058622</v>
      </c>
      <c r="I94" s="41">
        <f>AVERAGE($B$94:$F$94)</f>
        <v>198.85193779058622</v>
      </c>
      <c r="J94" s="41">
        <f>AVERAGE($B$94:$F$94)</f>
        <v>198.85193779058622</v>
      </c>
      <c r="K94" s="41">
        <f>AVERAGE($B$94:$F$94)</f>
        <v>198.85193779058622</v>
      </c>
    </row>
    <row r="95" spans="1:14" x14ac:dyDescent="0.4">
      <c r="A95" s="3" t="s">
        <v>137</v>
      </c>
      <c r="B95" s="41">
        <f>B70/(B13/365)</f>
        <v>456.34233572809222</v>
      </c>
      <c r="C95" s="41">
        <f>C70/(C13/365)</f>
        <v>616.93287470217911</v>
      </c>
      <c r="D95" s="41">
        <f>D70/(D13/365)</f>
        <v>426.46819965123308</v>
      </c>
      <c r="E95" s="41">
        <f>E70/(E13/365)</f>
        <v>539.85049238470958</v>
      </c>
      <c r="F95" s="41">
        <f>F70/(F13/365)</f>
        <v>764.76975584578327</v>
      </c>
      <c r="G95" s="41">
        <f>AVERAGE($B$95:$F$95)</f>
        <v>560.87273166239936</v>
      </c>
      <c r="H95" s="41">
        <f>AVERAGE($B$95:$F$95)</f>
        <v>560.87273166239936</v>
      </c>
      <c r="I95" s="41">
        <f>AVERAGE($B$95:$F$95)</f>
        <v>560.87273166239936</v>
      </c>
      <c r="J95" s="41">
        <f>AVERAGE($B$95:$F$95)</f>
        <v>560.87273166239936</v>
      </c>
      <c r="K95" s="41">
        <f>AVERAGE($B$95:$F$95)</f>
        <v>560.87273166239936</v>
      </c>
    </row>
    <row r="96" spans="1:14" x14ac:dyDescent="0.4">
      <c r="A96" s="30"/>
      <c r="B96" s="31" t="s">
        <v>53</v>
      </c>
      <c r="C96" s="31" t="s">
        <v>54</v>
      </c>
      <c r="D96" s="31" t="s">
        <v>0</v>
      </c>
      <c r="E96" s="31" t="s">
        <v>1</v>
      </c>
      <c r="F96" s="31" t="s">
        <v>55</v>
      </c>
      <c r="G96" s="31" t="s">
        <v>234</v>
      </c>
      <c r="H96" s="31" t="s">
        <v>120</v>
      </c>
      <c r="I96" s="31" t="s">
        <v>121</v>
      </c>
      <c r="J96" s="31" t="s">
        <v>122</v>
      </c>
      <c r="K96" s="31" t="s">
        <v>123</v>
      </c>
    </row>
    <row r="97" spans="1:11" x14ac:dyDescent="0.4">
      <c r="A97" s="30" t="s">
        <v>64</v>
      </c>
      <c r="B97" s="30"/>
      <c r="C97" s="30"/>
      <c r="D97" s="30"/>
      <c r="E97" s="30"/>
      <c r="F97" s="30"/>
      <c r="G97" s="30"/>
      <c r="H97" s="30"/>
      <c r="I97" s="30"/>
      <c r="J97" s="30"/>
      <c r="K97" s="30"/>
    </row>
    <row r="98" spans="1:11" x14ac:dyDescent="0.4">
      <c r="A98" s="33" t="s">
        <v>65</v>
      </c>
      <c r="B98" s="34">
        <v>5683760</v>
      </c>
      <c r="C98" s="34">
        <v>4284188</v>
      </c>
      <c r="D98" s="34">
        <v>3838746</v>
      </c>
      <c r="E98" s="34">
        <v>5261929</v>
      </c>
      <c r="F98" s="34">
        <v>18867724</v>
      </c>
      <c r="G98" s="33"/>
      <c r="H98" s="33"/>
      <c r="I98" s="33"/>
      <c r="J98" s="33"/>
      <c r="K98" s="33"/>
    </row>
    <row r="99" spans="1:11" x14ac:dyDescent="0.4">
      <c r="A99" s="42" t="s">
        <v>66</v>
      </c>
      <c r="B99" s="43"/>
      <c r="C99" s="43"/>
      <c r="D99" s="43"/>
      <c r="E99" s="43"/>
      <c r="F99" s="43"/>
      <c r="G99" s="42"/>
      <c r="H99" s="42"/>
      <c r="I99" s="42"/>
      <c r="J99" s="42"/>
      <c r="K99" s="42"/>
    </row>
    <row r="100" spans="1:11" x14ac:dyDescent="0.4">
      <c r="A100" s="3" t="s">
        <v>230</v>
      </c>
      <c r="B100" s="1">
        <v>146087</v>
      </c>
      <c r="C100" s="1">
        <v>12901</v>
      </c>
      <c r="D100" s="1">
        <v>15509</v>
      </c>
      <c r="E100" s="1">
        <v>83945</v>
      </c>
      <c r="F100" s="1">
        <v>0</v>
      </c>
    </row>
    <row r="101" spans="1:11" x14ac:dyDescent="0.4">
      <c r="A101" s="3" t="s">
        <v>93</v>
      </c>
      <c r="B101" s="1">
        <v>0</v>
      </c>
      <c r="C101" s="1">
        <v>-3283</v>
      </c>
      <c r="D101" s="1">
        <v>-82332</v>
      </c>
      <c r="E101" s="1">
        <v>0</v>
      </c>
      <c r="F101" s="1">
        <v>0</v>
      </c>
    </row>
    <row r="102" spans="1:11" x14ac:dyDescent="0.4">
      <c r="A102" s="3" t="s">
        <v>231</v>
      </c>
      <c r="B102" s="1">
        <v>0</v>
      </c>
      <c r="C102" s="1">
        <v>0</v>
      </c>
      <c r="D102" s="1">
        <v>0</v>
      </c>
      <c r="E102" s="1">
        <v>611172</v>
      </c>
      <c r="F102" s="1">
        <v>742696</v>
      </c>
    </row>
    <row r="103" spans="1:11" x14ac:dyDescent="0.4">
      <c r="A103" s="3" t="s">
        <v>67</v>
      </c>
      <c r="B103" s="1">
        <v>2070667</v>
      </c>
      <c r="C103" s="1">
        <v>2043515</v>
      </c>
      <c r="D103" s="1">
        <v>2220937</v>
      </c>
      <c r="E103" s="1">
        <v>3428422</v>
      </c>
      <c r="F103" s="1">
        <v>4881307</v>
      </c>
    </row>
    <row r="104" spans="1:11" x14ac:dyDescent="0.4">
      <c r="A104" s="3" t="s">
        <v>68</v>
      </c>
      <c r="B104" s="1">
        <v>79107</v>
      </c>
      <c r="C104" s="1">
        <v>0</v>
      </c>
      <c r="D104" s="1">
        <v>0</v>
      </c>
      <c r="E104" s="1">
        <v>0</v>
      </c>
      <c r="F104" s="1">
        <v>0</v>
      </c>
    </row>
    <row r="105" spans="1:11" x14ac:dyDescent="0.4">
      <c r="A105" s="3" t="s">
        <v>232</v>
      </c>
      <c r="B105" s="1">
        <v>347214</v>
      </c>
      <c r="C105" s="1">
        <v>2632070</v>
      </c>
      <c r="D105" s="1">
        <v>-1832064</v>
      </c>
      <c r="E105" s="1">
        <v>-1845367</v>
      </c>
      <c r="F105" s="1">
        <v>-2658157</v>
      </c>
      <c r="G105" s="1"/>
      <c r="H105" s="1"/>
      <c r="I105" s="1"/>
    </row>
    <row r="106" spans="1:11" x14ac:dyDescent="0.4">
      <c r="A106" s="6" t="s">
        <v>107</v>
      </c>
      <c r="B106" s="1">
        <v>0</v>
      </c>
      <c r="C106" s="1">
        <v>0</v>
      </c>
      <c r="D106" s="1">
        <v>1431275</v>
      </c>
      <c r="E106" s="1">
        <v>1759029</v>
      </c>
      <c r="F106" s="1">
        <v>2457585</v>
      </c>
    </row>
    <row r="107" spans="1:11" x14ac:dyDescent="0.4">
      <c r="A107" s="6" t="s">
        <v>108</v>
      </c>
      <c r="B107" s="1">
        <v>0</v>
      </c>
      <c r="C107" s="1">
        <v>0</v>
      </c>
      <c r="D107" s="1">
        <v>23390</v>
      </c>
      <c r="E107" s="1">
        <v>23390</v>
      </c>
      <c r="F107" s="1">
        <v>0</v>
      </c>
    </row>
    <row r="108" spans="1:11" x14ac:dyDescent="0.4">
      <c r="A108" s="3" t="s">
        <v>109</v>
      </c>
      <c r="B108" s="1">
        <v>0</v>
      </c>
      <c r="C108" s="1">
        <v>0</v>
      </c>
      <c r="D108" s="1">
        <v>47</v>
      </c>
      <c r="E108" s="1">
        <v>47</v>
      </c>
      <c r="F108" s="1">
        <v>1050</v>
      </c>
    </row>
    <row r="109" spans="1:11" x14ac:dyDescent="0.4">
      <c r="A109" s="3" t="s">
        <v>69</v>
      </c>
      <c r="B109" s="1">
        <v>1096285</v>
      </c>
      <c r="C109" s="1">
        <v>1283270</v>
      </c>
      <c r="D109" s="1">
        <v>0</v>
      </c>
      <c r="E109" s="1">
        <v>0</v>
      </c>
      <c r="F109" s="1">
        <v>0</v>
      </c>
    </row>
    <row r="110" spans="1:11" x14ac:dyDescent="0.4">
      <c r="A110" s="3" t="s">
        <v>70</v>
      </c>
      <c r="B110" s="1">
        <v>107553</v>
      </c>
      <c r="C110" s="1">
        <v>91241</v>
      </c>
      <c r="D110" s="1">
        <v>-164959</v>
      </c>
      <c r="E110" s="1">
        <v>-205006</v>
      </c>
      <c r="F110" s="1">
        <v>0</v>
      </c>
    </row>
    <row r="111" spans="1:11" x14ac:dyDescent="0.4">
      <c r="A111" s="3" t="s">
        <v>94</v>
      </c>
      <c r="B111" s="1">
        <v>0</v>
      </c>
      <c r="C111" s="1">
        <v>1339324</v>
      </c>
      <c r="D111" s="1">
        <v>2133709</v>
      </c>
      <c r="E111" s="1">
        <v>1918292</v>
      </c>
      <c r="F111" s="1">
        <v>617582</v>
      </c>
    </row>
    <row r="112" spans="1:11" x14ac:dyDescent="0.4">
      <c r="A112" s="3" t="s">
        <v>10</v>
      </c>
      <c r="B112" s="1">
        <v>0</v>
      </c>
      <c r="C112" s="1">
        <v>-68784</v>
      </c>
      <c r="D112" s="1">
        <v>-66915</v>
      </c>
      <c r="E112" s="1">
        <v>-58858</v>
      </c>
      <c r="F112" s="1">
        <v>-4425</v>
      </c>
    </row>
    <row r="113" spans="1:11" x14ac:dyDescent="0.4">
      <c r="A113" s="3" t="s">
        <v>110</v>
      </c>
      <c r="B113" s="1">
        <v>0</v>
      </c>
      <c r="C113" s="1">
        <v>0</v>
      </c>
      <c r="D113" s="1">
        <v>31573</v>
      </c>
      <c r="E113" s="1">
        <v>61174</v>
      </c>
      <c r="F113" s="1">
        <v>0</v>
      </c>
    </row>
    <row r="114" spans="1:11" x14ac:dyDescent="0.4">
      <c r="A114" s="3" t="s">
        <v>95</v>
      </c>
      <c r="B114" s="1">
        <v>-28887</v>
      </c>
      <c r="C114" s="1">
        <v>0</v>
      </c>
      <c r="D114" s="1">
        <v>0</v>
      </c>
      <c r="E114" s="1">
        <v>0</v>
      </c>
      <c r="F114" s="1">
        <v>0</v>
      </c>
    </row>
    <row r="115" spans="1:11" x14ac:dyDescent="0.4">
      <c r="A115" s="3" t="s">
        <v>96</v>
      </c>
      <c r="B115" s="1">
        <v>0</v>
      </c>
      <c r="C115" s="1">
        <v>15618</v>
      </c>
      <c r="D115" s="1">
        <v>0</v>
      </c>
      <c r="E115" s="1">
        <v>0</v>
      </c>
      <c r="F115" s="1">
        <v>0</v>
      </c>
    </row>
    <row r="116" spans="1:11" x14ac:dyDescent="0.4">
      <c r="A116" s="3" t="s">
        <v>97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</row>
    <row r="117" spans="1:11" x14ac:dyDescent="0.4">
      <c r="A117" s="3" t="s">
        <v>111</v>
      </c>
      <c r="B117" s="1">
        <v>0</v>
      </c>
      <c r="C117" s="1">
        <v>0</v>
      </c>
      <c r="D117" s="1">
        <v>8041</v>
      </c>
      <c r="E117" s="1">
        <v>6592</v>
      </c>
      <c r="F117" s="1">
        <v>0</v>
      </c>
    </row>
    <row r="118" spans="1:11" x14ac:dyDescent="0.4">
      <c r="A118" s="3" t="s">
        <v>112</v>
      </c>
      <c r="B118" s="1">
        <v>0</v>
      </c>
      <c r="C118" s="1">
        <v>0</v>
      </c>
      <c r="D118" s="1">
        <v>33392</v>
      </c>
      <c r="E118" s="1">
        <v>-37257</v>
      </c>
      <c r="F118" s="1">
        <v>0</v>
      </c>
    </row>
    <row r="119" spans="1:11" x14ac:dyDescent="0.4">
      <c r="A119" s="21" t="s">
        <v>71</v>
      </c>
      <c r="B119" s="2">
        <f>SUM(B98:B118)</f>
        <v>9501786</v>
      </c>
      <c r="C119" s="2">
        <f>SUM(C98:C118)</f>
        <v>11630060</v>
      </c>
      <c r="D119" s="2">
        <f>SUM(D98:D118)</f>
        <v>7590349</v>
      </c>
      <c r="E119" s="2">
        <f>SUM(E98:E118)</f>
        <v>11007504</v>
      </c>
      <c r="F119" s="2">
        <f>SUM(F98:F118)</f>
        <v>24905362</v>
      </c>
      <c r="G119" s="21"/>
      <c r="H119" s="21"/>
      <c r="I119" s="21"/>
      <c r="J119" s="21"/>
      <c r="K119" s="21"/>
    </row>
    <row r="120" spans="1:11" x14ac:dyDescent="0.4">
      <c r="B120" s="1"/>
      <c r="C120" s="1"/>
      <c r="D120" s="1"/>
      <c r="E120" s="1"/>
      <c r="F120" s="1"/>
    </row>
    <row r="121" spans="1:11" x14ac:dyDescent="0.4">
      <c r="A121" s="42" t="s">
        <v>106</v>
      </c>
      <c r="B121" s="1"/>
      <c r="C121" s="1"/>
      <c r="D121" s="1"/>
      <c r="E121" s="1"/>
      <c r="F121" s="1"/>
    </row>
    <row r="122" spans="1:11" x14ac:dyDescent="0.4">
      <c r="A122" s="3" t="s">
        <v>72</v>
      </c>
      <c r="B122" s="1">
        <v>-2511760</v>
      </c>
      <c r="C122" s="1">
        <v>-1378953</v>
      </c>
      <c r="D122" s="1">
        <v>-1803227</v>
      </c>
      <c r="E122" s="1">
        <v>-93095</v>
      </c>
      <c r="F122" s="1">
        <v>-1024428</v>
      </c>
    </row>
    <row r="123" spans="1:11" x14ac:dyDescent="0.4">
      <c r="A123" s="3" t="s">
        <v>73</v>
      </c>
      <c r="B123" s="1">
        <v>-3284109</v>
      </c>
      <c r="C123" s="1">
        <v>1215392</v>
      </c>
      <c r="D123" s="1">
        <v>1341532</v>
      </c>
      <c r="E123" s="1">
        <v>-259022</v>
      </c>
      <c r="F123" s="1">
        <v>-1270305</v>
      </c>
    </row>
    <row r="124" spans="1:11" x14ac:dyDescent="0.4">
      <c r="A124" s="3" t="s">
        <v>74</v>
      </c>
      <c r="B124" s="1">
        <v>110</v>
      </c>
      <c r="C124" s="1">
        <v>0</v>
      </c>
      <c r="D124" s="1">
        <v>0</v>
      </c>
      <c r="E124" s="1">
        <v>0</v>
      </c>
      <c r="F124" s="1">
        <v>0</v>
      </c>
    </row>
    <row r="125" spans="1:11" x14ac:dyDescent="0.4">
      <c r="A125" s="3" t="s">
        <v>98</v>
      </c>
      <c r="B125" s="1">
        <v>0</v>
      </c>
      <c r="C125" s="1">
        <v>2055</v>
      </c>
      <c r="D125" s="1">
        <v>0</v>
      </c>
      <c r="E125" s="1">
        <v>0</v>
      </c>
      <c r="F125" s="1">
        <v>0</v>
      </c>
    </row>
    <row r="126" spans="1:11" x14ac:dyDescent="0.4">
      <c r="A126" s="3" t="s">
        <v>75</v>
      </c>
      <c r="B126" s="1">
        <v>5728376</v>
      </c>
      <c r="C126" s="1">
        <v>605977</v>
      </c>
      <c r="D126" s="1">
        <v>195083</v>
      </c>
      <c r="E126" s="1">
        <v>3281778</v>
      </c>
      <c r="F126" s="1">
        <v>14902921</v>
      </c>
    </row>
    <row r="127" spans="1:11" x14ac:dyDescent="0.4">
      <c r="A127" s="3" t="s">
        <v>113</v>
      </c>
      <c r="B127" s="1">
        <v>0</v>
      </c>
      <c r="C127" s="1">
        <v>0</v>
      </c>
      <c r="D127" s="1">
        <v>10576</v>
      </c>
      <c r="E127" s="1">
        <v>-4934</v>
      </c>
      <c r="F127" s="1">
        <v>0</v>
      </c>
    </row>
    <row r="128" spans="1:11" x14ac:dyDescent="0.4">
      <c r="A128" s="3" t="s">
        <v>76</v>
      </c>
      <c r="B128" s="1">
        <v>-178911</v>
      </c>
      <c r="C128" s="1">
        <v>-91241</v>
      </c>
      <c r="D128" s="1">
        <v>0</v>
      </c>
      <c r="E128" s="1">
        <v>0</v>
      </c>
      <c r="F128" s="1">
        <v>0</v>
      </c>
    </row>
    <row r="129" spans="1:11" x14ac:dyDescent="0.4">
      <c r="A129" s="3" t="s">
        <v>99</v>
      </c>
      <c r="B129" s="1">
        <v>0</v>
      </c>
      <c r="C129" s="1">
        <v>-1321991</v>
      </c>
      <c r="D129" s="1">
        <v>0</v>
      </c>
      <c r="E129" s="1">
        <v>0</v>
      </c>
      <c r="F129" s="1">
        <v>0</v>
      </c>
    </row>
    <row r="130" spans="1:11" x14ac:dyDescent="0.4">
      <c r="A130" s="3" t="s">
        <v>100</v>
      </c>
      <c r="B130" s="1">
        <v>0</v>
      </c>
      <c r="C130" s="1">
        <v>-216988</v>
      </c>
      <c r="D130" s="1">
        <v>0</v>
      </c>
      <c r="E130" s="1">
        <v>0</v>
      </c>
      <c r="F130" s="1">
        <v>0</v>
      </c>
    </row>
    <row r="131" spans="1:11" x14ac:dyDescent="0.4">
      <c r="A131" s="3" t="s">
        <v>101</v>
      </c>
      <c r="B131" s="1">
        <v>0</v>
      </c>
      <c r="C131" s="1">
        <v>-29634</v>
      </c>
      <c r="D131" s="1">
        <v>0</v>
      </c>
      <c r="E131" s="1">
        <v>0</v>
      </c>
      <c r="F131" s="1">
        <v>0</v>
      </c>
    </row>
    <row r="132" spans="1:11" x14ac:dyDescent="0.4">
      <c r="A132" s="3" t="s">
        <v>102</v>
      </c>
      <c r="B132" s="1">
        <v>0</v>
      </c>
      <c r="C132" s="1">
        <v>-219890</v>
      </c>
      <c r="D132" s="1">
        <v>0</v>
      </c>
      <c r="E132" s="1">
        <v>0</v>
      </c>
      <c r="F132" s="1">
        <v>0</v>
      </c>
    </row>
    <row r="133" spans="1:11" x14ac:dyDescent="0.4">
      <c r="A133" s="3" t="s">
        <v>114</v>
      </c>
      <c r="B133" s="1">
        <v>0</v>
      </c>
      <c r="C133" s="1">
        <v>0</v>
      </c>
      <c r="D133" s="1">
        <v>847164</v>
      </c>
      <c r="E133" s="1">
        <v>66719</v>
      </c>
      <c r="F133" s="1">
        <v>0</v>
      </c>
    </row>
    <row r="134" spans="1:11" x14ac:dyDescent="0.4">
      <c r="A134" s="42" t="s">
        <v>77</v>
      </c>
      <c r="B134" s="43">
        <f>SUM(B119:B133)</f>
        <v>9255492</v>
      </c>
      <c r="C134" s="43">
        <f>SUM(C119:C133)</f>
        <v>10194787</v>
      </c>
      <c r="D134" s="43">
        <f>SUM(D119:D133)</f>
        <v>8181477</v>
      </c>
      <c r="E134" s="43">
        <f>SUM(E119:E133)</f>
        <v>13998950</v>
      </c>
      <c r="F134" s="43">
        <f>SUM(F119:F133)</f>
        <v>37513550</v>
      </c>
      <c r="G134" s="42"/>
      <c r="H134" s="42"/>
      <c r="I134" s="42"/>
    </row>
    <row r="135" spans="1:11" x14ac:dyDescent="0.4">
      <c r="B135" s="1"/>
      <c r="C135" s="1"/>
      <c r="D135" s="1"/>
      <c r="E135" s="1"/>
      <c r="F135" s="1"/>
    </row>
    <row r="136" spans="1:11" x14ac:dyDescent="0.4">
      <c r="A136" s="3" t="s">
        <v>78</v>
      </c>
      <c r="B136" s="1">
        <v>96306</v>
      </c>
      <c r="C136" s="1"/>
      <c r="D136" s="1">
        <v>-17112</v>
      </c>
      <c r="E136" s="1">
        <v>-50236</v>
      </c>
      <c r="F136" s="1">
        <v>158990</v>
      </c>
    </row>
    <row r="137" spans="1:11" x14ac:dyDescent="0.4">
      <c r="A137" s="3" t="s">
        <v>79</v>
      </c>
      <c r="B137" s="1">
        <v>-2418399</v>
      </c>
      <c r="C137" s="1">
        <v>-1487361</v>
      </c>
      <c r="D137" s="1">
        <v>-1416018</v>
      </c>
      <c r="E137" s="1">
        <v>-2049240</v>
      </c>
      <c r="F137" s="1">
        <v>-744990</v>
      </c>
    </row>
    <row r="138" spans="1:11" x14ac:dyDescent="0.4">
      <c r="B138" s="1"/>
      <c r="C138" s="1"/>
      <c r="D138" s="1"/>
      <c r="E138" s="1"/>
      <c r="F138" s="1"/>
    </row>
    <row r="139" spans="1:11" x14ac:dyDescent="0.4">
      <c r="A139" s="21" t="s">
        <v>80</v>
      </c>
      <c r="B139" s="2">
        <f>SUM(B134:B137)</f>
        <v>6933399</v>
      </c>
      <c r="C139" s="2">
        <f>SUM(C134:C137)</f>
        <v>8707426</v>
      </c>
      <c r="D139" s="2">
        <f>SUM(D134:D137)</f>
        <v>6748347</v>
      </c>
      <c r="E139" s="2">
        <f>SUM(E134:E137)</f>
        <v>11899474</v>
      </c>
      <c r="F139" s="2">
        <f>SUM(F134:F137)</f>
        <v>36927550</v>
      </c>
      <c r="G139" s="21"/>
      <c r="H139" s="21"/>
      <c r="I139" s="21"/>
      <c r="J139" s="21"/>
      <c r="K139" s="21"/>
    </row>
    <row r="140" spans="1:11" x14ac:dyDescent="0.4">
      <c r="B140" s="1"/>
      <c r="C140" s="1"/>
      <c r="D140" s="1"/>
      <c r="E140" s="1"/>
      <c r="F140" s="1"/>
    </row>
    <row r="141" spans="1:11" x14ac:dyDescent="0.4">
      <c r="A141" s="30" t="s">
        <v>84</v>
      </c>
      <c r="B141" s="30"/>
      <c r="C141" s="30"/>
      <c r="D141" s="30"/>
      <c r="E141" s="30"/>
      <c r="F141" s="30"/>
      <c r="G141" s="30"/>
      <c r="H141" s="30"/>
      <c r="I141" s="30"/>
      <c r="J141" s="30"/>
      <c r="K141" s="30"/>
    </row>
    <row r="142" spans="1:11" x14ac:dyDescent="0.4">
      <c r="A142" s="3" t="s">
        <v>81</v>
      </c>
      <c r="B142" s="1">
        <v>-7053151</v>
      </c>
      <c r="C142" s="1">
        <v>-15400969</v>
      </c>
      <c r="D142" s="1">
        <v>-7150464</v>
      </c>
      <c r="E142" s="1">
        <v>-7382775</v>
      </c>
      <c r="F142" s="1">
        <v>-4850250</v>
      </c>
    </row>
    <row r="143" spans="1:11" x14ac:dyDescent="0.4">
      <c r="A143" s="3" t="s">
        <v>82</v>
      </c>
      <c r="B143" s="1">
        <v>-238631</v>
      </c>
      <c r="C143" s="1">
        <v>-608321</v>
      </c>
      <c r="D143" s="1">
        <v>-210452</v>
      </c>
      <c r="E143" s="1">
        <v>0</v>
      </c>
      <c r="F143" s="1">
        <v>-16801</v>
      </c>
    </row>
    <row r="144" spans="1:11" x14ac:dyDescent="0.4">
      <c r="A144" s="3" t="s">
        <v>117</v>
      </c>
      <c r="B144" s="1">
        <v>0</v>
      </c>
      <c r="C144" s="1">
        <v>0</v>
      </c>
      <c r="D144" s="1">
        <v>0</v>
      </c>
      <c r="E144" s="1">
        <v>0</v>
      </c>
      <c r="F144" s="1">
        <v>-23000000</v>
      </c>
    </row>
    <row r="145" spans="1:11" x14ac:dyDescent="0.4">
      <c r="A145" s="3" t="s">
        <v>83</v>
      </c>
      <c r="B145" s="1">
        <v>133383</v>
      </c>
      <c r="C145" s="1">
        <v>14899</v>
      </c>
      <c r="D145" s="1">
        <v>2555</v>
      </c>
      <c r="E145" s="1">
        <v>12813</v>
      </c>
      <c r="F145" s="1">
        <v>4942</v>
      </c>
    </row>
    <row r="146" spans="1:11" x14ac:dyDescent="0.4">
      <c r="A146" s="3" t="s">
        <v>103</v>
      </c>
      <c r="B146" s="1">
        <v>0</v>
      </c>
      <c r="C146" s="1">
        <v>3283</v>
      </c>
      <c r="D146" s="1">
        <v>158515</v>
      </c>
      <c r="E146" s="1">
        <v>951390</v>
      </c>
      <c r="F146" s="1">
        <v>737754</v>
      </c>
    </row>
    <row r="147" spans="1:11" x14ac:dyDescent="0.4">
      <c r="A147" s="3" t="s">
        <v>104</v>
      </c>
      <c r="B147" s="1">
        <v>0</v>
      </c>
      <c r="C147" s="1">
        <v>68784</v>
      </c>
      <c r="D147" s="1">
        <v>66915</v>
      </c>
      <c r="E147" s="1">
        <v>58858</v>
      </c>
      <c r="F147" s="1">
        <v>4425</v>
      </c>
    </row>
    <row r="148" spans="1:11" x14ac:dyDescent="0.4">
      <c r="A148" s="21" t="s">
        <v>84</v>
      </c>
      <c r="B148" s="2">
        <f>SUM(B142:B147)</f>
        <v>-7158399</v>
      </c>
      <c r="C148" s="2">
        <f>SUM(C142:C147)</f>
        <v>-15922324</v>
      </c>
      <c r="D148" s="2">
        <f>SUM(D142:D147)</f>
        <v>-7132931</v>
      </c>
      <c r="E148" s="2">
        <f>SUM(E142:E147)</f>
        <v>-6359714</v>
      </c>
      <c r="F148" s="2">
        <f>SUM(F142:F147)</f>
        <v>-27119930</v>
      </c>
      <c r="G148" s="21"/>
      <c r="H148" s="21"/>
      <c r="I148" s="21"/>
      <c r="J148" s="21"/>
      <c r="K148" s="21"/>
    </row>
    <row r="149" spans="1:11" x14ac:dyDescent="0.4">
      <c r="B149" s="1"/>
      <c r="C149" s="1"/>
      <c r="D149" s="1"/>
      <c r="E149" s="1"/>
      <c r="F149" s="1"/>
    </row>
    <row r="150" spans="1:11" x14ac:dyDescent="0.4">
      <c r="A150" s="30" t="s">
        <v>85</v>
      </c>
      <c r="B150" s="30"/>
      <c r="C150" s="30"/>
      <c r="D150" s="30"/>
      <c r="E150" s="30"/>
      <c r="F150" s="30"/>
      <c r="G150" s="30"/>
      <c r="H150" s="30"/>
      <c r="I150" s="30"/>
      <c r="J150" s="30"/>
      <c r="K150" s="30"/>
    </row>
    <row r="151" spans="1:11" x14ac:dyDescent="0.4">
      <c r="A151" s="3" t="s">
        <v>105</v>
      </c>
      <c r="B151" s="1">
        <v>0</v>
      </c>
      <c r="C151" s="1">
        <v>-1339324</v>
      </c>
      <c r="D151" s="1">
        <v>-1950787</v>
      </c>
      <c r="E151" s="44">
        <v>-1569177</v>
      </c>
      <c r="F151" s="44">
        <v>-613158</v>
      </c>
    </row>
    <row r="152" spans="1:11" x14ac:dyDescent="0.4">
      <c r="A152" s="3" t="s">
        <v>86</v>
      </c>
      <c r="B152" s="1">
        <v>1195000</v>
      </c>
      <c r="C152" s="1">
        <v>18493790</v>
      </c>
      <c r="D152" s="1">
        <v>22841704</v>
      </c>
      <c r="E152" s="1">
        <v>4527101</v>
      </c>
      <c r="F152" s="1">
        <v>24164808</v>
      </c>
    </row>
    <row r="153" spans="1:11" x14ac:dyDescent="0.4">
      <c r="A153" s="3" t="s">
        <v>87</v>
      </c>
      <c r="B153" s="1">
        <v>-1130407</v>
      </c>
      <c r="C153" s="1">
        <v>-12127257</v>
      </c>
      <c r="D153" s="1">
        <v>-16212450</v>
      </c>
      <c r="E153" s="1">
        <v>-9130665</v>
      </c>
      <c r="F153" s="1">
        <v>-6292766</v>
      </c>
    </row>
    <row r="154" spans="1:11" x14ac:dyDescent="0.4">
      <c r="A154" s="3" t="s">
        <v>88</v>
      </c>
      <c r="B154" s="1">
        <v>-1500000</v>
      </c>
      <c r="C154" s="1">
        <v>-2000000</v>
      </c>
      <c r="D154" s="1">
        <v>-2000000</v>
      </c>
      <c r="E154" s="1">
        <v>-2000000</v>
      </c>
      <c r="F154" s="1">
        <v>-3000000</v>
      </c>
    </row>
    <row r="155" spans="1:11" x14ac:dyDescent="0.4">
      <c r="B155" s="15">
        <f>B154/B41</f>
        <v>-0.2619535975397318</v>
      </c>
      <c r="C155" s="15">
        <f t="shared" ref="C155:F155" si="17">C154/C41</f>
        <v>-0.46683292143108568</v>
      </c>
      <c r="D155" s="15">
        <f t="shared" si="17"/>
        <v>-0.52100347353015808</v>
      </c>
      <c r="E155" s="15">
        <f t="shared" si="17"/>
        <v>-0.38008874692151873</v>
      </c>
      <c r="F155" s="15">
        <f t="shared" si="17"/>
        <v>-0.15527987217563807</v>
      </c>
    </row>
    <row r="156" spans="1:11" x14ac:dyDescent="0.4">
      <c r="A156" s="3" t="s">
        <v>115</v>
      </c>
      <c r="B156" s="1">
        <v>0</v>
      </c>
      <c r="C156" s="1">
        <v>0</v>
      </c>
      <c r="D156" s="1">
        <v>60932</v>
      </c>
      <c r="E156" s="1">
        <v>51069</v>
      </c>
      <c r="F156" s="1"/>
    </row>
    <row r="157" spans="1:11" x14ac:dyDescent="0.4">
      <c r="A157" s="3" t="s">
        <v>116</v>
      </c>
      <c r="B157" s="1">
        <v>0</v>
      </c>
      <c r="C157" s="1">
        <v>0</v>
      </c>
      <c r="D157" s="1">
        <v>-38850</v>
      </c>
      <c r="E157" s="1">
        <v>-38850</v>
      </c>
      <c r="F157" s="1"/>
    </row>
    <row r="158" spans="1:11" x14ac:dyDescent="0.4">
      <c r="A158" s="21" t="s">
        <v>89</v>
      </c>
      <c r="B158" s="2">
        <f>SUM(B151:B157)</f>
        <v>-1435407.2619535977</v>
      </c>
      <c r="C158" s="2">
        <f>SUM(C151:C157)</f>
        <v>3027208.5331670786</v>
      </c>
      <c r="D158" s="2">
        <f>SUM(D151:D157)</f>
        <v>2700548.4789965264</v>
      </c>
      <c r="E158" s="2">
        <f>SUM(E151:E157)</f>
        <v>-8160522.3800887465</v>
      </c>
      <c r="F158" s="2">
        <f>SUM(F151:F157)</f>
        <v>14258883.844720127</v>
      </c>
      <c r="G158" s="21"/>
      <c r="H158" s="21"/>
      <c r="I158" s="21"/>
      <c r="J158" s="21"/>
      <c r="K158" s="21"/>
    </row>
    <row r="159" spans="1:11" x14ac:dyDescent="0.4">
      <c r="B159" s="1"/>
      <c r="C159" s="1"/>
      <c r="D159" s="1"/>
      <c r="E159" s="1"/>
      <c r="F159" s="1"/>
    </row>
    <row r="160" spans="1:11" x14ac:dyDescent="0.4">
      <c r="A160" s="3" t="s">
        <v>90</v>
      </c>
      <c r="B160" s="1">
        <v>-1660407</v>
      </c>
      <c r="C160" s="1">
        <v>-4187690</v>
      </c>
      <c r="D160" s="1">
        <v>2315965</v>
      </c>
      <c r="E160" s="1">
        <v>-2620762</v>
      </c>
      <c r="F160" s="1">
        <v>24066506</v>
      </c>
    </row>
    <row r="161" spans="1:12" x14ac:dyDescent="0.4">
      <c r="A161" s="6" t="s">
        <v>91</v>
      </c>
      <c r="B161" s="1">
        <v>1793570</v>
      </c>
      <c r="C161" s="1">
        <v>133163</v>
      </c>
      <c r="D161" s="1">
        <v>-3474265</v>
      </c>
      <c r="E161" s="1">
        <v>-1158300</v>
      </c>
      <c r="F161" s="1">
        <v>-3779062</v>
      </c>
    </row>
    <row r="162" spans="1:12" x14ac:dyDescent="0.4">
      <c r="B162" s="1"/>
      <c r="C162" s="1"/>
      <c r="D162" s="1"/>
      <c r="E162" s="1"/>
      <c r="F162" s="1"/>
    </row>
    <row r="163" spans="1:12" x14ac:dyDescent="0.4">
      <c r="A163" s="21" t="s">
        <v>92</v>
      </c>
      <c r="B163" s="2">
        <f>SUM(B160:B161)</f>
        <v>133163</v>
      </c>
      <c r="C163" s="2">
        <f>SUM(C160:C161)</f>
        <v>-4054527</v>
      </c>
      <c r="D163" s="2">
        <f>SUM(D160:D161)</f>
        <v>-1158300</v>
      </c>
      <c r="E163" s="2">
        <f>SUM(E160:E161)</f>
        <v>-3779062</v>
      </c>
      <c r="F163" s="2">
        <f>SUM(F160:F161)</f>
        <v>20287444</v>
      </c>
      <c r="G163" s="21"/>
      <c r="H163" s="21"/>
      <c r="I163" s="21"/>
      <c r="J163" s="21"/>
      <c r="K163" s="21"/>
    </row>
    <row r="164" spans="1:12" x14ac:dyDescent="0.4">
      <c r="A164" s="30" t="s">
        <v>64</v>
      </c>
    </row>
    <row r="165" spans="1:12" x14ac:dyDescent="0.4">
      <c r="A165" s="6" t="s">
        <v>139</v>
      </c>
      <c r="G165" s="1">
        <f>G41</f>
        <v>13032224</v>
      </c>
      <c r="H165" s="1">
        <f ca="1">H41</f>
        <v>26514987.85789533</v>
      </c>
      <c r="I165" s="1">
        <f ca="1">I41</f>
        <v>30128688.528953277</v>
      </c>
      <c r="J165" s="1">
        <f ca="1">J41</f>
        <v>35182278.970251679</v>
      </c>
      <c r="K165" s="1">
        <f ca="1">K41</f>
        <v>41530115.293870941</v>
      </c>
      <c r="L165" s="35"/>
    </row>
    <row r="166" spans="1:12" x14ac:dyDescent="0.4">
      <c r="A166" s="6" t="s">
        <v>142</v>
      </c>
    </row>
    <row r="167" spans="1:12" x14ac:dyDescent="0.4">
      <c r="A167" s="3" t="s">
        <v>69</v>
      </c>
      <c r="G167" s="1">
        <f>'PPE SCHEDULE'!I13</f>
        <v>4412294.55</v>
      </c>
      <c r="H167" s="1">
        <f>'PPE SCHEDULE'!J13</f>
        <v>4645193.7</v>
      </c>
      <c r="I167" s="1">
        <f>'PPE SCHEDULE'!K13</f>
        <v>4940191.95</v>
      </c>
      <c r="J167" s="1">
        <f>'PPE SCHEDULE'!L13</f>
        <v>5313847.1500000004</v>
      </c>
      <c r="K167" s="1">
        <f>'PPE SCHEDULE'!M13</f>
        <v>5787131.9500000002</v>
      </c>
    </row>
    <row r="169" spans="1:12" x14ac:dyDescent="0.4">
      <c r="A169" s="6" t="s">
        <v>143</v>
      </c>
    </row>
    <row r="170" spans="1:12" x14ac:dyDescent="0.4">
      <c r="A170" s="3" t="s">
        <v>144</v>
      </c>
      <c r="G170" s="1">
        <f>F54-G54</f>
        <v>2947249</v>
      </c>
      <c r="H170" s="1">
        <f>G54-H54</f>
        <v>-17448338.673352383</v>
      </c>
      <c r="I170" s="1">
        <f>H54-I54</f>
        <v>-5408150.3681375273</v>
      </c>
      <c r="J170" s="1">
        <f>I54-J54</f>
        <v>-6597943.4491277747</v>
      </c>
      <c r="K170" s="1">
        <f>J54-K54</f>
        <v>-8049491.0079358891</v>
      </c>
    </row>
    <row r="171" spans="1:12" x14ac:dyDescent="0.4">
      <c r="A171" s="3" t="s">
        <v>145</v>
      </c>
      <c r="G171" s="1">
        <f>F52-G52</f>
        <v>68186</v>
      </c>
      <c r="H171" s="1">
        <f>G52-H52</f>
        <v>-13235746.767285433</v>
      </c>
      <c r="I171" s="1">
        <f>H52-I52</f>
        <v>-3819966.2088027932</v>
      </c>
      <c r="J171" s="1">
        <f>I52-J52</f>
        <v>-4660358.7747394107</v>
      </c>
      <c r="K171" s="1">
        <f>J52-K52</f>
        <v>-5685637.7051820792</v>
      </c>
    </row>
    <row r="172" spans="1:12" x14ac:dyDescent="0.4">
      <c r="A172" s="3" t="s">
        <v>146</v>
      </c>
      <c r="G172" s="1">
        <f>G70-F70</f>
        <v>-20831875</v>
      </c>
      <c r="H172" s="1">
        <f>H70-G70</f>
        <v>36965624.777445689</v>
      </c>
      <c r="I172" s="1">
        <f>I70-H70</f>
        <v>10774422.951038055</v>
      </c>
      <c r="J172" s="1">
        <f>J70-I70</f>
        <v>13144796.000266425</v>
      </c>
      <c r="K172" s="1">
        <f>K70-J70</f>
        <v>16036651.120325029</v>
      </c>
    </row>
    <row r="173" spans="1:12" x14ac:dyDescent="0.4">
      <c r="A173" s="6" t="s">
        <v>147</v>
      </c>
      <c r="G173" s="1">
        <f>SUM(G165,G167,G170:G172)</f>
        <v>-371921.44999999925</v>
      </c>
      <c r="H173" s="1">
        <f ca="1">SUM(H165,H167,H170:H172)</f>
        <v>37441720.894703202</v>
      </c>
      <c r="I173" s="1">
        <f ca="1">SUM(I165,I167,I170:I172)</f>
        <v>36615186.853051014</v>
      </c>
      <c r="J173" s="1">
        <f ca="1">SUM(J165,J167,J170:J172)</f>
        <v>42382619.896650925</v>
      </c>
      <c r="K173" s="1">
        <f ca="1">SUM(K165,K167,K170:K172)</f>
        <v>49618769.651078001</v>
      </c>
    </row>
    <row r="175" spans="1:12" x14ac:dyDescent="0.4">
      <c r="A175" s="6" t="s">
        <v>84</v>
      </c>
    </row>
    <row r="176" spans="1:12" x14ac:dyDescent="0.4">
      <c r="A176" s="3" t="s">
        <v>148</v>
      </c>
      <c r="G176" s="1">
        <f>-'PPE SCHEDULE'!I3</f>
        <v>-3677446</v>
      </c>
      <c r="H176" s="1">
        <f>-'PPE SCHEDULE'!J3</f>
        <v>-4657983</v>
      </c>
      <c r="I176" s="1">
        <f>-'PPE SCHEDULE'!K3</f>
        <v>-5899965</v>
      </c>
      <c r="J176" s="1">
        <f>-'PPE SCHEDULE'!L3</f>
        <v>-7473104</v>
      </c>
      <c r="K176" s="1">
        <f>-'PPE SCHEDULE'!M3</f>
        <v>-9465696</v>
      </c>
    </row>
    <row r="177" spans="1:12" x14ac:dyDescent="0.4">
      <c r="A177" s="6" t="s">
        <v>149</v>
      </c>
      <c r="G177" s="1">
        <f>SUM(G176)</f>
        <v>-3677446</v>
      </c>
      <c r="H177" s="1">
        <f>SUM(H176)</f>
        <v>-4657983</v>
      </c>
      <c r="I177" s="1">
        <f>SUM(I176)</f>
        <v>-5899965</v>
      </c>
      <c r="J177" s="1">
        <f>SUM(J176)</f>
        <v>-7473104</v>
      </c>
      <c r="K177" s="1">
        <f>SUM(K176)</f>
        <v>-9465696</v>
      </c>
      <c r="L177" s="35">
        <f>SUM(G177,G167)</f>
        <v>734848.54999999981</v>
      </c>
    </row>
    <row r="179" spans="1:12" x14ac:dyDescent="0.4">
      <c r="A179" s="6" t="s">
        <v>85</v>
      </c>
    </row>
    <row r="180" spans="1:12" x14ac:dyDescent="0.4">
      <c r="A180" s="3" t="s">
        <v>35</v>
      </c>
      <c r="B180" s="19"/>
      <c r="C180" s="19"/>
      <c r="D180" s="19"/>
      <c r="E180" s="19"/>
      <c r="F180" s="19"/>
      <c r="G180" s="1">
        <f>'DEBT SCHEDULE'!G8-'DEBT SCHEDULE'!F8</f>
        <v>17018826.080375168</v>
      </c>
      <c r="H180" s="1">
        <f ca="1">'DEBT SCHEDULE'!H8-'DEBT SCHEDULE'!G8</f>
        <v>-5805565.612514846</v>
      </c>
      <c r="I180" s="1">
        <f ca="1">'DEBT SCHEDULE'!I8-'DEBT SCHEDULE'!H8</f>
        <v>6622184.1411727406</v>
      </c>
      <c r="J180" s="1">
        <f ca="1">'DEBT SCHEDULE'!J8-'DEBT SCHEDULE'!I8</f>
        <v>3114292.6186026037</v>
      </c>
      <c r="K180" s="1">
        <f ca="1">'DEBT SCHEDULE'!K8-'DEBT SCHEDULE'!J8</f>
        <v>-142358.59473064169</v>
      </c>
    </row>
    <row r="181" spans="1:12" x14ac:dyDescent="0.4">
      <c r="A181" s="3" t="s">
        <v>36</v>
      </c>
      <c r="B181" s="19"/>
      <c r="C181" s="19"/>
      <c r="D181" s="19"/>
      <c r="E181" s="19"/>
      <c r="F181" s="19"/>
      <c r="G181" s="1"/>
      <c r="H181" s="1"/>
      <c r="I181" s="1"/>
      <c r="J181" s="1"/>
      <c r="K181" s="1"/>
    </row>
    <row r="182" spans="1:12" x14ac:dyDescent="0.4">
      <c r="A182" s="3" t="s">
        <v>132</v>
      </c>
      <c r="B182" s="19"/>
      <c r="C182" s="19"/>
      <c r="D182" s="19"/>
      <c r="E182" s="19"/>
      <c r="F182" s="19"/>
      <c r="G182" s="1">
        <f>'DEBT SCHEDULE'!G13-'DEBT SCHEDULE'!F13</f>
        <v>-25089989</v>
      </c>
      <c r="H182" s="1">
        <f>'DEBT SCHEDULE'!H13-'DEBT SCHEDULE'!G13</f>
        <v>-25089989</v>
      </c>
      <c r="I182" s="1">
        <f>'DEBT SCHEDULE'!I13-'DEBT SCHEDULE'!H13</f>
        <v>-25089989</v>
      </c>
      <c r="J182" s="1">
        <f>'DEBT SCHEDULE'!J13-'DEBT SCHEDULE'!I13</f>
        <v>-25089989</v>
      </c>
      <c r="K182" s="1">
        <f>'DEBT SCHEDULE'!K13-'DEBT SCHEDULE'!J13</f>
        <v>-25089989</v>
      </c>
    </row>
    <row r="183" spans="1:12" x14ac:dyDescent="0.4">
      <c r="A183" s="3" t="s">
        <v>187</v>
      </c>
      <c r="B183" s="19"/>
      <c r="C183" s="19"/>
      <c r="D183" s="19"/>
      <c r="E183" s="19"/>
      <c r="F183" s="19"/>
      <c r="G183" s="1">
        <f>'DIVIDEND SCHEDULE'!G6</f>
        <v>-4652917.3803751711</v>
      </c>
      <c r="H183" s="1">
        <f ca="1">'DIVIDEND SCHEDULE'!H6</f>
        <v>-9466691.7821883522</v>
      </c>
      <c r="I183" s="1">
        <f ca="1">'DIVIDEND SCHEDULE'!I6</f>
        <v>-10756897.55672376</v>
      </c>
      <c r="J183" s="1">
        <f ca="1">'DIVIDEND SCHEDULE'!J6</f>
        <v>-12561189.655878531</v>
      </c>
      <c r="K183" s="1">
        <f ca="1">'DIVIDEND SCHEDULE'!K6</f>
        <v>-14827568.591503385</v>
      </c>
    </row>
    <row r="184" spans="1:12" x14ac:dyDescent="0.4">
      <c r="A184" s="6" t="s">
        <v>150</v>
      </c>
      <c r="G184" s="1">
        <f>SUM(G180:G183)</f>
        <v>-12724080.300000003</v>
      </c>
      <c r="H184" s="1">
        <f ca="1">SUM(H180:H183)</f>
        <v>-40362246.394703194</v>
      </c>
      <c r="I184" s="1">
        <f ca="1">SUM(I180:I183)</f>
        <v>-29224702.415551022</v>
      </c>
      <c r="J184" s="1">
        <f ca="1">SUM(J180:J183)</f>
        <v>-34536886.037275925</v>
      </c>
      <c r="K184" s="1">
        <f ca="1">SUM(K180:K183)</f>
        <v>-40059916.186234027</v>
      </c>
    </row>
    <row r="185" spans="1:12" x14ac:dyDescent="0.4">
      <c r="A185" s="6" t="s">
        <v>151</v>
      </c>
      <c r="G185" s="45">
        <f>SUM(G173,G177,G184)</f>
        <v>-16773447.750000002</v>
      </c>
      <c r="H185" s="45">
        <f ca="1">SUM(H173,H177,H184)</f>
        <v>-7578508.4999999925</v>
      </c>
      <c r="I185" s="45">
        <f ca="1">SUM(I173,I177,I184)</f>
        <v>1490519.4374999925</v>
      </c>
      <c r="J185" s="45">
        <f ca="1">SUM(J173,J177,J184)</f>
        <v>372629.859375</v>
      </c>
      <c r="K185" s="45">
        <f ca="1">SUM(K173,K177,K184)</f>
        <v>93157.464843973517</v>
      </c>
    </row>
    <row r="186" spans="1:12" x14ac:dyDescent="0.4">
      <c r="A186" s="6" t="s">
        <v>152</v>
      </c>
      <c r="G186" s="45">
        <f>F55</f>
        <v>22364597</v>
      </c>
      <c r="H186" s="45">
        <f>G187</f>
        <v>5591149.2499999981</v>
      </c>
      <c r="I186" s="45">
        <f ca="1">H187</f>
        <v>-1987359.2499999944</v>
      </c>
      <c r="J186" s="45">
        <f ca="1">I187</f>
        <v>-496839.81250000186</v>
      </c>
      <c r="K186" s="45">
        <f ca="1">J187</f>
        <v>-124209.95312499441</v>
      </c>
    </row>
    <row r="187" spans="1:12" x14ac:dyDescent="0.4">
      <c r="A187" s="6" t="s">
        <v>153</v>
      </c>
      <c r="G187" s="46">
        <f>SUM(G185:G186)</f>
        <v>5591149.2499999981</v>
      </c>
      <c r="H187" s="46">
        <f ca="1">SUM(H185:H186)</f>
        <v>-1987359.2499999944</v>
      </c>
      <c r="I187" s="46">
        <f ca="1">SUM(I185:I186)</f>
        <v>-496839.81250000186</v>
      </c>
      <c r="J187" s="46">
        <f ca="1">SUM(J185:J186)</f>
        <v>-124209.95312500186</v>
      </c>
      <c r="K187" s="46">
        <f ca="1">SUM(K185:K186)</f>
        <v>-31052.488281020895</v>
      </c>
    </row>
  </sheetData>
  <pageMargins left="0.7" right="0.7" top="0.75" bottom="0.75" header="0.3" footer="0.3"/>
  <pageSetup orientation="portrait" horizontalDpi="300" verticalDpi="300" r:id="rId1"/>
  <ignoredErrors>
    <ignoredError sqref="H186" formula="1"/>
    <ignoredError sqref="B58:K58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Drop Down 4">
              <controlPr defaultSize="0" autoLine="0" autoPict="0">
                <anchor moveWithCells="1">
                  <from>
                    <xdr:col>1</xdr:col>
                    <xdr:colOff>47625</xdr:colOff>
                    <xdr:row>0</xdr:row>
                    <xdr:rowOff>0</xdr:rowOff>
                  </from>
                  <to>
                    <xdr:col>1</xdr:col>
                    <xdr:colOff>1457325</xdr:colOff>
                    <xdr:row>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5A93C-1F88-4311-B2AA-AD9AA6D9940B}">
  <sheetPr>
    <tabColor theme="9" tint="-0.249977111117893"/>
  </sheetPr>
  <dimension ref="A1:AB22"/>
  <sheetViews>
    <sheetView showGridLines="0" zoomScale="90" zoomScaleNormal="90" workbookViewId="0">
      <selection activeCell="G2" sqref="G2"/>
    </sheetView>
  </sheetViews>
  <sheetFormatPr defaultRowHeight="14.25" x14ac:dyDescent="0.2"/>
  <cols>
    <col min="1" max="1" width="50.140625" style="5" customWidth="1"/>
    <col min="2" max="11" width="15.7109375" style="5" customWidth="1"/>
    <col min="12" max="16384" width="9.140625" style="5"/>
  </cols>
  <sheetData>
    <row r="1" spans="1:11" ht="15" thickBot="1" x14ac:dyDescent="0.25">
      <c r="A1" s="47"/>
      <c r="B1" s="48" t="s">
        <v>53</v>
      </c>
      <c r="C1" s="48" t="s">
        <v>54</v>
      </c>
      <c r="D1" s="48" t="s">
        <v>0</v>
      </c>
      <c r="E1" s="48" t="s">
        <v>1</v>
      </c>
      <c r="F1" s="48" t="s">
        <v>55</v>
      </c>
      <c r="G1" s="48" t="s">
        <v>234</v>
      </c>
      <c r="H1" s="48" t="s">
        <v>165</v>
      </c>
      <c r="I1" s="48" t="s">
        <v>166</v>
      </c>
      <c r="J1" s="48" t="s">
        <v>167</v>
      </c>
      <c r="K1" s="49" t="s">
        <v>168</v>
      </c>
    </row>
    <row r="2" spans="1:11" x14ac:dyDescent="0.2">
      <c r="A2" s="5" t="s">
        <v>155</v>
      </c>
      <c r="G2" s="50">
        <f>PL_BS_CF!F55</f>
        <v>22364597</v>
      </c>
      <c r="H2" s="50">
        <f>PL_BS_CF!G55</f>
        <v>10104678</v>
      </c>
      <c r="I2" s="50">
        <f ca="1">PL_BS_CF!H55</f>
        <v>-1987359.2499999944</v>
      </c>
      <c r="J2" s="50">
        <f ca="1">PL_BS_CF!I55</f>
        <v>-496839.81250000186</v>
      </c>
      <c r="K2" s="50">
        <f ca="1">PL_BS_CF!J55</f>
        <v>-124209.95312507637</v>
      </c>
    </row>
    <row r="3" spans="1:11" x14ac:dyDescent="0.2">
      <c r="A3" s="5" t="s">
        <v>154</v>
      </c>
      <c r="G3" s="50">
        <f>SUM(PL_BS_CF!G173,PL_BS_CF!G177)</f>
        <v>-4049367.4499999993</v>
      </c>
      <c r="H3" s="50">
        <f ca="1">SUM(PL_BS_CF!H173,PL_BS_CF!H177)</f>
        <v>32783737.894703202</v>
      </c>
      <c r="I3" s="50">
        <f ca="1">SUM(PL_BS_CF!I173,PL_BS_CF!I177)</f>
        <v>30715221.853051014</v>
      </c>
      <c r="J3" s="50">
        <f ca="1">SUM(PL_BS_CF!J173,PL_BS_CF!J177)</f>
        <v>34909515.896650925</v>
      </c>
      <c r="K3" s="50">
        <f ca="1">SUM(PL_BS_CF!K173,PL_BS_CF!K177)</f>
        <v>40153073.651077956</v>
      </c>
    </row>
    <row r="4" spans="1:11" x14ac:dyDescent="0.2">
      <c r="A4" s="5" t="s">
        <v>158</v>
      </c>
      <c r="G4" s="50">
        <f>SUM(PL_BS_CF!G182,PL_BS_CF!G183)</f>
        <v>-29742906.380375169</v>
      </c>
      <c r="H4" s="50">
        <f ca="1">SUM(PL_BS_CF!H182,PL_BS_CF!H183)</f>
        <v>-34556680.782188356</v>
      </c>
      <c r="I4" s="50">
        <f ca="1">SUM(PL_BS_CF!I182,PL_BS_CF!I183)</f>
        <v>-35846886.556723759</v>
      </c>
      <c r="J4" s="50">
        <f ca="1">SUM(PL_BS_CF!J182,PL_BS_CF!J183)</f>
        <v>-37651178.655878529</v>
      </c>
      <c r="K4" s="50">
        <f ca="1">SUM(PL_BS_CF!K182,PL_BS_CF!K183)</f>
        <v>-39917557.591503508</v>
      </c>
    </row>
    <row r="5" spans="1:11" x14ac:dyDescent="0.2">
      <c r="A5" s="5" t="s">
        <v>156</v>
      </c>
      <c r="G5" s="50">
        <f>0.25*G2</f>
        <v>5591149.25</v>
      </c>
      <c r="H5" s="50">
        <f>0.25*H2</f>
        <v>2526169.5</v>
      </c>
      <c r="I5" s="50">
        <f ca="1">0.25*I2</f>
        <v>-496839.8124999986</v>
      </c>
      <c r="J5" s="50">
        <f ca="1">0.25*J2</f>
        <v>-124209.95312500047</v>
      </c>
      <c r="K5" s="50">
        <f ca="1">0.25*K2</f>
        <v>-31052.488281269092</v>
      </c>
    </row>
    <row r="6" spans="1:11" x14ac:dyDescent="0.2">
      <c r="A6" s="5" t="s">
        <v>157</v>
      </c>
      <c r="G6" s="50">
        <f>SUM(G2:G4)-G5</f>
        <v>-17018826.080375168</v>
      </c>
      <c r="H6" s="50">
        <f ca="1">SUM(H2:H4)-H5</f>
        <v>5805565.612514846</v>
      </c>
      <c r="I6" s="50">
        <f ca="1">SUM(I2:I4)-I5</f>
        <v>-6622184.1411727387</v>
      </c>
      <c r="J6" s="50">
        <f ca="1">SUM(J2:J4)-J5</f>
        <v>-3114292.6186026032</v>
      </c>
      <c r="K6" s="50">
        <f ca="1">SUM(K2:K4)-K5</f>
        <v>142358.59473064216</v>
      </c>
    </row>
    <row r="8" spans="1:11" x14ac:dyDescent="0.2">
      <c r="A8" s="11" t="s">
        <v>159</v>
      </c>
      <c r="B8" s="50">
        <f>PL_BS_CF!B68</f>
        <v>3174048</v>
      </c>
      <c r="C8" s="50">
        <f>PL_BS_CF!C68</f>
        <v>6867291</v>
      </c>
      <c r="D8" s="50">
        <f>PL_BS_CF!D68</f>
        <v>7093237</v>
      </c>
      <c r="E8" s="50">
        <f>PL_BS_CF!E68</f>
        <v>6364154</v>
      </c>
      <c r="F8" s="50">
        <f>PL_BS_CF!F68</f>
        <v>5655259</v>
      </c>
      <c r="G8" s="50">
        <f>MAX(0,F8-G6)</f>
        <v>22674085.080375168</v>
      </c>
      <c r="H8" s="50">
        <f ca="1">MAX(0,G8-H6)</f>
        <v>16868519.467860322</v>
      </c>
      <c r="I8" s="50">
        <f ca="1">MAX(0,H8-I6)</f>
        <v>23490703.609033063</v>
      </c>
      <c r="J8" s="50">
        <f ca="1">MAX(0,I8-J6)</f>
        <v>26604996.227635667</v>
      </c>
      <c r="K8" s="50">
        <f ca="1">MAX(0,J8-K6)</f>
        <v>26462637.632905025</v>
      </c>
    </row>
    <row r="10" spans="1:11" x14ac:dyDescent="0.2">
      <c r="A10" s="11" t="s">
        <v>160</v>
      </c>
    </row>
    <row r="11" spans="1:11" x14ac:dyDescent="0.2">
      <c r="A11" s="11"/>
    </row>
    <row r="12" spans="1:11" x14ac:dyDescent="0.2">
      <c r="A12" s="5" t="s">
        <v>36</v>
      </c>
      <c r="B12" s="50">
        <f>PL_BS_CF!B69</f>
        <v>1371973</v>
      </c>
      <c r="C12" s="50">
        <f>PL_BS_CF!C69</f>
        <v>5179745</v>
      </c>
      <c r="D12" s="50">
        <f>PL_BS_CF!D69</f>
        <v>9155154</v>
      </c>
      <c r="E12" s="50">
        <f>PL_BS_CF!E69</f>
        <v>6425272</v>
      </c>
      <c r="F12" s="50">
        <f>PL_BS_CF!F69</f>
        <v>28685891</v>
      </c>
      <c r="G12" s="50">
        <v>25089989</v>
      </c>
      <c r="H12" s="50">
        <v>25089989</v>
      </c>
      <c r="I12" s="50">
        <v>25089989</v>
      </c>
      <c r="J12" s="50">
        <v>25089989</v>
      </c>
      <c r="K12" s="50">
        <v>25089989</v>
      </c>
    </row>
    <row r="13" spans="1:11" x14ac:dyDescent="0.2">
      <c r="A13" s="5" t="s">
        <v>161</v>
      </c>
      <c r="B13" s="50">
        <f>PL_BS_CF!B78</f>
        <v>3969140</v>
      </c>
      <c r="C13" s="50">
        <f>PL_BS_CF!C78</f>
        <v>6619142</v>
      </c>
      <c r="D13" s="50">
        <f>PL_BS_CF!D78</f>
        <v>8487757</v>
      </c>
      <c r="E13" s="50">
        <f>PL_BS_CF!E78</f>
        <v>6810189</v>
      </c>
      <c r="F13" s="50">
        <f>PL_BS_CF!F78</f>
        <v>22373286</v>
      </c>
      <c r="G13" s="50">
        <f>F13-G12</f>
        <v>-2716703</v>
      </c>
      <c r="H13" s="50">
        <f>G13-H12</f>
        <v>-27806692</v>
      </c>
      <c r="I13" s="50">
        <f>H13-I12</f>
        <v>-52896681</v>
      </c>
      <c r="J13" s="50">
        <f>I13-J12</f>
        <v>-77986670</v>
      </c>
      <c r="K13" s="50">
        <f>J13-K12</f>
        <v>-103076659</v>
      </c>
    </row>
    <row r="15" spans="1:11" x14ac:dyDescent="0.2">
      <c r="A15" s="11" t="s">
        <v>162</v>
      </c>
    </row>
    <row r="16" spans="1:11" x14ac:dyDescent="0.2">
      <c r="A16" s="5" t="s">
        <v>163</v>
      </c>
      <c r="G16" s="51">
        <v>0.08</v>
      </c>
      <c r="H16" s="51">
        <v>0.08</v>
      </c>
      <c r="I16" s="51">
        <v>0.08</v>
      </c>
      <c r="J16" s="51">
        <v>0.08</v>
      </c>
      <c r="K16" s="51">
        <v>0.08</v>
      </c>
    </row>
    <row r="17" spans="1:28" x14ac:dyDescent="0.2">
      <c r="A17" s="5" t="s">
        <v>169</v>
      </c>
      <c r="G17" s="52">
        <v>0.115</v>
      </c>
      <c r="H17" s="52">
        <v>0.115</v>
      </c>
      <c r="I17" s="52">
        <v>0.115</v>
      </c>
      <c r="J17" s="52">
        <v>0.115</v>
      </c>
      <c r="K17" s="52">
        <v>0.115</v>
      </c>
    </row>
    <row r="19" spans="1:28" x14ac:dyDescent="0.2">
      <c r="A19" s="11" t="s">
        <v>171</v>
      </c>
      <c r="G19" s="50">
        <f>AVERAGE(F8,G8)*G16</f>
        <v>1133173.7632150068</v>
      </c>
      <c r="H19" s="50">
        <f ca="1">AVERAGE(G8,H8)*H16</f>
        <v>1581704.1819294197</v>
      </c>
      <c r="I19" s="50">
        <f ca="1">AVERAGE(H8,I8)*I16</f>
        <v>1614368.9230757356</v>
      </c>
      <c r="J19" s="50">
        <f ca="1">AVERAGE(I8,J8)*J16</f>
        <v>2003827.9934667493</v>
      </c>
      <c r="K19" s="50">
        <f ca="1">AVERAGE(J8,K8)*K16</f>
        <v>2122705.3544216277</v>
      </c>
    </row>
    <row r="20" spans="1:28" x14ac:dyDescent="0.2">
      <c r="A20" s="11" t="s">
        <v>170</v>
      </c>
      <c r="G20" s="50">
        <f>SUM(AVERAGE(F12:F13),AVERAGE(G12:G13))*G17</f>
        <v>4222366.6225000005</v>
      </c>
      <c r="H20" s="50">
        <f>SUM(AVERAGE(G12:G13),AVERAGE(H12:H13))*H17</f>
        <v>1130253.5225</v>
      </c>
      <c r="I20" s="50">
        <f>SUM(AVERAGE(H12:H13),AVERAGE(I12:I13))*I17</f>
        <v>-1755095.2125000001</v>
      </c>
      <c r="J20" s="50">
        <f>SUM(AVERAGE(I12:I13),AVERAGE(J12:J13))*J17</f>
        <v>-4640443.9474999998</v>
      </c>
      <c r="K20" s="50">
        <f>SUM(AVERAGE(J12:J13),AVERAGE(K12:K13))*K17</f>
        <v>-7525792.6825000001</v>
      </c>
    </row>
    <row r="21" spans="1:28" ht="15" thickBot="1" x14ac:dyDescent="0.25"/>
    <row r="22" spans="1:28" s="54" customFormat="1" ht="15" thickBot="1" x14ac:dyDescent="0.25">
      <c r="A22" s="53" t="s">
        <v>172</v>
      </c>
      <c r="G22" s="55">
        <v>8491775</v>
      </c>
      <c r="H22" s="55">
        <f ca="1">SUM(H19:H20)</f>
        <v>2711957.7044294197</v>
      </c>
      <c r="I22" s="55">
        <f ca="1">SUM(I19:I20)</f>
        <v>-140726.28942426457</v>
      </c>
      <c r="J22" s="55">
        <f ca="1">SUM(J19:J20)</f>
        <v>-2636615.9540332505</v>
      </c>
      <c r="K22" s="55">
        <f ca="1">SUM(K19:K20)</f>
        <v>-5403087.3280783724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F30EB-3DD7-4DFF-AF06-6D87AB5855BF}">
  <sheetPr>
    <tabColor theme="9" tint="0.39997558519241921"/>
  </sheetPr>
  <dimension ref="A1:M15"/>
  <sheetViews>
    <sheetView showGridLines="0" zoomScale="80" zoomScaleNormal="80" workbookViewId="0">
      <selection activeCell="E28" sqref="E28"/>
    </sheetView>
  </sheetViews>
  <sheetFormatPr defaultRowHeight="14.25" x14ac:dyDescent="0.2"/>
  <cols>
    <col min="1" max="1" width="45.42578125" style="60" customWidth="1"/>
    <col min="2" max="2" width="11.7109375" style="60" customWidth="1"/>
    <col min="3" max="3" width="15.140625" style="60" customWidth="1"/>
    <col min="4" max="8" width="13.7109375" style="60" customWidth="1"/>
    <col min="9" max="9" width="17.42578125" style="60" customWidth="1"/>
    <col min="10" max="10" width="18.85546875" style="60" customWidth="1"/>
    <col min="11" max="11" width="17.42578125" style="60" customWidth="1"/>
    <col min="12" max="12" width="18.140625" style="60" customWidth="1"/>
    <col min="13" max="13" width="18.5703125" style="60" customWidth="1"/>
    <col min="14" max="16384" width="9.140625" style="60"/>
  </cols>
  <sheetData>
    <row r="1" spans="1:13" ht="16.5" thickBot="1" x14ac:dyDescent="0.3">
      <c r="A1" s="56" t="s">
        <v>174</v>
      </c>
      <c r="B1" s="57"/>
      <c r="C1" s="57"/>
      <c r="D1" s="58" t="s">
        <v>53</v>
      </c>
      <c r="E1" s="58" t="s">
        <v>54</v>
      </c>
      <c r="F1" s="58" t="s">
        <v>0</v>
      </c>
      <c r="G1" s="58" t="s">
        <v>1</v>
      </c>
      <c r="H1" s="58" t="s">
        <v>55</v>
      </c>
      <c r="I1" s="59">
        <v>1</v>
      </c>
      <c r="J1" s="59">
        <v>2</v>
      </c>
      <c r="K1" s="59">
        <v>3</v>
      </c>
      <c r="L1" s="59">
        <v>4</v>
      </c>
      <c r="M1" s="59">
        <v>5</v>
      </c>
    </row>
    <row r="2" spans="1:13" ht="15.75" x14ac:dyDescent="0.25">
      <c r="A2" s="60" t="s">
        <v>175</v>
      </c>
      <c r="D2" s="61"/>
      <c r="E2" s="61"/>
      <c r="F2" s="61"/>
      <c r="G2" s="61"/>
      <c r="H2" s="61"/>
      <c r="I2" s="62">
        <f>C6</f>
        <v>84568445</v>
      </c>
      <c r="J2" s="62">
        <f>I15</f>
        <v>83833596.450000003</v>
      </c>
      <c r="K2" s="62">
        <f>J15</f>
        <v>83846385.75</v>
      </c>
      <c r="L2" s="62">
        <f>K15</f>
        <v>84806158.799999997</v>
      </c>
      <c r="M2" s="62">
        <f>L15</f>
        <v>86965415.649999991</v>
      </c>
    </row>
    <row r="3" spans="1:13" ht="15.75" x14ac:dyDescent="0.25">
      <c r="A3" s="60" t="s">
        <v>173</v>
      </c>
      <c r="D3" s="61"/>
      <c r="E3" s="61"/>
      <c r="F3" s="61"/>
      <c r="G3" s="61"/>
      <c r="H3" s="61"/>
      <c r="I3" s="62">
        <f>C8</f>
        <v>3677446</v>
      </c>
      <c r="J3" s="62">
        <f>C9</f>
        <v>4657983</v>
      </c>
      <c r="K3" s="62">
        <f>C10</f>
        <v>5899965</v>
      </c>
      <c r="L3" s="62">
        <f>C11</f>
        <v>7473104</v>
      </c>
      <c r="M3" s="62">
        <f>C12</f>
        <v>9465696</v>
      </c>
    </row>
    <row r="4" spans="1:13" ht="16.5" thickBot="1" x14ac:dyDescent="0.3"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ht="15.75" x14ac:dyDescent="0.25">
      <c r="A5" s="60" t="s">
        <v>176</v>
      </c>
      <c r="B5" s="63" t="s">
        <v>185</v>
      </c>
      <c r="C5" s="64" t="s">
        <v>177</v>
      </c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ht="15.75" x14ac:dyDescent="0.25">
      <c r="A6" s="60" t="s">
        <v>177</v>
      </c>
      <c r="B6" s="65">
        <v>20</v>
      </c>
      <c r="C6" s="66">
        <f>PL_BS_CF!F61</f>
        <v>84568445</v>
      </c>
      <c r="D6" s="61"/>
      <c r="E6" s="61"/>
      <c r="F6" s="61"/>
      <c r="G6" s="61"/>
      <c r="H6" s="61"/>
      <c r="I6" s="62">
        <f>IF(I1&lt;=$B$6,($C$6/$B$6),0)</f>
        <v>4228422.25</v>
      </c>
      <c r="J6" s="62">
        <f>IF(I1&lt;=$B$6,($C$6/$B$6),0)</f>
        <v>4228422.25</v>
      </c>
      <c r="K6" s="62">
        <f>IF(J1&lt;=$B$6,($C$6/$B$6),0)</f>
        <v>4228422.25</v>
      </c>
      <c r="L6" s="62">
        <f>IF(K1&lt;=$B$6,($C$6/$B$6),0)</f>
        <v>4228422.25</v>
      </c>
      <c r="M6" s="62">
        <f>IF(L1&lt;=$B$6,($C$6/$B$6),0)</f>
        <v>4228422.25</v>
      </c>
    </row>
    <row r="7" spans="1:13" ht="15.75" x14ac:dyDescent="0.25">
      <c r="B7" s="65"/>
      <c r="C7" s="67" t="s">
        <v>186</v>
      </c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3" ht="15.75" x14ac:dyDescent="0.25">
      <c r="A8" s="60" t="s">
        <v>178</v>
      </c>
      <c r="B8" s="65">
        <v>20</v>
      </c>
      <c r="C8" s="66">
        <v>3677446</v>
      </c>
      <c r="D8" s="61"/>
      <c r="E8" s="61"/>
      <c r="F8" s="61"/>
      <c r="G8" s="61"/>
      <c r="H8" s="61"/>
      <c r="I8" s="68">
        <f>IF(I1&lt;=$B$8,($C$8/$B$8),0)</f>
        <v>183872.3</v>
      </c>
      <c r="J8" s="68">
        <f>IF(I1&lt;=$B$8,($C$8/$B$8),0)</f>
        <v>183872.3</v>
      </c>
      <c r="K8" s="68">
        <f>IF(J1&lt;=$B$8,($C$8/$B$8),0)</f>
        <v>183872.3</v>
      </c>
      <c r="L8" s="68">
        <f>IF(K1&lt;=$B$8,($C$8/$B$8),0)</f>
        <v>183872.3</v>
      </c>
      <c r="M8" s="68">
        <f>IF(L1&lt;=$B$8,($C$8/$B$8),0)</f>
        <v>183872.3</v>
      </c>
    </row>
    <row r="9" spans="1:13" ht="15.75" x14ac:dyDescent="0.25">
      <c r="A9" s="60" t="s">
        <v>179</v>
      </c>
      <c r="B9" s="65">
        <v>20</v>
      </c>
      <c r="C9" s="66">
        <v>4657983</v>
      </c>
      <c r="D9" s="61"/>
      <c r="E9" s="61"/>
      <c r="F9" s="61"/>
      <c r="G9" s="61"/>
      <c r="H9" s="61"/>
      <c r="I9" s="61"/>
      <c r="J9" s="62">
        <f>IF(J1&lt;=$B$9,($C$9/$B$9),0)</f>
        <v>232899.15</v>
      </c>
      <c r="K9" s="62">
        <f>IF(J1&lt;=$B$9,($C$9/$B$9),0)</f>
        <v>232899.15</v>
      </c>
      <c r="L9" s="62">
        <f>IF(K1&lt;=$B$9,($C$9/$B$9),0)</f>
        <v>232899.15</v>
      </c>
      <c r="M9" s="62">
        <f>IF(L1&lt;=$B$9,($C$9/$B$9),0)</f>
        <v>232899.15</v>
      </c>
    </row>
    <row r="10" spans="1:13" ht="15.75" x14ac:dyDescent="0.25">
      <c r="A10" s="60" t="s">
        <v>180</v>
      </c>
      <c r="B10" s="65">
        <v>20</v>
      </c>
      <c r="C10" s="66">
        <v>5899965</v>
      </c>
      <c r="D10" s="61"/>
      <c r="E10" s="61"/>
      <c r="F10" s="61"/>
      <c r="G10" s="61"/>
      <c r="H10" s="61"/>
      <c r="I10" s="61"/>
      <c r="J10" s="62"/>
      <c r="K10" s="62">
        <f>IF(K1&lt;=$B$10,($C$10/$B$10),0)</f>
        <v>294998.25</v>
      </c>
      <c r="L10" s="62">
        <f>IF(K1&lt;=$B$10,($C$10/$B$10),0)</f>
        <v>294998.25</v>
      </c>
      <c r="M10" s="62">
        <f>IF(L1&lt;=$B$10,($C$10/$B$10),0)</f>
        <v>294998.25</v>
      </c>
    </row>
    <row r="11" spans="1:13" ht="15.75" x14ac:dyDescent="0.25">
      <c r="A11" s="60" t="s">
        <v>181</v>
      </c>
      <c r="B11" s="65">
        <v>20</v>
      </c>
      <c r="C11" s="66">
        <v>7473104</v>
      </c>
      <c r="D11" s="61"/>
      <c r="E11" s="61"/>
      <c r="F11" s="61"/>
      <c r="G11" s="61"/>
      <c r="H11" s="61"/>
      <c r="I11" s="61"/>
      <c r="J11" s="62"/>
      <c r="K11" s="62"/>
      <c r="L11" s="62">
        <f>IF(L1&lt;=$B$11,($C$11/$B$11),0)</f>
        <v>373655.2</v>
      </c>
      <c r="M11" s="62">
        <f>IF(M1&lt;=$B$11,($C$11/$B$11),0)</f>
        <v>373655.2</v>
      </c>
    </row>
    <row r="12" spans="1:13" ht="16.5" thickBot="1" x14ac:dyDescent="0.3">
      <c r="A12" s="60" t="s">
        <v>182</v>
      </c>
      <c r="B12" s="65">
        <v>20</v>
      </c>
      <c r="C12" s="66">
        <v>9465696</v>
      </c>
      <c r="D12" s="61"/>
      <c r="E12" s="61"/>
      <c r="F12" s="61"/>
      <c r="G12" s="61"/>
      <c r="H12" s="61"/>
      <c r="I12" s="61"/>
      <c r="J12" s="62"/>
      <c r="K12" s="62"/>
      <c r="L12" s="62"/>
      <c r="M12" s="62">
        <f>IF(M1&lt;=$B$12,($C$12/$B$12),0)</f>
        <v>473284.8</v>
      </c>
    </row>
    <row r="13" spans="1:13" s="71" customFormat="1" ht="16.5" thickBot="1" x14ac:dyDescent="0.3">
      <c r="A13" s="56" t="s">
        <v>183</v>
      </c>
      <c r="B13" s="57"/>
      <c r="C13" s="57"/>
      <c r="D13" s="69"/>
      <c r="E13" s="69"/>
      <c r="F13" s="69"/>
      <c r="G13" s="69"/>
      <c r="H13" s="69"/>
      <c r="I13" s="70">
        <f>SUM(I6:I12)</f>
        <v>4412294.55</v>
      </c>
      <c r="J13" s="70">
        <f t="shared" ref="J13:M13" si="0">SUM(J6:J12)</f>
        <v>4645193.7</v>
      </c>
      <c r="K13" s="70">
        <f t="shared" si="0"/>
        <v>4940191.95</v>
      </c>
      <c r="L13" s="70">
        <f t="shared" si="0"/>
        <v>5313847.1500000004</v>
      </c>
      <c r="M13" s="70">
        <f t="shared" si="0"/>
        <v>5787131.9500000002</v>
      </c>
    </row>
    <row r="14" spans="1:13" ht="16.5" thickBot="1" x14ac:dyDescent="0.3">
      <c r="D14" s="61"/>
      <c r="E14" s="61"/>
      <c r="F14" s="61"/>
      <c r="G14" s="61"/>
      <c r="H14" s="61"/>
    </row>
    <row r="15" spans="1:13" s="71" customFormat="1" ht="16.5" thickBot="1" x14ac:dyDescent="0.3">
      <c r="A15" s="56" t="s">
        <v>184</v>
      </c>
      <c r="B15" s="57"/>
      <c r="C15" s="57"/>
      <c r="D15" s="69"/>
      <c r="E15" s="69"/>
      <c r="F15" s="69"/>
      <c r="G15" s="69"/>
      <c r="H15" s="69"/>
      <c r="I15" s="72">
        <f>SUM(I2:I3)-I13</f>
        <v>83833596.450000003</v>
      </c>
      <c r="J15" s="72">
        <f t="shared" ref="J15:M15" si="1">SUM(J2:J3)-J13</f>
        <v>83846385.75</v>
      </c>
      <c r="K15" s="72">
        <f t="shared" si="1"/>
        <v>84806158.799999997</v>
      </c>
      <c r="L15" s="72">
        <f t="shared" si="1"/>
        <v>86965415.649999991</v>
      </c>
      <c r="M15" s="72">
        <f t="shared" si="1"/>
        <v>90643979.699999988</v>
      </c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03AB5-1F39-49CE-8ED2-2968E17CED47}">
  <sheetPr>
    <tabColor theme="9" tint="0.59999389629810485"/>
  </sheetPr>
  <dimension ref="A1:K6"/>
  <sheetViews>
    <sheetView showGridLines="0" zoomScale="90" zoomScaleNormal="90" workbookViewId="0">
      <selection activeCell="G2" sqref="G2"/>
    </sheetView>
  </sheetViews>
  <sheetFormatPr defaultRowHeight="14.25" x14ac:dyDescent="0.2"/>
  <cols>
    <col min="1" max="1" width="28.140625" style="5" customWidth="1"/>
    <col min="2" max="5" width="15.7109375" style="5" customWidth="1"/>
    <col min="6" max="6" width="17.140625" style="5" customWidth="1"/>
    <col min="7" max="7" width="18.28515625" style="5" customWidth="1"/>
    <col min="8" max="8" width="20.140625" style="5" customWidth="1"/>
    <col min="9" max="9" width="19" style="5" customWidth="1"/>
    <col min="10" max="10" width="19.7109375" style="5" customWidth="1"/>
    <col min="11" max="11" width="20.140625" style="5" customWidth="1"/>
    <col min="12" max="16384" width="9.140625" style="5"/>
  </cols>
  <sheetData>
    <row r="1" spans="1:11" s="73" customFormat="1" ht="15" thickBot="1" x14ac:dyDescent="0.25">
      <c r="A1" s="53" t="s">
        <v>188</v>
      </c>
      <c r="B1" s="48" t="s">
        <v>53</v>
      </c>
      <c r="C1" s="48" t="s">
        <v>54</v>
      </c>
      <c r="D1" s="48" t="s">
        <v>0</v>
      </c>
      <c r="E1" s="48" t="s">
        <v>1</v>
      </c>
      <c r="F1" s="48" t="s">
        <v>55</v>
      </c>
      <c r="G1" s="48" t="s">
        <v>234</v>
      </c>
      <c r="H1" s="48" t="s">
        <v>165</v>
      </c>
      <c r="I1" s="48" t="s">
        <v>166</v>
      </c>
      <c r="J1" s="48" t="s">
        <v>167</v>
      </c>
      <c r="K1" s="48" t="s">
        <v>168</v>
      </c>
    </row>
    <row r="3" spans="1:11" x14ac:dyDescent="0.2">
      <c r="A3" s="5" t="s">
        <v>139</v>
      </c>
      <c r="B3" s="74">
        <f>PL_BS_CF!B41</f>
        <v>5726205</v>
      </c>
      <c r="C3" s="74">
        <f>PL_BS_CF!C41</f>
        <v>4284188</v>
      </c>
      <c r="D3" s="74">
        <f>PL_BS_CF!D41</f>
        <v>3838746</v>
      </c>
      <c r="E3" s="74">
        <f>PL_BS_CF!E41</f>
        <v>5261929</v>
      </c>
      <c r="F3" s="74">
        <f>PL_BS_CF!F41</f>
        <v>19319954.080118515</v>
      </c>
      <c r="G3" s="74">
        <f>PL_BS_CF!G41</f>
        <v>13032224</v>
      </c>
      <c r="H3" s="74">
        <f ca="1">PL_BS_CF!H41</f>
        <v>26514987.85789533</v>
      </c>
      <c r="I3" s="74">
        <f ca="1">PL_BS_CF!I41</f>
        <v>30128688.528953277</v>
      </c>
      <c r="J3" s="74">
        <f ca="1">PL_BS_CF!J41</f>
        <v>35182278.970251679</v>
      </c>
      <c r="K3" s="74">
        <f ca="1">PL_BS_CF!K41</f>
        <v>41530115.293870896</v>
      </c>
    </row>
    <row r="4" spans="1:11" x14ac:dyDescent="0.2">
      <c r="A4" s="5" t="s">
        <v>189</v>
      </c>
      <c r="B4" s="51">
        <f>PL_BS_CF!B155</f>
        <v>-0.2619535975397318</v>
      </c>
      <c r="C4" s="51">
        <f>PL_BS_CF!C155</f>
        <v>-0.46683292143108568</v>
      </c>
      <c r="D4" s="51">
        <f>PL_BS_CF!D155</f>
        <v>-0.52100347353015808</v>
      </c>
      <c r="E4" s="51">
        <f>PL_BS_CF!E155</f>
        <v>-0.38008874692151873</v>
      </c>
      <c r="F4" s="51">
        <f>PL_BS_CF!F155</f>
        <v>-0.15527987217563807</v>
      </c>
      <c r="G4" s="51">
        <f>AVERAGE($B$4:$F$4)</f>
        <v>-0.35703172231962643</v>
      </c>
      <c r="H4" s="51">
        <f t="shared" ref="H4:K4" si="0">AVERAGE($B$4:$F$4)</f>
        <v>-0.35703172231962643</v>
      </c>
      <c r="I4" s="51">
        <f t="shared" si="0"/>
        <v>-0.35703172231962643</v>
      </c>
      <c r="J4" s="51">
        <f t="shared" si="0"/>
        <v>-0.35703172231962643</v>
      </c>
      <c r="K4" s="51">
        <f t="shared" si="0"/>
        <v>-0.35703172231962643</v>
      </c>
    </row>
    <row r="5" spans="1:11" ht="15" thickBot="1" x14ac:dyDescent="0.25"/>
    <row r="6" spans="1:11" s="73" customFormat="1" ht="15" thickBot="1" x14ac:dyDescent="0.25">
      <c r="A6" s="53" t="s">
        <v>190</v>
      </c>
      <c r="G6" s="75">
        <f>G3*G4</f>
        <v>-4652917.3803751711</v>
      </c>
      <c r="H6" s="75">
        <f t="shared" ref="H6:K6" ca="1" si="1">H3*H4</f>
        <v>-9466691.7821883522</v>
      </c>
      <c r="I6" s="75">
        <f t="shared" ca="1" si="1"/>
        <v>-10756897.55672376</v>
      </c>
      <c r="J6" s="75">
        <f t="shared" ca="1" si="1"/>
        <v>-12561189.655878531</v>
      </c>
      <c r="K6" s="75">
        <f t="shared" ca="1" si="1"/>
        <v>-14827568.591503385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F85BC-05FB-4E08-9A29-A89C746FBD55}">
  <sheetPr>
    <tabColor theme="9" tint="0.59999389629810485"/>
  </sheetPr>
  <dimension ref="B1:L20"/>
  <sheetViews>
    <sheetView showGridLines="0" workbookViewId="0">
      <selection activeCell="H21" sqref="H21"/>
    </sheetView>
  </sheetViews>
  <sheetFormatPr defaultRowHeight="14.25" x14ac:dyDescent="0.2"/>
  <cols>
    <col min="1" max="4" width="9.140625" style="60"/>
    <col min="5" max="5" width="10.140625" style="60" bestFit="1" customWidth="1"/>
    <col min="6" max="6" width="9.140625" style="60"/>
    <col min="7" max="7" width="12.140625" style="60" bestFit="1" customWidth="1"/>
    <col min="8" max="10" width="9.140625" style="60"/>
    <col min="11" max="11" width="10" style="108" bestFit="1" customWidth="1"/>
    <col min="12" max="16384" width="9.140625" style="60"/>
  </cols>
  <sheetData>
    <row r="1" spans="2:11" ht="15" thickBot="1" x14ac:dyDescent="0.25">
      <c r="B1" s="76" t="s">
        <v>196</v>
      </c>
      <c r="C1" s="77"/>
      <c r="D1" s="77"/>
      <c r="E1" s="77"/>
      <c r="F1" s="78"/>
    </row>
    <row r="3" spans="2:11" x14ac:dyDescent="0.2">
      <c r="B3" s="79" t="s">
        <v>197</v>
      </c>
      <c r="C3" s="79"/>
      <c r="D3" s="79"/>
      <c r="E3" s="79"/>
      <c r="G3" s="80">
        <f>E13*E11+K13*K9</f>
        <v>0.11216864999999999</v>
      </c>
    </row>
    <row r="5" spans="2:11" ht="15" thickBot="1" x14ac:dyDescent="0.25">
      <c r="B5" s="79" t="s">
        <v>198</v>
      </c>
      <c r="C5" s="79"/>
      <c r="D5" s="79"/>
      <c r="E5" s="79"/>
      <c r="G5" s="79"/>
      <c r="H5" s="79" t="s">
        <v>199</v>
      </c>
      <c r="I5" s="79"/>
      <c r="J5" s="79"/>
    </row>
    <row r="6" spans="2:11" x14ac:dyDescent="0.2">
      <c r="B6" s="60" t="s">
        <v>200</v>
      </c>
      <c r="E6" s="113">
        <v>0.115</v>
      </c>
      <c r="G6" s="60" t="s">
        <v>199</v>
      </c>
      <c r="K6" s="109">
        <v>0.15</v>
      </c>
    </row>
    <row r="7" spans="2:11" ht="15" thickBot="1" x14ac:dyDescent="0.25">
      <c r="B7" s="60" t="s">
        <v>201</v>
      </c>
      <c r="E7" s="110">
        <v>0.16</v>
      </c>
      <c r="G7" s="60" t="s">
        <v>204</v>
      </c>
      <c r="K7" s="110">
        <v>0.34</v>
      </c>
    </row>
    <row r="8" spans="2:11" ht="15" thickBot="1" x14ac:dyDescent="0.25">
      <c r="E8" s="108"/>
    </row>
    <row r="9" spans="2:11" ht="15" thickBot="1" x14ac:dyDescent="0.25">
      <c r="B9" s="60" t="s">
        <v>202</v>
      </c>
      <c r="E9" s="114">
        <v>0.03</v>
      </c>
      <c r="G9" s="60" t="s">
        <v>205</v>
      </c>
      <c r="K9" s="111">
        <f>K6*(1-K7)</f>
        <v>9.8999999999999991E-2</v>
      </c>
    </row>
    <row r="10" spans="2:11" x14ac:dyDescent="0.2">
      <c r="E10" s="108"/>
    </row>
    <row r="11" spans="2:11" x14ac:dyDescent="0.2">
      <c r="B11" s="60" t="s">
        <v>198</v>
      </c>
      <c r="E11" s="115">
        <f>E6+(E7-E6)*E9</f>
        <v>0.11635000000000001</v>
      </c>
    </row>
    <row r="12" spans="2:11" ht="15" thickBot="1" x14ac:dyDescent="0.25">
      <c r="E12" s="108"/>
    </row>
    <row r="13" spans="2:11" ht="15" thickBot="1" x14ac:dyDescent="0.25">
      <c r="B13" s="82" t="s">
        <v>203</v>
      </c>
      <c r="E13" s="112">
        <f>1-K13</f>
        <v>0.7589999999999999</v>
      </c>
      <c r="G13" s="82" t="s">
        <v>206</v>
      </c>
      <c r="K13" s="112">
        <f>K7-K9</f>
        <v>0.24100000000000005</v>
      </c>
    </row>
    <row r="19" spans="3:12" x14ac:dyDescent="0.2">
      <c r="C19" s="81"/>
    </row>
    <row r="20" spans="3:12" x14ac:dyDescent="0.2">
      <c r="L20" s="81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428A5-8409-46B7-9146-12A530D91491}">
  <sheetPr>
    <tabColor theme="9" tint="0.79998168889431442"/>
  </sheetPr>
  <dimension ref="A1:N36"/>
  <sheetViews>
    <sheetView showGridLines="0" zoomScale="80" zoomScaleNormal="80" workbookViewId="0">
      <selection activeCell="E32" sqref="E32"/>
    </sheetView>
  </sheetViews>
  <sheetFormatPr defaultRowHeight="14.25" x14ac:dyDescent="0.2"/>
  <cols>
    <col min="1" max="5" width="9.140625" style="5"/>
    <col min="6" max="6" width="19.7109375" style="5" customWidth="1"/>
    <col min="7" max="7" width="9.140625" style="5"/>
    <col min="8" max="8" width="20.28515625" style="5" customWidth="1"/>
    <col min="9" max="9" width="21" style="5" customWidth="1"/>
    <col min="10" max="10" width="22.7109375" style="5" customWidth="1"/>
    <col min="11" max="11" width="21" style="5" customWidth="1"/>
    <col min="12" max="12" width="21.7109375" style="5" customWidth="1"/>
    <col min="13" max="13" width="24.7109375" style="5" customWidth="1"/>
    <col min="14" max="14" width="25.85546875" style="5" customWidth="1"/>
    <col min="15" max="16384" width="9.140625" style="5"/>
  </cols>
  <sheetData>
    <row r="1" spans="1:12" s="11" customFormat="1" x14ac:dyDescent="0.2">
      <c r="A1" s="11" t="s">
        <v>207</v>
      </c>
      <c r="H1" s="83" t="s">
        <v>164</v>
      </c>
      <c r="I1" s="83" t="s">
        <v>165</v>
      </c>
      <c r="J1" s="83" t="s">
        <v>166</v>
      </c>
      <c r="K1" s="83" t="s">
        <v>167</v>
      </c>
      <c r="L1" s="83" t="s">
        <v>168</v>
      </c>
    </row>
    <row r="2" spans="1:12" x14ac:dyDescent="0.2">
      <c r="A2" s="5" t="s">
        <v>208</v>
      </c>
      <c r="H2" s="50">
        <f>PL_BS_CF!G31</f>
        <v>28269552</v>
      </c>
      <c r="I2" s="50">
        <f>PL_BS_CF!H31</f>
        <v>37758013.153830305</v>
      </c>
      <c r="J2" s="50">
        <f>PL_BS_CF!I31</f>
        <v>46126911.30767297</v>
      </c>
      <c r="K2" s="50">
        <f>PL_BS_CF!J31</f>
        <v>56336967.05536101</v>
      </c>
      <c r="L2" s="50">
        <f>PL_BS_CF!K31</f>
        <v>68793235.067540437</v>
      </c>
    </row>
    <row r="3" spans="1:12" x14ac:dyDescent="0.2">
      <c r="A3" s="5" t="s">
        <v>209</v>
      </c>
      <c r="H3" s="50">
        <f>H2*H4</f>
        <v>-9750021.019152157</v>
      </c>
      <c r="I3" s="50">
        <f t="shared" ref="I3:L3" si="0">I2*I4</f>
        <v>-13022541.775379712</v>
      </c>
      <c r="J3" s="50">
        <f t="shared" si="0"/>
        <v>-15908931.093014093</v>
      </c>
      <c r="K3" s="50">
        <f t="shared" si="0"/>
        <v>-19430326.060528032</v>
      </c>
      <c r="L3" s="50">
        <f t="shared" si="0"/>
        <v>-23726427.920895047</v>
      </c>
    </row>
    <row r="4" spans="1:12" x14ac:dyDescent="0.2">
      <c r="A4" s="84" t="s">
        <v>210</v>
      </c>
      <c r="H4" s="51">
        <f>PL_BS_CF!G40</f>
        <v>-0.34489478358737896</v>
      </c>
      <c r="I4" s="51">
        <f>PL_BS_CF!H40</f>
        <v>-0.34489478358737896</v>
      </c>
      <c r="J4" s="51">
        <f>PL_BS_CF!I40</f>
        <v>-0.34489478358737896</v>
      </c>
      <c r="K4" s="51">
        <f>PL_BS_CF!J40</f>
        <v>-0.34489478358737896</v>
      </c>
      <c r="L4" s="51">
        <f>PL_BS_CF!K40</f>
        <v>-0.34489478358737896</v>
      </c>
    </row>
    <row r="5" spans="1:12" s="85" customFormat="1" x14ac:dyDescent="0.2">
      <c r="A5" s="85" t="s">
        <v>214</v>
      </c>
      <c r="H5" s="86">
        <f>SUM(H2:H3)</f>
        <v>18519530.980847843</v>
      </c>
      <c r="I5" s="86">
        <f t="shared" ref="I5:L5" si="1">SUM(I2:I3)</f>
        <v>24735471.378450595</v>
      </c>
      <c r="J5" s="86">
        <f t="shared" si="1"/>
        <v>30217980.214658879</v>
      </c>
      <c r="K5" s="86">
        <f t="shared" si="1"/>
        <v>36906640.994832978</v>
      </c>
      <c r="L5" s="86">
        <f t="shared" si="1"/>
        <v>45066807.146645389</v>
      </c>
    </row>
    <row r="7" spans="1:12" x14ac:dyDescent="0.2">
      <c r="A7" s="11" t="s">
        <v>215</v>
      </c>
    </row>
    <row r="8" spans="1:12" x14ac:dyDescent="0.2">
      <c r="A8" s="5" t="s">
        <v>216</v>
      </c>
      <c r="H8" s="50">
        <f>PL_BS_CF!G45</f>
        <v>4412294.55</v>
      </c>
      <c r="I8" s="50">
        <f>PL_BS_CF!H45</f>
        <v>4645193.7</v>
      </c>
      <c r="J8" s="50">
        <f>PL_BS_CF!I45</f>
        <v>4940191.95</v>
      </c>
      <c r="K8" s="50">
        <f>PL_BS_CF!J45</f>
        <v>5313847.1500000004</v>
      </c>
      <c r="L8" s="50">
        <f>PL_BS_CF!K45</f>
        <v>5787131.9500000002</v>
      </c>
    </row>
    <row r="10" spans="1:12" x14ac:dyDescent="0.2">
      <c r="A10" s="11" t="s">
        <v>217</v>
      </c>
    </row>
    <row r="11" spans="1:12" x14ac:dyDescent="0.2">
      <c r="A11" s="5" t="s">
        <v>211</v>
      </c>
      <c r="H11" s="74">
        <f>PL_BS_CF!G176</f>
        <v>-3677446</v>
      </c>
      <c r="I11" s="74">
        <f>PL_BS_CF!H176</f>
        <v>-4657983</v>
      </c>
      <c r="J11" s="74">
        <f>PL_BS_CF!I176</f>
        <v>-5899965</v>
      </c>
      <c r="K11" s="74">
        <f>PL_BS_CF!J176</f>
        <v>-7473104</v>
      </c>
      <c r="L11" s="74">
        <f>PL_BS_CF!K176</f>
        <v>-9465696</v>
      </c>
    </row>
    <row r="12" spans="1:12" x14ac:dyDescent="0.2">
      <c r="A12" s="5" t="s">
        <v>212</v>
      </c>
      <c r="H12" s="74">
        <f>SUM(PL_BS_CF!G170:G172)</f>
        <v>-17816440</v>
      </c>
      <c r="I12" s="74">
        <f>SUM(PL_BS_CF!H170:H172)</f>
        <v>6281539.3368078731</v>
      </c>
      <c r="J12" s="74">
        <f>SUM(PL_BS_CF!I170:I172)</f>
        <v>1546306.3740977347</v>
      </c>
      <c r="K12" s="74">
        <f>SUM(PL_BS_CF!J170:J172)</f>
        <v>1886493.7763992399</v>
      </c>
      <c r="L12" s="74">
        <f>SUM(PL_BS_CF!K170:K172)</f>
        <v>2301522.4072070606</v>
      </c>
    </row>
    <row r="14" spans="1:12" s="85" customFormat="1" x14ac:dyDescent="0.2">
      <c r="A14" s="85" t="s">
        <v>213</v>
      </c>
      <c r="H14" s="87">
        <f>H5+H8+H11+H12</f>
        <v>1437939.5308478437</v>
      </c>
      <c r="I14" s="87">
        <f>I5+I8+I11+I12</f>
        <v>31004221.415258467</v>
      </c>
      <c r="J14" s="87">
        <f>J5+J8+J11+J12</f>
        <v>30804513.538756616</v>
      </c>
      <c r="K14" s="87">
        <f>K5+K8+K11+K12</f>
        <v>36633877.921232216</v>
      </c>
      <c r="L14" s="87">
        <f>L5+L8+L11+L12</f>
        <v>43689765.503852457</v>
      </c>
    </row>
    <row r="15" spans="1:12" ht="15" thickBot="1" x14ac:dyDescent="0.25"/>
    <row r="16" spans="1:12" s="73" customFormat="1" ht="15" thickBot="1" x14ac:dyDescent="0.25">
      <c r="A16" s="53" t="s">
        <v>191</v>
      </c>
      <c r="H16" s="88" t="str">
        <f>H1</f>
        <v>2022F</v>
      </c>
      <c r="I16" s="88" t="str">
        <f t="shared" ref="I16:L16" si="2">I1</f>
        <v>2023F</v>
      </c>
      <c r="J16" s="88" t="str">
        <f t="shared" si="2"/>
        <v>2024F</v>
      </c>
      <c r="K16" s="88" t="str">
        <f t="shared" si="2"/>
        <v>2025F</v>
      </c>
      <c r="L16" s="88" t="str">
        <f t="shared" si="2"/>
        <v>2026F</v>
      </c>
    </row>
    <row r="17" spans="1:14" x14ac:dyDescent="0.2">
      <c r="H17" s="89">
        <v>1</v>
      </c>
      <c r="I17" s="89">
        <v>2</v>
      </c>
      <c r="J17" s="89">
        <v>3</v>
      </c>
      <c r="K17" s="89">
        <v>4</v>
      </c>
      <c r="L17" s="89">
        <v>5</v>
      </c>
    </row>
    <row r="19" spans="1:14" ht="15" thickBot="1" x14ac:dyDescent="0.25">
      <c r="A19" s="11" t="s">
        <v>218</v>
      </c>
      <c r="H19" s="90">
        <f>1/((1+WACC!$G$3))^H17</f>
        <v>0.89914420802996009</v>
      </c>
      <c r="I19" s="90">
        <f>1/((1+WACC!$G$3))^I17</f>
        <v>0.8084603068338243</v>
      </c>
      <c r="J19" s="90">
        <f>1/((1+WACC!$G$3))^J17</f>
        <v>0.72692240231175753</v>
      </c>
      <c r="K19" s="90">
        <f>1/((1+WACC!$G$3))^K17</f>
        <v>0.65360806772584135</v>
      </c>
      <c r="L19" s="90">
        <f>1/((1+WACC!$G$3))^L17</f>
        <v>0.58768790841734408</v>
      </c>
    </row>
    <row r="20" spans="1:14" s="73" customFormat="1" ht="15" thickBot="1" x14ac:dyDescent="0.25">
      <c r="A20" s="53" t="s">
        <v>192</v>
      </c>
      <c r="H20" s="75">
        <f>H19*H14</f>
        <v>1292915.0006591568</v>
      </c>
      <c r="I20" s="75">
        <f t="shared" ref="I20:L20" si="3">I19*I14</f>
        <v>25065682.358523685</v>
      </c>
      <c r="J20" s="75">
        <f t="shared" si="3"/>
        <v>22392490.983638018</v>
      </c>
      <c r="K20" s="75">
        <f t="shared" si="3"/>
        <v>23944198.161400951</v>
      </c>
      <c r="L20" s="75">
        <f t="shared" si="3"/>
        <v>25675946.908203281</v>
      </c>
    </row>
    <row r="21" spans="1:14" ht="15" thickBot="1" x14ac:dyDescent="0.25"/>
    <row r="22" spans="1:14" s="73" customFormat="1" ht="15" thickBot="1" x14ac:dyDescent="0.25">
      <c r="A22" s="53" t="s">
        <v>219</v>
      </c>
    </row>
    <row r="23" spans="1:14" ht="15" thickBot="1" x14ac:dyDescent="0.25"/>
    <row r="24" spans="1:14" ht="15" thickBot="1" x14ac:dyDescent="0.25">
      <c r="A24" s="5" t="s">
        <v>220</v>
      </c>
      <c r="E24" s="91">
        <v>3.0300000000000001E-2</v>
      </c>
    </row>
    <row r="25" spans="1:14" ht="15" thickBot="1" x14ac:dyDescent="0.25">
      <c r="M25" s="92" t="s">
        <v>227</v>
      </c>
      <c r="N25" s="49" t="s">
        <v>226</v>
      </c>
    </row>
    <row r="26" spans="1:14" x14ac:dyDescent="0.2">
      <c r="A26" s="11" t="s">
        <v>221</v>
      </c>
      <c r="C26" s="93">
        <f>WACC!G3</f>
        <v>0.11216864999999999</v>
      </c>
      <c r="F26" s="83" t="s">
        <v>222</v>
      </c>
      <c r="H26" s="94" t="s">
        <v>193</v>
      </c>
      <c r="I26" s="94"/>
      <c r="J26" s="83" t="s">
        <v>223</v>
      </c>
      <c r="M26" s="95">
        <f>J27*1000</f>
        <v>421497706116.22369</v>
      </c>
      <c r="N26" s="95">
        <f>N34</f>
        <v>133000000000</v>
      </c>
    </row>
    <row r="27" spans="1:14" x14ac:dyDescent="0.2">
      <c r="F27" s="50">
        <f>SUM(H20,I20,J20,K20,L20)</f>
        <v>98371233.412425101</v>
      </c>
      <c r="G27" s="96" t="s">
        <v>194</v>
      </c>
      <c r="H27" s="50">
        <f>(L14*(1+E24))/(C26-E24)*L19</f>
        <v>323126472.70379859</v>
      </c>
      <c r="I27" s="5" t="s">
        <v>195</v>
      </c>
      <c r="J27" s="50">
        <f>SUM(F27,H27)</f>
        <v>421497706.11622369</v>
      </c>
      <c r="M27" s="97">
        <f>M26/1000000000</f>
        <v>421.4977061162237</v>
      </c>
      <c r="N27" s="95">
        <f>N26/1000000000</f>
        <v>133</v>
      </c>
    </row>
    <row r="28" spans="1:14" ht="15" thickBot="1" x14ac:dyDescent="0.25"/>
    <row r="29" spans="1:14" s="73" customFormat="1" ht="15" thickBot="1" x14ac:dyDescent="0.25">
      <c r="A29" s="53" t="s">
        <v>224</v>
      </c>
    </row>
    <row r="30" spans="1:14" ht="15" thickBot="1" x14ac:dyDescent="0.25"/>
    <row r="31" spans="1:14" ht="15" thickBot="1" x14ac:dyDescent="0.25">
      <c r="A31" s="5" t="s">
        <v>225</v>
      </c>
      <c r="E31" s="98">
        <v>6</v>
      </c>
    </row>
    <row r="32" spans="1:14" ht="15" thickBot="1" x14ac:dyDescent="0.25"/>
    <row r="33" spans="1:14" ht="15" thickBot="1" x14ac:dyDescent="0.25">
      <c r="A33" s="5" t="s">
        <v>221</v>
      </c>
      <c r="C33" s="99">
        <f>C26</f>
        <v>0.11216864999999999</v>
      </c>
      <c r="F33" s="83" t="s">
        <v>222</v>
      </c>
      <c r="H33" s="94" t="s">
        <v>193</v>
      </c>
      <c r="I33" s="94"/>
      <c r="J33" s="83" t="s">
        <v>223</v>
      </c>
      <c r="M33" s="92" t="s">
        <v>134</v>
      </c>
      <c r="N33" s="49" t="s">
        <v>226</v>
      </c>
    </row>
    <row r="34" spans="1:14" x14ac:dyDescent="0.2">
      <c r="F34" s="50">
        <f>F27</f>
        <v>98371233.412425101</v>
      </c>
      <c r="G34" s="96" t="s">
        <v>194</v>
      </c>
      <c r="I34" s="50">
        <f>((L2+L8)*E31)*L19</f>
        <v>262979879.40921727</v>
      </c>
      <c r="J34" s="50">
        <f>SUM(F34,I34)</f>
        <v>361351112.8216424</v>
      </c>
      <c r="L34" s="50"/>
      <c r="M34" s="95">
        <f>J34*1000</f>
        <v>361351112821.6424</v>
      </c>
      <c r="N34" s="95">
        <f>133*1000000000</f>
        <v>133000000000</v>
      </c>
    </row>
    <row r="35" spans="1:14" x14ac:dyDescent="0.2">
      <c r="M35" s="95">
        <f>M34/1000000000</f>
        <v>361.3511128216424</v>
      </c>
      <c r="N35" s="95">
        <f>N34/1000000000</f>
        <v>133</v>
      </c>
    </row>
    <row r="36" spans="1:14" x14ac:dyDescent="0.2">
      <c r="M36" s="83" t="s">
        <v>229</v>
      </c>
      <c r="N36" s="83" t="s">
        <v>228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Growth</vt:lpstr>
      <vt:lpstr>PL_BS_CF</vt:lpstr>
      <vt:lpstr>DEBT SCHEDULE</vt:lpstr>
      <vt:lpstr>PPE SCHEDULE</vt:lpstr>
      <vt:lpstr>DIVIDEND SCHEDULE</vt:lpstr>
      <vt:lpstr>WACC</vt:lpstr>
      <vt:lpstr>DCF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Nengi</cp:lastModifiedBy>
  <dcterms:created xsi:type="dcterms:W3CDTF">2022-03-01T10:50:20Z</dcterms:created>
  <dcterms:modified xsi:type="dcterms:W3CDTF">2023-08-18T10:32:22Z</dcterms:modified>
</cp:coreProperties>
</file>