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lcome\OneDrive\Financial Models\Siemens AG\"/>
    </mc:Choice>
  </mc:AlternateContent>
  <xr:revisionPtr revIDLastSave="2" documentId="13_ncr:1_{96C93D08-52BA-43DC-AF70-1ACD5AF473CD}" xr6:coauthVersionLast="41" xr6:coauthVersionMax="41" xr10:uidLastSave="{A172C038-484A-4A65-8B06-F18B545B9299}"/>
  <bookViews>
    <workbookView xWindow="-120" yWindow="-120" windowWidth="20730" windowHeight="11160" firstSheet="8" activeTab="11" xr2:uid="{A29BB360-A584-493C-A590-0DDF3D93660E}"/>
  </bookViews>
  <sheets>
    <sheet name="Valuation Summary" sheetId="1" r:id="rId1"/>
    <sheet name="Income Statement" sheetId="2" r:id="rId2"/>
    <sheet name="Balance sheet" sheetId="4" r:id="rId3"/>
    <sheet name="Cash Flow Statement" sheetId="10" r:id="rId4"/>
    <sheet name="DCF" sheetId="15" r:id="rId5"/>
    <sheet name="Beta Calc" sheetId="13" r:id="rId6"/>
    <sheet name="Working Capital" sheetId="5" r:id="rId7"/>
    <sheet name="PPE &amp; Intangible Assets" sheetId="6" r:id="rId8"/>
    <sheet name="Other Assets,liabilities &amp; Tax" sheetId="7" r:id="rId9"/>
    <sheet name="Debt Schedule" sheetId="8" r:id="rId10"/>
    <sheet name="Equity Schedule" sheetId="9" r:id="rId11"/>
    <sheet name="Ratio Analysis" sheetId="11" r:id="rId12"/>
  </sheets>
  <externalReferences>
    <externalReference r:id="rId13"/>
    <externalReference r:id="rId14"/>
  </externalReferences>
  <definedNames>
    <definedName name="CIQWBGuid" hidden="1">"a611639b-bab1-425e-aaa5-008c326fdfdb"</definedName>
    <definedName name="Inv_Cap">[1]Results!$E$182:$AD$182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41451.5654050926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NOPLAT">[1]Results!$E$145:$AD$145</definedName>
    <definedName name="One">'[1]Forecast Drivers'!$D$330</definedName>
    <definedName name="_xlnm.Print_Area" localSheetId="2">'Balance sheet'!$B$2:$Q$60</definedName>
    <definedName name="_xlnm.Print_Area" localSheetId="3">'Cash Flow Statement'!$B$2:$P$43</definedName>
    <definedName name="_xlnm.Print_Area" localSheetId="9">'Debt Schedule'!$A$1:$N$31</definedName>
    <definedName name="_xlnm.Print_Area" localSheetId="10">'Equity Schedule'!$A$1:$N$37</definedName>
    <definedName name="_xlnm.Print_Area" localSheetId="1">'Income Statement'!$B$2:$R$144</definedName>
    <definedName name="_xlnm.Print_Area" localSheetId="8">'Other Assets,liabilities &amp; Tax'!$A$1:$N$70</definedName>
    <definedName name="_xlnm.Print_Area" localSheetId="7">'PPE &amp; Intangible Assets'!$A$1:$L$41</definedName>
    <definedName name="_xlnm.Print_Area" localSheetId="11">'Ratio Analysis'!$A$1:$N$31</definedName>
    <definedName name="_xlnm.Print_Area" localSheetId="0">'Valuation Summary'!$B$2:$O$42</definedName>
    <definedName name="_xlnm.Print_Area" localSheetId="6">'Working Capital'!$A$1:$N$30</definedName>
    <definedName name="Products">[2]Array0!$B$5:$C$7</definedName>
    <definedName name="Rev">'[1]Forecast Drivers'!$E$25:$S$25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6" i="15" l="1"/>
  <c r="H14" i="6" l="1"/>
  <c r="I14" i="6"/>
  <c r="J14" i="6" s="1"/>
  <c r="K14" i="6" s="1"/>
  <c r="M84" i="2"/>
  <c r="M82" i="2"/>
  <c r="N81" i="2"/>
  <c r="M81" i="2"/>
  <c r="M80" i="2"/>
  <c r="N80" i="2" s="1"/>
  <c r="M79" i="2"/>
  <c r="M78" i="2"/>
  <c r="N77" i="2"/>
  <c r="M77" i="2"/>
  <c r="M76" i="2"/>
  <c r="N76" i="2" s="1"/>
  <c r="M75" i="2"/>
  <c r="O76" i="2" l="1"/>
  <c r="O82" i="2"/>
  <c r="O80" i="2"/>
  <c r="O75" i="2"/>
  <c r="O78" i="2"/>
  <c r="O77" i="2"/>
  <c r="N78" i="2"/>
  <c r="O81" i="2"/>
  <c r="N82" i="2"/>
  <c r="N75" i="2"/>
  <c r="N79" i="2"/>
  <c r="N84" i="2"/>
  <c r="Q80" i="2" l="1"/>
  <c r="Q76" i="2"/>
  <c r="P78" i="2"/>
  <c r="Q78" i="2" s="1"/>
  <c r="Q75" i="2"/>
  <c r="P80" i="2"/>
  <c r="P76" i="2"/>
  <c r="P75" i="2"/>
  <c r="Q77" i="2"/>
  <c r="P77" i="2"/>
  <c r="Q82" i="2"/>
  <c r="P82" i="2"/>
  <c r="P81" i="2"/>
  <c r="Q81" i="2" s="1"/>
  <c r="O84" i="2"/>
  <c r="O79" i="2"/>
  <c r="P79" i="2" l="1"/>
  <c r="Q79" i="2" s="1"/>
  <c r="P84" i="2"/>
  <c r="Q84" i="2" s="1"/>
  <c r="C91" i="15" l="1"/>
  <c r="C90" i="15"/>
  <c r="G88" i="15"/>
  <c r="H88" i="15" s="1"/>
  <c r="J55" i="15"/>
  <c r="I55" i="15"/>
  <c r="C55" i="15"/>
  <c r="C54" i="15"/>
  <c r="C53" i="15"/>
  <c r="J67" i="15"/>
  <c r="F16" i="15"/>
  <c r="E20" i="15"/>
  <c r="D20" i="15"/>
  <c r="C20" i="15"/>
  <c r="G30" i="15"/>
  <c r="H30" i="15"/>
  <c r="I30" i="15"/>
  <c r="J30" i="15"/>
  <c r="F30" i="15"/>
  <c r="G29" i="15"/>
  <c r="H29" i="15"/>
  <c r="I29" i="15"/>
  <c r="J29" i="15"/>
  <c r="F29" i="15"/>
  <c r="G21" i="15"/>
  <c r="H21" i="15"/>
  <c r="I21" i="15"/>
  <c r="J21" i="15"/>
  <c r="F21" i="15"/>
  <c r="D19" i="15"/>
  <c r="C19" i="15"/>
  <c r="E19" i="15"/>
  <c r="D18" i="15"/>
  <c r="C18" i="15"/>
  <c r="E18" i="15"/>
  <c r="C11" i="15"/>
  <c r="C58" i="15" s="1"/>
  <c r="C10" i="15"/>
  <c r="C9" i="15"/>
  <c r="C8" i="15"/>
  <c r="E16" i="15"/>
  <c r="D16" i="15" s="1"/>
  <c r="C16" i="15" s="1"/>
  <c r="C7" i="15"/>
  <c r="C6" i="15"/>
  <c r="B2" i="15" s="1"/>
  <c r="J69" i="15"/>
  <c r="I57" i="15"/>
  <c r="J57" i="15" s="1"/>
  <c r="J63" i="15"/>
  <c r="J64" i="15" s="1"/>
  <c r="C60" i="15"/>
  <c r="C59" i="15"/>
  <c r="C61" i="15" s="1"/>
  <c r="E15" i="15"/>
  <c r="D15" i="15" s="1"/>
  <c r="C15" i="15" s="1"/>
  <c r="G7" i="13"/>
  <c r="B9" i="13" s="1"/>
  <c r="G6" i="13"/>
  <c r="G5" i="13"/>
  <c r="G4" i="13"/>
  <c r="F9" i="13"/>
  <c r="E9" i="13"/>
  <c r="F4" i="13"/>
  <c r="E18" i="13"/>
  <c r="D18" i="13"/>
  <c r="C18" i="13"/>
  <c r="B18" i="13"/>
  <c r="E24" i="13"/>
  <c r="D24" i="13"/>
  <c r="C24" i="13"/>
  <c r="B24" i="13"/>
  <c r="F5" i="13" s="1"/>
  <c r="E30" i="13"/>
  <c r="D30" i="13"/>
  <c r="C30" i="13"/>
  <c r="B30" i="13"/>
  <c r="F6" i="13" s="1"/>
  <c r="F36" i="15" l="1"/>
  <c r="F37" i="15" s="1"/>
  <c r="I73" i="15"/>
  <c r="G16" i="15"/>
  <c r="H16" i="15" s="1"/>
  <c r="I16" i="15" s="1"/>
  <c r="J16" i="15" s="1"/>
  <c r="J36" i="15" s="1"/>
  <c r="E88" i="15"/>
  <c r="D88" i="15" s="1"/>
  <c r="C92" i="15"/>
  <c r="C93" i="15" s="1"/>
  <c r="I74" i="15"/>
  <c r="F15" i="15"/>
  <c r="G15" i="15" s="1"/>
  <c r="H15" i="15" s="1"/>
  <c r="I15" i="15" s="1"/>
  <c r="J15" i="15" s="1"/>
  <c r="F81" i="15"/>
  <c r="C63" i="15" s="1"/>
  <c r="I36" i="15" l="1"/>
  <c r="H36" i="15"/>
  <c r="J73" i="15"/>
  <c r="J74" i="15" s="1"/>
  <c r="G36" i="15"/>
  <c r="G37" i="15" s="1"/>
  <c r="C12" i="15" l="1"/>
  <c r="H37" i="15"/>
  <c r="I37" i="15"/>
  <c r="J37" i="15"/>
  <c r="C126" i="2" l="1"/>
  <c r="C125" i="2"/>
  <c r="N51" i="2"/>
  <c r="O51" i="2"/>
  <c r="P51" i="2"/>
  <c r="Q51" i="2"/>
  <c r="M51" i="2"/>
  <c r="L115" i="2"/>
  <c r="K115" i="2" s="1"/>
  <c r="J115" i="2" s="1"/>
  <c r="M115" i="2" l="1"/>
  <c r="N115" i="2" s="1"/>
  <c r="O115" i="2" s="1"/>
  <c r="P115" i="2" s="1"/>
  <c r="Q115" i="2" s="1"/>
  <c r="G30" i="11" l="1"/>
  <c r="H30" i="11"/>
  <c r="G27" i="11"/>
  <c r="H27" i="11"/>
  <c r="G26" i="11"/>
  <c r="H26" i="11"/>
  <c r="G25" i="11"/>
  <c r="H25" i="11"/>
  <c r="G21" i="11"/>
  <c r="G20" i="11"/>
  <c r="H21" i="11"/>
  <c r="H20" i="11"/>
  <c r="G9" i="11"/>
  <c r="H9" i="11"/>
  <c r="G8" i="11"/>
  <c r="G7" i="11"/>
  <c r="H8" i="11"/>
  <c r="H7" i="11"/>
  <c r="L94" i="2" l="1"/>
  <c r="L93" i="2"/>
  <c r="K95" i="2"/>
  <c r="L92" i="2" s="1"/>
  <c r="L95" i="2"/>
  <c r="M92" i="2" s="1"/>
  <c r="J95" i="2"/>
  <c r="K92" i="2" s="1"/>
  <c r="K37" i="10"/>
  <c r="J42" i="10"/>
  <c r="J39" i="10"/>
  <c r="J38" i="10" s="1"/>
  <c r="J37" i="10"/>
  <c r="J9" i="10"/>
  <c r="J19" i="8"/>
  <c r="K19" i="8"/>
  <c r="L19" i="8"/>
  <c r="M19" i="8"/>
  <c r="I19" i="8"/>
  <c r="I23" i="8"/>
  <c r="J23" i="8"/>
  <c r="K23" i="8"/>
  <c r="L23" i="8"/>
  <c r="M23" i="8"/>
  <c r="L52" i="4"/>
  <c r="M52" i="4" s="1"/>
  <c r="N52" i="4" s="1"/>
  <c r="O52" i="4" s="1"/>
  <c r="P52" i="4" s="1"/>
  <c r="J41" i="10" l="1"/>
  <c r="K41" i="10" s="1"/>
  <c r="L41" i="10" s="1"/>
  <c r="M41" i="10" s="1"/>
  <c r="N41" i="10" s="1"/>
  <c r="O41" i="10" s="1"/>
  <c r="I12" i="8" l="1"/>
  <c r="I14" i="8" s="1"/>
  <c r="G9" i="8"/>
  <c r="F9" i="8"/>
  <c r="H9" i="8"/>
  <c r="I7" i="8" s="1"/>
  <c r="K33" i="10"/>
  <c r="L24" i="10"/>
  <c r="M24" i="10"/>
  <c r="N24" i="10"/>
  <c r="O24" i="10"/>
  <c r="L34" i="4"/>
  <c r="M34" i="4" s="1"/>
  <c r="N34" i="4" s="1"/>
  <c r="O34" i="4" s="1"/>
  <c r="P34" i="4" s="1"/>
  <c r="L35" i="4"/>
  <c r="M35" i="4" s="1"/>
  <c r="N35" i="4" s="1"/>
  <c r="O35" i="4" s="1"/>
  <c r="P35" i="4" s="1"/>
  <c r="K25" i="10"/>
  <c r="K24" i="10"/>
  <c r="L18" i="4"/>
  <c r="M18" i="4" s="1"/>
  <c r="N18" i="4" s="1"/>
  <c r="O18" i="4" s="1"/>
  <c r="P18" i="4" s="1"/>
  <c r="G39" i="7"/>
  <c r="F39" i="7"/>
  <c r="H39" i="7"/>
  <c r="L23" i="4"/>
  <c r="M23" i="4" s="1"/>
  <c r="N23" i="4" s="1"/>
  <c r="O23" i="4" s="1"/>
  <c r="P23" i="4" s="1"/>
  <c r="L13" i="4"/>
  <c r="M13" i="4" s="1"/>
  <c r="N13" i="4" s="1"/>
  <c r="O13" i="4" s="1"/>
  <c r="P13" i="4" s="1"/>
  <c r="J8" i="10"/>
  <c r="K8" i="10" s="1"/>
  <c r="K9" i="10" l="1"/>
  <c r="L9" i="10" s="1"/>
  <c r="M9" i="10" s="1"/>
  <c r="N9" i="10" s="1"/>
  <c r="O9" i="10" s="1"/>
  <c r="L8" i="10"/>
  <c r="M8" i="10" l="1"/>
  <c r="N8" i="10" l="1"/>
  <c r="O8" i="10" l="1"/>
  <c r="L55" i="4" l="1"/>
  <c r="M55" i="4" s="1"/>
  <c r="N55" i="4" s="1"/>
  <c r="O55" i="4" s="1"/>
  <c r="P55" i="4" s="1"/>
  <c r="L50" i="4"/>
  <c r="M50" i="4" s="1"/>
  <c r="N50" i="4" s="1"/>
  <c r="O50" i="4" l="1"/>
  <c r="P50" i="4" l="1"/>
  <c r="G27" i="9" l="1"/>
  <c r="F27" i="9"/>
  <c r="H27" i="9"/>
  <c r="I24" i="9" s="1"/>
  <c r="G19" i="9" l="1"/>
  <c r="F19" i="9"/>
  <c r="H19" i="9"/>
  <c r="I17" i="9" s="1"/>
  <c r="I19" i="9" s="1"/>
  <c r="K12" i="9"/>
  <c r="L12" i="9" s="1"/>
  <c r="J12" i="9"/>
  <c r="J8" i="9" s="1"/>
  <c r="I13" i="9"/>
  <c r="I9" i="9" s="1"/>
  <c r="J14" i="9"/>
  <c r="J13" i="9" s="1"/>
  <c r="J9" i="9" s="1"/>
  <c r="G13" i="9"/>
  <c r="G14" i="9" s="1"/>
  <c r="H13" i="9"/>
  <c r="H14" i="9" s="1"/>
  <c r="F13" i="9"/>
  <c r="F14" i="9" s="1"/>
  <c r="I8" i="9"/>
  <c r="G10" i="9"/>
  <c r="F10" i="9"/>
  <c r="H10" i="9"/>
  <c r="I7" i="9" s="1"/>
  <c r="I30" i="8"/>
  <c r="J30" i="8"/>
  <c r="K30" i="8"/>
  <c r="L30" i="8"/>
  <c r="M30" i="8"/>
  <c r="H30" i="8"/>
  <c r="K27" i="8"/>
  <c r="L27" i="8" s="1"/>
  <c r="M27" i="8" s="1"/>
  <c r="J27" i="8"/>
  <c r="H26" i="8"/>
  <c r="I22" i="8"/>
  <c r="I24" i="8" s="1"/>
  <c r="J22" i="8" s="1"/>
  <c r="G24" i="8"/>
  <c r="F24" i="8"/>
  <c r="H24" i="8"/>
  <c r="M43" i="4"/>
  <c r="N43" i="4" s="1"/>
  <c r="O43" i="4" s="1"/>
  <c r="L43" i="4"/>
  <c r="L33" i="4"/>
  <c r="M33" i="4" s="1"/>
  <c r="N33" i="4" s="1"/>
  <c r="O33" i="4" s="1"/>
  <c r="P33" i="4" s="1"/>
  <c r="L32" i="4"/>
  <c r="M32" i="4" s="1"/>
  <c r="L20" i="4"/>
  <c r="L14" i="4"/>
  <c r="M14" i="4" s="1"/>
  <c r="N14" i="4" s="1"/>
  <c r="I37" i="7"/>
  <c r="I39" i="7" s="1"/>
  <c r="J37" i="7" s="1"/>
  <c r="J39" i="7" s="1"/>
  <c r="K37" i="7" s="1"/>
  <c r="K39" i="7" s="1"/>
  <c r="L37" i="7" s="1"/>
  <c r="L39" i="7" s="1"/>
  <c r="M37" i="7" s="1"/>
  <c r="M39" i="7" s="1"/>
  <c r="P16" i="4" s="1"/>
  <c r="G69" i="7"/>
  <c r="F69" i="7"/>
  <c r="G64" i="7"/>
  <c r="F64" i="7"/>
  <c r="G59" i="7"/>
  <c r="F59" i="7"/>
  <c r="G54" i="7"/>
  <c r="F54" i="7"/>
  <c r="G49" i="7"/>
  <c r="F49" i="7"/>
  <c r="G44" i="7"/>
  <c r="F44" i="7"/>
  <c r="G34" i="7"/>
  <c r="H34" i="7"/>
  <c r="F34" i="7"/>
  <c r="G29" i="7"/>
  <c r="F29" i="7"/>
  <c r="G24" i="7"/>
  <c r="F24" i="7"/>
  <c r="G19" i="7"/>
  <c r="F19" i="7"/>
  <c r="G14" i="7"/>
  <c r="F14" i="7"/>
  <c r="G9" i="7"/>
  <c r="F9" i="7"/>
  <c r="H69" i="7"/>
  <c r="I67" i="7" s="1"/>
  <c r="I69" i="7" s="1"/>
  <c r="J67" i="7" s="1"/>
  <c r="J69" i="7" s="1"/>
  <c r="K67" i="7" s="1"/>
  <c r="K69" i="7" s="1"/>
  <c r="L67" i="7" s="1"/>
  <c r="L69" i="7" s="1"/>
  <c r="M67" i="7" s="1"/>
  <c r="M69" i="7" s="1"/>
  <c r="H64" i="7"/>
  <c r="I62" i="7" s="1"/>
  <c r="I64" i="7" s="1"/>
  <c r="H59" i="7"/>
  <c r="I57" i="7" s="1"/>
  <c r="I59" i="7" s="1"/>
  <c r="H54" i="7"/>
  <c r="I52" i="7" s="1"/>
  <c r="I54" i="7" s="1"/>
  <c r="H49" i="7"/>
  <c r="I47" i="7" s="1"/>
  <c r="I49" i="7" s="1"/>
  <c r="H44" i="7"/>
  <c r="I42" i="7" s="1"/>
  <c r="I44" i="7" s="1"/>
  <c r="J42" i="7" s="1"/>
  <c r="J44" i="7" s="1"/>
  <c r="K42" i="7" s="1"/>
  <c r="K44" i="7" s="1"/>
  <c r="L42" i="7" s="1"/>
  <c r="L44" i="7" s="1"/>
  <c r="M42" i="7" s="1"/>
  <c r="M44" i="7" s="1"/>
  <c r="P11" i="4" s="1"/>
  <c r="H29" i="7"/>
  <c r="I27" i="7" s="1"/>
  <c r="I29" i="7" s="1"/>
  <c r="H24" i="7"/>
  <c r="I22" i="7" s="1"/>
  <c r="I24" i="7" s="1"/>
  <c r="J22" i="7" s="1"/>
  <c r="J24" i="7" s="1"/>
  <c r="K22" i="7" s="1"/>
  <c r="K24" i="7" s="1"/>
  <c r="L22" i="7" s="1"/>
  <c r="L24" i="7" s="1"/>
  <c r="M22" i="7" s="1"/>
  <c r="M24" i="7" s="1"/>
  <c r="P25" i="4" s="1"/>
  <c r="H19" i="7"/>
  <c r="I17" i="7" s="1"/>
  <c r="I19" i="7" s="1"/>
  <c r="H14" i="7"/>
  <c r="I12" i="7" s="1"/>
  <c r="I14" i="7" s="1"/>
  <c r="H9" i="7"/>
  <c r="I7" i="7" s="1"/>
  <c r="I9" i="7" s="1"/>
  <c r="K14" i="9" l="1"/>
  <c r="K13" i="9" s="1"/>
  <c r="K9" i="9" s="1"/>
  <c r="J52" i="7"/>
  <c r="J54" i="7" s="1"/>
  <c r="L42" i="4"/>
  <c r="J7" i="7"/>
  <c r="J9" i="7" s="1"/>
  <c r="L17" i="4"/>
  <c r="J17" i="9"/>
  <c r="J19" i="9" s="1"/>
  <c r="L53" i="4"/>
  <c r="J27" i="7"/>
  <c r="J29" i="7" s="1"/>
  <c r="L44" i="4"/>
  <c r="J57" i="7"/>
  <c r="J59" i="7" s="1"/>
  <c r="L40" i="4"/>
  <c r="J12" i="7"/>
  <c r="J14" i="7" s="1"/>
  <c r="L36" i="4"/>
  <c r="J62" i="7"/>
  <c r="J64" i="7" s="1"/>
  <c r="L41" i="4"/>
  <c r="J17" i="7"/>
  <c r="J19" i="7" s="1"/>
  <c r="L24" i="4"/>
  <c r="J47" i="7"/>
  <c r="J49" i="7" s="1"/>
  <c r="L37" i="4"/>
  <c r="M20" i="4"/>
  <c r="L11" i="4"/>
  <c r="M11" i="4"/>
  <c r="O25" i="4"/>
  <c r="N11" i="4"/>
  <c r="I32" i="7"/>
  <c r="N25" i="4"/>
  <c r="K29" i="10"/>
  <c r="O11" i="4"/>
  <c r="L25" i="4"/>
  <c r="M25" i="4"/>
  <c r="N32" i="4"/>
  <c r="I26" i="8"/>
  <c r="L39" i="4"/>
  <c r="M25" i="10"/>
  <c r="L25" i="10"/>
  <c r="M16" i="4"/>
  <c r="L16" i="4"/>
  <c r="N16" i="4"/>
  <c r="O16" i="4"/>
  <c r="M12" i="9"/>
  <c r="M8" i="9" s="1"/>
  <c r="L8" i="9"/>
  <c r="K8" i="9"/>
  <c r="I10" i="9"/>
  <c r="H27" i="8"/>
  <c r="J24" i="8"/>
  <c r="P43" i="4"/>
  <c r="O14" i="4"/>
  <c r="L14" i="9" l="1"/>
  <c r="M14" i="9" s="1"/>
  <c r="L45" i="4"/>
  <c r="K12" i="7"/>
  <c r="K14" i="7" s="1"/>
  <c r="M36" i="4"/>
  <c r="J7" i="9"/>
  <c r="J10" i="9" s="1"/>
  <c r="L49" i="4"/>
  <c r="O32" i="4"/>
  <c r="N20" i="4"/>
  <c r="K7" i="7"/>
  <c r="K9" i="7" s="1"/>
  <c r="M17" i="4"/>
  <c r="K17" i="7"/>
  <c r="K19" i="7" s="1"/>
  <c r="M24" i="4"/>
  <c r="K47" i="7"/>
  <c r="K49" i="7" s="1"/>
  <c r="M37" i="4"/>
  <c r="K62" i="7"/>
  <c r="K64" i="7" s="1"/>
  <c r="M41" i="4"/>
  <c r="K57" i="7"/>
  <c r="K59" i="7" s="1"/>
  <c r="M40" i="4"/>
  <c r="K17" i="9"/>
  <c r="K19" i="9" s="1"/>
  <c r="M53" i="4"/>
  <c r="K27" i="7"/>
  <c r="K29" i="7" s="1"/>
  <c r="M44" i="4"/>
  <c r="K52" i="7"/>
  <c r="K54" i="7" s="1"/>
  <c r="M42" i="4"/>
  <c r="K22" i="8"/>
  <c r="K24" i="8" s="1"/>
  <c r="M39" i="4"/>
  <c r="N25" i="10"/>
  <c r="O25" i="10"/>
  <c r="K18" i="10"/>
  <c r="P14" i="4"/>
  <c r="L18" i="10" l="1"/>
  <c r="L47" i="7"/>
  <c r="L49" i="7" s="1"/>
  <c r="N37" i="4"/>
  <c r="L7" i="7"/>
  <c r="L9" i="7" s="1"/>
  <c r="N17" i="4"/>
  <c r="L29" i="10"/>
  <c r="L27" i="7"/>
  <c r="L29" i="7" s="1"/>
  <c r="N44" i="4"/>
  <c r="L17" i="9"/>
  <c r="L19" i="9" s="1"/>
  <c r="N53" i="4"/>
  <c r="L62" i="7"/>
  <c r="L64" i="7" s="1"/>
  <c r="N41" i="4"/>
  <c r="P32" i="4"/>
  <c r="L12" i="7"/>
  <c r="L14" i="7" s="1"/>
  <c r="N36" i="4"/>
  <c r="L57" i="7"/>
  <c r="L59" i="7" s="1"/>
  <c r="N40" i="4"/>
  <c r="K7" i="9"/>
  <c r="K10" i="9" s="1"/>
  <c r="M49" i="4"/>
  <c r="L52" i="7"/>
  <c r="L54" i="7" s="1"/>
  <c r="N42" i="4"/>
  <c r="M45" i="4"/>
  <c r="L17" i="7"/>
  <c r="L19" i="7" s="1"/>
  <c r="N24" i="4"/>
  <c r="O20" i="4"/>
  <c r="L22" i="8"/>
  <c r="L24" i="8" s="1"/>
  <c r="N39" i="4"/>
  <c r="N45" i="4" l="1"/>
  <c r="M57" i="7"/>
  <c r="M59" i="7" s="1"/>
  <c r="P40" i="4" s="1"/>
  <c r="O40" i="4"/>
  <c r="M17" i="9"/>
  <c r="M19" i="9" s="1"/>
  <c r="P53" i="4" s="1"/>
  <c r="O53" i="4"/>
  <c r="P20" i="4"/>
  <c r="M29" i="10"/>
  <c r="M7" i="7"/>
  <c r="M9" i="7" s="1"/>
  <c r="P17" i="4" s="1"/>
  <c r="O17" i="4"/>
  <c r="M52" i="7"/>
  <c r="M54" i="7" s="1"/>
  <c r="P42" i="4" s="1"/>
  <c r="O42" i="4"/>
  <c r="M17" i="7"/>
  <c r="M19" i="7" s="1"/>
  <c r="P24" i="4" s="1"/>
  <c r="O24" i="4"/>
  <c r="M18" i="10"/>
  <c r="L7" i="9"/>
  <c r="N49" i="4"/>
  <c r="M12" i="7"/>
  <c r="M14" i="7" s="1"/>
  <c r="P36" i="4" s="1"/>
  <c r="O36" i="4"/>
  <c r="M62" i="7"/>
  <c r="M64" i="7" s="1"/>
  <c r="P41" i="4" s="1"/>
  <c r="O41" i="4"/>
  <c r="M27" i="7"/>
  <c r="M29" i="7" s="1"/>
  <c r="P44" i="4" s="1"/>
  <c r="O44" i="4"/>
  <c r="M47" i="7"/>
  <c r="M49" i="7" s="1"/>
  <c r="P37" i="4" s="1"/>
  <c r="O37" i="4"/>
  <c r="M22" i="8"/>
  <c r="M24" i="8" s="1"/>
  <c r="P39" i="4" s="1"/>
  <c r="O39" i="4"/>
  <c r="I33" i="6"/>
  <c r="J33" i="6"/>
  <c r="K33" i="6" s="1"/>
  <c r="H33" i="6"/>
  <c r="E27" i="6"/>
  <c r="E28" i="6" s="1"/>
  <c r="D27" i="6"/>
  <c r="D28" i="6" s="1"/>
  <c r="F27" i="6"/>
  <c r="F28" i="6" s="1"/>
  <c r="D26" i="6"/>
  <c r="F26" i="6"/>
  <c r="E26" i="6"/>
  <c r="E25" i="6"/>
  <c r="F25" i="6"/>
  <c r="D25" i="6"/>
  <c r="E10" i="6"/>
  <c r="E23" i="6" s="1"/>
  <c r="F10" i="6"/>
  <c r="F23" i="6" s="1"/>
  <c r="G20" i="6" s="1"/>
  <c r="D10" i="6"/>
  <c r="D23" i="6" s="1"/>
  <c r="O45" i="4" l="1"/>
  <c r="O29" i="10"/>
  <c r="N18" i="10"/>
  <c r="P45" i="4"/>
  <c r="N29" i="10"/>
  <c r="O18" i="10"/>
  <c r="E15" i="6" l="1"/>
  <c r="E16" i="6" s="1"/>
  <c r="D15" i="6"/>
  <c r="D16" i="6" s="1"/>
  <c r="F15" i="6"/>
  <c r="F30" i="6" s="1"/>
  <c r="E14" i="6"/>
  <c r="F14" i="6"/>
  <c r="D14" i="6"/>
  <c r="D12" i="6"/>
  <c r="E12" i="6"/>
  <c r="F12" i="6"/>
  <c r="G7" i="6"/>
  <c r="G28" i="5"/>
  <c r="G29" i="5" s="1"/>
  <c r="G24" i="5"/>
  <c r="G26" i="5"/>
  <c r="H24" i="5" s="1"/>
  <c r="H26" i="5"/>
  <c r="I24" i="5" s="1"/>
  <c r="F26" i="5"/>
  <c r="F28" i="5" s="1"/>
  <c r="H19" i="5"/>
  <c r="H20" i="5" s="1"/>
  <c r="H17" i="5"/>
  <c r="I15" i="5" s="1"/>
  <c r="G17" i="5"/>
  <c r="G19" i="5" s="1"/>
  <c r="F17" i="5"/>
  <c r="G15" i="5" s="1"/>
  <c r="G16" i="5" s="1"/>
  <c r="G9" i="5"/>
  <c r="G11" i="5" s="1"/>
  <c r="G12" i="5" s="1"/>
  <c r="F9" i="5"/>
  <c r="F11" i="5" s="1"/>
  <c r="H9" i="5"/>
  <c r="I7" i="5" s="1"/>
  <c r="M55" i="2"/>
  <c r="N55" i="2" s="1"/>
  <c r="L43" i="2"/>
  <c r="K43" i="2"/>
  <c r="J43" i="2"/>
  <c r="L42" i="2"/>
  <c r="L97" i="2" s="1"/>
  <c r="K42" i="2"/>
  <c r="K97" i="2" s="1"/>
  <c r="K98" i="2" s="1"/>
  <c r="J42" i="2"/>
  <c r="J97" i="2" s="1"/>
  <c r="Q34" i="2"/>
  <c r="P34" i="2"/>
  <c r="O34" i="2"/>
  <c r="N34" i="2"/>
  <c r="M34" i="2"/>
  <c r="Q30" i="2"/>
  <c r="P30" i="2"/>
  <c r="O30" i="2"/>
  <c r="N30" i="2"/>
  <c r="M30" i="2"/>
  <c r="Q26" i="2"/>
  <c r="P26" i="2"/>
  <c r="O26" i="2"/>
  <c r="N26" i="2"/>
  <c r="M26" i="2"/>
  <c r="Q22" i="2"/>
  <c r="P22" i="2"/>
  <c r="O22" i="2"/>
  <c r="N22" i="2"/>
  <c r="M22" i="2"/>
  <c r="Q21" i="2"/>
  <c r="P21" i="2"/>
  <c r="O21" i="2"/>
  <c r="N21" i="2"/>
  <c r="M21" i="2"/>
  <c r="Q20" i="2"/>
  <c r="P20" i="2"/>
  <c r="O20" i="2"/>
  <c r="N20" i="2"/>
  <c r="M20" i="2"/>
  <c r="L50" i="2"/>
  <c r="K50" i="2"/>
  <c r="J50" i="2"/>
  <c r="L49" i="2"/>
  <c r="K49" i="2"/>
  <c r="J49" i="2"/>
  <c r="L47" i="2"/>
  <c r="K47" i="2"/>
  <c r="L98" i="2" l="1"/>
  <c r="M98" i="2" s="1"/>
  <c r="H34" i="6"/>
  <c r="J34" i="6"/>
  <c r="G34" i="6"/>
  <c r="I34" i="6"/>
  <c r="K34" i="6"/>
  <c r="F12" i="5"/>
  <c r="F29" i="5"/>
  <c r="H11" i="5"/>
  <c r="H12" i="5" s="1"/>
  <c r="H7" i="5"/>
  <c r="H8" i="5" s="1"/>
  <c r="H25" i="5"/>
  <c r="F16" i="6"/>
  <c r="G16" i="6" s="1"/>
  <c r="G20" i="5"/>
  <c r="G21" i="5"/>
  <c r="G10" i="11" s="1"/>
  <c r="H15" i="5"/>
  <c r="H16" i="5" s="1"/>
  <c r="H28" i="5"/>
  <c r="H29" i="5" s="1"/>
  <c r="G7" i="5"/>
  <c r="G8" i="5" s="1"/>
  <c r="F19" i="5"/>
  <c r="I19" i="5" s="1"/>
  <c r="J19" i="5" s="1"/>
  <c r="K19" i="5" s="1"/>
  <c r="L19" i="5" s="1"/>
  <c r="M19" i="5" s="1"/>
  <c r="H21" i="5"/>
  <c r="G25" i="5"/>
  <c r="O55" i="2"/>
  <c r="P55" i="2" s="1"/>
  <c r="M99" i="2" l="1"/>
  <c r="N98" i="2"/>
  <c r="M97" i="2"/>
  <c r="H10" i="11"/>
  <c r="I28" i="5"/>
  <c r="J28" i="5" s="1"/>
  <c r="I11" i="5"/>
  <c r="H16" i="6"/>
  <c r="F21" i="5"/>
  <c r="F20" i="5"/>
  <c r="Q55" i="2"/>
  <c r="N97" i="2" l="1"/>
  <c r="O98" i="2"/>
  <c r="P98" i="2" s="1"/>
  <c r="Q98" i="2" s="1"/>
  <c r="M93" i="2"/>
  <c r="N99" i="2"/>
  <c r="M94" i="2"/>
  <c r="I29" i="5"/>
  <c r="I12" i="5"/>
  <c r="J11" i="5"/>
  <c r="I16" i="6"/>
  <c r="J20" i="5"/>
  <c r="J21" i="5"/>
  <c r="K28" i="5"/>
  <c r="J29" i="5"/>
  <c r="L21" i="5"/>
  <c r="L20" i="5"/>
  <c r="K21" i="5"/>
  <c r="K20" i="5"/>
  <c r="I20" i="5"/>
  <c r="I21" i="5"/>
  <c r="M21" i="5"/>
  <c r="M20" i="5"/>
  <c r="M95" i="2" l="1"/>
  <c r="M37" i="2" s="1"/>
  <c r="O99" i="2"/>
  <c r="N93" i="2"/>
  <c r="N94" i="2"/>
  <c r="O97" i="2"/>
  <c r="P97" i="2" s="1"/>
  <c r="Q97" i="2" s="1"/>
  <c r="I10" i="11"/>
  <c r="K11" i="5"/>
  <c r="J12" i="5"/>
  <c r="J10" i="11" s="1"/>
  <c r="J16" i="6"/>
  <c r="L28" i="5"/>
  <c r="K29" i="5"/>
  <c r="L19" i="2"/>
  <c r="K19" i="2"/>
  <c r="J19" i="2"/>
  <c r="N71" i="2"/>
  <c r="O71" i="2" s="1"/>
  <c r="P71" i="2" s="1"/>
  <c r="Q71" i="2" s="1"/>
  <c r="L85" i="2"/>
  <c r="K85" i="2"/>
  <c r="L84" i="2"/>
  <c r="K84" i="2"/>
  <c r="L82" i="2"/>
  <c r="K82" i="2"/>
  <c r="L81" i="2"/>
  <c r="K81" i="2"/>
  <c r="L80" i="2"/>
  <c r="K80" i="2"/>
  <c r="L79" i="2"/>
  <c r="K79" i="2"/>
  <c r="L78" i="2"/>
  <c r="K78" i="2"/>
  <c r="M64" i="2" s="1"/>
  <c r="L77" i="2"/>
  <c r="K77" i="2"/>
  <c r="L76" i="2"/>
  <c r="K76" i="2"/>
  <c r="L75" i="2"/>
  <c r="K75" i="2"/>
  <c r="J69" i="2"/>
  <c r="J72" i="2" s="1"/>
  <c r="L69" i="2"/>
  <c r="K69" i="2"/>
  <c r="K54" i="4"/>
  <c r="K56" i="4" s="1"/>
  <c r="J54" i="4"/>
  <c r="J56" i="4" s="1"/>
  <c r="I54" i="4"/>
  <c r="I56" i="4" s="1"/>
  <c r="K45" i="4"/>
  <c r="J45" i="4"/>
  <c r="K38" i="4"/>
  <c r="J38" i="4"/>
  <c r="J46" i="4" s="1"/>
  <c r="I38" i="4"/>
  <c r="I46" i="4" s="1"/>
  <c r="K26" i="4"/>
  <c r="J26" i="4"/>
  <c r="J27" i="4" s="1"/>
  <c r="K19" i="4"/>
  <c r="I19" i="4"/>
  <c r="I27" i="4" s="1"/>
  <c r="K9" i="4"/>
  <c r="K8" i="4" s="1"/>
  <c r="H5" i="11" s="1"/>
  <c r="K83" i="2" l="1"/>
  <c r="N92" i="2"/>
  <c r="M68" i="2"/>
  <c r="O94" i="2"/>
  <c r="O93" i="2"/>
  <c r="P99" i="2"/>
  <c r="N95" i="2"/>
  <c r="I57" i="4"/>
  <c r="M67" i="2"/>
  <c r="K12" i="5"/>
  <c r="K10" i="11" s="1"/>
  <c r="L11" i="5"/>
  <c r="K27" i="4"/>
  <c r="H5" i="8"/>
  <c r="H5" i="9"/>
  <c r="H5" i="7"/>
  <c r="K46" i="4"/>
  <c r="K57" i="4" s="1"/>
  <c r="K59" i="4" s="1"/>
  <c r="K16" i="6"/>
  <c r="J57" i="4"/>
  <c r="J59" i="4" s="1"/>
  <c r="H5" i="5"/>
  <c r="F5" i="6"/>
  <c r="I59" i="4"/>
  <c r="L29" i="5"/>
  <c r="M28" i="5"/>
  <c r="M63" i="2"/>
  <c r="L83" i="2"/>
  <c r="M61" i="2"/>
  <c r="M65" i="2"/>
  <c r="K72" i="2"/>
  <c r="K86" i="2" s="1"/>
  <c r="L72" i="2"/>
  <c r="M62" i="2"/>
  <c r="M66" i="2"/>
  <c r="N66" i="2" s="1"/>
  <c r="N64" i="2"/>
  <c r="J9" i="4"/>
  <c r="L9" i="4"/>
  <c r="N68" i="2" l="1"/>
  <c r="N63" i="2"/>
  <c r="N67" i="2"/>
  <c r="Q99" i="2"/>
  <c r="P93" i="2"/>
  <c r="P94" i="2"/>
  <c r="L86" i="2"/>
  <c r="O92" i="2"/>
  <c r="O95" i="2" s="1"/>
  <c r="N37" i="2"/>
  <c r="M11" i="5"/>
  <c r="L12" i="5"/>
  <c r="L10" i="11" s="1"/>
  <c r="M29" i="5"/>
  <c r="M70" i="2"/>
  <c r="N70" i="2" s="1"/>
  <c r="O66" i="2"/>
  <c r="P66" i="2" s="1"/>
  <c r="N62" i="2"/>
  <c r="M69" i="2"/>
  <c r="O64" i="2"/>
  <c r="L8" i="4"/>
  <c r="I5" i="11" s="1"/>
  <c r="M9" i="4"/>
  <c r="I9" i="4"/>
  <c r="I8" i="4" s="1"/>
  <c r="J8" i="4"/>
  <c r="G5" i="11" s="1"/>
  <c r="P92" i="2" l="1"/>
  <c r="P95" i="2" s="1"/>
  <c r="O37" i="2"/>
  <c r="Q93" i="2"/>
  <c r="Q94" i="2"/>
  <c r="O70" i="2"/>
  <c r="P70" i="2" s="1"/>
  <c r="N65" i="2"/>
  <c r="O65" i="2" s="1"/>
  <c r="M12" i="5"/>
  <c r="M10" i="11" s="1"/>
  <c r="G5" i="7"/>
  <c r="G5" i="8"/>
  <c r="G5" i="9"/>
  <c r="F5" i="9"/>
  <c r="F5" i="7"/>
  <c r="F5" i="8"/>
  <c r="I5" i="9"/>
  <c r="I5" i="8"/>
  <c r="I5" i="7"/>
  <c r="D5" i="6"/>
  <c r="F5" i="5"/>
  <c r="G5" i="6"/>
  <c r="I5" i="5"/>
  <c r="E5" i="6"/>
  <c r="G5" i="5"/>
  <c r="N61" i="2"/>
  <c r="O61" i="2" s="1"/>
  <c r="P61" i="2" s="1"/>
  <c r="O68" i="2"/>
  <c r="P68" i="2" s="1"/>
  <c r="Q68" i="2" s="1"/>
  <c r="Q66" i="2"/>
  <c r="M72" i="2"/>
  <c r="O62" i="2"/>
  <c r="N9" i="4"/>
  <c r="M8" i="4"/>
  <c r="J5" i="11" s="1"/>
  <c r="O67" i="2" l="1"/>
  <c r="P67" i="2" s="1"/>
  <c r="Q67" i="2" s="1"/>
  <c r="O63" i="2"/>
  <c r="P63" i="2" s="1"/>
  <c r="P65" i="2"/>
  <c r="Q65" i="2" s="1"/>
  <c r="Q70" i="2"/>
  <c r="Q92" i="2"/>
  <c r="Q95" i="2" s="1"/>
  <c r="Q37" i="2" s="1"/>
  <c r="P37" i="2"/>
  <c r="N69" i="2"/>
  <c r="B35" i="6"/>
  <c r="G32" i="6"/>
  <c r="J5" i="9"/>
  <c r="J5" i="7"/>
  <c r="J5" i="8"/>
  <c r="H5" i="6"/>
  <c r="J5" i="5"/>
  <c r="Q61" i="2"/>
  <c r="P62" i="2"/>
  <c r="P64" i="2"/>
  <c r="Q64" i="2" s="1"/>
  <c r="M86" i="2"/>
  <c r="M130" i="2" s="1"/>
  <c r="O9" i="4"/>
  <c r="N8" i="4"/>
  <c r="K5" i="11" s="1"/>
  <c r="Q63" i="2" l="1"/>
  <c r="N72" i="2"/>
  <c r="N86" i="2" s="1"/>
  <c r="O69" i="2"/>
  <c r="O72" i="2" s="1"/>
  <c r="M119" i="2"/>
  <c r="M47" i="2" s="1"/>
  <c r="K5" i="7"/>
  <c r="K5" i="8"/>
  <c r="K5" i="9"/>
  <c r="B36" i="6"/>
  <c r="H32" i="6"/>
  <c r="I5" i="6"/>
  <c r="K5" i="5"/>
  <c r="M122" i="2"/>
  <c r="M50" i="2" s="1"/>
  <c r="Q62" i="2"/>
  <c r="Q69" i="2" s="1"/>
  <c r="P69" i="2"/>
  <c r="P9" i="4"/>
  <c r="P8" i="4" s="1"/>
  <c r="M5" i="11" s="1"/>
  <c r="O8" i="4"/>
  <c r="L5" i="11" s="1"/>
  <c r="M107" i="2" l="1"/>
  <c r="M13" i="2"/>
  <c r="N130" i="2"/>
  <c r="N119" i="2" s="1"/>
  <c r="N47" i="2" s="1"/>
  <c r="M121" i="2"/>
  <c r="M49" i="2" s="1"/>
  <c r="L5" i="8"/>
  <c r="L5" i="7"/>
  <c r="L5" i="9"/>
  <c r="B37" i="6"/>
  <c r="I32" i="6"/>
  <c r="M5" i="9"/>
  <c r="M5" i="8"/>
  <c r="M5" i="7"/>
  <c r="J5" i="6"/>
  <c r="L5" i="5"/>
  <c r="K5" i="6"/>
  <c r="M5" i="5"/>
  <c r="N122" i="2"/>
  <c r="N50" i="2" s="1"/>
  <c r="O86" i="2"/>
  <c r="P72" i="2"/>
  <c r="Q72" i="2"/>
  <c r="L107" i="2" l="1"/>
  <c r="K107" i="2" s="1"/>
  <c r="N107" i="2"/>
  <c r="O107" i="2" s="1"/>
  <c r="I34" i="7"/>
  <c r="J32" i="7" s="1"/>
  <c r="I9" i="5"/>
  <c r="M18" i="2"/>
  <c r="G13" i="6"/>
  <c r="G8" i="6" s="1"/>
  <c r="G35" i="6" s="1"/>
  <c r="G40" i="6" s="1"/>
  <c r="G22" i="6" s="1"/>
  <c r="M17" i="2"/>
  <c r="N13" i="2"/>
  <c r="N18" i="2" s="1"/>
  <c r="O130" i="2"/>
  <c r="O119" i="2" s="1"/>
  <c r="O47" i="2" s="1"/>
  <c r="M120" i="2"/>
  <c r="M48" i="2" s="1"/>
  <c r="N121" i="2"/>
  <c r="N49" i="2" s="1"/>
  <c r="B38" i="6"/>
  <c r="J32" i="6"/>
  <c r="B39" i="6"/>
  <c r="K32" i="6"/>
  <c r="O121" i="2"/>
  <c r="O49" i="2" s="1"/>
  <c r="O122" i="2"/>
  <c r="O50" i="2" s="1"/>
  <c r="P86" i="2"/>
  <c r="Q86" i="2"/>
  <c r="M54" i="2" l="1"/>
  <c r="J110" i="2"/>
  <c r="J34" i="7"/>
  <c r="K32" i="7" s="1"/>
  <c r="L22" i="4"/>
  <c r="I33" i="7"/>
  <c r="H35" i="6"/>
  <c r="I35" i="6"/>
  <c r="L13" i="9"/>
  <c r="L9" i="9" s="1"/>
  <c r="L10" i="9" s="1"/>
  <c r="M7" i="9" s="1"/>
  <c r="K35" i="6"/>
  <c r="J35" i="6"/>
  <c r="G15" i="6"/>
  <c r="G9" i="6" s="1"/>
  <c r="G10" i="6" s="1"/>
  <c r="H7" i="6" s="1"/>
  <c r="J9" i="5"/>
  <c r="K7" i="5" s="1"/>
  <c r="M19" i="2"/>
  <c r="H13" i="6"/>
  <c r="H21" i="6" s="1"/>
  <c r="N17" i="2"/>
  <c r="M13" i="9" s="1"/>
  <c r="M9" i="9" s="1"/>
  <c r="O13" i="2"/>
  <c r="K9" i="5" s="1"/>
  <c r="L7" i="5" s="1"/>
  <c r="M15" i="2"/>
  <c r="G21" i="6"/>
  <c r="J7" i="5"/>
  <c r="I8" i="5"/>
  <c r="L12" i="4"/>
  <c r="P130" i="2"/>
  <c r="P119" i="2" s="1"/>
  <c r="P47" i="2" s="1"/>
  <c r="Q130" i="2"/>
  <c r="Q119" i="2" s="1"/>
  <c r="Q47" i="2" s="1"/>
  <c r="N120" i="2"/>
  <c r="N48" i="2" s="1"/>
  <c r="N15" i="2" s="1"/>
  <c r="N14" i="2" s="1"/>
  <c r="J17" i="5" s="1"/>
  <c r="M15" i="4" s="1"/>
  <c r="F32" i="15" l="1"/>
  <c r="G32" i="15"/>
  <c r="F19" i="15"/>
  <c r="F24" i="15" s="1"/>
  <c r="K12" i="10"/>
  <c r="K21" i="10"/>
  <c r="K22" i="10" s="1"/>
  <c r="L21" i="10"/>
  <c r="L22" i="10" s="1"/>
  <c r="K15" i="10"/>
  <c r="K13" i="10"/>
  <c r="J111" i="2"/>
  <c r="J112" i="2" s="1"/>
  <c r="J109" i="2"/>
  <c r="J108" i="2" s="1"/>
  <c r="N12" i="4"/>
  <c r="J33" i="7"/>
  <c r="M22" i="4"/>
  <c r="K34" i="7"/>
  <c r="N22" i="4" s="1"/>
  <c r="O18" i="2"/>
  <c r="O49" i="4"/>
  <c r="I13" i="6"/>
  <c r="I8" i="6" s="1"/>
  <c r="I37" i="6" s="1"/>
  <c r="P13" i="2"/>
  <c r="J13" i="6" s="1"/>
  <c r="J21" i="6" s="1"/>
  <c r="M10" i="9"/>
  <c r="P49" i="4" s="1"/>
  <c r="M12" i="4"/>
  <c r="N19" i="2"/>
  <c r="N23" i="2" s="1"/>
  <c r="J14" i="11" s="1"/>
  <c r="H15" i="6"/>
  <c r="H9" i="6" s="1"/>
  <c r="K8" i="5"/>
  <c r="J8" i="5"/>
  <c r="G23" i="6"/>
  <c r="H20" i="6" s="1"/>
  <c r="H8" i="6"/>
  <c r="I36" i="6" s="1"/>
  <c r="O17" i="2"/>
  <c r="M14" i="2"/>
  <c r="I13" i="11"/>
  <c r="M23" i="2"/>
  <c r="I14" i="11" s="1"/>
  <c r="J26" i="5"/>
  <c r="K24" i="5" s="1"/>
  <c r="K15" i="5"/>
  <c r="J13" i="11"/>
  <c r="P121" i="2"/>
  <c r="P49" i="2" s="1"/>
  <c r="P122" i="2"/>
  <c r="P50" i="2" s="1"/>
  <c r="O120" i="2"/>
  <c r="O48" i="2" s="1"/>
  <c r="O15" i="2" s="1"/>
  <c r="O14" i="2" s="1"/>
  <c r="K17" i="5" s="1"/>
  <c r="I32" i="15" l="1"/>
  <c r="F25" i="15"/>
  <c r="F26" i="15"/>
  <c r="L15" i="10"/>
  <c r="L13" i="10"/>
  <c r="N21" i="10"/>
  <c r="N22" i="10" s="1"/>
  <c r="M15" i="10"/>
  <c r="K33" i="7"/>
  <c r="K37" i="6"/>
  <c r="I21" i="6"/>
  <c r="L34" i="7"/>
  <c r="M34" i="7" s="1"/>
  <c r="P22" i="4" s="1"/>
  <c r="L32" i="7"/>
  <c r="O19" i="2"/>
  <c r="O23" i="2" s="1"/>
  <c r="K14" i="11" s="1"/>
  <c r="J37" i="6"/>
  <c r="P17" i="2"/>
  <c r="Q13" i="2"/>
  <c r="M9" i="5" s="1"/>
  <c r="P12" i="4" s="1"/>
  <c r="I15" i="6"/>
  <c r="I9" i="6" s="1"/>
  <c r="L9" i="5"/>
  <c r="M7" i="5" s="1"/>
  <c r="P18" i="2"/>
  <c r="L21" i="4"/>
  <c r="L26" i="4" s="1"/>
  <c r="H10" i="6"/>
  <c r="I7" i="6" s="1"/>
  <c r="J36" i="6"/>
  <c r="I40" i="6"/>
  <c r="I22" i="6" s="1"/>
  <c r="M56" i="2"/>
  <c r="H36" i="6"/>
  <c r="H40" i="6" s="1"/>
  <c r="H22" i="6" s="1"/>
  <c r="K36" i="6"/>
  <c r="I26" i="5"/>
  <c r="I17" i="5"/>
  <c r="J8" i="6"/>
  <c r="K38" i="6" s="1"/>
  <c r="M31" i="4"/>
  <c r="K16" i="5"/>
  <c r="L15" i="5"/>
  <c r="J15" i="6"/>
  <c r="J9" i="6" s="1"/>
  <c r="K13" i="11"/>
  <c r="K26" i="5"/>
  <c r="L24" i="5" s="1"/>
  <c r="N15" i="4"/>
  <c r="Q122" i="2"/>
  <c r="Q50" i="2" s="1"/>
  <c r="Q120" i="2"/>
  <c r="Q48" i="2" s="1"/>
  <c r="P120" i="2"/>
  <c r="P48" i="2" s="1"/>
  <c r="P15" i="2" s="1"/>
  <c r="P14" i="2" s="1"/>
  <c r="L17" i="5" s="1"/>
  <c r="L38" i="2"/>
  <c r="M38" i="2" s="1"/>
  <c r="K38" i="2"/>
  <c r="J38" i="2"/>
  <c r="L15" i="2"/>
  <c r="K15" i="2"/>
  <c r="J15" i="2"/>
  <c r="J48" i="2" s="1"/>
  <c r="L9" i="2"/>
  <c r="M9" i="2" s="1"/>
  <c r="N9" i="2" s="1"/>
  <c r="O9" i="2" s="1"/>
  <c r="P9" i="2" s="1"/>
  <c r="Q9" i="2" s="1"/>
  <c r="L8" i="2"/>
  <c r="C4" i="1"/>
  <c r="G25" i="15" l="1"/>
  <c r="F18" i="15"/>
  <c r="F20" i="15" s="1"/>
  <c r="F22" i="15" s="1"/>
  <c r="G26" i="15"/>
  <c r="H26" i="15"/>
  <c r="H32" i="15"/>
  <c r="M21" i="10"/>
  <c r="M22" i="10" s="1"/>
  <c r="M13" i="10"/>
  <c r="M16" i="10"/>
  <c r="O54" i="2"/>
  <c r="N54" i="2"/>
  <c r="I10" i="6"/>
  <c r="J7" i="6" s="1"/>
  <c r="J10" i="6" s="1"/>
  <c r="K7" i="6" s="1"/>
  <c r="L33" i="7"/>
  <c r="K13" i="6"/>
  <c r="K8" i="6" s="1"/>
  <c r="K39" i="6" s="1"/>
  <c r="K40" i="6" s="1"/>
  <c r="K22" i="6" s="1"/>
  <c r="M32" i="7"/>
  <c r="M33" i="7" s="1"/>
  <c r="O22" i="4"/>
  <c r="Q15" i="2"/>
  <c r="Q14" i="2" s="1"/>
  <c r="M17" i="5" s="1"/>
  <c r="P15" i="4" s="1"/>
  <c r="Q18" i="2"/>
  <c r="P19" i="2"/>
  <c r="P23" i="2" s="1"/>
  <c r="L14" i="11" s="1"/>
  <c r="L8" i="5"/>
  <c r="O12" i="4"/>
  <c r="K25" i="5"/>
  <c r="J38" i="6"/>
  <c r="J40" i="6" s="1"/>
  <c r="J22" i="6" s="1"/>
  <c r="H23" i="6"/>
  <c r="J15" i="5"/>
  <c r="J16" i="5" s="1"/>
  <c r="I16" i="5"/>
  <c r="L15" i="4"/>
  <c r="L31" i="4"/>
  <c r="J24" i="5"/>
  <c r="J25" i="5" s="1"/>
  <c r="I25" i="5"/>
  <c r="L16" i="5"/>
  <c r="N31" i="4"/>
  <c r="L26" i="5"/>
  <c r="M24" i="5" s="1"/>
  <c r="L13" i="11"/>
  <c r="O15" i="4"/>
  <c r="M15" i="5"/>
  <c r="M8" i="5"/>
  <c r="Q121" i="2"/>
  <c r="Q49" i="2" s="1"/>
  <c r="Q17" i="2" s="1"/>
  <c r="N38" i="2"/>
  <c r="M39" i="2"/>
  <c r="H13" i="11"/>
  <c r="L48" i="2"/>
  <c r="K48" i="2"/>
  <c r="G13" i="11"/>
  <c r="J23" i="2"/>
  <c r="L23" i="2"/>
  <c r="H14" i="11" s="1"/>
  <c r="M8" i="2"/>
  <c r="L60" i="2"/>
  <c r="K23" i="2"/>
  <c r="G14" i="11" s="1"/>
  <c r="K9" i="2"/>
  <c r="J9" i="2" s="1"/>
  <c r="K8" i="2"/>
  <c r="H25" i="15" l="1"/>
  <c r="H27" i="15"/>
  <c r="H19" i="15"/>
  <c r="H24" i="15" s="1"/>
  <c r="M12" i="10"/>
  <c r="G19" i="15"/>
  <c r="G24" i="15" s="1"/>
  <c r="L12" i="10"/>
  <c r="N13" i="10"/>
  <c r="N15" i="10"/>
  <c r="N16" i="10"/>
  <c r="O13" i="10"/>
  <c r="O15" i="10"/>
  <c r="L17" i="10"/>
  <c r="L16" i="10"/>
  <c r="K17" i="10"/>
  <c r="K16" i="10"/>
  <c r="M17" i="10"/>
  <c r="O56" i="2"/>
  <c r="N56" i="2"/>
  <c r="P54" i="2"/>
  <c r="Q54" i="2"/>
  <c r="Q19" i="2"/>
  <c r="Q23" i="2" s="1"/>
  <c r="M14" i="11" s="1"/>
  <c r="K15" i="6"/>
  <c r="K9" i="6" s="1"/>
  <c r="K10" i="6" s="1"/>
  <c r="K21" i="6"/>
  <c r="M26" i="5"/>
  <c r="P31" i="4" s="1"/>
  <c r="M13" i="11"/>
  <c r="M21" i="4"/>
  <c r="M26" i="4" s="1"/>
  <c r="I20" i="6"/>
  <c r="I23" i="6" s="1"/>
  <c r="O31" i="4"/>
  <c r="M16" i="5"/>
  <c r="L25" i="5"/>
  <c r="O38" i="2"/>
  <c r="N39" i="2"/>
  <c r="L27" i="2"/>
  <c r="L56" i="2"/>
  <c r="K27" i="2"/>
  <c r="K56" i="2"/>
  <c r="J27" i="2"/>
  <c r="J56" i="2"/>
  <c r="J8" i="2"/>
  <c r="J60" i="2" s="1"/>
  <c r="K60" i="2"/>
  <c r="N8" i="2"/>
  <c r="M60" i="2"/>
  <c r="H18" i="15" l="1"/>
  <c r="H20" i="15" s="1"/>
  <c r="H22" i="15" s="1"/>
  <c r="G27" i="15"/>
  <c r="I27" i="15"/>
  <c r="J19" i="15"/>
  <c r="J24" i="15" s="1"/>
  <c r="H28" i="15"/>
  <c r="G28" i="15"/>
  <c r="I26" i="15"/>
  <c r="J32" i="15"/>
  <c r="N12" i="10"/>
  <c r="F27" i="15"/>
  <c r="J26" i="15"/>
  <c r="I25" i="15"/>
  <c r="G18" i="15"/>
  <c r="G20" i="15" s="1"/>
  <c r="G22" i="15" s="1"/>
  <c r="F28" i="15"/>
  <c r="J25" i="15"/>
  <c r="P56" i="2"/>
  <c r="I19" i="15"/>
  <c r="I24" i="15" s="1"/>
  <c r="O12" i="10"/>
  <c r="N17" i="10"/>
  <c r="O21" i="10"/>
  <c r="O22" i="10" s="1"/>
  <c r="O16" i="10"/>
  <c r="M25" i="5"/>
  <c r="Q56" i="2"/>
  <c r="J20" i="6"/>
  <c r="J23" i="6" s="1"/>
  <c r="N21" i="4"/>
  <c r="N26" i="4" s="1"/>
  <c r="P38" i="2"/>
  <c r="O39" i="2"/>
  <c r="K29" i="2"/>
  <c r="K31" i="2" s="1"/>
  <c r="K51" i="2"/>
  <c r="J29" i="2"/>
  <c r="J31" i="2" s="1"/>
  <c r="F29" i="9" s="1"/>
  <c r="F30" i="9" s="1"/>
  <c r="J51" i="2"/>
  <c r="L29" i="2"/>
  <c r="L31" i="2" s="1"/>
  <c r="L51" i="2"/>
  <c r="O8" i="2"/>
  <c r="N60" i="2"/>
  <c r="H33" i="15" l="1"/>
  <c r="H38" i="15" s="1"/>
  <c r="F33" i="15"/>
  <c r="F38" i="15" s="1"/>
  <c r="G33" i="15"/>
  <c r="G38" i="15" s="1"/>
  <c r="J27" i="15"/>
  <c r="I18" i="15"/>
  <c r="I20" i="15" s="1"/>
  <c r="I22" i="15" s="1"/>
  <c r="J18" i="15"/>
  <c r="J43" i="15" s="1"/>
  <c r="J45" i="15" s="1"/>
  <c r="J46" i="15" s="1"/>
  <c r="I28" i="15"/>
  <c r="O17" i="10"/>
  <c r="K20" i="6"/>
  <c r="K23" i="6" s="1"/>
  <c r="P21" i="4" s="1"/>
  <c r="P26" i="4" s="1"/>
  <c r="O21" i="4"/>
  <c r="O26" i="4" s="1"/>
  <c r="H29" i="9"/>
  <c r="H30" i="9" s="1"/>
  <c r="H15" i="11"/>
  <c r="H19" i="11" s="1"/>
  <c r="H22" i="11" s="1"/>
  <c r="H17" i="11"/>
  <c r="H16" i="11"/>
  <c r="G29" i="9"/>
  <c r="G30" i="9" s="1"/>
  <c r="G17" i="11"/>
  <c r="G16" i="11"/>
  <c r="G15" i="11"/>
  <c r="G19" i="11" s="1"/>
  <c r="G22" i="11" s="1"/>
  <c r="Q38" i="2"/>
  <c r="Q39" i="2" s="1"/>
  <c r="P39" i="2"/>
  <c r="I30" i="9"/>
  <c r="L30" i="9"/>
  <c r="K30" i="9"/>
  <c r="J30" i="9"/>
  <c r="M30" i="9"/>
  <c r="P8" i="2"/>
  <c r="O60" i="2"/>
  <c r="H34" i="15" l="1"/>
  <c r="J20" i="15"/>
  <c r="J22" i="15" s="1"/>
  <c r="I33" i="15"/>
  <c r="I38" i="15" s="1"/>
  <c r="G34" i="15"/>
  <c r="J28" i="15"/>
  <c r="Q8" i="2"/>
  <c r="Q60" i="2" s="1"/>
  <c r="P60" i="2"/>
  <c r="J26" i="8"/>
  <c r="K26" i="8"/>
  <c r="L26" i="8"/>
  <c r="M26" i="8"/>
  <c r="I34" i="15" l="1"/>
  <c r="J33" i="15"/>
  <c r="J38" i="15" s="1"/>
  <c r="J47" i="15" s="1"/>
  <c r="J48" i="15" s="1"/>
  <c r="J54" i="15" s="1"/>
  <c r="J56" i="15" s="1"/>
  <c r="J58" i="15" s="1"/>
  <c r="J59" i="15" s="1"/>
  <c r="C48" i="15" l="1"/>
  <c r="J34" i="15"/>
  <c r="C43" i="15"/>
  <c r="J49" i="15" s="1"/>
  <c r="C44" i="15" l="1"/>
  <c r="C46" i="15" s="1"/>
  <c r="C47" i="15" s="1"/>
  <c r="C49" i="15" s="1"/>
  <c r="C50" i="15" s="1"/>
  <c r="I54" i="15" l="1"/>
  <c r="I56" i="15" s="1"/>
  <c r="I58" i="15" s="1"/>
  <c r="I59" i="15" s="1"/>
  <c r="C88" i="15" l="1"/>
  <c r="L10" i="4" l="1"/>
  <c r="M10" i="4"/>
  <c r="N10" i="4"/>
  <c r="O10" i="4"/>
  <c r="P10" i="4"/>
  <c r="L19" i="4"/>
  <c r="M19" i="4"/>
  <c r="N19" i="4"/>
  <c r="O19" i="4"/>
  <c r="P19" i="4"/>
  <c r="L27" i="4"/>
  <c r="M27" i="4"/>
  <c r="N27" i="4"/>
  <c r="O27" i="4"/>
  <c r="P27" i="4"/>
  <c r="L30" i="4"/>
  <c r="M30" i="4"/>
  <c r="N30" i="4"/>
  <c r="O30" i="4"/>
  <c r="P30" i="4"/>
  <c r="L38" i="4"/>
  <c r="M38" i="4"/>
  <c r="N38" i="4"/>
  <c r="O38" i="4"/>
  <c r="P38" i="4"/>
  <c r="L46" i="4"/>
  <c r="M46" i="4"/>
  <c r="N46" i="4"/>
  <c r="O46" i="4"/>
  <c r="P46" i="4"/>
  <c r="L51" i="4"/>
  <c r="M51" i="4"/>
  <c r="N51" i="4"/>
  <c r="O51" i="4"/>
  <c r="P51" i="4"/>
  <c r="L54" i="4"/>
  <c r="M54" i="4"/>
  <c r="N54" i="4"/>
  <c r="O54" i="4"/>
  <c r="P54" i="4"/>
  <c r="L56" i="4"/>
  <c r="M56" i="4"/>
  <c r="N56" i="4"/>
  <c r="O56" i="4"/>
  <c r="P56" i="4"/>
  <c r="L57" i="4"/>
  <c r="M57" i="4"/>
  <c r="N57" i="4"/>
  <c r="O57" i="4"/>
  <c r="P57" i="4"/>
  <c r="L59" i="4"/>
  <c r="M59" i="4"/>
  <c r="N59" i="4"/>
  <c r="O59" i="4"/>
  <c r="P59" i="4"/>
  <c r="K11" i="10"/>
  <c r="L11" i="10"/>
  <c r="M11" i="10"/>
  <c r="N11" i="10"/>
  <c r="O11" i="10"/>
  <c r="K19" i="10"/>
  <c r="L19" i="10"/>
  <c r="M19" i="10"/>
  <c r="N19" i="10"/>
  <c r="O19" i="10"/>
  <c r="K27" i="10"/>
  <c r="L27" i="10"/>
  <c r="M27" i="10"/>
  <c r="N27" i="10"/>
  <c r="O27" i="10"/>
  <c r="K28" i="10"/>
  <c r="L28" i="10"/>
  <c r="M28" i="10"/>
  <c r="N28" i="10"/>
  <c r="O28" i="10"/>
  <c r="K30" i="10"/>
  <c r="L30" i="10"/>
  <c r="M30" i="10"/>
  <c r="N30" i="10"/>
  <c r="O30" i="10"/>
  <c r="K32" i="10"/>
  <c r="L32" i="10"/>
  <c r="M32" i="10"/>
  <c r="N32" i="10"/>
  <c r="O32" i="10"/>
  <c r="L33" i="10"/>
  <c r="M33" i="10"/>
  <c r="N33" i="10"/>
  <c r="O33" i="10"/>
  <c r="K34" i="10"/>
  <c r="L34" i="10"/>
  <c r="M34" i="10"/>
  <c r="N34" i="10"/>
  <c r="O34" i="10"/>
  <c r="L37" i="10"/>
  <c r="M37" i="10"/>
  <c r="N37" i="10"/>
  <c r="O37" i="10"/>
  <c r="K38" i="10"/>
  <c r="L38" i="10"/>
  <c r="M38" i="10"/>
  <c r="N38" i="10"/>
  <c r="O38" i="10"/>
  <c r="K39" i="10"/>
  <c r="L39" i="10"/>
  <c r="M39" i="10"/>
  <c r="N39" i="10"/>
  <c r="O39" i="10"/>
  <c r="K42" i="10"/>
  <c r="L42" i="10"/>
  <c r="M42" i="10"/>
  <c r="N42" i="10"/>
  <c r="O42" i="10"/>
  <c r="J7" i="8"/>
  <c r="K7" i="8"/>
  <c r="L7" i="8"/>
  <c r="M7" i="8"/>
  <c r="I8" i="8"/>
  <c r="J8" i="8"/>
  <c r="K8" i="8"/>
  <c r="L8" i="8"/>
  <c r="M8" i="8"/>
  <c r="I9" i="8"/>
  <c r="J9" i="8"/>
  <c r="K9" i="8"/>
  <c r="L9" i="8"/>
  <c r="M9" i="8"/>
  <c r="J12" i="8"/>
  <c r="K12" i="8"/>
  <c r="L12" i="8"/>
  <c r="M12" i="8"/>
  <c r="J14" i="8"/>
  <c r="K14" i="8"/>
  <c r="L14" i="8"/>
  <c r="M14" i="8"/>
  <c r="I15" i="8"/>
  <c r="J15" i="8"/>
  <c r="K15" i="8"/>
  <c r="L15" i="8"/>
  <c r="M15" i="8"/>
  <c r="I16" i="8"/>
  <c r="J16" i="8"/>
  <c r="K16" i="8"/>
  <c r="L16" i="8"/>
  <c r="M16" i="8"/>
  <c r="I18" i="8"/>
  <c r="J18" i="8"/>
  <c r="K18" i="8"/>
  <c r="L18" i="8"/>
  <c r="M18" i="8"/>
  <c r="J24" i="9"/>
  <c r="K24" i="9"/>
  <c r="L24" i="9"/>
  <c r="M24" i="9"/>
  <c r="I25" i="9"/>
  <c r="J25" i="9"/>
  <c r="K25" i="9"/>
  <c r="L25" i="9"/>
  <c r="M25" i="9"/>
  <c r="I26" i="9"/>
  <c r="J26" i="9"/>
  <c r="K26" i="9"/>
  <c r="L26" i="9"/>
  <c r="M26" i="9"/>
  <c r="I27" i="9"/>
  <c r="J27" i="9"/>
  <c r="K27" i="9"/>
  <c r="L27" i="9"/>
  <c r="M27" i="9"/>
  <c r="I29" i="9"/>
  <c r="J29" i="9"/>
  <c r="K29" i="9"/>
  <c r="L29" i="9"/>
  <c r="M29" i="9"/>
  <c r="I31" i="9"/>
  <c r="J31" i="9"/>
  <c r="K31" i="9"/>
  <c r="L31" i="9"/>
  <c r="M31" i="9"/>
  <c r="M24" i="2"/>
  <c r="N24" i="2"/>
  <c r="O24" i="2"/>
  <c r="P24" i="2"/>
  <c r="Q24" i="2"/>
  <c r="M25" i="2"/>
  <c r="N25" i="2"/>
  <c r="O25" i="2"/>
  <c r="P25" i="2"/>
  <c r="Q25" i="2"/>
  <c r="M27" i="2"/>
  <c r="N27" i="2"/>
  <c r="O27" i="2"/>
  <c r="P27" i="2"/>
  <c r="Q27" i="2"/>
  <c r="M28" i="2"/>
  <c r="N28" i="2"/>
  <c r="O28" i="2"/>
  <c r="P28" i="2"/>
  <c r="Q28" i="2"/>
  <c r="M29" i="2"/>
  <c r="N29" i="2"/>
  <c r="O29" i="2"/>
  <c r="P29" i="2"/>
  <c r="Q29" i="2"/>
  <c r="M31" i="2"/>
  <c r="N31" i="2"/>
  <c r="O31" i="2"/>
  <c r="P31" i="2"/>
  <c r="Q31" i="2"/>
  <c r="M35" i="2"/>
  <c r="N35" i="2"/>
  <c r="O35" i="2"/>
  <c r="P35" i="2"/>
  <c r="Q35" i="2"/>
  <c r="M42" i="2"/>
  <c r="N42" i="2"/>
  <c r="O42" i="2"/>
  <c r="P42" i="2"/>
  <c r="Q42" i="2"/>
  <c r="M43" i="2"/>
  <c r="N43" i="2"/>
  <c r="O43" i="2"/>
  <c r="P43" i="2"/>
  <c r="Q43" i="2"/>
  <c r="J107" i="2"/>
  <c r="M125" i="2"/>
  <c r="N125" i="2"/>
  <c r="O125" i="2"/>
  <c r="P125" i="2"/>
  <c r="Q125" i="2"/>
  <c r="M126" i="2"/>
  <c r="N126" i="2"/>
  <c r="O126" i="2"/>
  <c r="P126" i="2"/>
  <c r="Q126" i="2"/>
  <c r="I7" i="11"/>
  <c r="J7" i="11"/>
  <c r="K7" i="11"/>
  <c r="L7" i="11"/>
  <c r="M7" i="11"/>
  <c r="I8" i="11"/>
  <c r="J8" i="11"/>
  <c r="K8" i="11"/>
  <c r="L8" i="11"/>
  <c r="M8" i="11"/>
  <c r="I9" i="11"/>
  <c r="J9" i="11"/>
  <c r="K9" i="11"/>
  <c r="L9" i="11"/>
  <c r="M9" i="11"/>
  <c r="I15" i="11"/>
  <c r="J15" i="11"/>
  <c r="K15" i="11"/>
  <c r="L15" i="11"/>
  <c r="M15" i="11"/>
  <c r="I16" i="11"/>
  <c r="J16" i="11"/>
  <c r="K16" i="11"/>
  <c r="L16" i="11"/>
  <c r="M16" i="11"/>
  <c r="I17" i="11"/>
  <c r="J17" i="11"/>
  <c r="K17" i="11"/>
  <c r="L17" i="11"/>
  <c r="M17" i="11"/>
  <c r="I19" i="11"/>
  <c r="J19" i="11"/>
  <c r="K19" i="11"/>
  <c r="L19" i="11"/>
  <c r="M19" i="11"/>
  <c r="I20" i="11"/>
  <c r="J20" i="11"/>
  <c r="K20" i="11"/>
  <c r="L20" i="11"/>
  <c r="M20" i="11"/>
  <c r="I21" i="11"/>
  <c r="J21" i="11"/>
  <c r="K21" i="11"/>
  <c r="L21" i="11"/>
  <c r="M21" i="11"/>
  <c r="I22" i="11"/>
  <c r="J22" i="11"/>
  <c r="K22" i="11"/>
  <c r="L22" i="11"/>
  <c r="M22" i="11"/>
  <c r="I25" i="11"/>
  <c r="J25" i="11"/>
  <c r="K25" i="11"/>
  <c r="L25" i="11"/>
  <c r="M25" i="11"/>
  <c r="I26" i="11"/>
  <c r="J26" i="11"/>
  <c r="K26" i="11"/>
  <c r="L26" i="11"/>
  <c r="M26" i="11"/>
  <c r="I27" i="11"/>
  <c r="J27" i="11"/>
  <c r="K27" i="11"/>
  <c r="L27" i="11"/>
  <c r="M27" i="11"/>
  <c r="I30" i="11"/>
  <c r="J30" i="11"/>
  <c r="K30" i="11"/>
  <c r="L30" i="11"/>
  <c r="M30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Bank XYZ</author>
  </authors>
  <commentList>
    <comment ref="C22" authorId="0" shapeId="0" xr:uid="{A76576B5-D76D-444B-A4B8-DFDC2826BB11}">
      <text>
        <r>
          <rPr>
            <b/>
            <sz val="9"/>
            <color indexed="81"/>
            <rFont val="Tahoma"/>
            <family val="2"/>
          </rPr>
          <t>Bank XYZ:</t>
        </r>
        <r>
          <rPr>
            <sz val="9"/>
            <color indexed="81"/>
            <rFont val="Tahoma"/>
            <family val="2"/>
          </rPr>
          <t xml:space="preserve">
In schedules , Blue stands for the drivers for that particular schedule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Rahul Sen</author>
  </authors>
  <commentList>
    <comment ref="J8" authorId="0" shapeId="0" xr:uid="{917BA7BB-5CB2-4D22-B84A-49C25BFA1E1B}">
      <text>
        <r>
          <rPr>
            <b/>
            <sz val="9"/>
            <color indexed="81"/>
            <rFont val="Tahoma"/>
            <family val="2"/>
          </rPr>
          <t>Rahul Sen:</t>
        </r>
        <r>
          <rPr>
            <sz val="9"/>
            <color indexed="81"/>
            <rFont val="Tahoma"/>
            <family val="2"/>
          </rPr>
          <t xml:space="preserve">
AR 2017, page 58</t>
        </r>
      </text>
    </comment>
    <comment ref="K8" authorId="0" shapeId="0" xr:uid="{56916D3D-7B9E-4882-BDC1-DA2D971C9E08}">
      <text>
        <r>
          <rPr>
            <b/>
            <sz val="9"/>
            <color indexed="81"/>
            <rFont val="Tahoma"/>
            <family val="2"/>
          </rPr>
          <t>Rahul Sen:</t>
        </r>
        <r>
          <rPr>
            <sz val="9"/>
            <color indexed="81"/>
            <rFont val="Tahoma"/>
            <family val="2"/>
          </rPr>
          <t xml:space="preserve">
AR 2018, page 62</t>
        </r>
      </text>
    </comment>
    <comment ref="L8" authorId="0" shapeId="0" xr:uid="{22C9906D-4ADF-4D8B-819D-A41106C0CCF7}">
      <text>
        <r>
          <rPr>
            <b/>
            <sz val="9"/>
            <color indexed="81"/>
            <rFont val="Tahoma"/>
            <family val="2"/>
          </rPr>
          <t>Rahul Sen:</t>
        </r>
        <r>
          <rPr>
            <sz val="9"/>
            <color indexed="81"/>
            <rFont val="Tahoma"/>
            <family val="2"/>
          </rPr>
          <t xml:space="preserve">
AR 2018, page 62</t>
        </r>
      </text>
    </comment>
    <comment ref="J42" authorId="0" shapeId="0" xr:uid="{8408A162-BE29-4CD1-83D7-92AEC5E7038D}">
      <text>
        <r>
          <rPr>
            <b/>
            <sz val="9"/>
            <color indexed="81"/>
            <rFont val="Tahoma"/>
            <family val="2"/>
          </rPr>
          <t>Rahul Sen:</t>
        </r>
        <r>
          <rPr>
            <sz val="9"/>
            <color indexed="81"/>
            <rFont val="Tahoma"/>
            <family val="2"/>
          </rPr>
          <t xml:space="preserve">
AR 2017, page 97</t>
        </r>
      </text>
    </comment>
    <comment ref="K42" authorId="0" shapeId="0" xr:uid="{34D5206E-FF58-4176-91DE-9864AA12043B}">
      <text>
        <r>
          <rPr>
            <b/>
            <sz val="9"/>
            <color indexed="81"/>
            <rFont val="Tahoma"/>
            <family val="2"/>
          </rPr>
          <t>Rahul Sen:</t>
        </r>
        <r>
          <rPr>
            <sz val="9"/>
            <color indexed="81"/>
            <rFont val="Tahoma"/>
            <family val="2"/>
          </rPr>
          <t xml:space="preserve">
AR 2018, page 103</t>
        </r>
      </text>
    </comment>
    <comment ref="L42" authorId="0" shapeId="0" xr:uid="{3A4F8B3D-9E9E-4562-8EE4-5807983C7308}">
      <text>
        <r>
          <rPr>
            <b/>
            <sz val="9"/>
            <color indexed="81"/>
            <rFont val="Tahoma"/>
            <family val="2"/>
          </rPr>
          <t>Rahul Sen:</t>
        </r>
        <r>
          <rPr>
            <sz val="9"/>
            <color indexed="81"/>
            <rFont val="Tahoma"/>
            <family val="2"/>
          </rPr>
          <t xml:space="preserve">
AR 2018, page 103</t>
        </r>
      </text>
    </comment>
    <comment ref="J43" authorId="0" shapeId="0" xr:uid="{344681E8-F31D-401E-8E24-8AC9F1E6DEB6}">
      <text>
        <r>
          <rPr>
            <b/>
            <sz val="9"/>
            <color indexed="81"/>
            <rFont val="Tahoma"/>
            <family val="2"/>
          </rPr>
          <t>Rahul Sen:</t>
        </r>
        <r>
          <rPr>
            <sz val="9"/>
            <color indexed="81"/>
            <rFont val="Tahoma"/>
            <family val="2"/>
          </rPr>
          <t xml:space="preserve">
AR 2017, page 97</t>
        </r>
      </text>
    </comment>
    <comment ref="K43" authorId="0" shapeId="0" xr:uid="{FD49F796-788E-4A2D-8117-9391FBE4B7D3}">
      <text>
        <r>
          <rPr>
            <b/>
            <sz val="9"/>
            <color indexed="81"/>
            <rFont val="Tahoma"/>
            <family val="2"/>
          </rPr>
          <t>Rahul Sen:</t>
        </r>
        <r>
          <rPr>
            <sz val="9"/>
            <color indexed="81"/>
            <rFont val="Tahoma"/>
            <family val="2"/>
          </rPr>
          <t xml:space="preserve">
AR 2018, page 103</t>
        </r>
      </text>
    </comment>
    <comment ref="L43" authorId="0" shapeId="0" xr:uid="{907124EF-3B18-4501-9078-7653E7A9BA69}">
      <text>
        <r>
          <rPr>
            <b/>
            <sz val="9"/>
            <color indexed="81"/>
            <rFont val="Tahoma"/>
            <family val="2"/>
          </rPr>
          <t>Rahul Sen:</t>
        </r>
        <r>
          <rPr>
            <sz val="9"/>
            <color indexed="81"/>
            <rFont val="Tahoma"/>
            <family val="2"/>
          </rPr>
          <t xml:space="preserve">
AR 2018, page 103</t>
        </r>
      </text>
    </comment>
    <comment ref="J54" authorId="0" shapeId="0" xr:uid="{6947AAAA-EB96-4C3C-8C23-093EA4638E47}">
      <text>
        <r>
          <rPr>
            <b/>
            <sz val="9"/>
            <color indexed="81"/>
            <rFont val="Tahoma"/>
            <family val="2"/>
          </rPr>
          <t>Rahul Sen:</t>
        </r>
        <r>
          <rPr>
            <sz val="9"/>
            <color indexed="81"/>
            <rFont val="Tahoma"/>
            <family val="2"/>
          </rPr>
          <t xml:space="preserve">
AR 2017, page 61</t>
        </r>
      </text>
    </comment>
    <comment ref="K54" authorId="0" shapeId="0" xr:uid="{6EA11F72-0BFC-4282-AEA1-8EA315EFA559}">
      <text>
        <r>
          <rPr>
            <b/>
            <sz val="9"/>
            <color indexed="81"/>
            <rFont val="Tahoma"/>
            <family val="2"/>
          </rPr>
          <t>Rahul Sen:</t>
        </r>
        <r>
          <rPr>
            <sz val="9"/>
            <color indexed="81"/>
            <rFont val="Tahoma"/>
            <family val="2"/>
          </rPr>
          <t xml:space="preserve">
AR 2018, page 65</t>
        </r>
      </text>
    </comment>
    <comment ref="L54" authorId="0" shapeId="0" xr:uid="{ACDE1826-085F-42A6-9D6F-E228FCC3657B}">
      <text>
        <r>
          <rPr>
            <b/>
            <sz val="9"/>
            <color indexed="81"/>
            <rFont val="Tahoma"/>
            <family val="2"/>
          </rPr>
          <t>Rahul Sen:</t>
        </r>
        <r>
          <rPr>
            <sz val="9"/>
            <color indexed="81"/>
            <rFont val="Tahoma"/>
            <family val="2"/>
          </rPr>
          <t xml:space="preserve">
AR 2018, page 65</t>
        </r>
      </text>
    </comment>
    <comment ref="M71" authorId="0" shapeId="0" xr:uid="{557BD512-3826-4DC2-BAA5-64261659736D}">
      <text>
        <r>
          <rPr>
            <b/>
            <sz val="9"/>
            <color indexed="81"/>
            <rFont val="Tahoma"/>
            <family val="2"/>
          </rPr>
          <t>Rahul Sen:</t>
        </r>
        <r>
          <rPr>
            <sz val="9"/>
            <color indexed="81"/>
            <rFont val="Tahoma"/>
            <family val="2"/>
          </rPr>
          <t xml:space="preserve">
Assumed a constant figure as this line item cannot be predicted with certainty.</t>
        </r>
      </text>
    </comment>
    <comment ref="J99" authorId="0" shapeId="0" xr:uid="{1EDC7F15-823F-4628-8FBF-B3FF82BF0D24}">
      <text>
        <r>
          <rPr>
            <b/>
            <sz val="9"/>
            <color indexed="81"/>
            <rFont val="Tahoma"/>
            <family val="2"/>
          </rPr>
          <t>Rahul Sen:</t>
        </r>
        <r>
          <rPr>
            <sz val="9"/>
            <color indexed="81"/>
            <rFont val="Tahoma"/>
            <family val="2"/>
          </rPr>
          <t xml:space="preserve">
Yahoo finance historical</t>
        </r>
      </text>
    </comment>
    <comment ref="K99" authorId="0" shapeId="0" xr:uid="{FDCB10D4-B788-4472-B05A-B3A0D9E333E2}">
      <text>
        <r>
          <rPr>
            <b/>
            <sz val="9"/>
            <color indexed="81"/>
            <rFont val="Tahoma"/>
            <family val="2"/>
          </rPr>
          <t>Rahul Sen:</t>
        </r>
        <r>
          <rPr>
            <sz val="9"/>
            <color indexed="81"/>
            <rFont val="Tahoma"/>
            <family val="2"/>
          </rPr>
          <t xml:space="preserve">
Yahoo finance historical</t>
        </r>
      </text>
    </comment>
    <comment ref="L99" authorId="0" shapeId="0" xr:uid="{EB96300B-58FE-4EC3-97D3-D55BED53BE6F}">
      <text>
        <r>
          <rPr>
            <b/>
            <sz val="9"/>
            <color indexed="81"/>
            <rFont val="Tahoma"/>
            <family val="2"/>
          </rPr>
          <t>Rahul Sen:</t>
        </r>
        <r>
          <rPr>
            <sz val="9"/>
            <color indexed="81"/>
            <rFont val="Tahoma"/>
            <family val="2"/>
          </rPr>
          <t xml:space="preserve">
Yahoo finance historical</t>
        </r>
      </text>
    </comment>
    <comment ref="M134" authorId="0" shapeId="0" xr:uid="{03A74B67-7D44-47F4-91FB-E2015C1833C2}">
      <text>
        <r>
          <rPr>
            <b/>
            <sz val="9"/>
            <color indexed="81"/>
            <rFont val="Tahoma"/>
            <family val="2"/>
          </rPr>
          <t>Rahul Sen:</t>
        </r>
        <r>
          <rPr>
            <sz val="9"/>
            <color indexed="81"/>
            <rFont val="Tahoma"/>
            <family val="2"/>
          </rPr>
          <t xml:space="preserve">
Assuming a contant 30% GP as a % of Sales</t>
        </r>
      </text>
    </comment>
    <comment ref="M138" authorId="0" shapeId="0" xr:uid="{6C5DDFC6-21B9-414C-B848-A9C4FA9722B1}">
      <text>
        <r>
          <rPr>
            <b/>
            <sz val="9"/>
            <color indexed="81"/>
            <rFont val="Tahoma"/>
            <family val="2"/>
          </rPr>
          <t>Rahul Sen:</t>
        </r>
        <r>
          <rPr>
            <sz val="9"/>
            <color indexed="81"/>
            <rFont val="Tahoma"/>
            <family val="2"/>
          </rPr>
          <t xml:space="preserve">
Assuming a flat rate of 6.5% R&amp;D Expense based on past historical trend</t>
        </r>
      </text>
    </comment>
    <comment ref="M142" authorId="0" shapeId="0" xr:uid="{04DE0E2F-C12F-4AB9-9195-3BADA79C2465}">
      <text>
        <r>
          <rPr>
            <b/>
            <sz val="9"/>
            <color indexed="81"/>
            <rFont val="Tahoma"/>
            <family val="2"/>
          </rPr>
          <t>Rahul Sen:</t>
        </r>
        <r>
          <rPr>
            <sz val="9"/>
            <color indexed="81"/>
            <rFont val="Tahoma"/>
            <family val="2"/>
          </rPr>
          <t xml:space="preserve">
Assuming a flat rate of 16% SG&amp;A Expense based on past historical trend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Rahul Sen</author>
  </authors>
  <commentList>
    <comment ref="I9" authorId="0" shapeId="0" xr:uid="{3373DA9D-3EB3-426A-8657-962DA16E5ED0}">
      <text>
        <r>
          <rPr>
            <b/>
            <sz val="9"/>
            <color indexed="81"/>
            <rFont val="Tahoma"/>
            <family val="2"/>
          </rPr>
          <t>Rahul Sen:</t>
        </r>
        <r>
          <rPr>
            <sz val="9"/>
            <color indexed="81"/>
            <rFont val="Tahoma"/>
            <family val="2"/>
          </rPr>
          <t xml:space="preserve">
AR 2017, page 60</t>
        </r>
      </text>
    </comment>
    <comment ref="J9" authorId="0" shapeId="0" xr:uid="{E44B1AD4-C519-4135-9891-C38323BED874}">
      <text>
        <r>
          <rPr>
            <b/>
            <sz val="9"/>
            <color indexed="81"/>
            <rFont val="Tahoma"/>
            <family val="2"/>
          </rPr>
          <t>Rahul Sen:</t>
        </r>
        <r>
          <rPr>
            <sz val="9"/>
            <color indexed="81"/>
            <rFont val="Tahoma"/>
            <family val="2"/>
          </rPr>
          <t xml:space="preserve">
AR 2018, page 64</t>
        </r>
      </text>
    </comment>
    <comment ref="K9" authorId="0" shapeId="0" xr:uid="{3AD24967-6792-4248-8FC3-1BAF27925757}">
      <text>
        <r>
          <rPr>
            <b/>
            <sz val="9"/>
            <color indexed="81"/>
            <rFont val="Tahoma"/>
            <family val="2"/>
          </rPr>
          <t>Rahul Sen:</t>
        </r>
        <r>
          <rPr>
            <sz val="9"/>
            <color indexed="81"/>
            <rFont val="Tahoma"/>
            <family val="2"/>
          </rPr>
          <t xml:space="preserve">
AR 2018, page 64</t>
        </r>
      </text>
    </comment>
    <comment ref="J19" authorId="0" shapeId="0" xr:uid="{07634041-268D-4FEC-895C-64AEA2DEC6E8}">
      <text>
        <r>
          <rPr>
            <b/>
            <sz val="9"/>
            <color indexed="81"/>
            <rFont val="Tahoma"/>
            <family val="2"/>
          </rPr>
          <t>Rahul Sen:</t>
        </r>
        <r>
          <rPr>
            <sz val="9"/>
            <color indexed="81"/>
            <rFont val="Tahoma"/>
            <family val="2"/>
          </rPr>
          <t xml:space="preserve">
Made changes to reflect decimal and rounding error</t>
        </r>
      </text>
    </comment>
    <comment ref="I26" authorId="0" shapeId="0" xr:uid="{0F45EF9D-9A80-4A94-881D-8723B9CFF506}">
      <text>
        <r>
          <rPr>
            <b/>
            <sz val="9"/>
            <color indexed="81"/>
            <rFont val="Tahoma"/>
            <family val="2"/>
          </rPr>
          <t>Rahul Sen:</t>
        </r>
        <r>
          <rPr>
            <sz val="9"/>
            <color indexed="81"/>
            <rFont val="Tahoma"/>
            <family val="2"/>
          </rPr>
          <t xml:space="preserve">
Made changes to reflect decimal and rounding error</t>
        </r>
      </text>
    </comment>
    <comment ref="I45" authorId="0" shapeId="0" xr:uid="{B2F36AB8-D223-4341-A3AC-B071068F8ED4}">
      <text>
        <r>
          <rPr>
            <b/>
            <sz val="9"/>
            <color indexed="81"/>
            <rFont val="Tahoma"/>
            <family val="2"/>
          </rPr>
          <t>Rahul Sen:</t>
        </r>
        <r>
          <rPr>
            <sz val="9"/>
            <color indexed="81"/>
            <rFont val="Tahoma"/>
            <family val="2"/>
          </rPr>
          <t xml:space="preserve">
Made changes to reflect decimal and rounding error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Rahul Sen</author>
    <author>Wall Street Prep</author>
  </authors>
  <commentList>
    <comment ref="J44" authorId="0" shapeId="0" xr:uid="{6B5985EC-A7A1-461C-80B6-9B2259159B1A}">
      <text>
        <r>
          <rPr>
            <b/>
            <sz val="9"/>
            <color indexed="81"/>
            <rFont val="Tahoma"/>
            <family val="2"/>
          </rPr>
          <t>Rahul Sen:</t>
        </r>
        <r>
          <rPr>
            <sz val="9"/>
            <color indexed="81"/>
            <rFont val="Tahoma"/>
            <family val="2"/>
          </rPr>
          <t xml:space="preserve">
https://www.gurufocus.com/term/ev2ebitda/OTCPK:SIEGY/EV-to-EBITDA/Siemens-AG</t>
        </r>
      </text>
    </comment>
    <comment ref="J49" authorId="1" shapeId="0" xr:uid="{A8671007-B45F-4AA5-940D-62C55484762D}">
      <text>
        <r>
          <rPr>
            <sz val="9"/>
            <color indexed="81"/>
            <rFont val="Tahoma"/>
            <family val="2"/>
          </rPr>
          <t xml:space="preserve">[r -FCF(t)*(1+r)^0.5/TV]/(1+FCF(t)*(1+r)^0.5/TV)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Rahul Sen</author>
  </authors>
  <commentList>
    <comment ref="B3" authorId="0" shapeId="0" xr:uid="{D0A4CC33-CF85-4F19-A548-09F378C44ECC}">
      <text>
        <r>
          <rPr>
            <b/>
            <sz val="9"/>
            <color indexed="81"/>
            <rFont val="Tahoma"/>
            <family val="2"/>
          </rPr>
          <t>Rahul Sen:</t>
        </r>
        <r>
          <rPr>
            <sz val="9"/>
            <color indexed="81"/>
            <rFont val="Tahoma"/>
            <family val="2"/>
          </rPr>
          <t xml:space="preserve">
3Y Monthly from Yahoo Finance</t>
        </r>
      </text>
    </comment>
    <comment ref="E3" authorId="0" shapeId="0" xr:uid="{D6EC7C1B-8561-4ADA-817C-A4C75C01099A}">
      <text>
        <r>
          <rPr>
            <b/>
            <sz val="9"/>
            <color indexed="81"/>
            <rFont val="Tahoma"/>
            <family val="2"/>
          </rPr>
          <t>Rahul Sen:</t>
        </r>
        <r>
          <rPr>
            <sz val="9"/>
            <color indexed="81"/>
            <rFont val="Tahoma"/>
            <family val="2"/>
          </rPr>
          <t xml:space="preserve">
http://financials.morningstar.com/competitors/industry-peer.action?t=SMAWF&amp;region=usa&amp;culture=en-US</t>
        </r>
      </text>
    </comment>
    <comment ref="A4" authorId="0" shapeId="0" xr:uid="{B9DDD67B-06E8-4C3D-9004-E172EB215ABC}">
      <text>
        <r>
          <rPr>
            <b/>
            <sz val="9"/>
            <color indexed="81"/>
            <rFont val="Tahoma"/>
            <family val="2"/>
          </rPr>
          <t>Rahul Sen:</t>
        </r>
        <r>
          <rPr>
            <sz val="9"/>
            <color indexed="81"/>
            <rFont val="Tahoma"/>
            <family val="2"/>
          </rPr>
          <t xml:space="preserve">
https://finance.yahoo.com/quote/HON?p=HON&amp;.tsrc=fin-srch</t>
        </r>
      </text>
    </comment>
    <comment ref="A5" authorId="0" shapeId="0" xr:uid="{1F7A3BBD-6459-4F2A-848D-AC57BE0E772B}">
      <text>
        <r>
          <rPr>
            <b/>
            <sz val="9"/>
            <color indexed="81"/>
            <rFont val="Tahoma"/>
            <family val="2"/>
          </rPr>
          <t>Rahul Sen:</t>
        </r>
        <r>
          <rPr>
            <sz val="9"/>
            <color indexed="81"/>
            <rFont val="Tahoma"/>
            <family val="2"/>
          </rPr>
          <t xml:space="preserve">
https://finance.yahoo.com/quote/ABB?p=ABB&amp;.tsrc=fin-srch
`</t>
        </r>
      </text>
    </comment>
    <comment ref="A6" authorId="0" shapeId="0" xr:uid="{9B15D7C1-7B81-4D78-BFFC-D88B9E86F2A3}">
      <text>
        <r>
          <rPr>
            <b/>
            <sz val="9"/>
            <color indexed="81"/>
            <rFont val="Tahoma"/>
            <family val="2"/>
          </rPr>
          <t>Rahul Sen:</t>
        </r>
        <r>
          <rPr>
            <sz val="9"/>
            <color indexed="81"/>
            <rFont val="Tahoma"/>
            <family val="2"/>
          </rPr>
          <t xml:space="preserve">
https://finance.yahoo.com/quote/SBGSY?p=SBGSY&amp;.tsrc=fin-srch</t>
        </r>
      </text>
    </comment>
    <comment ref="A15" authorId="0" shapeId="0" xr:uid="{6105C348-C8E0-4B48-BC5C-B9CFA720DABD}">
      <text>
        <r>
          <rPr>
            <b/>
            <sz val="9"/>
            <color indexed="81"/>
            <rFont val="Tahoma"/>
            <family val="2"/>
          </rPr>
          <t>Rahul Sen:</t>
        </r>
        <r>
          <rPr>
            <sz val="9"/>
            <color indexed="81"/>
            <rFont val="Tahoma"/>
            <family val="2"/>
          </rPr>
          <t xml:space="preserve">
https://finance.yahoo.com/quote/HON?p=HON&amp;.tsrc=fin-srch</t>
        </r>
      </text>
    </comment>
    <comment ref="A21" authorId="0" shapeId="0" xr:uid="{8B01ED82-CC7E-4854-B524-8602AAA5CB18}">
      <text>
        <r>
          <rPr>
            <b/>
            <sz val="9"/>
            <color indexed="81"/>
            <rFont val="Tahoma"/>
            <family val="2"/>
          </rPr>
          <t>Rahul Sen:</t>
        </r>
        <r>
          <rPr>
            <sz val="9"/>
            <color indexed="81"/>
            <rFont val="Tahoma"/>
            <family val="2"/>
          </rPr>
          <t xml:space="preserve">
https://finance.yahoo.com/quote/ABB?p=ABB&amp;.tsrc=fin-srch
`</t>
        </r>
      </text>
    </comment>
    <comment ref="A27" authorId="0" shapeId="0" xr:uid="{4A759D4B-23CC-4127-AB36-5B50B2F933F8}">
      <text>
        <r>
          <rPr>
            <b/>
            <sz val="9"/>
            <color indexed="81"/>
            <rFont val="Tahoma"/>
            <family val="2"/>
          </rPr>
          <t>Rahul Sen:</t>
        </r>
        <r>
          <rPr>
            <sz val="9"/>
            <color indexed="81"/>
            <rFont val="Tahoma"/>
            <family val="2"/>
          </rPr>
          <t xml:space="preserve">
https://finance.yahoo.com/quote/SBGSY?p=SBGSY&amp;.tsrc=fin-srch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Rahul Sen</author>
  </authors>
  <commentList>
    <comment ref="D12" authorId="0" shapeId="0" xr:uid="{955229F8-F660-4B27-B83E-25DC82D1A7F8}">
      <text>
        <r>
          <rPr>
            <b/>
            <sz val="9"/>
            <color indexed="81"/>
            <rFont val="Tahoma"/>
            <family val="2"/>
          </rPr>
          <t>Rahul Sen:</t>
        </r>
        <r>
          <rPr>
            <sz val="9"/>
            <color indexed="81"/>
            <rFont val="Tahoma"/>
            <family val="2"/>
          </rPr>
          <t xml:space="preserve">
AR 2017, page 76</t>
        </r>
      </text>
    </comment>
    <comment ref="E12" authorId="0" shapeId="0" xr:uid="{B2A8CD71-DA04-464A-A72A-7C1BFF1ED307}">
      <text>
        <r>
          <rPr>
            <b/>
            <sz val="9"/>
            <color indexed="81"/>
            <rFont val="Tahoma"/>
            <family val="2"/>
          </rPr>
          <t>Rahul Sen:</t>
        </r>
        <r>
          <rPr>
            <sz val="9"/>
            <color indexed="81"/>
            <rFont val="Tahoma"/>
            <family val="2"/>
          </rPr>
          <t xml:space="preserve">
AR 2018, page 81</t>
        </r>
      </text>
    </comment>
    <comment ref="F12" authorId="0" shapeId="0" xr:uid="{AD91D77F-D8AE-43C5-AEDD-B3B1EE5E8827}">
      <text>
        <r>
          <rPr>
            <b/>
            <sz val="9"/>
            <color indexed="81"/>
            <rFont val="Tahoma"/>
            <family val="2"/>
          </rPr>
          <t>Rahul Sen:</t>
        </r>
        <r>
          <rPr>
            <sz val="9"/>
            <color indexed="81"/>
            <rFont val="Tahoma"/>
            <family val="2"/>
          </rPr>
          <t xml:space="preserve">
AR 2018, page 81</t>
        </r>
      </text>
    </comment>
    <comment ref="D26" authorId="0" shapeId="0" xr:uid="{DCE36E7E-82ED-4C1C-BDB5-611B9BA108B9}">
      <text>
        <r>
          <rPr>
            <b/>
            <sz val="9"/>
            <color indexed="81"/>
            <rFont val="Tahoma"/>
            <family val="2"/>
          </rPr>
          <t>Rahul Sen:</t>
        </r>
        <r>
          <rPr>
            <sz val="9"/>
            <color indexed="81"/>
            <rFont val="Tahoma"/>
            <family val="2"/>
          </rPr>
          <t xml:space="preserve">
Assuming that 50% out of Land and Buildings is attributed to Land only.</t>
        </r>
      </text>
    </comment>
    <comment ref="E26" authorId="0" shapeId="0" xr:uid="{DF0DBE13-0BF5-4085-B17E-0D805FC5C282}">
      <text>
        <r>
          <rPr>
            <b/>
            <sz val="9"/>
            <color indexed="81"/>
            <rFont val="Tahoma"/>
            <family val="2"/>
          </rPr>
          <t>Rahul Sen:</t>
        </r>
        <r>
          <rPr>
            <sz val="9"/>
            <color indexed="81"/>
            <rFont val="Tahoma"/>
            <family val="2"/>
          </rPr>
          <t xml:space="preserve">
Assuming that 50% out of Land and Buildings is attributed to Land only.</t>
        </r>
      </text>
    </comment>
    <comment ref="F26" authorId="0" shapeId="0" xr:uid="{24ABC4F0-DE7C-43D9-8582-4CB106939BEB}">
      <text>
        <r>
          <rPr>
            <b/>
            <sz val="9"/>
            <color indexed="81"/>
            <rFont val="Tahoma"/>
            <family val="2"/>
          </rPr>
          <t>Rahul Sen:</t>
        </r>
        <r>
          <rPr>
            <sz val="9"/>
            <color indexed="81"/>
            <rFont val="Tahoma"/>
            <family val="2"/>
          </rPr>
          <t xml:space="preserve">
Assuming that 50% out of Land and Buildings is attributed to Land only.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Rahul Sen</author>
  </authors>
  <commentList>
    <comment ref="F23" authorId="0" shapeId="0" xr:uid="{F4500485-7325-4926-B224-D3598F9EC746}">
      <text>
        <r>
          <rPr>
            <b/>
            <sz val="9"/>
            <color indexed="81"/>
            <rFont val="Tahoma"/>
            <family val="2"/>
          </rPr>
          <t>Rahul Sen:</t>
        </r>
        <r>
          <rPr>
            <sz val="9"/>
            <color indexed="81"/>
            <rFont val="Tahoma"/>
            <family val="2"/>
          </rPr>
          <t xml:space="preserve">
AR 2017, page 61</t>
        </r>
      </text>
    </comment>
    <comment ref="G23" authorId="0" shapeId="0" xr:uid="{2D296D71-96F9-497B-9C68-5DF725F8569F}">
      <text>
        <r>
          <rPr>
            <b/>
            <sz val="9"/>
            <color indexed="81"/>
            <rFont val="Tahoma"/>
            <family val="2"/>
          </rPr>
          <t>Rahul Sen:</t>
        </r>
        <r>
          <rPr>
            <sz val="9"/>
            <color indexed="81"/>
            <rFont val="Tahoma"/>
            <family val="2"/>
          </rPr>
          <t xml:space="preserve">
AR 2018, page 65</t>
        </r>
      </text>
    </comment>
    <comment ref="H23" authorId="0" shapeId="0" xr:uid="{6C776609-8B46-4B7A-82FE-48EF9D3C7180}">
      <text>
        <r>
          <rPr>
            <b/>
            <sz val="9"/>
            <color indexed="81"/>
            <rFont val="Tahoma"/>
            <family val="2"/>
          </rPr>
          <t>Rahul Sen:</t>
        </r>
        <r>
          <rPr>
            <sz val="9"/>
            <color indexed="81"/>
            <rFont val="Tahoma"/>
            <family val="2"/>
          </rPr>
          <t xml:space="preserve">
AR 2018, page 65</t>
        </r>
      </text>
    </comment>
  </commentList>
</comments>
</file>

<file path=xl/sharedStrings.xml><?xml version="1.0" encoding="utf-8"?>
<sst xmlns="http://schemas.openxmlformats.org/spreadsheetml/2006/main" count="524" uniqueCount="354">
  <si>
    <t>Company Name</t>
  </si>
  <si>
    <t>Siemens AG</t>
  </si>
  <si>
    <t>Ticker</t>
  </si>
  <si>
    <t>Share price as of last close</t>
  </si>
  <si>
    <t>Latest closing share price date</t>
  </si>
  <si>
    <t>Latest fiscal year end date</t>
  </si>
  <si>
    <t>Circuit breaker:</t>
  </si>
  <si>
    <t>No. of days in the accounting year</t>
  </si>
  <si>
    <r>
      <t xml:space="preserve">A </t>
    </r>
    <r>
      <rPr>
        <i/>
        <sz val="12"/>
        <color theme="1"/>
        <rFont val="Calibri"/>
        <family val="2"/>
        <scheme val="minor"/>
      </rPr>
      <t>for Actual</t>
    </r>
    <r>
      <rPr>
        <b/>
        <i/>
        <sz val="12"/>
        <color theme="1"/>
        <rFont val="Calibri"/>
        <family val="2"/>
        <scheme val="minor"/>
      </rPr>
      <t xml:space="preserve">; E </t>
    </r>
    <r>
      <rPr>
        <i/>
        <sz val="12"/>
        <color theme="1"/>
        <rFont val="Calibri"/>
        <family val="2"/>
        <scheme val="minor"/>
      </rPr>
      <t>for Estimated</t>
    </r>
  </si>
  <si>
    <r>
      <rPr>
        <b/>
        <i/>
        <sz val="11"/>
        <color rgb="FF0000FF"/>
        <rFont val="Calibri"/>
        <family val="2"/>
        <scheme val="minor"/>
      </rPr>
      <t>BLUE</t>
    </r>
    <r>
      <rPr>
        <i/>
        <sz val="11"/>
        <color rgb="FF0000FF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 xml:space="preserve">for hard coded values, </t>
    </r>
    <r>
      <rPr>
        <b/>
        <i/>
        <sz val="11"/>
        <color theme="1"/>
        <rFont val="Calibri"/>
        <family val="2"/>
        <scheme val="minor"/>
      </rPr>
      <t>BLACK</t>
    </r>
    <r>
      <rPr>
        <i/>
        <sz val="11"/>
        <color theme="1"/>
        <rFont val="Calibri"/>
        <family val="2"/>
        <scheme val="minor"/>
      </rPr>
      <t xml:space="preserve"> for formulas, </t>
    </r>
    <r>
      <rPr>
        <b/>
        <i/>
        <sz val="11"/>
        <color theme="5" tint="-0.249977111117893"/>
        <rFont val="Calibri"/>
        <family val="2"/>
        <scheme val="minor"/>
      </rPr>
      <t>RED</t>
    </r>
    <r>
      <rPr>
        <i/>
        <sz val="11"/>
        <color theme="1"/>
        <rFont val="Calibri"/>
        <family val="2"/>
        <scheme val="minor"/>
      </rPr>
      <t xml:space="preserve"> for References to other sheets</t>
    </r>
  </si>
  <si>
    <t>SIE.DE</t>
  </si>
  <si>
    <t>Index</t>
  </si>
  <si>
    <t>Income Statement</t>
  </si>
  <si>
    <t>Fiscal Year End</t>
  </si>
  <si>
    <t>Fiscal year end date</t>
  </si>
  <si>
    <t>Revenue</t>
  </si>
  <si>
    <t>Cost of sales</t>
  </si>
  <si>
    <t>Gross profit</t>
  </si>
  <si>
    <t>Research and development expenses</t>
  </si>
  <si>
    <t>Selling and general administrative expenses</t>
  </si>
  <si>
    <t>Other operating income</t>
  </si>
  <si>
    <t>Other operating expenses</t>
  </si>
  <si>
    <t>Income (loss) from investments accounted for using the equity method, net</t>
  </si>
  <si>
    <t>Interest income</t>
  </si>
  <si>
    <t>Interest expenses</t>
  </si>
  <si>
    <t>Other financial income (expenses), net</t>
  </si>
  <si>
    <t>Income from continuing operations before income taxes</t>
  </si>
  <si>
    <t>Income tax expenses</t>
  </si>
  <si>
    <t>Income from continuing operations</t>
  </si>
  <si>
    <t>Income from discontinued operations, net of income taxes</t>
  </si>
  <si>
    <t>Net income</t>
  </si>
  <si>
    <t>Operating Income (EBIT)</t>
  </si>
  <si>
    <t>Non-controlling interests</t>
  </si>
  <si>
    <t>Shareholders of Siemens AG</t>
  </si>
  <si>
    <t>Net Income attributable to:</t>
  </si>
  <si>
    <t>Basic Shares outstanding</t>
  </si>
  <si>
    <t>Diluted Shares outstanding</t>
  </si>
  <si>
    <t>Impact of dilutive securities</t>
  </si>
  <si>
    <t>Earning per share:</t>
  </si>
  <si>
    <t>EPS - Basic</t>
  </si>
  <si>
    <t>EPS - Diluted</t>
  </si>
  <si>
    <t>Balance Sheet</t>
  </si>
  <si>
    <t>(in millions of €)</t>
  </si>
  <si>
    <t>Assets</t>
  </si>
  <si>
    <t>Cash and cash equivalents</t>
  </si>
  <si>
    <t>Available-for-sale financial assets</t>
  </si>
  <si>
    <t>Trade and other receivables</t>
  </si>
  <si>
    <t>Other current financial assets</t>
  </si>
  <si>
    <t>Contract assets</t>
  </si>
  <si>
    <t>Inventories</t>
  </si>
  <si>
    <t>Current income tax assets</t>
  </si>
  <si>
    <t>Other current assets</t>
  </si>
  <si>
    <t>Assets classified as held for disposal</t>
  </si>
  <si>
    <t>Total current assets</t>
  </si>
  <si>
    <t>Goodwill</t>
  </si>
  <si>
    <t>Investments accounted for using the equity method</t>
  </si>
  <si>
    <t>Other financial assets</t>
  </si>
  <si>
    <t>Deferred tax assets</t>
  </si>
  <si>
    <t>Other assets</t>
  </si>
  <si>
    <t>Total non-current assets</t>
  </si>
  <si>
    <t>Total assets</t>
  </si>
  <si>
    <t>Liabilities and equity</t>
  </si>
  <si>
    <t>Short-term debt and current maturities of long-term debt</t>
  </si>
  <si>
    <t>Trade payables</t>
  </si>
  <si>
    <t>Other current financial liabilities</t>
  </si>
  <si>
    <t>Contract liabilities</t>
  </si>
  <si>
    <t>Current provisions</t>
  </si>
  <si>
    <t>Current income tax liabilities</t>
  </si>
  <si>
    <t>Other current liabilities</t>
  </si>
  <si>
    <t>Liabilities associated with assets classified as held for disposal</t>
  </si>
  <si>
    <t>Total current liabilities</t>
  </si>
  <si>
    <t>Long-term debt</t>
  </si>
  <si>
    <t>Provisions for pensions and similar obligations</t>
  </si>
  <si>
    <t>Deferred tax liabilities</t>
  </si>
  <si>
    <t>Provisions</t>
  </si>
  <si>
    <t>Other financial liabilities</t>
  </si>
  <si>
    <t>Other liabilities</t>
  </si>
  <si>
    <t>Total non-current liabilities</t>
  </si>
  <si>
    <t>Total liabilities</t>
  </si>
  <si>
    <t>Equity</t>
  </si>
  <si>
    <t>Issued capital</t>
  </si>
  <si>
    <t>Capital reserve</t>
  </si>
  <si>
    <t>Retained earnings</t>
  </si>
  <si>
    <t>Other components of equity</t>
  </si>
  <si>
    <t>Treasury shares, at cost</t>
  </si>
  <si>
    <t>Total equity attributable to shareholders of Siemens AG</t>
  </si>
  <si>
    <t>Total equity</t>
  </si>
  <si>
    <t>Total liabilities and equity</t>
  </si>
  <si>
    <t>(Check)</t>
  </si>
  <si>
    <t>Segmental Revenue details</t>
  </si>
  <si>
    <t>Power and Gas</t>
  </si>
  <si>
    <t>Energy Management</t>
  </si>
  <si>
    <t>Building Technologies</t>
  </si>
  <si>
    <t>Mobility</t>
  </si>
  <si>
    <t>Digital Factory</t>
  </si>
  <si>
    <t>Process Industries and Drives</t>
  </si>
  <si>
    <t>Siemens Healthineers</t>
  </si>
  <si>
    <t>Siemens Gamesa Renewable Energy</t>
  </si>
  <si>
    <t>Industrial Business</t>
  </si>
  <si>
    <t>Financial Services (SFS)</t>
  </si>
  <si>
    <t>Siemens (continuing operations)</t>
  </si>
  <si>
    <t>Reconciliation to Consolidated Financial Statements</t>
  </si>
  <si>
    <t>Growth Rates</t>
  </si>
  <si>
    <t>NM</t>
  </si>
  <si>
    <t>Growth rates &amp; margins</t>
  </si>
  <si>
    <t>Revenue growth</t>
  </si>
  <si>
    <t>R&amp;D margin</t>
  </si>
  <si>
    <t>SG&amp;A margin</t>
  </si>
  <si>
    <t>Tax rate</t>
  </si>
  <si>
    <t>EBITDA reconciliation</t>
  </si>
  <si>
    <t>Depreciation &amp; amortization</t>
  </si>
  <si>
    <t>Stock based compensation</t>
  </si>
  <si>
    <t>EBITDA</t>
  </si>
  <si>
    <t>(in millions of €, except per share amounts)</t>
  </si>
  <si>
    <t>Working Capital Schedule</t>
  </si>
  <si>
    <t>Accounts receivable</t>
  </si>
  <si>
    <t>Beginning of period</t>
  </si>
  <si>
    <t>Increases / (decreases)</t>
  </si>
  <si>
    <t>End of period</t>
  </si>
  <si>
    <t>AR as % of sales</t>
  </si>
  <si>
    <t>Days sales outstanding (DSO)</t>
  </si>
  <si>
    <t xml:space="preserve">Inventory </t>
  </si>
  <si>
    <t>Inventory as % of COGS</t>
  </si>
  <si>
    <t>Inventory turnover</t>
  </si>
  <si>
    <t>Days Inventory outstanding (DIO)</t>
  </si>
  <si>
    <t>Accounts payable</t>
  </si>
  <si>
    <t>AP as % of COGS</t>
  </si>
  <si>
    <t>Days payables outstanding (DPO)</t>
  </si>
  <si>
    <t>PPE &amp; Intangible Assets Schedule</t>
  </si>
  <si>
    <t>Plus: Capital expenditures</t>
  </si>
  <si>
    <t>Less: Depreciation and Amortization</t>
  </si>
  <si>
    <t>Gross Carrying amount</t>
  </si>
  <si>
    <t>Capex (enter as +)</t>
  </si>
  <si>
    <t>Capital expenditures as % of revenue</t>
  </si>
  <si>
    <t>Depreciation and Amortization (enter as -)</t>
  </si>
  <si>
    <t>Depreciation and Amortization as a % of capital expenditures</t>
  </si>
  <si>
    <t>Depreciation Schedule</t>
  </si>
  <si>
    <t>Gross PP&amp;E</t>
  </si>
  <si>
    <t>Less: Land</t>
  </si>
  <si>
    <t>Accumulated Depreciation</t>
  </si>
  <si>
    <t>Net PP&amp;E</t>
  </si>
  <si>
    <t>Average Life of the assets</t>
  </si>
  <si>
    <t>Depreciation from existing PP&amp;E</t>
  </si>
  <si>
    <t>Total depreciation</t>
  </si>
  <si>
    <t>PPE &amp; Other intangible assets</t>
  </si>
  <si>
    <t>Other Assets Liabilities &amp; Deferred Taxes</t>
  </si>
  <si>
    <t>Other current assets (inc. non-trade receivables)</t>
  </si>
  <si>
    <t>Deferred tax assets (DTAs)</t>
  </si>
  <si>
    <t>Other non current liabilities</t>
  </si>
  <si>
    <t>Investments using Equity method</t>
  </si>
  <si>
    <t>Current Income Tax assets</t>
  </si>
  <si>
    <t>Liabilities associated with assets held for disposal</t>
  </si>
  <si>
    <t>Post employement Liabilities</t>
  </si>
  <si>
    <t>Current Income Tax liabilities</t>
  </si>
  <si>
    <t>Debt Schedule</t>
  </si>
  <si>
    <t>Short term debt and current portions of long term debt</t>
  </si>
  <si>
    <t>Cash Availability</t>
  </si>
  <si>
    <t>Initial Cash</t>
  </si>
  <si>
    <t>Less: Minimum cash required</t>
  </si>
  <si>
    <t>Equals: Cash available</t>
  </si>
  <si>
    <t>Add: Cash Generated due to operating activities</t>
  </si>
  <si>
    <t>Totals: Cash available to pay down short term debt</t>
  </si>
  <si>
    <t>Interest expense on short term debt</t>
  </si>
  <si>
    <t>Weighted average interest rate</t>
  </si>
  <si>
    <t xml:space="preserve">Long term debt </t>
  </si>
  <si>
    <t xml:space="preserve">Additional borrowing / (pay down) </t>
  </si>
  <si>
    <t>Interest expense on long term debt</t>
  </si>
  <si>
    <t>% of interest expense paid in cash</t>
  </si>
  <si>
    <t>% of interest expense accrues as PIK</t>
  </si>
  <si>
    <t>Equity Schedule</t>
  </si>
  <si>
    <t>(in millions of € except per share amount)</t>
  </si>
  <si>
    <t>Common stock / APIC</t>
  </si>
  <si>
    <t>Plus: new share issuances</t>
  </si>
  <si>
    <t>Plus: Stock based compensation</t>
  </si>
  <si>
    <t>New share issuance</t>
  </si>
  <si>
    <t>SBC as % of all operating expenses</t>
  </si>
  <si>
    <t>Treasury stock</t>
  </si>
  <si>
    <t>Less: Stock repurchases</t>
  </si>
  <si>
    <t>Stock repurchases</t>
  </si>
  <si>
    <t>Plus: Net income</t>
  </si>
  <si>
    <t>Less: Common dividends</t>
  </si>
  <si>
    <t>Dividend payout ratio</t>
  </si>
  <si>
    <t>Common dividends</t>
  </si>
  <si>
    <t>Other comprehensive income / (loss)</t>
  </si>
  <si>
    <t>Plus: Income / (loss)</t>
  </si>
  <si>
    <t>Cash Flow Statement</t>
  </si>
  <si>
    <t>Depreciation and amortization</t>
  </si>
  <si>
    <t>(Income) loss related to investing activities</t>
  </si>
  <si>
    <t>Working Capital</t>
  </si>
  <si>
    <t xml:space="preserve">   Accounts receivable</t>
  </si>
  <si>
    <t xml:space="preserve">   Inventory</t>
  </si>
  <si>
    <t xml:space="preserve">   Accounts payable</t>
  </si>
  <si>
    <t>Other Assets</t>
  </si>
  <si>
    <t>Cash from operating activities - CFO</t>
  </si>
  <si>
    <t>Additions to intangible assets and property, plant and equipment</t>
  </si>
  <si>
    <t>Cash from investing activities - CFI</t>
  </si>
  <si>
    <t>Purchase of treasury shares</t>
  </si>
  <si>
    <t xml:space="preserve">Issuance of long-term debt </t>
  </si>
  <si>
    <t>Repayment of long-term debt (including current maturities of long-term debt</t>
  </si>
  <si>
    <t>Change in short-term debt and other financing activities</t>
  </si>
  <si>
    <t>Dividends paid to shareholders of Siemens AG</t>
  </si>
  <si>
    <t>Other Liabilities</t>
  </si>
  <si>
    <t>Cash from financing activities - CFF</t>
  </si>
  <si>
    <t>Change in cash and cash equivalents</t>
  </si>
  <si>
    <t>Cash and cash equivalents at beginning of period</t>
  </si>
  <si>
    <t>Cash and cash equivalents at end of period</t>
  </si>
  <si>
    <t>Cash</t>
  </si>
  <si>
    <t>+/- additions</t>
  </si>
  <si>
    <t>Interest rate on cash</t>
  </si>
  <si>
    <t>SHARES OUTSTANDING</t>
  </si>
  <si>
    <t>Basic shares outstanding</t>
  </si>
  <si>
    <t>+ new shares issued</t>
  </si>
  <si>
    <t>- shares repurchased</t>
  </si>
  <si>
    <t>Consensus EPS</t>
  </si>
  <si>
    <t>% change in EPS, year-over-year</t>
  </si>
  <si>
    <t>Average share price</t>
  </si>
  <si>
    <t>Ratio Analysis</t>
  </si>
  <si>
    <t>Liquidity Ratios</t>
  </si>
  <si>
    <t>Current Ratio</t>
  </si>
  <si>
    <t>Quick Ratio</t>
  </si>
  <si>
    <t>Cash Ratio</t>
  </si>
  <si>
    <t>Cash Conversion Cycle</t>
  </si>
  <si>
    <t>Profitabilty Ratios</t>
  </si>
  <si>
    <t>Gross profit margin</t>
  </si>
  <si>
    <t>Operating profit margin</t>
  </si>
  <si>
    <t>Net profit margin</t>
  </si>
  <si>
    <t>Return on assets (ROA)</t>
  </si>
  <si>
    <t>Return on book equity (ROE)</t>
  </si>
  <si>
    <t>Dupont Equation</t>
  </si>
  <si>
    <t xml:space="preserve">    Profit margin</t>
  </si>
  <si>
    <t xml:space="preserve">    Total Asset Turnover</t>
  </si>
  <si>
    <t xml:space="preserve">    Financial Leverage</t>
  </si>
  <si>
    <t>Solvency Ratios</t>
  </si>
  <si>
    <t>Net debt</t>
  </si>
  <si>
    <t>Debt to Equity Ratio</t>
  </si>
  <si>
    <t>Debt Ratio</t>
  </si>
  <si>
    <t>Operating Performance Ratios</t>
  </si>
  <si>
    <t>Asset turnover (Revenue / Total assets)</t>
  </si>
  <si>
    <t>Sensitivity Analysis</t>
  </si>
  <si>
    <t>Revenue Growth Rate</t>
  </si>
  <si>
    <t>Gross Profit Margin</t>
  </si>
  <si>
    <t>Gross profit as % of sales</t>
  </si>
  <si>
    <t>Best case</t>
  </si>
  <si>
    <t>Base case</t>
  </si>
  <si>
    <t>Worst case</t>
  </si>
  <si>
    <t>Scenario Analysis</t>
  </si>
  <si>
    <t>Select an option</t>
  </si>
  <si>
    <t>Base Case</t>
  </si>
  <si>
    <t>Total SG&amp;A</t>
  </si>
  <si>
    <t>Effect on EPS</t>
  </si>
  <si>
    <t>1. Income Statement</t>
  </si>
  <si>
    <t>2. Balance Sheet</t>
  </si>
  <si>
    <t>&lt;= back to the index</t>
  </si>
  <si>
    <t>3. Cash Flow Statement</t>
  </si>
  <si>
    <t>Bottom-up Beta Calculation</t>
  </si>
  <si>
    <t>Peer Name</t>
  </si>
  <si>
    <t>Levered Beta</t>
  </si>
  <si>
    <t xml:space="preserve">D/E </t>
  </si>
  <si>
    <t>Tax Rate</t>
  </si>
  <si>
    <t>Unevered Beta</t>
  </si>
  <si>
    <t>Honeywell International Inc</t>
  </si>
  <si>
    <t>ABB Ltd</t>
  </si>
  <si>
    <t>Schneider Electric SE</t>
  </si>
  <si>
    <t>Shares Outstanding (in Billions)</t>
  </si>
  <si>
    <t>Share Price (USD)</t>
  </si>
  <si>
    <t>Income Before Tax</t>
  </si>
  <si>
    <t>Income Tax Expense</t>
  </si>
  <si>
    <t>Average Beta</t>
  </si>
  <si>
    <r>
      <rPr>
        <b/>
        <i/>
        <sz val="12"/>
        <color rgb="FF0000FF"/>
        <rFont val="Calibri"/>
        <family val="2"/>
        <scheme val="minor"/>
      </rPr>
      <t>BLUE</t>
    </r>
    <r>
      <rPr>
        <i/>
        <sz val="12"/>
        <color theme="1"/>
        <rFont val="Calibri"/>
        <family val="2"/>
        <scheme val="minor"/>
      </rPr>
      <t xml:space="preserve"> for hard coded values, </t>
    </r>
    <r>
      <rPr>
        <b/>
        <i/>
        <sz val="12"/>
        <color theme="1"/>
        <rFont val="Calibri"/>
        <family val="2"/>
        <scheme val="minor"/>
      </rPr>
      <t>BLACK</t>
    </r>
    <r>
      <rPr>
        <i/>
        <sz val="12"/>
        <color theme="1"/>
        <rFont val="Calibri"/>
        <family val="2"/>
        <scheme val="minor"/>
      </rPr>
      <t xml:space="preserve"> for formulas,</t>
    </r>
    <r>
      <rPr>
        <b/>
        <i/>
        <sz val="12"/>
        <color rgb="FF008000"/>
        <rFont val="Calibri"/>
        <family val="2"/>
        <scheme val="minor"/>
      </rPr>
      <t xml:space="preserve"> </t>
    </r>
    <r>
      <rPr>
        <b/>
        <i/>
        <sz val="12"/>
        <color theme="5" tint="-0.249977111117893"/>
        <rFont val="Calibri"/>
        <family val="2"/>
        <scheme val="minor"/>
      </rPr>
      <t>RED</t>
    </r>
    <r>
      <rPr>
        <i/>
        <sz val="12"/>
        <color theme="1"/>
        <rFont val="Calibri"/>
        <family val="2"/>
        <scheme val="minor"/>
      </rPr>
      <t xml:space="preserve"> for References to other sheets</t>
    </r>
  </si>
  <si>
    <t>General assumptions</t>
  </si>
  <si>
    <t>Weighted average cost of capital (WACC)</t>
  </si>
  <si>
    <t>Free cash flow buildup</t>
  </si>
  <si>
    <t xml:space="preserve">Fiscal year  </t>
  </si>
  <si>
    <t>EBIT</t>
  </si>
  <si>
    <t>tax rate</t>
  </si>
  <si>
    <t xml:space="preserve">NOPAT </t>
  </si>
  <si>
    <t xml:space="preserve">  Adjust : </t>
  </si>
  <si>
    <t>Income Related to Investment Activity</t>
  </si>
  <si>
    <t>Accounts Receivable</t>
  </si>
  <si>
    <t>Inventory</t>
  </si>
  <si>
    <t xml:space="preserve">Other assets </t>
  </si>
  <si>
    <t>Unlevered CFO</t>
  </si>
  <si>
    <t>Less: Capital expenditures</t>
  </si>
  <si>
    <t>Unlevered FCF</t>
  </si>
  <si>
    <t>% growth</t>
  </si>
  <si>
    <t>Discount factor due to being in the mid of year</t>
  </si>
  <si>
    <t>Midperiod adjustment factor</t>
  </si>
  <si>
    <t>Present value-UFCF</t>
  </si>
  <si>
    <t>Terminal Value Calculation</t>
  </si>
  <si>
    <t>Perpetuity approach</t>
  </si>
  <si>
    <t>Exit EBITDA multiple approach</t>
  </si>
  <si>
    <t>Normalized FCF in last forecast period (t)</t>
  </si>
  <si>
    <t>Terminal year EBITDA</t>
  </si>
  <si>
    <r>
      <t>Normalized FCF</t>
    </r>
    <r>
      <rPr>
        <vertAlign val="superscript"/>
        <sz val="11"/>
        <color theme="1"/>
        <rFont val="Calibri Light"/>
        <family val="1"/>
        <scheme val="major"/>
      </rPr>
      <t xml:space="preserve">t+1 </t>
    </r>
  </si>
  <si>
    <t>Terminal value EBITDA multiple</t>
  </si>
  <si>
    <t>Long term growth rate (g)</t>
  </si>
  <si>
    <t xml:space="preserve">Terminal value </t>
  </si>
  <si>
    <t>Present value of terminal value</t>
  </si>
  <si>
    <t>Present value of stage 1 cash flows</t>
  </si>
  <si>
    <t xml:space="preserve">Enterprise value </t>
  </si>
  <si>
    <t>Implied TV perpetual growth rate</t>
  </si>
  <si>
    <t>Implied TV exit EBITDA multiple</t>
  </si>
  <si>
    <t>Net Debt</t>
  </si>
  <si>
    <t>Fair value per share</t>
  </si>
  <si>
    <t>Cash &amp; equivalents available for sale assets</t>
  </si>
  <si>
    <t>Perpetuity</t>
  </si>
  <si>
    <t>Enterprise value</t>
  </si>
  <si>
    <t>Less: Net debt</t>
  </si>
  <si>
    <t>Equity value</t>
  </si>
  <si>
    <t>Options / warrants data (if any)</t>
  </si>
  <si>
    <t>Diluted shares</t>
  </si>
  <si>
    <t>Equity value per share</t>
  </si>
  <si>
    <t>Exercisable options</t>
  </si>
  <si>
    <t>Market premium / (discount) to fair value</t>
  </si>
  <si>
    <t>Exercise price</t>
  </si>
  <si>
    <t>Total proceeds ($mm)</t>
  </si>
  <si>
    <t>Cost of capital assumptions</t>
  </si>
  <si>
    <t>Total shares repurchased (mm)</t>
  </si>
  <si>
    <t>na</t>
  </si>
  <si>
    <t>Cost of debt</t>
  </si>
  <si>
    <t>Net dilutive options</t>
  </si>
  <si>
    <t xml:space="preserve">Dilutive impact of shares from other securities </t>
  </si>
  <si>
    <t xml:space="preserve">After tax cost of debt </t>
  </si>
  <si>
    <t>Net diluted shares outstanding</t>
  </si>
  <si>
    <t>Risk free rate</t>
  </si>
  <si>
    <t>Beta</t>
  </si>
  <si>
    <t>Market risk premium</t>
  </si>
  <si>
    <t>Cost of equity</t>
  </si>
  <si>
    <t>Capital weights</t>
  </si>
  <si>
    <t>Amount</t>
  </si>
  <si>
    <t>% of total</t>
  </si>
  <si>
    <t>Market value of equity</t>
  </si>
  <si>
    <t>Cost of capital (WACC)</t>
  </si>
  <si>
    <t>Current Options Outstanding</t>
  </si>
  <si>
    <t xml:space="preserve"> (in millions except Exercise price)</t>
  </si>
  <si>
    <t>Tranches</t>
  </si>
  <si>
    <t>Number of shares</t>
  </si>
  <si>
    <t>Strike Price/Exercise Price</t>
  </si>
  <si>
    <t>Dilution</t>
  </si>
  <si>
    <t>A</t>
  </si>
  <si>
    <t>Sensitivity analysis</t>
  </si>
  <si>
    <t>Latest basic share count (in thousands)</t>
  </si>
  <si>
    <t>Long Term Stable Growth Rate</t>
  </si>
  <si>
    <t>WACC</t>
  </si>
  <si>
    <t>Equity Value per share</t>
  </si>
  <si>
    <t>4. DCF</t>
  </si>
  <si>
    <t>5. Beta Calc</t>
  </si>
  <si>
    <t>6. Working Capital Schedule</t>
  </si>
  <si>
    <t>7. PPE &amp; Intangible Asset Schedule</t>
  </si>
  <si>
    <t>8. Other Assets, Liabilities &amp; Taxes</t>
  </si>
  <si>
    <t>9. Debt Schedule</t>
  </si>
  <si>
    <t>10. Equity Schedule</t>
  </si>
  <si>
    <t>11. Ratio Analysis</t>
  </si>
  <si>
    <t>Growth as per 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</si>
</sst>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1" formatCode="_(* #,##0_);_(* \(#,##0\);_(* &quot;-&quot;_);_(@_)"/>
    <numFmt numFmtId="43" formatCode="_(* #,##0.00_);_(* \(#,##0.00\);_(* &quot;-&quot;??_);_(@_)"/>
    <numFmt numFmtId="164" formatCode="[$€-2]\ #,##0.00_);[Red]\([$€-2]\ #,##0.00\)"/>
    <numFmt numFmtId="165" formatCode="####&quot;A&quot;"/>
    <numFmt numFmtId="166" formatCode="####&quot;E&quot;"/>
    <numFmt numFmtId="167" formatCode="####\A"/>
    <numFmt numFmtId="168" formatCode="0_);\(0\)"/>
    <numFmt numFmtId="169" formatCode="0.0%"/>
    <numFmt numFmtId="170" formatCode="0.0%;\(0.0%\)"/>
    <numFmt numFmtId="171" formatCode="0\ &quot;Days&quot;"/>
    <numFmt numFmtId="172" formatCode="0.0\x"/>
    <numFmt numFmtId="173" formatCode="_(* #,##0_);_(* \(#,##0\);_(* &quot;-&quot;??_);_(@_)"/>
    <numFmt numFmtId="174" formatCode="_(* #,##0.0_);_(* \(#,##0.0\);_(* &quot;-&quot;?_);_(@_)"/>
    <numFmt numFmtId="175" formatCode="0.00\x"/>
    <numFmt numFmtId="176" formatCode="#,##0.000_);\(#,##0.000\)"/>
    <numFmt numFmtId="177" formatCode="0.00_);\(0.00\)"/>
    <numFmt numFmtId="178" formatCode="\€##.##"/>
    <numFmt numFmtId="179" formatCode="#,##0.000"/>
    <numFmt numFmtId="180" formatCode="m/d/yy;@"/>
    <numFmt numFmtId="181" formatCode="0.0%_);\(0.0%\);@_)"/>
    <numFmt numFmtId="182" formatCode="0%_);\(0%\);@_)"/>
    <numFmt numFmtId="183" formatCode="#,##0.00_);\(#,##0.00\);@_)"/>
    <numFmt numFmtId="184" formatCode="#,##0.0_);\(#,##0.0\);@_)"/>
    <numFmt numFmtId="185" formatCode="0.0\x_);\(0.0\x\);@_)"/>
    <numFmt numFmtId="186" formatCode="#,##0.0"/>
    <numFmt numFmtId="187" formatCode="\€###.##"/>
    <numFmt numFmtId="188" formatCode="0.000%"/>
    <numFmt numFmtId="189" formatCode="[$-409]d\-mmm\-yy;@"/>
  </numFmts>
  <fonts count="6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i/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5" tint="-0.249977111117893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0"/>
      <name val="Calibri"/>
      <family val="2"/>
      <scheme val="minor"/>
    </font>
    <font>
      <i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b/>
      <i/>
      <sz val="12"/>
      <color rgb="FF0000FF"/>
      <name val="Calibri"/>
      <family val="2"/>
      <scheme val="minor"/>
    </font>
    <font>
      <b/>
      <i/>
      <sz val="12"/>
      <color rgb="FF008000"/>
      <name val="Calibri"/>
      <family val="2"/>
      <scheme val="minor"/>
    </font>
    <font>
      <b/>
      <i/>
      <sz val="12"/>
      <color theme="5" tint="-0.249977111117893"/>
      <name val="Calibri"/>
      <family val="2"/>
      <scheme val="minor"/>
    </font>
    <font>
      <sz val="11"/>
      <color theme="1"/>
      <name val="Calibri Light"/>
      <family val="1"/>
      <scheme val="major"/>
    </font>
    <font>
      <sz val="11"/>
      <color rgb="FF000000"/>
      <name val="Calibri Light"/>
      <family val="1"/>
      <scheme val="major"/>
    </font>
    <font>
      <sz val="11"/>
      <color theme="5" tint="-0.249977111117893"/>
      <name val="Calibri Light"/>
      <family val="1"/>
      <scheme val="major"/>
    </font>
    <font>
      <i/>
      <sz val="12"/>
      <color theme="1"/>
      <name val="Calibri Light"/>
      <family val="1"/>
      <scheme val="major"/>
    </font>
    <font>
      <i/>
      <sz val="11"/>
      <color theme="1"/>
      <name val="Calibri Light"/>
      <family val="1"/>
      <scheme val="major"/>
    </font>
    <font>
      <i/>
      <sz val="11"/>
      <color theme="5" tint="-0.249977111117893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b/>
      <sz val="11"/>
      <color rgb="FF000000"/>
      <name val="Calibri Light"/>
      <family val="1"/>
      <scheme val="major"/>
    </font>
    <font>
      <b/>
      <sz val="14"/>
      <color theme="1"/>
      <name val="Calibri Light"/>
      <family val="1"/>
      <scheme val="major"/>
    </font>
    <font>
      <vertAlign val="superscript"/>
      <sz val="11"/>
      <color theme="1"/>
      <name val="Calibri Light"/>
      <family val="1"/>
      <scheme val="major"/>
    </font>
    <font>
      <sz val="11"/>
      <color rgb="FF0000FF"/>
      <name val="Calibri Light"/>
      <family val="1"/>
      <scheme val="major"/>
    </font>
    <font>
      <u val="singleAccounting"/>
      <sz val="11"/>
      <color theme="1"/>
      <name val="Calibri Light"/>
      <family val="1"/>
      <scheme val="major"/>
    </font>
    <font>
      <sz val="11"/>
      <name val="Calibri Light"/>
      <family val="1"/>
      <scheme val="major"/>
    </font>
    <font>
      <u val="singleAccounting"/>
      <sz val="12"/>
      <color theme="1"/>
      <name val="Calibri Light"/>
      <family val="1"/>
      <scheme val="major"/>
    </font>
    <font>
      <sz val="12"/>
      <color rgb="FF0000FF"/>
      <name val="Calibri Light"/>
      <family val="1"/>
      <scheme val="major"/>
    </font>
    <font>
      <b/>
      <sz val="12"/>
      <color rgb="FF0000FF"/>
      <name val="Calibri Light"/>
      <family val="1"/>
      <scheme val="major"/>
    </font>
    <font>
      <u/>
      <sz val="11"/>
      <color theme="10"/>
      <name val="Calibri"/>
      <family val="2"/>
    </font>
    <font>
      <u/>
      <sz val="12"/>
      <color theme="10"/>
      <name val="Calibri Light"/>
      <family val="1"/>
      <scheme val="major"/>
    </font>
    <font>
      <u val="singleAccounting"/>
      <sz val="12"/>
      <color rgb="FF000000"/>
      <name val="Calibri Light"/>
      <family val="1"/>
      <scheme val="major"/>
    </font>
    <font>
      <b/>
      <u/>
      <sz val="12"/>
      <color theme="1"/>
      <name val="Calibri Light"/>
      <family val="1"/>
      <scheme val="major"/>
    </font>
    <font>
      <b/>
      <sz val="12"/>
      <color theme="0"/>
      <name val="Calibri Light"/>
      <family val="1"/>
      <scheme val="major"/>
    </font>
    <font>
      <sz val="12"/>
      <color theme="0"/>
      <name val="Calibri Light"/>
      <family val="1"/>
      <scheme val="major"/>
    </font>
    <font>
      <sz val="11"/>
      <color theme="1"/>
      <name val="Calibri Light"/>
      <family val="2"/>
      <scheme val="major"/>
    </font>
    <font>
      <i/>
      <sz val="12"/>
      <color theme="0"/>
      <name val="Calibri Light"/>
      <family val="1"/>
      <scheme val="major"/>
    </font>
    <font>
      <b/>
      <sz val="12"/>
      <color theme="0"/>
      <name val="Calibri Light"/>
      <family val="2"/>
      <scheme val="major"/>
    </font>
    <font>
      <b/>
      <i/>
      <sz val="11"/>
      <color theme="0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rgb="FFE0E4E9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</cellStyleXfs>
  <cellXfs count="386">
    <xf numFmtId="0" fontId="0" fillId="0" borderId="0" xfId="0"/>
    <xf numFmtId="14" fontId="2" fillId="0" borderId="0" xfId="0" applyNumberFormat="1" applyFont="1" applyBorder="1"/>
    <xf numFmtId="14" fontId="3" fillId="0" borderId="0" xfId="0" applyNumberFormat="1" applyFont="1" applyBorder="1"/>
    <xf numFmtId="0" fontId="13" fillId="0" borderId="0" xfId="0" applyFont="1" applyFill="1" applyBorder="1"/>
    <xf numFmtId="0" fontId="0" fillId="0" borderId="12" xfId="0" applyBorder="1"/>
    <xf numFmtId="0" fontId="0" fillId="0" borderId="0" xfId="0" applyBorder="1"/>
    <xf numFmtId="15" fontId="0" fillId="0" borderId="0" xfId="0" applyNumberFormat="1" applyBorder="1"/>
    <xf numFmtId="15" fontId="0" fillId="0" borderId="13" xfId="0" applyNumberFormat="1" applyBorder="1"/>
    <xf numFmtId="0" fontId="0" fillId="0" borderId="13" xfId="0" applyBorder="1"/>
    <xf numFmtId="37" fontId="14" fillId="0" borderId="0" xfId="0" applyNumberFormat="1" applyFont="1" applyBorder="1"/>
    <xf numFmtId="0" fontId="1" fillId="0" borderId="12" xfId="0" applyFont="1" applyBorder="1"/>
    <xf numFmtId="37" fontId="1" fillId="0" borderId="0" xfId="0" applyNumberFormat="1" applyFont="1" applyBorder="1"/>
    <xf numFmtId="0" fontId="1" fillId="0" borderId="0" xfId="0" applyFont="1" applyBorder="1"/>
    <xf numFmtId="0" fontId="14" fillId="0" borderId="0" xfId="0" applyFont="1" applyBorder="1"/>
    <xf numFmtId="3" fontId="14" fillId="0" borderId="0" xfId="0" applyNumberFormat="1" applyFont="1" applyBorder="1"/>
    <xf numFmtId="3" fontId="0" fillId="0" borderId="0" xfId="0" applyNumberFormat="1" applyBorder="1"/>
    <xf numFmtId="2" fontId="0" fillId="0" borderId="0" xfId="0" applyNumberFormat="1" applyBorder="1"/>
    <xf numFmtId="0" fontId="0" fillId="0" borderId="14" xfId="0" applyBorder="1"/>
    <xf numFmtId="0" fontId="0" fillId="0" borderId="15" xfId="0" applyBorder="1"/>
    <xf numFmtId="2" fontId="0" fillId="0" borderId="15" xfId="0" applyNumberFormat="1" applyBorder="1"/>
    <xf numFmtId="0" fontId="0" fillId="0" borderId="16" xfId="0" applyBorder="1"/>
    <xf numFmtId="41" fontId="14" fillId="0" borderId="0" xfId="0" applyNumberFormat="1" applyFont="1" applyBorder="1"/>
    <xf numFmtId="41" fontId="20" fillId="0" borderId="0" xfId="0" applyNumberFormat="1" applyFont="1" applyBorder="1"/>
    <xf numFmtId="0" fontId="21" fillId="0" borderId="14" xfId="0" applyFont="1" applyBorder="1"/>
    <xf numFmtId="168" fontId="21" fillId="0" borderId="15" xfId="0" applyNumberFormat="1" applyFont="1" applyBorder="1"/>
    <xf numFmtId="3" fontId="0" fillId="0" borderId="13" xfId="0" applyNumberFormat="1" applyBorder="1"/>
    <xf numFmtId="0" fontId="23" fillId="0" borderId="12" xfId="0" applyFont="1" applyBorder="1"/>
    <xf numFmtId="37" fontId="1" fillId="0" borderId="13" xfId="0" applyNumberFormat="1" applyFont="1" applyBorder="1"/>
    <xf numFmtId="37" fontId="0" fillId="0" borderId="0" xfId="0" applyNumberFormat="1" applyBorder="1"/>
    <xf numFmtId="37" fontId="0" fillId="0" borderId="13" xfId="0" applyNumberFormat="1" applyBorder="1"/>
    <xf numFmtId="169" fontId="14" fillId="2" borderId="0" xfId="0" applyNumberFormat="1" applyFont="1" applyFill="1" applyBorder="1"/>
    <xf numFmtId="169" fontId="0" fillId="2" borderId="0" xfId="0" applyNumberFormat="1" applyFill="1" applyBorder="1"/>
    <xf numFmtId="169" fontId="15" fillId="0" borderId="0" xfId="2" applyNumberFormat="1" applyFont="1" applyBorder="1"/>
    <xf numFmtId="169" fontId="15" fillId="0" borderId="13" xfId="2" applyNumberFormat="1" applyFont="1" applyBorder="1"/>
    <xf numFmtId="3" fontId="1" fillId="0" borderId="0" xfId="0" applyNumberFormat="1" applyFont="1" applyBorder="1"/>
    <xf numFmtId="3" fontId="1" fillId="0" borderId="13" xfId="0" applyNumberFormat="1" applyFont="1" applyBorder="1"/>
    <xf numFmtId="37" fontId="14" fillId="2" borderId="0" xfId="0" applyNumberFormat="1" applyFont="1" applyFill="1" applyBorder="1"/>
    <xf numFmtId="0" fontId="0" fillId="0" borderId="0" xfId="0" applyBorder="1" applyAlignment="1">
      <alignment horizontal="right"/>
    </xf>
    <xf numFmtId="170" fontId="0" fillId="0" borderId="0" xfId="2" applyNumberFormat="1" applyFont="1" applyBorder="1"/>
    <xf numFmtId="170" fontId="0" fillId="0" borderId="0" xfId="0" applyNumberFormat="1" applyBorder="1"/>
    <xf numFmtId="170" fontId="0" fillId="0" borderId="13" xfId="0" applyNumberFormat="1" applyBorder="1"/>
    <xf numFmtId="0" fontId="1" fillId="0" borderId="0" xfId="0" applyFont="1" applyBorder="1" applyAlignment="1">
      <alignment horizontal="right"/>
    </xf>
    <xf numFmtId="170" fontId="1" fillId="0" borderId="0" xfId="2" applyNumberFormat="1" applyFont="1" applyBorder="1"/>
    <xf numFmtId="170" fontId="1" fillId="0" borderId="13" xfId="2" applyNumberFormat="1" applyFont="1" applyBorder="1"/>
    <xf numFmtId="0" fontId="1" fillId="0" borderId="14" xfId="0" applyFont="1" applyBorder="1"/>
    <xf numFmtId="0" fontId="1" fillId="0" borderId="15" xfId="0" applyFont="1" applyBorder="1" applyAlignment="1">
      <alignment horizontal="right"/>
    </xf>
    <xf numFmtId="170" fontId="1" fillId="0" borderId="15" xfId="2" applyNumberFormat="1" applyFont="1" applyBorder="1"/>
    <xf numFmtId="170" fontId="1" fillId="0" borderId="16" xfId="2" applyNumberFormat="1" applyFont="1" applyBorder="1"/>
    <xf numFmtId="169" fontId="0" fillId="0" borderId="0" xfId="2" applyNumberFormat="1" applyFont="1" applyBorder="1"/>
    <xf numFmtId="4" fontId="14" fillId="0" borderId="0" xfId="0" applyNumberFormat="1" applyFont="1" applyBorder="1"/>
    <xf numFmtId="169" fontId="0" fillId="0" borderId="0" xfId="0" applyNumberFormat="1" applyBorder="1"/>
    <xf numFmtId="37" fontId="14" fillId="0" borderId="13" xfId="0" applyNumberFormat="1" applyFont="1" applyBorder="1"/>
    <xf numFmtId="0" fontId="26" fillId="0" borderId="12" xfId="0" applyFont="1" applyBorder="1"/>
    <xf numFmtId="4" fontId="0" fillId="0" borderId="0" xfId="0" applyNumberFormat="1" applyBorder="1"/>
    <xf numFmtId="169" fontId="0" fillId="0" borderId="0" xfId="0" applyNumberFormat="1" applyFill="1" applyBorder="1"/>
    <xf numFmtId="169" fontId="0" fillId="0" borderId="13" xfId="0" applyNumberFormat="1" applyFill="1" applyBorder="1"/>
    <xf numFmtId="37" fontId="0" fillId="0" borderId="0" xfId="0" applyNumberFormat="1" applyFill="1" applyBorder="1"/>
    <xf numFmtId="37" fontId="0" fillId="0" borderId="13" xfId="0" applyNumberFormat="1" applyFill="1" applyBorder="1"/>
    <xf numFmtId="0" fontId="27" fillId="0" borderId="0" xfId="0" applyFont="1" applyAlignment="1">
      <alignment horizontal="center"/>
    </xf>
    <xf numFmtId="0" fontId="0" fillId="0" borderId="12" xfId="0" applyFont="1" applyBorder="1" applyAlignment="1">
      <alignment horizontal="left" indent="1"/>
    </xf>
    <xf numFmtId="0" fontId="0" fillId="0" borderId="12" xfId="0" quotePrefix="1" applyFont="1" applyBorder="1" applyAlignment="1">
      <alignment horizontal="left" indent="1"/>
    </xf>
    <xf numFmtId="0" fontId="0" fillId="0" borderId="12" xfId="0" applyFont="1" applyBorder="1"/>
    <xf numFmtId="0" fontId="0" fillId="0" borderId="12" xfId="0" applyFont="1" applyFill="1" applyBorder="1" applyAlignment="1">
      <alignment horizontal="left" indent="1"/>
    </xf>
    <xf numFmtId="0" fontId="0" fillId="0" borderId="14" xfId="0" applyFont="1" applyBorder="1" applyAlignment="1">
      <alignment horizontal="left" indent="1"/>
    </xf>
    <xf numFmtId="41" fontId="0" fillId="0" borderId="0" xfId="0" applyNumberFormat="1" applyBorder="1"/>
    <xf numFmtId="41" fontId="0" fillId="0" borderId="0" xfId="0" applyNumberFormat="1"/>
    <xf numFmtId="171" fontId="0" fillId="0" borderId="0" xfId="0" applyNumberFormat="1" applyBorder="1"/>
    <xf numFmtId="171" fontId="0" fillId="0" borderId="13" xfId="0" applyNumberFormat="1" applyBorder="1"/>
    <xf numFmtId="41" fontId="0" fillId="0" borderId="13" xfId="0" applyNumberFormat="1" applyBorder="1"/>
    <xf numFmtId="171" fontId="0" fillId="0" borderId="0" xfId="0" applyNumberFormat="1" applyFill="1" applyBorder="1"/>
    <xf numFmtId="171" fontId="0" fillId="0" borderId="13" xfId="0" applyNumberFormat="1" applyFill="1" applyBorder="1"/>
    <xf numFmtId="172" fontId="0" fillId="0" borderId="0" xfId="0" applyNumberFormat="1" applyBorder="1"/>
    <xf numFmtId="169" fontId="0" fillId="0" borderId="13" xfId="0" applyNumberFormat="1" applyBorder="1"/>
    <xf numFmtId="172" fontId="0" fillId="0" borderId="13" xfId="0" applyNumberFormat="1" applyBorder="1"/>
    <xf numFmtId="171" fontId="0" fillId="0" borderId="15" xfId="0" applyNumberFormat="1" applyBorder="1"/>
    <xf numFmtId="171" fontId="0" fillId="0" borderId="16" xfId="0" applyNumberFormat="1" applyBorder="1"/>
    <xf numFmtId="0" fontId="24" fillId="0" borderId="12" xfId="0" applyFont="1" applyFill="1" applyBorder="1" applyAlignment="1">
      <alignment horizontal="left" indent="1"/>
    </xf>
    <xf numFmtId="0" fontId="0" fillId="0" borderId="0" xfId="0" applyFill="1"/>
    <xf numFmtId="41" fontId="0" fillId="0" borderId="13" xfId="0" applyNumberFormat="1" applyFill="1" applyBorder="1"/>
    <xf numFmtId="0" fontId="0" fillId="0" borderId="0" xfId="0" applyFill="1" applyBorder="1"/>
    <xf numFmtId="41" fontId="0" fillId="0" borderId="0" xfId="0" applyNumberFormat="1" applyFill="1" applyBorder="1"/>
    <xf numFmtId="169" fontId="0" fillId="0" borderId="0" xfId="2" applyNumberFormat="1" applyFont="1" applyFill="1" applyBorder="1"/>
    <xf numFmtId="9" fontId="14" fillId="0" borderId="0" xfId="0" applyNumberFormat="1" applyFont="1" applyFill="1" applyBorder="1"/>
    <xf numFmtId="9" fontId="0" fillId="0" borderId="0" xfId="0" applyNumberFormat="1" applyFill="1" applyBorder="1"/>
    <xf numFmtId="9" fontId="0" fillId="0" borderId="13" xfId="0" applyNumberFormat="1" applyFill="1" applyBorder="1"/>
    <xf numFmtId="0" fontId="29" fillId="0" borderId="12" xfId="0" applyFont="1" applyBorder="1"/>
    <xf numFmtId="3" fontId="14" fillId="0" borderId="0" xfId="0" applyNumberFormat="1" applyFont="1" applyFill="1" applyBorder="1"/>
    <xf numFmtId="2" fontId="0" fillId="0" borderId="0" xfId="2" applyNumberFormat="1" applyFont="1" applyFill="1" applyBorder="1"/>
    <xf numFmtId="169" fontId="0" fillId="0" borderId="13" xfId="2" applyNumberFormat="1" applyFont="1" applyFill="1" applyBorder="1"/>
    <xf numFmtId="173" fontId="0" fillId="0" borderId="0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0" fontId="22" fillId="3" borderId="17" xfId="0" applyFont="1" applyFill="1" applyBorder="1"/>
    <xf numFmtId="0" fontId="16" fillId="3" borderId="18" xfId="0" applyFont="1" applyFill="1" applyBorder="1"/>
    <xf numFmtId="165" fontId="16" fillId="3" borderId="18" xfId="0" applyNumberFormat="1" applyFont="1" applyFill="1" applyBorder="1"/>
    <xf numFmtId="166" fontId="16" fillId="3" borderId="18" xfId="0" applyNumberFormat="1" applyFont="1" applyFill="1" applyBorder="1"/>
    <xf numFmtId="166" fontId="16" fillId="3" borderId="19" xfId="0" applyNumberFormat="1" applyFont="1" applyFill="1" applyBorder="1"/>
    <xf numFmtId="0" fontId="17" fillId="3" borderId="18" xfId="0" applyFont="1" applyFill="1" applyBorder="1"/>
    <xf numFmtId="167" fontId="16" fillId="3" borderId="18" xfId="0" applyNumberFormat="1" applyFont="1" applyFill="1" applyBorder="1"/>
    <xf numFmtId="0" fontId="16" fillId="3" borderId="12" xfId="0" applyFont="1" applyFill="1" applyBorder="1"/>
    <xf numFmtId="0" fontId="17" fillId="3" borderId="0" xfId="0" applyFont="1" applyFill="1" applyBorder="1"/>
    <xf numFmtId="15" fontId="16" fillId="3" borderId="0" xfId="0" applyNumberFormat="1" applyFont="1" applyFill="1" applyBorder="1"/>
    <xf numFmtId="15" fontId="16" fillId="3" borderId="13" xfId="0" applyNumberFormat="1" applyFont="1" applyFill="1" applyBorder="1"/>
    <xf numFmtId="0" fontId="16" fillId="3" borderId="9" xfId="0" applyFont="1" applyFill="1" applyBorder="1"/>
    <xf numFmtId="0" fontId="16" fillId="3" borderId="10" xfId="0" applyFont="1" applyFill="1" applyBorder="1"/>
    <xf numFmtId="165" fontId="16" fillId="3" borderId="10" xfId="0" applyNumberFormat="1" applyFont="1" applyFill="1" applyBorder="1" applyAlignment="1">
      <alignment horizontal="right"/>
    </xf>
    <xf numFmtId="166" fontId="16" fillId="3" borderId="10" xfId="0" applyNumberFormat="1" applyFont="1" applyFill="1" applyBorder="1" applyAlignment="1">
      <alignment horizontal="right"/>
    </xf>
    <xf numFmtId="166" fontId="16" fillId="3" borderId="11" xfId="0" applyNumberFormat="1" applyFont="1" applyFill="1" applyBorder="1" applyAlignment="1">
      <alignment horizontal="right"/>
    </xf>
    <xf numFmtId="166" fontId="17" fillId="3" borderId="0" xfId="0" applyNumberFormat="1" applyFont="1" applyFill="1" applyBorder="1"/>
    <xf numFmtId="166" fontId="17" fillId="3" borderId="13" xfId="0" applyNumberFormat="1" applyFont="1" applyFill="1" applyBorder="1"/>
    <xf numFmtId="0" fontId="1" fillId="0" borderId="12" xfId="0" applyFont="1" applyFill="1" applyBorder="1"/>
    <xf numFmtId="0" fontId="0" fillId="0" borderId="13" xfId="0" applyFill="1" applyBorder="1"/>
    <xf numFmtId="0" fontId="0" fillId="0" borderId="12" xfId="0" quotePrefix="1" applyFont="1" applyFill="1" applyBorder="1" applyAlignment="1">
      <alignment horizontal="left" indent="1"/>
    </xf>
    <xf numFmtId="0" fontId="0" fillId="0" borderId="12" xfId="0" applyFont="1" applyFill="1" applyBorder="1"/>
    <xf numFmtId="172" fontId="0" fillId="0" borderId="0" xfId="0" applyNumberFormat="1" applyFill="1" applyBorder="1"/>
    <xf numFmtId="172" fontId="0" fillId="0" borderId="13" xfId="0" applyNumberFormat="1" applyFill="1" applyBorder="1"/>
    <xf numFmtId="0" fontId="0" fillId="0" borderId="14" xfId="0" applyFont="1" applyFill="1" applyBorder="1" applyAlignment="1">
      <alignment horizontal="left" indent="1"/>
    </xf>
    <xf numFmtId="0" fontId="1" fillId="0" borderId="17" xfId="0" applyFont="1" applyBorder="1"/>
    <xf numFmtId="0" fontId="0" fillId="0" borderId="18" xfId="0" applyFill="1" applyBorder="1"/>
    <xf numFmtId="0" fontId="0" fillId="0" borderId="19" xfId="0" applyFill="1" applyBorder="1"/>
    <xf numFmtId="0" fontId="0" fillId="0" borderId="12" xfId="0" applyFont="1" applyBorder="1" applyAlignment="1">
      <alignment horizontal="left"/>
    </xf>
    <xf numFmtId="41" fontId="0" fillId="0" borderId="15" xfId="0" applyNumberFormat="1" applyBorder="1"/>
    <xf numFmtId="41" fontId="0" fillId="0" borderId="18" xfId="0" applyNumberFormat="1" applyFill="1" applyBorder="1"/>
    <xf numFmtId="41" fontId="0" fillId="0" borderId="15" xfId="0" applyNumberFormat="1" applyFill="1" applyBorder="1"/>
    <xf numFmtId="41" fontId="0" fillId="0" borderId="16" xfId="0" applyNumberFormat="1" applyFill="1" applyBorder="1"/>
    <xf numFmtId="37" fontId="14" fillId="0" borderId="0" xfId="0" applyNumberFormat="1" applyFont="1" applyFill="1" applyBorder="1"/>
    <xf numFmtId="37" fontId="14" fillId="0" borderId="13" xfId="0" applyNumberFormat="1" applyFont="1" applyFill="1" applyBorder="1"/>
    <xf numFmtId="41" fontId="14" fillId="0" borderId="0" xfId="0" applyNumberFormat="1" applyFont="1" applyFill="1" applyBorder="1"/>
    <xf numFmtId="41" fontId="14" fillId="0" borderId="13" xfId="0" applyNumberFormat="1" applyFont="1" applyFill="1" applyBorder="1"/>
    <xf numFmtId="41" fontId="20" fillId="0" borderId="13" xfId="0" applyNumberFormat="1" applyFont="1" applyBorder="1"/>
    <xf numFmtId="0" fontId="1" fillId="0" borderId="12" xfId="0" applyFont="1" applyBorder="1" applyAlignment="1">
      <alignment horizontal="left"/>
    </xf>
    <xf numFmtId="10" fontId="0" fillId="0" borderId="0" xfId="2" applyNumberFormat="1" applyFont="1" applyFill="1" applyBorder="1"/>
    <xf numFmtId="10" fontId="0" fillId="0" borderId="13" xfId="2" applyNumberFormat="1" applyFont="1" applyFill="1" applyBorder="1"/>
    <xf numFmtId="10" fontId="14" fillId="2" borderId="0" xfId="2" applyNumberFormat="1" applyFont="1" applyFill="1" applyBorder="1"/>
    <xf numFmtId="10" fontId="0" fillId="0" borderId="15" xfId="0" applyNumberFormat="1" applyBorder="1"/>
    <xf numFmtId="10" fontId="0" fillId="0" borderId="16" xfId="0" applyNumberFormat="1" applyBorder="1"/>
    <xf numFmtId="0" fontId="1" fillId="0" borderId="12" xfId="0" applyFont="1" applyFill="1" applyBorder="1" applyAlignment="1">
      <alignment horizontal="left"/>
    </xf>
    <xf numFmtId="4" fontId="0" fillId="0" borderId="0" xfId="0" applyNumberFormat="1" applyFill="1" applyBorder="1"/>
    <xf numFmtId="10" fontId="0" fillId="0" borderId="0" xfId="0" applyNumberFormat="1" applyFill="1" applyBorder="1"/>
    <xf numFmtId="10" fontId="14" fillId="2" borderId="0" xfId="0" applyNumberFormat="1" applyFont="1" applyFill="1" applyBorder="1"/>
    <xf numFmtId="10" fontId="0" fillId="0" borderId="13" xfId="0" applyNumberFormat="1" applyFill="1" applyBorder="1"/>
    <xf numFmtId="4" fontId="0" fillId="0" borderId="13" xfId="0" applyNumberFormat="1" applyFill="1" applyBorder="1"/>
    <xf numFmtId="1" fontId="14" fillId="0" borderId="0" xfId="0" applyNumberFormat="1" applyFont="1" applyFill="1" applyBorder="1"/>
    <xf numFmtId="1" fontId="14" fillId="2" borderId="0" xfId="0" applyNumberFormat="1" applyFont="1" applyFill="1" applyBorder="1"/>
    <xf numFmtId="3" fontId="0" fillId="0" borderId="0" xfId="0" applyNumberFormat="1" applyFill="1" applyBorder="1"/>
    <xf numFmtId="3" fontId="0" fillId="0" borderId="13" xfId="0" applyNumberFormat="1" applyFill="1" applyBorder="1"/>
    <xf numFmtId="1" fontId="14" fillId="0" borderId="13" xfId="0" applyNumberFormat="1" applyFont="1" applyFill="1" applyBorder="1"/>
    <xf numFmtId="168" fontId="21" fillId="0" borderId="16" xfId="0" applyNumberFormat="1" applyFont="1" applyBorder="1"/>
    <xf numFmtId="169" fontId="19" fillId="0" borderId="0" xfId="2" applyNumberFormat="1" applyFont="1" applyFill="1" applyBorder="1"/>
    <xf numFmtId="37" fontId="1" fillId="0" borderId="0" xfId="0" applyNumberFormat="1" applyFont="1" applyFill="1" applyBorder="1"/>
    <xf numFmtId="37" fontId="1" fillId="0" borderId="13" xfId="0" applyNumberFormat="1" applyFont="1" applyFill="1" applyBorder="1"/>
    <xf numFmtId="169" fontId="15" fillId="0" borderId="0" xfId="2" applyNumberFormat="1" applyFont="1" applyFill="1" applyBorder="1"/>
    <xf numFmtId="37" fontId="1" fillId="0" borderId="15" xfId="0" applyNumberFormat="1" applyFont="1" applyFill="1" applyBorder="1"/>
    <xf numFmtId="37" fontId="1" fillId="0" borderId="16" xfId="0" applyNumberFormat="1" applyFont="1" applyFill="1" applyBorder="1"/>
    <xf numFmtId="0" fontId="0" fillId="0" borderId="18" xfId="0" applyBorder="1"/>
    <xf numFmtId="37" fontId="19" fillId="0" borderId="0" xfId="0" applyNumberFormat="1" applyFont="1" applyFill="1" applyBorder="1"/>
    <xf numFmtId="37" fontId="19" fillId="0" borderId="13" xfId="0" applyNumberFormat="1" applyFont="1" applyFill="1" applyBorder="1"/>
    <xf numFmtId="0" fontId="1" fillId="0" borderId="12" xfId="0" applyFont="1" applyBorder="1" applyAlignment="1">
      <alignment horizontal="left" indent="1"/>
    </xf>
    <xf numFmtId="41" fontId="1" fillId="0" borderId="0" xfId="0" applyNumberFormat="1" applyFont="1" applyFill="1" applyBorder="1"/>
    <xf numFmtId="41" fontId="1" fillId="0" borderId="13" xfId="0" applyNumberFormat="1" applyFont="1" applyFill="1" applyBorder="1"/>
    <xf numFmtId="37" fontId="0" fillId="0" borderId="0" xfId="0" applyNumberFormat="1" applyFont="1" applyFill="1" applyBorder="1"/>
    <xf numFmtId="37" fontId="0" fillId="0" borderId="13" xfId="0" applyNumberFormat="1" applyFont="1" applyFill="1" applyBorder="1"/>
    <xf numFmtId="37" fontId="0" fillId="0" borderId="0" xfId="0" applyNumberFormat="1"/>
    <xf numFmtId="43" fontId="0" fillId="0" borderId="0" xfId="0" applyNumberFormat="1"/>
    <xf numFmtId="173" fontId="0" fillId="0" borderId="0" xfId="0" applyNumberFormat="1"/>
    <xf numFmtId="15" fontId="17" fillId="0" borderId="0" xfId="0" applyNumberFormat="1" applyFont="1" applyBorder="1"/>
    <xf numFmtId="0" fontId="1" fillId="0" borderId="17" xfId="0" applyFont="1" applyBorder="1" applyAlignment="1">
      <alignment horizontal="left"/>
    </xf>
    <xf numFmtId="2" fontId="0" fillId="0" borderId="18" xfId="0" applyNumberFormat="1" applyBorder="1"/>
    <xf numFmtId="0" fontId="0" fillId="0" borderId="19" xfId="0" applyBorder="1"/>
    <xf numFmtId="0" fontId="0" fillId="0" borderId="14" xfId="0" applyFont="1" applyBorder="1" applyAlignment="1">
      <alignment horizontal="left"/>
    </xf>
    <xf numFmtId="37" fontId="0" fillId="0" borderId="15" xfId="0" applyNumberFormat="1" applyBorder="1"/>
    <xf numFmtId="10" fontId="0" fillId="0" borderId="0" xfId="0" applyNumberFormat="1" applyBorder="1"/>
    <xf numFmtId="10" fontId="0" fillId="0" borderId="13" xfId="0" applyNumberFormat="1" applyBorder="1"/>
    <xf numFmtId="37" fontId="0" fillId="0" borderId="16" xfId="0" applyNumberFormat="1" applyBorder="1"/>
    <xf numFmtId="174" fontId="0" fillId="0" borderId="0" xfId="0" applyNumberFormat="1" applyFill="1" applyBorder="1"/>
    <xf numFmtId="174" fontId="0" fillId="0" borderId="13" xfId="0" applyNumberFormat="1" applyFill="1" applyBorder="1"/>
    <xf numFmtId="2" fontId="0" fillId="0" borderId="13" xfId="0" applyNumberFormat="1" applyBorder="1"/>
    <xf numFmtId="2" fontId="0" fillId="0" borderId="16" xfId="0" applyNumberFormat="1" applyBorder="1"/>
    <xf numFmtId="169" fontId="14" fillId="0" borderId="0" xfId="0" applyNumberFormat="1" applyFont="1" applyFill="1" applyBorder="1"/>
    <xf numFmtId="171" fontId="0" fillId="0" borderId="15" xfId="0" applyNumberFormat="1" applyFill="1" applyBorder="1"/>
    <xf numFmtId="0" fontId="0" fillId="0" borderId="14" xfId="0" applyFont="1" applyBorder="1"/>
    <xf numFmtId="175" fontId="0" fillId="0" borderId="15" xfId="0" applyNumberFormat="1" applyFill="1" applyBorder="1"/>
    <xf numFmtId="175" fontId="0" fillId="0" borderId="16" xfId="0" applyNumberFormat="1" applyFill="1" applyBorder="1"/>
    <xf numFmtId="10" fontId="14" fillId="0" borderId="15" xfId="2" applyNumberFormat="1" applyFont="1" applyBorder="1"/>
    <xf numFmtId="0" fontId="0" fillId="0" borderId="30" xfId="0" applyBorder="1"/>
    <xf numFmtId="10" fontId="14" fillId="0" borderId="16" xfId="2" applyNumberFormat="1" applyFont="1" applyBorder="1"/>
    <xf numFmtId="10" fontId="14" fillId="0" borderId="31" xfId="0" applyNumberFormat="1" applyFont="1" applyBorder="1"/>
    <xf numFmtId="176" fontId="0" fillId="0" borderId="0" xfId="0" applyNumberFormat="1" applyBorder="1"/>
    <xf numFmtId="176" fontId="0" fillId="0" borderId="13" xfId="0" applyNumberFormat="1" applyBorder="1"/>
    <xf numFmtId="10" fontId="14" fillId="0" borderId="32" xfId="0" applyNumberFormat="1" applyFont="1" applyBorder="1"/>
    <xf numFmtId="176" fontId="0" fillId="0" borderId="15" xfId="0" applyNumberFormat="1" applyBorder="1"/>
    <xf numFmtId="176" fontId="0" fillId="0" borderId="16" xfId="0" applyNumberFormat="1" applyBorder="1"/>
    <xf numFmtId="2" fontId="0" fillId="0" borderId="0" xfId="0" applyNumberFormat="1" applyBorder="1" applyAlignment="1">
      <alignment horizontal="right"/>
    </xf>
    <xf numFmtId="0" fontId="0" fillId="0" borderId="34" xfId="0" applyBorder="1"/>
    <xf numFmtId="0" fontId="0" fillId="0" borderId="12" xfId="0" applyFont="1" applyBorder="1" applyAlignment="1">
      <alignment horizontal="left" indent="2"/>
    </xf>
    <xf numFmtId="169" fontId="14" fillId="0" borderId="0" xfId="0" applyNumberFormat="1" applyFont="1" applyBorder="1"/>
    <xf numFmtId="169" fontId="14" fillId="0" borderId="13" xfId="0" applyNumberFormat="1" applyFont="1" applyBorder="1"/>
    <xf numFmtId="0" fontId="1" fillId="0" borderId="12" xfId="0" applyFont="1" applyFill="1" applyBorder="1" applyAlignment="1">
      <alignment horizontal="left" indent="1"/>
    </xf>
    <xf numFmtId="0" fontId="0" fillId="0" borderId="14" xfId="0" applyFont="1" applyBorder="1" applyAlignment="1">
      <alignment horizontal="left" indent="2"/>
    </xf>
    <xf numFmtId="169" fontId="0" fillId="0" borderId="15" xfId="0" applyNumberFormat="1" applyBorder="1"/>
    <xf numFmtId="169" fontId="0" fillId="0" borderId="16" xfId="0" applyNumberFormat="1" applyBorder="1"/>
    <xf numFmtId="10" fontId="0" fillId="0" borderId="0" xfId="2" applyNumberFormat="1" applyFont="1" applyBorder="1"/>
    <xf numFmtId="4" fontId="0" fillId="0" borderId="15" xfId="0" applyNumberFormat="1" applyBorder="1"/>
    <xf numFmtId="0" fontId="0" fillId="0" borderId="0" xfId="0" applyBorder="1" applyAlignment="1">
      <alignment vertical="center"/>
    </xf>
    <xf numFmtId="0" fontId="25" fillId="0" borderId="17" xfId="0" applyFont="1" applyBorder="1"/>
    <xf numFmtId="169" fontId="0" fillId="0" borderId="13" xfId="2" applyNumberFormat="1" applyFont="1" applyBorder="1"/>
    <xf numFmtId="0" fontId="25" fillId="0" borderId="12" xfId="0" applyFont="1" applyBorder="1"/>
    <xf numFmtId="4" fontId="0" fillId="0" borderId="13" xfId="0" applyNumberFormat="1" applyBorder="1"/>
    <xf numFmtId="0" fontId="1" fillId="0" borderId="14" xfId="0" applyFont="1" applyBorder="1" applyAlignment="1">
      <alignment horizontal="left" indent="1"/>
    </xf>
    <xf numFmtId="37" fontId="1" fillId="0" borderId="15" xfId="0" applyNumberFormat="1" applyFont="1" applyBorder="1"/>
    <xf numFmtId="37" fontId="1" fillId="0" borderId="16" xfId="0" applyNumberFormat="1" applyFont="1" applyBorder="1"/>
    <xf numFmtId="2" fontId="0" fillId="0" borderId="2" xfId="0" applyNumberFormat="1" applyBorder="1"/>
    <xf numFmtId="2" fontId="0" fillId="0" borderId="36" xfId="0" applyNumberFormat="1" applyBorder="1"/>
    <xf numFmtId="177" fontId="0" fillId="0" borderId="0" xfId="0" applyNumberFormat="1" applyFont="1" applyBorder="1" applyAlignment="1">
      <alignment horizontal="right"/>
    </xf>
    <xf numFmtId="177" fontId="0" fillId="0" borderId="13" xfId="0" applyNumberFormat="1" applyFont="1" applyBorder="1" applyAlignment="1">
      <alignment horizontal="right"/>
    </xf>
    <xf numFmtId="0" fontId="30" fillId="0" borderId="0" xfId="1" applyFont="1" applyFill="1" applyBorder="1" applyAlignment="1" applyProtection="1"/>
    <xf numFmtId="0" fontId="31" fillId="0" borderId="0" xfId="1" applyFont="1"/>
    <xf numFmtId="0" fontId="32" fillId="3" borderId="1" xfId="0" applyFont="1" applyFill="1" applyBorder="1"/>
    <xf numFmtId="0" fontId="33" fillId="3" borderId="2" xfId="0" applyFont="1" applyFill="1" applyBorder="1"/>
    <xf numFmtId="0" fontId="32" fillId="3" borderId="4" xfId="0" applyFont="1" applyFill="1" applyBorder="1"/>
    <xf numFmtId="0" fontId="33" fillId="3" borderId="0" xfId="0" applyFont="1" applyFill="1" applyBorder="1"/>
    <xf numFmtId="0" fontId="32" fillId="3" borderId="6" xfId="0" applyFont="1" applyFill="1" applyBorder="1"/>
    <xf numFmtId="0" fontId="33" fillId="3" borderId="7" xfId="0" applyFont="1" applyFill="1" applyBorder="1"/>
    <xf numFmtId="177" fontId="0" fillId="0" borderId="26" xfId="0" applyNumberFormat="1" applyBorder="1"/>
    <xf numFmtId="0" fontId="1" fillId="0" borderId="0" xfId="0" applyFont="1"/>
    <xf numFmtId="0" fontId="16" fillId="4" borderId="0" xfId="0" applyFont="1" applyFill="1"/>
    <xf numFmtId="2" fontId="0" fillId="0" borderId="0" xfId="0" applyNumberFormat="1"/>
    <xf numFmtId="0" fontId="34" fillId="5" borderId="37" xfId="0" applyFont="1" applyFill="1" applyBorder="1" applyAlignment="1">
      <alignment vertical="center" wrapText="1"/>
    </xf>
    <xf numFmtId="3" fontId="34" fillId="5" borderId="37" xfId="0" applyNumberFormat="1" applyFont="1" applyFill="1" applyBorder="1" applyAlignment="1">
      <alignment horizontal="right" vertical="center" wrapText="1" indent="1"/>
    </xf>
    <xf numFmtId="10" fontId="0" fillId="0" borderId="0" xfId="2" applyNumberFormat="1" applyFont="1"/>
    <xf numFmtId="10" fontId="0" fillId="0" borderId="0" xfId="0" applyNumberFormat="1"/>
    <xf numFmtId="10" fontId="0" fillId="0" borderId="27" xfId="0" applyNumberFormat="1" applyBorder="1"/>
    <xf numFmtId="2" fontId="0" fillId="0" borderId="29" xfId="0" applyNumberFormat="1" applyBorder="1"/>
    <xf numFmtId="2" fontId="0" fillId="0" borderId="26" xfId="0" applyNumberFormat="1" applyBorder="1"/>
    <xf numFmtId="0" fontId="35" fillId="0" borderId="0" xfId="0" applyFont="1"/>
    <xf numFmtId="0" fontId="35" fillId="0" borderId="39" xfId="0" applyFont="1" applyBorder="1"/>
    <xf numFmtId="14" fontId="40" fillId="0" borderId="0" xfId="0" applyNumberFormat="1" applyFont="1"/>
    <xf numFmtId="169" fontId="41" fillId="0" borderId="0" xfId="0" applyNumberFormat="1" applyFont="1" applyAlignment="1">
      <alignment horizontal="right"/>
    </xf>
    <xf numFmtId="0" fontId="40" fillId="0" borderId="0" xfId="0" applyFont="1" applyBorder="1"/>
    <xf numFmtId="178" fontId="42" fillId="0" borderId="0" xfId="0" applyNumberFormat="1" applyFont="1"/>
    <xf numFmtId="169" fontId="41" fillId="0" borderId="7" xfId="0" applyNumberFormat="1" applyFont="1" applyBorder="1"/>
    <xf numFmtId="14" fontId="36" fillId="0" borderId="39" xfId="0" applyNumberFormat="1" applyFont="1" applyBorder="1"/>
    <xf numFmtId="0" fontId="35" fillId="0" borderId="0" xfId="0" applyFont="1" applyBorder="1"/>
    <xf numFmtId="0" fontId="44" fillId="0" borderId="0" xfId="0" applyFont="1" applyAlignment="1">
      <alignment horizontal="left"/>
    </xf>
    <xf numFmtId="0" fontId="40" fillId="0" borderId="0" xfId="0" applyFont="1"/>
    <xf numFmtId="181" fontId="40" fillId="0" borderId="0" xfId="0" applyNumberFormat="1" applyFont="1"/>
    <xf numFmtId="37" fontId="40" fillId="0" borderId="0" xfId="0" applyNumberFormat="1" applyFont="1"/>
    <xf numFmtId="0" fontId="46" fillId="0" borderId="0" xfId="0" applyFont="1" applyBorder="1"/>
    <xf numFmtId="37" fontId="47" fillId="0" borderId="0" xfId="0" applyNumberFormat="1" applyFont="1"/>
    <xf numFmtId="0" fontId="40" fillId="0" borderId="0" xfId="0" applyFont="1" applyBorder="1" applyAlignment="1">
      <alignment horizontal="left" indent="1"/>
    </xf>
    <xf numFmtId="0" fontId="40" fillId="0" borderId="0" xfId="0" applyFont="1" applyFill="1" applyBorder="1" applyAlignment="1">
      <alignment horizontal="left" indent="1"/>
    </xf>
    <xf numFmtId="37" fontId="46" fillId="0" borderId="0" xfId="0" applyNumberFormat="1" applyFont="1"/>
    <xf numFmtId="0" fontId="40" fillId="0" borderId="0" xfId="0" applyFont="1" applyAlignment="1">
      <alignment horizontal="left" indent="1"/>
    </xf>
    <xf numFmtId="0" fontId="46" fillId="0" borderId="0" xfId="0" applyFont="1"/>
    <xf numFmtId="0" fontId="44" fillId="0" borderId="0" xfId="0" applyFont="1" applyAlignment="1">
      <alignment horizontal="left" indent="1"/>
    </xf>
    <xf numFmtId="181" fontId="44" fillId="0" borderId="0" xfId="0" applyNumberFormat="1" applyFont="1"/>
    <xf numFmtId="0" fontId="43" fillId="0" borderId="0" xfId="0" applyFont="1" applyAlignment="1">
      <alignment horizontal="left" indent="1"/>
    </xf>
    <xf numFmtId="181" fontId="35" fillId="0" borderId="0" xfId="0" applyNumberFormat="1" applyFont="1"/>
    <xf numFmtId="0" fontId="40" fillId="0" borderId="0" xfId="0" applyFont="1" applyAlignment="1">
      <alignment horizontal="left"/>
    </xf>
    <xf numFmtId="182" fontId="35" fillId="0" borderId="0" xfId="0" applyNumberFormat="1" applyFont="1"/>
    <xf numFmtId="169" fontId="35" fillId="0" borderId="0" xfId="0" applyNumberFormat="1" applyFont="1" applyFill="1" applyBorder="1" applyAlignment="1">
      <alignment horizontal="center"/>
    </xf>
    <xf numFmtId="37" fontId="36" fillId="0" borderId="0" xfId="0" applyNumberFormat="1" applyFont="1" applyFill="1" applyBorder="1" applyAlignment="1">
      <alignment vertical="center"/>
    </xf>
    <xf numFmtId="0" fontId="36" fillId="0" borderId="0" xfId="0" applyFont="1"/>
    <xf numFmtId="37" fontId="35" fillId="0" borderId="0" xfId="0" applyNumberFormat="1" applyFont="1"/>
    <xf numFmtId="0" fontId="48" fillId="0" borderId="7" xfId="0" applyFont="1" applyBorder="1"/>
    <xf numFmtId="181" fontId="35" fillId="0" borderId="7" xfId="0" applyNumberFormat="1" applyFont="1" applyBorder="1"/>
    <xf numFmtId="0" fontId="35" fillId="0" borderId="7" xfId="0" applyFont="1" applyBorder="1"/>
    <xf numFmtId="37" fontId="36" fillId="0" borderId="7" xfId="0" applyNumberFormat="1" applyFont="1" applyFill="1" applyBorder="1" applyAlignment="1">
      <alignment vertical="center"/>
    </xf>
    <xf numFmtId="37" fontId="40" fillId="0" borderId="0" xfId="0" applyNumberFormat="1" applyFont="1" applyFill="1"/>
    <xf numFmtId="37" fontId="41" fillId="0" borderId="0" xfId="0" applyNumberFormat="1" applyFont="1"/>
    <xf numFmtId="185" fontId="50" fillId="0" borderId="0" xfId="0" applyNumberFormat="1" applyFont="1"/>
    <xf numFmtId="185" fontId="40" fillId="0" borderId="0" xfId="0" applyNumberFormat="1" applyFont="1"/>
    <xf numFmtId="169" fontId="50" fillId="0" borderId="0" xfId="0" applyNumberFormat="1" applyFont="1"/>
    <xf numFmtId="0" fontId="40" fillId="0" borderId="0" xfId="0" applyFont="1" applyFill="1" applyBorder="1"/>
    <xf numFmtId="0" fontId="44" fillId="0" borderId="0" xfId="0" applyFont="1" applyFill="1" applyBorder="1"/>
    <xf numFmtId="0" fontId="44" fillId="0" borderId="0" xfId="0" applyFont="1"/>
    <xf numFmtId="0" fontId="44" fillId="0" borderId="7" xfId="0" applyFont="1" applyFill="1" applyBorder="1"/>
    <xf numFmtId="185" fontId="44" fillId="0" borderId="7" xfId="0" applyNumberFormat="1" applyFont="1" applyBorder="1"/>
    <xf numFmtId="0" fontId="40" fillId="0" borderId="7" xfId="0" applyFont="1" applyBorder="1"/>
    <xf numFmtId="0" fontId="40" fillId="0" borderId="7" xfId="0" applyFont="1" applyFill="1" applyBorder="1"/>
    <xf numFmtId="181" fontId="40" fillId="0" borderId="7" xfId="0" applyNumberFormat="1" applyFont="1" applyBorder="1"/>
    <xf numFmtId="0" fontId="43" fillId="0" borderId="0" xfId="0" applyFont="1" applyFill="1" applyBorder="1"/>
    <xf numFmtId="185" fontId="43" fillId="0" borderId="0" xfId="0" applyNumberFormat="1" applyFont="1"/>
    <xf numFmtId="0" fontId="35" fillId="0" borderId="0" xfId="0" applyFont="1" applyFill="1" applyBorder="1"/>
    <xf numFmtId="37" fontId="50" fillId="0" borderId="0" xfId="0" applyNumberFormat="1" applyFont="1"/>
    <xf numFmtId="0" fontId="51" fillId="0" borderId="0" xfId="0" applyFont="1" applyBorder="1"/>
    <xf numFmtId="0" fontId="46" fillId="0" borderId="0" xfId="0" applyFont="1" applyFill="1" applyBorder="1"/>
    <xf numFmtId="37" fontId="36" fillId="0" borderId="0" xfId="0" applyNumberFormat="1" applyFont="1"/>
    <xf numFmtId="179" fontId="35" fillId="0" borderId="0" xfId="0" applyNumberFormat="1" applyFont="1"/>
    <xf numFmtId="186" fontId="40" fillId="0" borderId="0" xfId="0" applyNumberFormat="1" applyFont="1"/>
    <xf numFmtId="187" fontId="36" fillId="0" borderId="0" xfId="0" applyNumberFormat="1" applyFont="1"/>
    <xf numFmtId="0" fontId="40" fillId="0" borderId="0" xfId="0" applyFont="1" applyFill="1" applyBorder="1" applyAlignment="1">
      <alignment horizontal="left"/>
    </xf>
    <xf numFmtId="176" fontId="40" fillId="0" borderId="0" xfId="0" applyNumberFormat="1" applyFont="1" applyAlignment="1">
      <alignment horizontal="right"/>
    </xf>
    <xf numFmtId="0" fontId="40" fillId="0" borderId="0" xfId="0" applyFont="1" applyAlignment="1">
      <alignment horizontal="right"/>
    </xf>
    <xf numFmtId="0" fontId="40" fillId="0" borderId="0" xfId="0" applyFont="1" applyBorder="1" applyAlignment="1">
      <alignment horizontal="left"/>
    </xf>
    <xf numFmtId="37" fontId="40" fillId="0" borderId="0" xfId="0" applyNumberFormat="1" applyFont="1" applyAlignment="1">
      <alignment horizontal="right"/>
    </xf>
    <xf numFmtId="0" fontId="52" fillId="0" borderId="0" xfId="0" applyNumberFormat="1" applyFont="1" applyFill="1" applyBorder="1" applyAlignment="1"/>
    <xf numFmtId="169" fontId="50" fillId="0" borderId="0" xfId="0" applyNumberFormat="1" applyFont="1" applyFill="1"/>
    <xf numFmtId="0" fontId="46" fillId="0" borderId="0" xfId="0" applyFont="1" applyBorder="1" applyAlignment="1">
      <alignment horizontal="left"/>
    </xf>
    <xf numFmtId="186" fontId="46" fillId="0" borderId="0" xfId="0" applyNumberFormat="1" applyFont="1"/>
    <xf numFmtId="188" fontId="50" fillId="0" borderId="0" xfId="0" applyNumberFormat="1" applyFont="1" applyFill="1"/>
    <xf numFmtId="0" fontId="53" fillId="0" borderId="0" xfId="0" applyFont="1" applyBorder="1" applyAlignment="1">
      <alignment horizontal="center" vertical="center"/>
    </xf>
    <xf numFmtId="39" fontId="41" fillId="0" borderId="0" xfId="0" applyNumberFormat="1" applyFont="1" applyFill="1"/>
    <xf numFmtId="0" fontId="57" fillId="0" borderId="0" xfId="3" applyFont="1" applyAlignment="1" applyProtection="1"/>
    <xf numFmtId="169" fontId="41" fillId="0" borderId="0" xfId="0" applyNumberFormat="1" applyFont="1" applyFill="1" applyBorder="1"/>
    <xf numFmtId="0" fontId="53" fillId="0" borderId="0" xfId="0" applyFont="1" applyAlignment="1">
      <alignment horizontal="right"/>
    </xf>
    <xf numFmtId="169" fontId="58" fillId="0" borderId="0" xfId="0" applyNumberFormat="1" applyFont="1" applyFill="1" applyBorder="1" applyAlignment="1">
      <alignment horizontal="right"/>
    </xf>
    <xf numFmtId="184" fontId="40" fillId="0" borderId="0" xfId="0" applyNumberFormat="1" applyFont="1"/>
    <xf numFmtId="0" fontId="59" fillId="0" borderId="0" xfId="0" applyFont="1"/>
    <xf numFmtId="0" fontId="46" fillId="0" borderId="0" xfId="0" applyFont="1" applyAlignment="1">
      <alignment horizontal="right"/>
    </xf>
    <xf numFmtId="0" fontId="46" fillId="0" borderId="0" xfId="0" applyFont="1" applyAlignment="1">
      <alignment horizontal="right" wrapText="1"/>
    </xf>
    <xf numFmtId="3" fontId="0" fillId="0" borderId="0" xfId="0" applyNumberFormat="1"/>
    <xf numFmtId="0" fontId="35" fillId="0" borderId="0" xfId="0" quotePrefix="1" applyFont="1" applyBorder="1"/>
    <xf numFmtId="184" fontId="35" fillId="0" borderId="0" xfId="0" applyNumberFormat="1" applyFont="1" applyBorder="1"/>
    <xf numFmtId="37" fontId="42" fillId="0" borderId="0" xfId="0" applyNumberFormat="1" applyFont="1" applyFill="1"/>
    <xf numFmtId="181" fontId="45" fillId="0" borderId="0" xfId="0" applyNumberFormat="1" applyFont="1" applyFill="1"/>
    <xf numFmtId="37" fontId="47" fillId="0" borderId="0" xfId="0" applyNumberFormat="1" applyFont="1" applyFill="1"/>
    <xf numFmtId="0" fontId="40" fillId="0" borderId="0" xfId="0" applyFont="1" applyFill="1"/>
    <xf numFmtId="37" fontId="46" fillId="0" borderId="0" xfId="0" applyNumberFormat="1" applyFont="1" applyFill="1"/>
    <xf numFmtId="181" fontId="44" fillId="0" borderId="0" xfId="0" applyNumberFormat="1" applyFont="1" applyFill="1"/>
    <xf numFmtId="0" fontId="35" fillId="0" borderId="0" xfId="0" applyFont="1" applyFill="1"/>
    <xf numFmtId="181" fontId="35" fillId="0" borderId="0" xfId="0" applyNumberFormat="1" applyFont="1" applyFill="1"/>
    <xf numFmtId="182" fontId="35" fillId="0" borderId="0" xfId="0" applyNumberFormat="1" applyFont="1" applyFill="1"/>
    <xf numFmtId="183" fontId="35" fillId="0" borderId="0" xfId="0" applyNumberFormat="1" applyFont="1" applyFill="1"/>
    <xf numFmtId="0" fontId="60" fillId="3" borderId="38" xfId="0" applyFont="1" applyFill="1" applyBorder="1"/>
    <xf numFmtId="0" fontId="61" fillId="3" borderId="38" xfId="0" applyFont="1" applyFill="1" applyBorder="1"/>
    <xf numFmtId="14" fontId="62" fillId="0" borderId="7" xfId="0" applyNumberFormat="1" applyFont="1" applyBorder="1"/>
    <xf numFmtId="165" fontId="60" fillId="3" borderId="0" xfId="0" applyNumberFormat="1" applyFont="1" applyFill="1" applyBorder="1"/>
    <xf numFmtId="166" fontId="60" fillId="3" borderId="0" xfId="0" applyNumberFormat="1" applyFont="1" applyFill="1" applyBorder="1"/>
    <xf numFmtId="180" fontId="63" fillId="3" borderId="40" xfId="0" applyNumberFormat="1" applyFont="1" applyFill="1" applyBorder="1"/>
    <xf numFmtId="0" fontId="64" fillId="3" borderId="0" xfId="0" applyFont="1" applyFill="1" applyBorder="1"/>
    <xf numFmtId="189" fontId="42" fillId="0" borderId="0" xfId="0" applyNumberFormat="1" applyFont="1"/>
    <xf numFmtId="3" fontId="42" fillId="0" borderId="0" xfId="0" applyNumberFormat="1" applyFont="1"/>
    <xf numFmtId="10" fontId="50" fillId="0" borderId="0" xfId="0" applyNumberFormat="1" applyFont="1" applyFill="1" applyBorder="1"/>
    <xf numFmtId="39" fontId="54" fillId="0" borderId="0" xfId="0" applyNumberFormat="1" applyFont="1" applyFill="1" applyBorder="1"/>
    <xf numFmtId="0" fontId="55" fillId="0" borderId="0" xfId="0" applyFont="1" applyFill="1" applyBorder="1" applyAlignment="1">
      <alignment horizontal="center"/>
    </xf>
    <xf numFmtId="0" fontId="65" fillId="3" borderId="40" xfId="0" applyFont="1" applyFill="1" applyBorder="1"/>
    <xf numFmtId="10" fontId="60" fillId="3" borderId="38" xfId="2" applyNumberFormat="1" applyFont="1" applyFill="1" applyBorder="1"/>
    <xf numFmtId="0" fontId="35" fillId="0" borderId="15" xfId="0" applyFont="1" applyBorder="1"/>
    <xf numFmtId="169" fontId="35" fillId="0" borderId="28" xfId="0" applyNumberFormat="1" applyFont="1" applyBorder="1"/>
    <xf numFmtId="169" fontId="35" fillId="0" borderId="31" xfId="0" applyNumberFormat="1" applyFont="1" applyBorder="1"/>
    <xf numFmtId="187" fontId="35" fillId="0" borderId="26" xfId="0" applyNumberFormat="1" applyFont="1" applyBorder="1"/>
    <xf numFmtId="2" fontId="35" fillId="0" borderId="0" xfId="0" applyNumberFormat="1" applyFont="1"/>
    <xf numFmtId="37" fontId="35" fillId="0" borderId="0" xfId="0" applyNumberFormat="1" applyFont="1" applyBorder="1"/>
    <xf numFmtId="187" fontId="35" fillId="0" borderId="0" xfId="0" applyNumberFormat="1" applyFont="1"/>
    <xf numFmtId="0" fontId="11" fillId="0" borderId="0" xfId="0" applyFont="1" applyBorder="1" applyAlignment="1">
      <alignment horizontal="right"/>
    </xf>
    <xf numFmtId="0" fontId="11" fillId="0" borderId="5" xfId="0" applyFont="1" applyBorder="1" applyAlignment="1">
      <alignment horizontal="right"/>
    </xf>
    <xf numFmtId="0" fontId="11" fillId="0" borderId="7" xfId="0" applyFont="1" applyBorder="1" applyAlignment="1">
      <alignment horizontal="right"/>
    </xf>
    <xf numFmtId="0" fontId="11" fillId="0" borderId="8" xfId="0" applyFont="1" applyBorder="1" applyAlignment="1">
      <alignment horizontal="right"/>
    </xf>
    <xf numFmtId="0" fontId="18" fillId="3" borderId="1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18" fillId="3" borderId="5" xfId="0" applyFont="1" applyFill="1" applyBorder="1" applyAlignment="1">
      <alignment horizontal="center"/>
    </xf>
    <xf numFmtId="0" fontId="18" fillId="3" borderId="6" xfId="0" applyFont="1" applyFill="1" applyBorder="1" applyAlignment="1">
      <alignment horizontal="center"/>
    </xf>
    <xf numFmtId="0" fontId="18" fillId="3" borderId="7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center"/>
    </xf>
    <xf numFmtId="0" fontId="11" fillId="0" borderId="2" xfId="0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164" fontId="11" fillId="0" borderId="0" xfId="0" applyNumberFormat="1" applyFont="1" applyBorder="1" applyAlignment="1">
      <alignment horizontal="right"/>
    </xf>
    <xf numFmtId="164" fontId="11" fillId="0" borderId="5" xfId="0" applyNumberFormat="1" applyFont="1" applyBorder="1" applyAlignment="1">
      <alignment horizontal="right"/>
    </xf>
    <xf numFmtId="15" fontId="11" fillId="0" borderId="0" xfId="0" applyNumberFormat="1" applyFont="1" applyBorder="1" applyAlignment="1">
      <alignment horizontal="right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13" xfId="0" applyFont="1" applyBorder="1" applyAlignment="1">
      <alignment horizontal="center" vertical="center"/>
    </xf>
    <xf numFmtId="0" fontId="66" fillId="0" borderId="15" xfId="0" applyFont="1" applyBorder="1" applyAlignment="1">
      <alignment horizontal="center"/>
    </xf>
    <xf numFmtId="0" fontId="28" fillId="3" borderId="20" xfId="0" applyFont="1" applyFill="1" applyBorder="1" applyAlignment="1">
      <alignment horizontal="center"/>
    </xf>
    <xf numFmtId="0" fontId="28" fillId="3" borderId="21" xfId="0" applyFont="1" applyFill="1" applyBorder="1" applyAlignment="1">
      <alignment horizontal="center"/>
    </xf>
    <xf numFmtId="0" fontId="28" fillId="3" borderId="22" xfId="0" applyFont="1" applyFill="1" applyBorder="1" applyAlignment="1">
      <alignment horizontal="center"/>
    </xf>
    <xf numFmtId="0" fontId="28" fillId="3" borderId="23" xfId="0" applyFont="1" applyFill="1" applyBorder="1" applyAlignment="1">
      <alignment horizontal="center"/>
    </xf>
    <xf numFmtId="0" fontId="28" fillId="3" borderId="24" xfId="0" applyFont="1" applyFill="1" applyBorder="1" applyAlignment="1">
      <alignment horizontal="center"/>
    </xf>
    <xf numFmtId="0" fontId="28" fillId="3" borderId="25" xfId="0" applyFont="1" applyFill="1" applyBorder="1" applyAlignment="1">
      <alignment horizontal="center"/>
    </xf>
  </cellXfs>
  <cellStyles count="4">
    <cellStyle name="Hyperlink" xfId="1" builtinId="8"/>
    <cellStyle name="Hyperlink 2" xfId="3" xr:uid="{A4495B89-FA40-4EB3-B6D5-5A9EE4F92027}"/>
    <cellStyle name="Normal" xfId="0" builtinId="0"/>
    <cellStyle name="Percent" xfId="2" builtinId="5"/>
  </cellStyles>
  <dxfs count="10">
    <dxf>
      <font>
        <color rgb="FF9C0006"/>
      </font>
      <fill>
        <patternFill>
          <bgColor rgb="FFFFC7CE"/>
        </patternFill>
      </fill>
    </dxf>
    <dxf>
      <fill>
        <patternFill>
          <bgColor theme="8"/>
        </patternFill>
      </fill>
      <border>
        <left/>
        <right/>
        <top style="thin">
          <color rgb="FF9C0006"/>
        </top>
        <bottom style="thin">
          <color rgb="FF9C0006"/>
        </bottom>
        <vertical/>
        <horizontal/>
      </border>
    </dxf>
    <dxf>
      <font>
        <color theme="9"/>
      </font>
    </dxf>
    <dxf>
      <font>
        <color rgb="FFFF0000"/>
      </font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/>
        </patternFill>
      </fill>
      <border>
        <left/>
        <right/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theme="8"/>
        </patternFill>
      </fill>
      <border>
        <left/>
        <right/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theme="8"/>
        </patternFill>
      </fill>
      <border>
        <left/>
        <right/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2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~1/Owner/LOCALS~1/Temp/Rar$DI00.921/Valuation_2010_Mode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kumar.WSP/Downloads/DataSet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al Data"/>
      <sheetName val="Forecast Drivers"/>
      <sheetName val="Results"/>
      <sheetName val="Valuation Summary"/>
    </sheetNames>
    <sheetDataSet>
      <sheetData sheetId="0" refreshError="1"/>
      <sheetData sheetId="1"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330">
          <cell r="D330">
            <v>1</v>
          </cell>
        </row>
      </sheetData>
      <sheetData sheetId="2">
        <row r="142">
          <cell r="F142">
            <v>0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c_ans"/>
      <sheetName val="Circ"/>
      <sheetName val="Reg 0"/>
      <sheetName val="Reg_ans"/>
      <sheetName val="CF"/>
      <sheetName val="CF_ans"/>
      <sheetName val="BoostToolkitClipBoard2010"/>
      <sheetName val="DS0"/>
      <sheetName val="DS0_ans"/>
      <sheetName val="Data Set1"/>
      <sheetName val="DataSet2"/>
      <sheetName val="DataSet3"/>
      <sheetName val="Other"/>
      <sheetName val="DataSet4"/>
      <sheetName val="Array0"/>
      <sheetName val="Array1"/>
      <sheetName val="Array2"/>
      <sheetName val="Array3"/>
      <sheetName val="Array4"/>
      <sheetName val="Array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iPad</v>
          </cell>
          <cell r="C5">
            <v>500</v>
          </cell>
        </row>
        <row r="6">
          <cell r="B6" t="str">
            <v>iPod</v>
          </cell>
          <cell r="C6">
            <v>200</v>
          </cell>
        </row>
        <row r="7">
          <cell r="B7" t="str">
            <v>iPhone</v>
          </cell>
          <cell r="C7">
            <v>400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D335E-9510-4FA7-A203-D0959483E313}">
  <sheetPr>
    <pageSetUpPr fitToPage="1"/>
  </sheetPr>
  <dimension ref="C3:N36"/>
  <sheetViews>
    <sheetView showGridLines="0" zoomScale="85" zoomScaleNormal="85" zoomScaleSheetLayoutView="85" workbookViewId="0"/>
  </sheetViews>
  <sheetFormatPr defaultRowHeight="15" x14ac:dyDescent="0.25"/>
  <cols>
    <col min="1" max="1" width="2.7109375" customWidth="1"/>
    <col min="3" max="3" width="36.140625" bestFit="1" customWidth="1"/>
  </cols>
  <sheetData>
    <row r="3" spans="3:14" ht="15.75" thickBot="1" x14ac:dyDescent="0.3"/>
    <row r="4" spans="3:14" x14ac:dyDescent="0.25">
      <c r="C4" s="349" t="str">
        <f>"Financial Model for "&amp;E11</f>
        <v>Financial Model for Siemens AG</v>
      </c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1"/>
    </row>
    <row r="5" spans="3:14" x14ac:dyDescent="0.25">
      <c r="C5" s="352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4"/>
    </row>
    <row r="6" spans="3:14" x14ac:dyDescent="0.25">
      <c r="C6" s="352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4"/>
    </row>
    <row r="7" spans="3:14" ht="15.75" thickBot="1" x14ac:dyDescent="0.3">
      <c r="C7" s="355"/>
      <c r="D7" s="356"/>
      <c r="E7" s="356"/>
      <c r="F7" s="356"/>
      <c r="G7" s="356"/>
      <c r="H7" s="356"/>
      <c r="I7" s="356"/>
      <c r="J7" s="356"/>
      <c r="K7" s="356"/>
      <c r="L7" s="356"/>
      <c r="M7" s="356"/>
      <c r="N7" s="357"/>
    </row>
    <row r="10" spans="3:14" ht="15.75" thickBot="1" x14ac:dyDescent="0.3"/>
    <row r="11" spans="3:14" ht="15.75" x14ac:dyDescent="0.25">
      <c r="C11" s="217" t="s">
        <v>0</v>
      </c>
      <c r="D11" s="218"/>
      <c r="E11" s="358" t="s">
        <v>1</v>
      </c>
      <c r="F11" s="358"/>
      <c r="G11" s="359"/>
    </row>
    <row r="12" spans="3:14" ht="15.75" x14ac:dyDescent="0.25">
      <c r="C12" s="219" t="s">
        <v>2</v>
      </c>
      <c r="D12" s="220"/>
      <c r="E12" s="345" t="s">
        <v>10</v>
      </c>
      <c r="F12" s="345"/>
      <c r="G12" s="346"/>
    </row>
    <row r="13" spans="3:14" ht="15.75" x14ac:dyDescent="0.25">
      <c r="C13" s="219" t="s">
        <v>3</v>
      </c>
      <c r="D13" s="220"/>
      <c r="E13" s="360">
        <v>88.19</v>
      </c>
      <c r="F13" s="360"/>
      <c r="G13" s="361"/>
    </row>
    <row r="14" spans="3:14" ht="15.75" x14ac:dyDescent="0.25">
      <c r="C14" s="219" t="s">
        <v>4</v>
      </c>
      <c r="D14" s="220"/>
      <c r="E14" s="362">
        <v>43700</v>
      </c>
      <c r="F14" s="345"/>
      <c r="G14" s="346"/>
    </row>
    <row r="15" spans="3:14" ht="15.75" x14ac:dyDescent="0.25">
      <c r="C15" s="219" t="s">
        <v>5</v>
      </c>
      <c r="D15" s="220"/>
      <c r="E15" s="362">
        <v>43373</v>
      </c>
      <c r="F15" s="345"/>
      <c r="G15" s="346"/>
    </row>
    <row r="16" spans="3:14" ht="15.75" x14ac:dyDescent="0.25">
      <c r="C16" s="219" t="s">
        <v>6</v>
      </c>
      <c r="D16" s="220"/>
      <c r="E16" s="345">
        <v>0</v>
      </c>
      <c r="F16" s="345"/>
      <c r="G16" s="346"/>
    </row>
    <row r="17" spans="3:7" ht="16.5" thickBot="1" x14ac:dyDescent="0.3">
      <c r="C17" s="221" t="s">
        <v>7</v>
      </c>
      <c r="D17" s="222"/>
      <c r="E17" s="347">
        <v>365</v>
      </c>
      <c r="F17" s="347"/>
      <c r="G17" s="348"/>
    </row>
    <row r="21" spans="3:7" ht="15.75" x14ac:dyDescent="0.25">
      <c r="C21" s="1" t="s">
        <v>8</v>
      </c>
    </row>
    <row r="22" spans="3:7" ht="15.75" x14ac:dyDescent="0.25">
      <c r="C22" s="2" t="s">
        <v>9</v>
      </c>
    </row>
    <row r="25" spans="3:7" ht="18.75" x14ac:dyDescent="0.3">
      <c r="C25" s="3" t="s">
        <v>11</v>
      </c>
    </row>
    <row r="26" spans="3:7" ht="15.75" x14ac:dyDescent="0.25">
      <c r="C26" s="215" t="s">
        <v>250</v>
      </c>
    </row>
    <row r="27" spans="3:7" ht="15.75" x14ac:dyDescent="0.25">
      <c r="C27" s="215" t="s">
        <v>251</v>
      </c>
    </row>
    <row r="28" spans="3:7" ht="15.75" x14ac:dyDescent="0.25">
      <c r="C28" s="215" t="s">
        <v>253</v>
      </c>
    </row>
    <row r="29" spans="3:7" ht="15.75" x14ac:dyDescent="0.25">
      <c r="C29" s="215" t="s">
        <v>345</v>
      </c>
    </row>
    <row r="30" spans="3:7" ht="15.75" x14ac:dyDescent="0.25">
      <c r="C30" s="215" t="s">
        <v>346</v>
      </c>
    </row>
    <row r="31" spans="3:7" ht="15.75" x14ac:dyDescent="0.25">
      <c r="C31" s="215" t="s">
        <v>347</v>
      </c>
    </row>
    <row r="32" spans="3:7" ht="15.75" x14ac:dyDescent="0.25">
      <c r="C32" s="215" t="s">
        <v>348</v>
      </c>
    </row>
    <row r="33" spans="3:3" ht="15.75" x14ac:dyDescent="0.25">
      <c r="C33" s="215" t="s">
        <v>349</v>
      </c>
    </row>
    <row r="34" spans="3:3" ht="15.75" x14ac:dyDescent="0.25">
      <c r="C34" s="215" t="s">
        <v>350</v>
      </c>
    </row>
    <row r="35" spans="3:3" ht="15.75" x14ac:dyDescent="0.25">
      <c r="C35" s="215" t="s">
        <v>351</v>
      </c>
    </row>
    <row r="36" spans="3:3" ht="15.75" x14ac:dyDescent="0.25">
      <c r="C36" s="215" t="s">
        <v>352</v>
      </c>
    </row>
  </sheetData>
  <mergeCells count="8">
    <mergeCell ref="E16:G16"/>
    <mergeCell ref="E17:G17"/>
    <mergeCell ref="C4:N7"/>
    <mergeCell ref="E11:G11"/>
    <mergeCell ref="E12:G12"/>
    <mergeCell ref="E13:G13"/>
    <mergeCell ref="E14:G14"/>
    <mergeCell ref="E15:G15"/>
  </mergeCells>
  <dataValidations disablePrompts="1" count="1">
    <dataValidation type="list" allowBlank="1" showInputMessage="1" showErrorMessage="1" sqref="E16:G16" xr:uid="{F07CCFF1-9E8E-4604-A230-CB33C4570914}">
      <formula1>"0,1"</formula1>
    </dataValidation>
  </dataValidations>
  <hyperlinks>
    <hyperlink ref="C26" location="'Income Statement'!A1" display="1.  Income Statement" xr:uid="{2A96994F-90CD-4D22-914F-75C939F5043B}"/>
    <hyperlink ref="C27" location="'Balance sheet'!A1" display="2. Balance Sheet" xr:uid="{482A8AC0-3968-4B94-B4F9-369C51B2BEEC}"/>
    <hyperlink ref="C31" location="'Working Capital'!A1" display="3. Working Capital Schedule" xr:uid="{71FDB9A9-EB9C-4B97-BDC6-86995828E2BE}"/>
    <hyperlink ref="C32" location="'PPE &amp; Intangible Assets'!A1" display="4. PPE &amp; Intangible Asset Schedule" xr:uid="{78A7E8AF-953A-4C93-9405-6B088920B7D1}"/>
    <hyperlink ref="C33" location="'Other Assets,liabilities &amp; Tax'!A1" display="5. Other Assets, Liabilities &amp; Taxes" xr:uid="{493FEE0B-D4D6-4FD9-B298-A1E12E924A48}"/>
    <hyperlink ref="C34" location="'Debt Schedule'!A1" display="6. Debt Schedule" xr:uid="{E351D71D-C672-448A-8415-604F1BC944D8}"/>
    <hyperlink ref="C35" location="'Equity Schedule'!A1" display="7. Equity Schedule" xr:uid="{88D50277-E63A-43FA-8F8F-73965140B281}"/>
    <hyperlink ref="C28" location="'Cash Flow Statement'!A1" display="8. Cash Flow Statement" xr:uid="{4E88A151-E3E5-4F21-B09B-343B3FE7321D}"/>
    <hyperlink ref="C36" location="'Ratio Analysis'!A1" display="9. Ratio Analysis" xr:uid="{5F2DC58E-66A8-4D93-B5C3-4C96B9E7ABAD}"/>
    <hyperlink ref="C29" location="DCF!A1" display="4. DCF" xr:uid="{7EC84EA6-70C8-44E0-B175-E6F12E8B46D9}"/>
    <hyperlink ref="C30" location="'Beta Calc'!A1" display="5. Beta Calc" xr:uid="{83671282-D8F8-4355-9F11-814F24D20A30}"/>
  </hyperlinks>
  <pageMargins left="0.7" right="0.7" top="0.75" bottom="0.75" header="0.3" footer="0.3"/>
  <pageSetup scale="58" orientation="portrait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73CDD-4B7B-416D-9890-839F293425FC}">
  <sheetPr>
    <pageSetUpPr fitToPage="1"/>
  </sheetPr>
  <dimension ref="C2:AB143"/>
  <sheetViews>
    <sheetView showGridLines="0" zoomScale="85" zoomScaleNormal="85" zoomScaleSheetLayoutView="85" workbookViewId="0">
      <pane ySplit="8" topLeftCell="A9" activePane="bottomLeft" state="frozen"/>
      <selection pane="bottomLeft" activeCell="A9" sqref="A9"/>
    </sheetView>
  </sheetViews>
  <sheetFormatPr defaultRowHeight="15" outlineLevelRow="1" x14ac:dyDescent="0.25"/>
  <cols>
    <col min="1" max="1" width="2.42578125" customWidth="1"/>
    <col min="2" max="2" width="3.5703125" customWidth="1"/>
    <col min="10" max="17" width="15.7109375" customWidth="1"/>
    <col min="18" max="18" width="2.7109375" customWidth="1"/>
  </cols>
  <sheetData>
    <row r="2" spans="3:17" ht="15.75" thickBot="1" x14ac:dyDescent="0.3">
      <c r="P2" s="216" t="s">
        <v>252</v>
      </c>
    </row>
    <row r="3" spans="3:17" ht="15" customHeight="1" x14ac:dyDescent="0.25">
      <c r="C3" s="349" t="s">
        <v>12</v>
      </c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1"/>
    </row>
    <row r="4" spans="3:17" ht="15" customHeight="1" x14ac:dyDescent="0.25">
      <c r="C4" s="352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4"/>
    </row>
    <row r="5" spans="3:17" ht="15" customHeight="1" x14ac:dyDescent="0.25">
      <c r="C5" s="352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4"/>
    </row>
    <row r="6" spans="3:17" ht="15.75" customHeight="1" thickBot="1" x14ac:dyDescent="0.3">
      <c r="C6" s="355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7"/>
    </row>
    <row r="7" spans="3:17" x14ac:dyDescent="0.25">
      <c r="C7" s="52" t="s">
        <v>113</v>
      </c>
    </row>
    <row r="8" spans="3:17" ht="15.75" thickBot="1" x14ac:dyDescent="0.3">
      <c r="C8" s="103" t="s">
        <v>13</v>
      </c>
      <c r="D8" s="104"/>
      <c r="E8" s="104"/>
      <c r="F8" s="104"/>
      <c r="G8" s="104"/>
      <c r="H8" s="104"/>
      <c r="I8" s="104"/>
      <c r="J8" s="105">
        <f>K8-1</f>
        <v>2016</v>
      </c>
      <c r="K8" s="105">
        <f>L8-1</f>
        <v>2017</v>
      </c>
      <c r="L8" s="105">
        <f>YEAR('Valuation Summary'!E15)</f>
        <v>2018</v>
      </c>
      <c r="M8" s="106">
        <f>L8+1</f>
        <v>2019</v>
      </c>
      <c r="N8" s="106">
        <f t="shared" ref="N8:Q8" si="0">M8+1</f>
        <v>2020</v>
      </c>
      <c r="O8" s="106">
        <f t="shared" si="0"/>
        <v>2021</v>
      </c>
      <c r="P8" s="106">
        <f t="shared" si="0"/>
        <v>2022</v>
      </c>
      <c r="Q8" s="107">
        <f t="shared" si="0"/>
        <v>2023</v>
      </c>
    </row>
    <row r="9" spans="3:17" x14ac:dyDescent="0.25">
      <c r="C9" s="4" t="s">
        <v>14</v>
      </c>
      <c r="D9" s="5"/>
      <c r="E9" s="5"/>
      <c r="F9" s="5"/>
      <c r="G9" s="5"/>
      <c r="H9" s="5"/>
      <c r="I9" s="5"/>
      <c r="J9" s="6">
        <f>EOMONTH(K9,-12)</f>
        <v>42643</v>
      </c>
      <c r="K9" s="6">
        <f>EOMONTH(L9,-12)</f>
        <v>43008</v>
      </c>
      <c r="L9" s="6">
        <f>'Valuation Summary'!E15</f>
        <v>43373</v>
      </c>
      <c r="M9" s="6">
        <f>EOMONTH(L9,12)</f>
        <v>43738</v>
      </c>
      <c r="N9" s="6">
        <f t="shared" ref="N9:Q9" si="1">EOMONTH(M9,12)</f>
        <v>44104</v>
      </c>
      <c r="O9" s="6">
        <f t="shared" si="1"/>
        <v>44469</v>
      </c>
      <c r="P9" s="6">
        <f t="shared" si="1"/>
        <v>44834</v>
      </c>
      <c r="Q9" s="7">
        <f t="shared" si="1"/>
        <v>45199</v>
      </c>
    </row>
    <row r="10" spans="3:17" x14ac:dyDescent="0.25"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8"/>
    </row>
    <row r="11" spans="3:17" x14ac:dyDescent="0.25"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8"/>
    </row>
    <row r="12" spans="3:17" x14ac:dyDescent="0.25">
      <c r="C12" s="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8"/>
    </row>
    <row r="13" spans="3:17" x14ac:dyDescent="0.25">
      <c r="C13" s="4" t="s">
        <v>15</v>
      </c>
      <c r="D13" s="5"/>
      <c r="E13" s="5"/>
      <c r="F13" s="5"/>
      <c r="G13" s="5"/>
      <c r="H13" s="5"/>
      <c r="I13" s="5"/>
      <c r="J13" s="9">
        <v>79644</v>
      </c>
      <c r="K13" s="9">
        <v>82863</v>
      </c>
      <c r="L13" s="9">
        <v>83044</v>
      </c>
      <c r="M13" s="15">
        <f ca="1">L13*(1+M47)</f>
        <v>85831.487540255592</v>
      </c>
      <c r="N13" s="15">
        <f ca="1">M13*(1+N47)</f>
        <v>88933.22132576353</v>
      </c>
      <c r="O13" s="15">
        <f ca="1">N13*(1+O47)</f>
        <v>93499.59251692766</v>
      </c>
      <c r="P13" s="15">
        <f ca="1">O13*(1+P47)</f>
        <v>98986.534478248039</v>
      </c>
      <c r="Q13" s="25">
        <f ca="1">P13*(1+Q47)</f>
        <v>105863.51114697433</v>
      </c>
    </row>
    <row r="14" spans="3:17" x14ac:dyDescent="0.25">
      <c r="C14" s="4" t="s">
        <v>16</v>
      </c>
      <c r="D14" s="5"/>
      <c r="E14" s="5"/>
      <c r="F14" s="5"/>
      <c r="G14" s="5"/>
      <c r="H14" s="5"/>
      <c r="I14" s="5"/>
      <c r="J14" s="9">
        <v>-55826</v>
      </c>
      <c r="K14" s="9">
        <v>-57820</v>
      </c>
      <c r="L14" s="9">
        <v>-58181</v>
      </c>
      <c r="M14" s="28">
        <f ca="1">-(M13-M15)</f>
        <v>-60082.041278178905</v>
      </c>
      <c r="N14" s="28">
        <f ca="1">-(N13-N15)</f>
        <v>-62253.254928034468</v>
      </c>
      <c r="O14" s="28">
        <f ca="1">-(O13-O15)</f>
        <v>-65449.714761849362</v>
      </c>
      <c r="P14" s="28">
        <f ca="1">-(P13-P15)</f>
        <v>-69290.574134773618</v>
      </c>
      <c r="Q14" s="29">
        <f ca="1">-(Q13-Q15)</f>
        <v>-74104.457802882025</v>
      </c>
    </row>
    <row r="15" spans="3:17" x14ac:dyDescent="0.25">
      <c r="C15" s="10" t="s">
        <v>17</v>
      </c>
      <c r="D15" s="5"/>
      <c r="E15" s="5"/>
      <c r="F15" s="5"/>
      <c r="G15" s="5"/>
      <c r="H15" s="5"/>
      <c r="I15" s="5"/>
      <c r="J15" s="11">
        <f>SUM(J13:J14)</f>
        <v>23818</v>
      </c>
      <c r="K15" s="11">
        <f>SUM(K13:K14)</f>
        <v>25043</v>
      </c>
      <c r="L15" s="11">
        <f>SUM(L13:L14)</f>
        <v>24863</v>
      </c>
      <c r="M15" s="11">
        <f ca="1">M48*M13</f>
        <v>25749.446262076683</v>
      </c>
      <c r="N15" s="11">
        <f ca="1">N48*N13</f>
        <v>26679.966397729062</v>
      </c>
      <c r="O15" s="11">
        <f ca="1">O48*O13</f>
        <v>28049.877755078302</v>
      </c>
      <c r="P15" s="11">
        <f ca="1">P48*P13</f>
        <v>29695.960343474417</v>
      </c>
      <c r="Q15" s="27">
        <f ca="1">Q48*Q13</f>
        <v>31759.053344092303</v>
      </c>
    </row>
    <row r="16" spans="3:17" x14ac:dyDescent="0.25">
      <c r="C16" s="26"/>
      <c r="D16" s="5"/>
      <c r="E16" s="5"/>
      <c r="F16" s="5"/>
      <c r="G16" s="5"/>
      <c r="H16" s="5"/>
      <c r="I16" s="5"/>
      <c r="J16" s="32"/>
      <c r="K16" s="32"/>
      <c r="L16" s="32"/>
      <c r="M16" s="32"/>
      <c r="N16" s="32"/>
      <c r="O16" s="32"/>
      <c r="P16" s="32"/>
      <c r="Q16" s="33"/>
    </row>
    <row r="17" spans="3:17" x14ac:dyDescent="0.25">
      <c r="C17" s="4" t="s">
        <v>18</v>
      </c>
      <c r="D17" s="5"/>
      <c r="E17" s="5"/>
      <c r="F17" s="5"/>
      <c r="G17" s="5"/>
      <c r="H17" s="5"/>
      <c r="I17" s="5"/>
      <c r="J17" s="9">
        <v>-4732</v>
      </c>
      <c r="K17" s="9">
        <v>-5164</v>
      </c>
      <c r="L17" s="9">
        <v>-5558</v>
      </c>
      <c r="M17" s="28">
        <f ca="1">-M49*M13</f>
        <v>-5579.0466901166137</v>
      </c>
      <c r="N17" s="28">
        <f ca="1">-N49*N13</f>
        <v>-5780.6593861746296</v>
      </c>
      <c r="O17" s="28">
        <f ca="1">-O49*O13</f>
        <v>-6077.4735136002982</v>
      </c>
      <c r="P17" s="28">
        <f ca="1">-P49*P13</f>
        <v>-6434.1247410861224</v>
      </c>
      <c r="Q17" s="29">
        <f ca="1">-Q49*Q13</f>
        <v>-6881.1282245533312</v>
      </c>
    </row>
    <row r="18" spans="3:17" x14ac:dyDescent="0.25">
      <c r="C18" s="4" t="s">
        <v>19</v>
      </c>
      <c r="D18" s="5"/>
      <c r="E18" s="5"/>
      <c r="F18" s="5"/>
      <c r="G18" s="5"/>
      <c r="H18" s="5"/>
      <c r="I18" s="5"/>
      <c r="J18" s="9">
        <v>-11669</v>
      </c>
      <c r="K18" s="9">
        <v>-12360</v>
      </c>
      <c r="L18" s="9">
        <v>-12941</v>
      </c>
      <c r="M18" s="28">
        <f ca="1">-M13*M50</f>
        <v>-13733.038006440895</v>
      </c>
      <c r="N18" s="28">
        <f ca="1">-N13*N50</f>
        <v>-14229.315412122165</v>
      </c>
      <c r="O18" s="28">
        <f ca="1">-O13*O50</f>
        <v>-14959.934802708425</v>
      </c>
      <c r="P18" s="28">
        <f ca="1">-P13*P50</f>
        <v>-15837.845516519686</v>
      </c>
      <c r="Q18" s="29">
        <f ca="1">-Q13*Q50</f>
        <v>-16938.161783515894</v>
      </c>
    </row>
    <row r="19" spans="3:17" x14ac:dyDescent="0.25">
      <c r="C19" s="10" t="s">
        <v>248</v>
      </c>
      <c r="D19" s="5"/>
      <c r="E19" s="5"/>
      <c r="F19" s="5"/>
      <c r="G19" s="5"/>
      <c r="H19" s="5"/>
      <c r="I19" s="5"/>
      <c r="J19" s="11">
        <f t="shared" ref="J19:Q19" si="2">SUM(J17,J18)</f>
        <v>-16401</v>
      </c>
      <c r="K19" s="11">
        <f t="shared" si="2"/>
        <v>-17524</v>
      </c>
      <c r="L19" s="11">
        <f t="shared" si="2"/>
        <v>-18499</v>
      </c>
      <c r="M19" s="11">
        <f t="shared" ca="1" si="2"/>
        <v>-19312.084696557507</v>
      </c>
      <c r="N19" s="11">
        <f t="shared" ca="1" si="2"/>
        <v>-20009.974798296797</v>
      </c>
      <c r="O19" s="11">
        <f t="shared" ca="1" si="2"/>
        <v>-21037.408316308723</v>
      </c>
      <c r="P19" s="11">
        <f t="shared" ca="1" si="2"/>
        <v>-22271.970257605808</v>
      </c>
      <c r="Q19" s="27">
        <f t="shared" ca="1" si="2"/>
        <v>-23819.290008069227</v>
      </c>
    </row>
    <row r="20" spans="3:17" x14ac:dyDescent="0.25">
      <c r="C20" s="4" t="s">
        <v>20</v>
      </c>
      <c r="D20" s="5"/>
      <c r="E20" s="5"/>
      <c r="F20" s="5"/>
      <c r="G20" s="5"/>
      <c r="H20" s="5"/>
      <c r="I20" s="5"/>
      <c r="J20" s="9">
        <v>328</v>
      </c>
      <c r="K20" s="9">
        <v>647</v>
      </c>
      <c r="L20" s="9">
        <v>500</v>
      </c>
      <c r="M20" s="28">
        <f>AVERAGE($K$20:$L$20)</f>
        <v>573.5</v>
      </c>
      <c r="N20" s="28">
        <f t="shared" ref="N20:Q20" si="3">AVERAGE($K$20:$L$20)</f>
        <v>573.5</v>
      </c>
      <c r="O20" s="28">
        <f t="shared" si="3"/>
        <v>573.5</v>
      </c>
      <c r="P20" s="28">
        <f t="shared" si="3"/>
        <v>573.5</v>
      </c>
      <c r="Q20" s="29">
        <f t="shared" si="3"/>
        <v>573.5</v>
      </c>
    </row>
    <row r="21" spans="3:17" x14ac:dyDescent="0.25">
      <c r="C21" s="4" t="s">
        <v>21</v>
      </c>
      <c r="D21" s="5"/>
      <c r="E21" s="5"/>
      <c r="F21" s="5"/>
      <c r="G21" s="5"/>
      <c r="H21" s="5"/>
      <c r="I21" s="5"/>
      <c r="J21" s="9">
        <v>-427</v>
      </c>
      <c r="K21" s="9">
        <v>-595</v>
      </c>
      <c r="L21" s="9">
        <v>-678</v>
      </c>
      <c r="M21" s="28">
        <f>AVERAGE($K21:$L21)</f>
        <v>-636.5</v>
      </c>
      <c r="N21" s="28">
        <f t="shared" ref="N21:Q22" si="4">AVERAGE($K21:$L21)</f>
        <v>-636.5</v>
      </c>
      <c r="O21" s="28">
        <f t="shared" si="4"/>
        <v>-636.5</v>
      </c>
      <c r="P21" s="28">
        <f t="shared" si="4"/>
        <v>-636.5</v>
      </c>
      <c r="Q21" s="29">
        <f t="shared" si="4"/>
        <v>-636.5</v>
      </c>
    </row>
    <row r="22" spans="3:17" x14ac:dyDescent="0.25">
      <c r="C22" s="4" t="s">
        <v>22</v>
      </c>
      <c r="D22" s="5"/>
      <c r="E22" s="5"/>
      <c r="F22" s="5"/>
      <c r="G22" s="5"/>
      <c r="H22" s="5"/>
      <c r="I22" s="5"/>
      <c r="J22" s="9">
        <v>134</v>
      </c>
      <c r="K22" s="9">
        <v>43</v>
      </c>
      <c r="L22" s="9">
        <v>-3</v>
      </c>
      <c r="M22" s="28">
        <f>AVERAGE($K22:$L22)</f>
        <v>20</v>
      </c>
      <c r="N22" s="28">
        <f t="shared" si="4"/>
        <v>20</v>
      </c>
      <c r="O22" s="28">
        <f t="shared" si="4"/>
        <v>20</v>
      </c>
      <c r="P22" s="28">
        <f t="shared" si="4"/>
        <v>20</v>
      </c>
      <c r="Q22" s="29">
        <f t="shared" si="4"/>
        <v>20</v>
      </c>
    </row>
    <row r="23" spans="3:17" x14ac:dyDescent="0.25">
      <c r="C23" s="10" t="s">
        <v>31</v>
      </c>
      <c r="D23" s="5"/>
      <c r="E23" s="5"/>
      <c r="F23" s="5"/>
      <c r="G23" s="5"/>
      <c r="H23" s="5"/>
      <c r="I23" s="5"/>
      <c r="J23" s="11">
        <f t="shared" ref="J23:Q23" si="5">SUM(J15,J19,J20:J22)</f>
        <v>7452</v>
      </c>
      <c r="K23" s="11">
        <f t="shared" si="5"/>
        <v>7614</v>
      </c>
      <c r="L23" s="11">
        <f t="shared" si="5"/>
        <v>6183</v>
      </c>
      <c r="M23" s="11">
        <f t="shared" ca="1" si="5"/>
        <v>6394.3615655191752</v>
      </c>
      <c r="N23" s="11">
        <f t="shared" ca="1" si="5"/>
        <v>6626.9915994322655</v>
      </c>
      <c r="O23" s="11">
        <f t="shared" ca="1" si="5"/>
        <v>6969.4694387695781</v>
      </c>
      <c r="P23" s="11">
        <f t="shared" ca="1" si="5"/>
        <v>7380.9900858686087</v>
      </c>
      <c r="Q23" s="27">
        <f t="shared" ca="1" si="5"/>
        <v>7896.7633360230757</v>
      </c>
    </row>
    <row r="24" spans="3:17" x14ac:dyDescent="0.25">
      <c r="C24" s="4" t="s">
        <v>23</v>
      </c>
      <c r="D24" s="5"/>
      <c r="E24" s="5"/>
      <c r="F24" s="5"/>
      <c r="G24" s="5"/>
      <c r="H24" s="5"/>
      <c r="I24" s="5"/>
      <c r="J24" s="9">
        <v>1314</v>
      </c>
      <c r="K24" s="9">
        <v>1490</v>
      </c>
      <c r="L24" s="9">
        <v>1481</v>
      </c>
      <c r="M24" s="56">
        <f ca="1">'Cash Flow Statement'!K42</f>
        <v>1696.7376298320471</v>
      </c>
      <c r="N24" s="56">
        <f ca="1">'Cash Flow Statement'!L42</f>
        <v>2302.4601093727847</v>
      </c>
      <c r="O24" s="56">
        <f ca="1">'Cash Flow Statement'!M42</f>
        <v>3523.5769398610278</v>
      </c>
      <c r="P24" s="56">
        <f ca="1">'Cash Flow Statement'!N42</f>
        <v>4824.3206112434145</v>
      </c>
      <c r="Q24" s="57">
        <f ca="1">'Cash Flow Statement'!O42</f>
        <v>6217.2329878222972</v>
      </c>
    </row>
    <row r="25" spans="3:17" x14ac:dyDescent="0.25">
      <c r="C25" s="4" t="s">
        <v>24</v>
      </c>
      <c r="D25" s="5"/>
      <c r="E25" s="5"/>
      <c r="F25" s="5"/>
      <c r="G25" s="5"/>
      <c r="H25" s="5"/>
      <c r="I25" s="5"/>
      <c r="J25" s="9">
        <v>-989</v>
      </c>
      <c r="K25" s="9">
        <v>-1051</v>
      </c>
      <c r="L25" s="9">
        <v>-1089</v>
      </c>
      <c r="M25" s="80">
        <f ca="1">-('Debt Schedule'!I18+'Debt Schedule'!I26)</f>
        <v>-674.46400000000006</v>
      </c>
      <c r="N25" s="80">
        <f ca="1">-('Debt Schedule'!J18+'Debt Schedule'!J26)</f>
        <v>-779.40800000000002</v>
      </c>
      <c r="O25" s="80">
        <f ca="1">-('Debt Schedule'!K18+'Debt Schedule'!K26)</f>
        <v>-884.35200000000009</v>
      </c>
      <c r="P25" s="80">
        <f ca="1">-('Debt Schedule'!L18+'Debt Schedule'!L26)</f>
        <v>-989.29600000000016</v>
      </c>
      <c r="Q25" s="78">
        <f ca="1">-('Debt Schedule'!M18+'Debt Schedule'!M26)</f>
        <v>-1094.2400000000002</v>
      </c>
    </row>
    <row r="26" spans="3:17" x14ac:dyDescent="0.25">
      <c r="C26" s="4" t="s">
        <v>25</v>
      </c>
      <c r="D26" s="5"/>
      <c r="E26" s="5"/>
      <c r="F26" s="5"/>
      <c r="G26" s="5"/>
      <c r="H26" s="5"/>
      <c r="I26" s="5"/>
      <c r="J26" s="9">
        <v>-373</v>
      </c>
      <c r="K26" s="9">
        <v>135</v>
      </c>
      <c r="L26" s="9">
        <v>1475</v>
      </c>
      <c r="M26" s="28">
        <f>AVERAGE($K26:$L26)</f>
        <v>805</v>
      </c>
      <c r="N26" s="28">
        <f t="shared" ref="N26:Q26" si="6">AVERAGE($K26:$L26)</f>
        <v>805</v>
      </c>
      <c r="O26" s="28">
        <f t="shared" si="6"/>
        <v>805</v>
      </c>
      <c r="P26" s="28">
        <f t="shared" si="6"/>
        <v>805</v>
      </c>
      <c r="Q26" s="29">
        <f t="shared" si="6"/>
        <v>805</v>
      </c>
    </row>
    <row r="27" spans="3:17" x14ac:dyDescent="0.25">
      <c r="C27" s="10" t="s">
        <v>26</v>
      </c>
      <c r="D27" s="12"/>
      <c r="E27" s="12"/>
      <c r="F27" s="12"/>
      <c r="G27" s="12"/>
      <c r="H27" s="12"/>
      <c r="I27" s="12"/>
      <c r="J27" s="11">
        <f>SUM(J23:J26)</f>
        <v>7404</v>
      </c>
      <c r="K27" s="11">
        <f t="shared" ref="K27:Q27" si="7">SUM(K23:K26)</f>
        <v>8188</v>
      </c>
      <c r="L27" s="11">
        <f t="shared" si="7"/>
        <v>8050</v>
      </c>
      <c r="M27" s="11">
        <f t="shared" ca="1" si="7"/>
        <v>8221.6351953512221</v>
      </c>
      <c r="N27" s="11">
        <f t="shared" ca="1" si="7"/>
        <v>8955.0437088050494</v>
      </c>
      <c r="O27" s="11">
        <f t="shared" ca="1" si="7"/>
        <v>10413.694378630606</v>
      </c>
      <c r="P27" s="11">
        <f t="shared" ca="1" si="7"/>
        <v>12021.014697112023</v>
      </c>
      <c r="Q27" s="27">
        <f t="shared" ca="1" si="7"/>
        <v>13824.756323845373</v>
      </c>
    </row>
    <row r="28" spans="3:17" x14ac:dyDescent="0.25">
      <c r="C28" s="4" t="s">
        <v>27</v>
      </c>
      <c r="D28" s="5"/>
      <c r="E28" s="5"/>
      <c r="F28" s="5"/>
      <c r="G28" s="5"/>
      <c r="H28" s="5"/>
      <c r="I28" s="5"/>
      <c r="J28" s="9">
        <v>-2008</v>
      </c>
      <c r="K28" s="9">
        <v>-2148</v>
      </c>
      <c r="L28" s="9">
        <v>-2054</v>
      </c>
      <c r="M28" s="9">
        <f ca="1">-M27*M51</f>
        <v>-2161.4546238582343</v>
      </c>
      <c r="N28" s="9">
        <f ca="1">-N27*N51</f>
        <v>-2354.2665383880967</v>
      </c>
      <c r="O28" s="9">
        <f ca="1">-O27*O51</f>
        <v>-2737.743445350724</v>
      </c>
      <c r="P28" s="9">
        <f ca="1">-P27*P51</f>
        <v>-3160.3053630051759</v>
      </c>
      <c r="Q28" s="51">
        <f ca="1">-Q27*Q51</f>
        <v>-3634.5061255922619</v>
      </c>
    </row>
    <row r="29" spans="3:17" x14ac:dyDescent="0.25">
      <c r="C29" s="10" t="s">
        <v>28</v>
      </c>
      <c r="D29" s="12"/>
      <c r="E29" s="12"/>
      <c r="F29" s="12"/>
      <c r="G29" s="12"/>
      <c r="H29" s="12"/>
      <c r="I29" s="12"/>
      <c r="J29" s="11">
        <f>SUM(J27:J28)</f>
        <v>5396</v>
      </c>
      <c r="K29" s="11">
        <f t="shared" ref="K29:Q29" si="8">SUM(K27:K28)</f>
        <v>6040</v>
      </c>
      <c r="L29" s="11">
        <f t="shared" si="8"/>
        <v>5996</v>
      </c>
      <c r="M29" s="11">
        <f t="shared" ca="1" si="8"/>
        <v>6060.1805714929878</v>
      </c>
      <c r="N29" s="11">
        <f t="shared" ca="1" si="8"/>
        <v>6600.7771704169527</v>
      </c>
      <c r="O29" s="11">
        <f t="shared" ca="1" si="8"/>
        <v>7675.9509332798816</v>
      </c>
      <c r="P29" s="11">
        <f t="shared" ca="1" si="8"/>
        <v>8860.7093341068467</v>
      </c>
      <c r="Q29" s="27">
        <f t="shared" ca="1" si="8"/>
        <v>10190.25019825311</v>
      </c>
    </row>
    <row r="30" spans="3:17" x14ac:dyDescent="0.25">
      <c r="C30" s="4" t="s">
        <v>29</v>
      </c>
      <c r="D30" s="5"/>
      <c r="E30" s="5"/>
      <c r="F30" s="5"/>
      <c r="G30" s="5"/>
      <c r="H30" s="5"/>
      <c r="I30" s="5"/>
      <c r="J30" s="9">
        <v>188</v>
      </c>
      <c r="K30" s="9">
        <v>53</v>
      </c>
      <c r="L30" s="9">
        <v>124</v>
      </c>
      <c r="M30" s="28">
        <f>AVERAGE($K30:$L30)</f>
        <v>88.5</v>
      </c>
      <c r="N30" s="28">
        <f t="shared" ref="N30:Q30" si="9">AVERAGE($K30:$L30)</f>
        <v>88.5</v>
      </c>
      <c r="O30" s="28">
        <f t="shared" si="9"/>
        <v>88.5</v>
      </c>
      <c r="P30" s="28">
        <f t="shared" si="9"/>
        <v>88.5</v>
      </c>
      <c r="Q30" s="29">
        <f t="shared" si="9"/>
        <v>88.5</v>
      </c>
    </row>
    <row r="31" spans="3:17" x14ac:dyDescent="0.25">
      <c r="C31" s="10" t="s">
        <v>30</v>
      </c>
      <c r="D31" s="12"/>
      <c r="E31" s="12"/>
      <c r="F31" s="12"/>
      <c r="G31" s="12"/>
      <c r="H31" s="12"/>
      <c r="I31" s="12"/>
      <c r="J31" s="11">
        <f>SUM(J29:J30)</f>
        <v>5584</v>
      </c>
      <c r="K31" s="11">
        <f t="shared" ref="K31:Q31" si="10">SUM(K29:K30)</f>
        <v>6093</v>
      </c>
      <c r="L31" s="11">
        <f t="shared" si="10"/>
        <v>6120</v>
      </c>
      <c r="M31" s="11">
        <f t="shared" ca="1" si="10"/>
        <v>6148.6805714929878</v>
      </c>
      <c r="N31" s="11">
        <f t="shared" ca="1" si="10"/>
        <v>6689.2771704169527</v>
      </c>
      <c r="O31" s="11">
        <f t="shared" ca="1" si="10"/>
        <v>7764.4509332798816</v>
      </c>
      <c r="P31" s="11">
        <f t="shared" ca="1" si="10"/>
        <v>8949.2093341068467</v>
      </c>
      <c r="Q31" s="27">
        <f t="shared" ca="1" si="10"/>
        <v>10278.75019825311</v>
      </c>
    </row>
    <row r="32" spans="3:17" x14ac:dyDescent="0.25"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8"/>
    </row>
    <row r="33" spans="3:17" x14ac:dyDescent="0.25">
      <c r="C33" s="10" t="s">
        <v>34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8"/>
    </row>
    <row r="34" spans="3:17" x14ac:dyDescent="0.25">
      <c r="C34" s="4" t="s">
        <v>32</v>
      </c>
      <c r="D34" s="5"/>
      <c r="E34" s="5"/>
      <c r="F34" s="5"/>
      <c r="G34" s="5"/>
      <c r="H34" s="5"/>
      <c r="I34" s="5"/>
      <c r="J34" s="13">
        <v>134</v>
      </c>
      <c r="K34" s="13">
        <v>133</v>
      </c>
      <c r="L34" s="13">
        <v>313</v>
      </c>
      <c r="M34" s="28">
        <f>AVERAGE($K34:$L34)</f>
        <v>223</v>
      </c>
      <c r="N34" s="28">
        <f t="shared" ref="N34:Q34" si="11">AVERAGE($K34:$L34)</f>
        <v>223</v>
      </c>
      <c r="O34" s="28">
        <f t="shared" si="11"/>
        <v>223</v>
      </c>
      <c r="P34" s="28">
        <f t="shared" si="11"/>
        <v>223</v>
      </c>
      <c r="Q34" s="29">
        <f t="shared" si="11"/>
        <v>223</v>
      </c>
    </row>
    <row r="35" spans="3:17" x14ac:dyDescent="0.25">
      <c r="C35" s="4" t="s">
        <v>33</v>
      </c>
      <c r="D35" s="5"/>
      <c r="E35" s="5"/>
      <c r="F35" s="5"/>
      <c r="G35" s="5"/>
      <c r="H35" s="5"/>
      <c r="I35" s="5"/>
      <c r="J35" s="14">
        <v>5450</v>
      </c>
      <c r="K35" s="14">
        <v>5961</v>
      </c>
      <c r="L35" s="14">
        <v>5807</v>
      </c>
      <c r="M35" s="28">
        <f ca="1">M31-M34</f>
        <v>5925.6805714929878</v>
      </c>
      <c r="N35" s="28">
        <f t="shared" ref="N35:Q35" ca="1" si="12">N31-N34</f>
        <v>6466.2771704169527</v>
      </c>
      <c r="O35" s="28">
        <f t="shared" ca="1" si="12"/>
        <v>7541.4509332798816</v>
      </c>
      <c r="P35" s="28">
        <f t="shared" ca="1" si="12"/>
        <v>8726.2093341068467</v>
      </c>
      <c r="Q35" s="29">
        <f t="shared" ca="1" si="12"/>
        <v>10055.75019825311</v>
      </c>
    </row>
    <row r="36" spans="3:17" x14ac:dyDescent="0.25">
      <c r="C36" s="4"/>
      <c r="D36" s="5"/>
      <c r="E36" s="5"/>
      <c r="F36" s="5"/>
      <c r="G36" s="5"/>
      <c r="H36" s="5"/>
      <c r="I36" s="5"/>
      <c r="J36" s="15"/>
      <c r="K36" s="15"/>
      <c r="L36" s="15"/>
      <c r="M36" s="5"/>
      <c r="N36" s="5"/>
      <c r="O36" s="5"/>
      <c r="P36" s="5"/>
      <c r="Q36" s="8"/>
    </row>
    <row r="37" spans="3:17" x14ac:dyDescent="0.25">
      <c r="C37" s="4" t="s">
        <v>35</v>
      </c>
      <c r="D37" s="5"/>
      <c r="E37" s="5"/>
      <c r="F37" s="5"/>
      <c r="G37" s="5"/>
      <c r="H37" s="5"/>
      <c r="I37" s="5"/>
      <c r="J37" s="14">
        <v>808686</v>
      </c>
      <c r="K37" s="14">
        <v>812180</v>
      </c>
      <c r="L37" s="14">
        <v>815063</v>
      </c>
      <c r="M37" s="144">
        <f>M95</f>
        <v>815063</v>
      </c>
      <c r="N37" s="144">
        <f t="shared" ref="N37:Q37" si="13">N95</f>
        <v>815063</v>
      </c>
      <c r="O37" s="144">
        <f t="shared" si="13"/>
        <v>815063</v>
      </c>
      <c r="P37" s="144">
        <f t="shared" si="13"/>
        <v>815063</v>
      </c>
      <c r="Q37" s="145">
        <f t="shared" si="13"/>
        <v>815063</v>
      </c>
    </row>
    <row r="38" spans="3:17" x14ac:dyDescent="0.25">
      <c r="C38" s="4" t="s">
        <v>37</v>
      </c>
      <c r="D38" s="5"/>
      <c r="E38" s="5"/>
      <c r="F38" s="5"/>
      <c r="G38" s="5"/>
      <c r="H38" s="5"/>
      <c r="I38" s="5"/>
      <c r="J38" s="15">
        <f>J39-J37</f>
        <v>11228</v>
      </c>
      <c r="K38" s="15">
        <f t="shared" ref="K38:L38" si="14">K39-K37</f>
        <v>16984</v>
      </c>
      <c r="L38" s="15">
        <f t="shared" si="14"/>
        <v>13253</v>
      </c>
      <c r="M38" s="15">
        <f>L38</f>
        <v>13253</v>
      </c>
      <c r="N38" s="5">
        <f t="shared" ref="N38:Q38" si="15">M38</f>
        <v>13253</v>
      </c>
      <c r="O38" s="5">
        <f t="shared" si="15"/>
        <v>13253</v>
      </c>
      <c r="P38" s="5">
        <f t="shared" si="15"/>
        <v>13253</v>
      </c>
      <c r="Q38" s="8">
        <f t="shared" si="15"/>
        <v>13253</v>
      </c>
    </row>
    <row r="39" spans="3:17" x14ac:dyDescent="0.25">
      <c r="C39" s="4" t="s">
        <v>36</v>
      </c>
      <c r="D39" s="5"/>
      <c r="E39" s="5"/>
      <c r="F39" s="5"/>
      <c r="G39" s="5"/>
      <c r="H39" s="5"/>
      <c r="I39" s="5"/>
      <c r="J39" s="14">
        <v>819914</v>
      </c>
      <c r="K39" s="14">
        <v>829164</v>
      </c>
      <c r="L39" s="14">
        <v>828316</v>
      </c>
      <c r="M39" s="144">
        <f>SUM(M37:M38)</f>
        <v>828316</v>
      </c>
      <c r="N39" s="144">
        <f t="shared" ref="N39:Q39" si="16">SUM(N37:N38)</f>
        <v>828316</v>
      </c>
      <c r="O39" s="144">
        <f t="shared" si="16"/>
        <v>828316</v>
      </c>
      <c r="P39" s="144">
        <f t="shared" si="16"/>
        <v>828316</v>
      </c>
      <c r="Q39" s="145">
        <f t="shared" si="16"/>
        <v>828316</v>
      </c>
    </row>
    <row r="40" spans="3:17" x14ac:dyDescent="0.25">
      <c r="C40" s="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8"/>
    </row>
    <row r="41" spans="3:17" x14ac:dyDescent="0.25">
      <c r="C41" s="10" t="s">
        <v>38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8"/>
    </row>
    <row r="42" spans="3:17" x14ac:dyDescent="0.25">
      <c r="C42" s="4" t="s">
        <v>39</v>
      </c>
      <c r="D42" s="5"/>
      <c r="E42" s="5"/>
      <c r="F42" s="5"/>
      <c r="G42" s="5"/>
      <c r="H42" s="5"/>
      <c r="I42" s="5"/>
      <c r="J42" s="16">
        <f>IFERROR((J$35-J$30)/J37*1000,"")</f>
        <v>6.5068518559737649</v>
      </c>
      <c r="K42" s="16">
        <f t="shared" ref="K42:Q42" si="17">IFERROR((K$35-K$30)/K37*1000,"")</f>
        <v>7.2742495505922333</v>
      </c>
      <c r="L42" s="16">
        <f t="shared" si="17"/>
        <v>6.972467158980348</v>
      </c>
      <c r="M42" s="16">
        <f t="shared" ca="1" si="17"/>
        <v>7.1616311518164704</v>
      </c>
      <c r="N42" s="16">
        <f t="shared" ca="1" si="17"/>
        <v>7.8248885919455953</v>
      </c>
      <c r="O42" s="16">
        <f t="shared" ca="1" si="17"/>
        <v>9.1440182332897972</v>
      </c>
      <c r="P42" s="16">
        <f t="shared" ca="1" si="17"/>
        <v>10.597597160105225</v>
      </c>
      <c r="Q42" s="176">
        <f t="shared" ca="1" si="17"/>
        <v>12.228809550001792</v>
      </c>
    </row>
    <row r="43" spans="3:17" x14ac:dyDescent="0.25">
      <c r="C43" s="17" t="s">
        <v>40</v>
      </c>
      <c r="D43" s="18"/>
      <c r="E43" s="18"/>
      <c r="F43" s="18"/>
      <c r="G43" s="18"/>
      <c r="H43" s="18"/>
      <c r="I43" s="18"/>
      <c r="J43" s="19">
        <f>IFERROR((J$35-J$30)/J39*1000,"")</f>
        <v>6.4177462514361263</v>
      </c>
      <c r="K43" s="19">
        <f t="shared" ref="K43:Q43" si="18">IFERROR((K$35-K$30)/K39*1000,"")</f>
        <v>7.1252490460270828</v>
      </c>
      <c r="L43" s="19">
        <f t="shared" si="18"/>
        <v>6.860908155824589</v>
      </c>
      <c r="M43" s="19">
        <f t="shared" ca="1" si="18"/>
        <v>7.0470455375641512</v>
      </c>
      <c r="N43" s="19">
        <f t="shared" ca="1" si="18"/>
        <v>7.6996909034920886</v>
      </c>
      <c r="O43" s="19">
        <f t="shared" ca="1" si="18"/>
        <v>8.9977145597572452</v>
      </c>
      <c r="P43" s="19">
        <f t="shared" ca="1" si="18"/>
        <v>10.428036322015808</v>
      </c>
      <c r="Q43" s="177">
        <f t="shared" ca="1" si="18"/>
        <v>12.033149423955484</v>
      </c>
    </row>
    <row r="44" spans="3:17" x14ac:dyDescent="0.25">
      <c r="C44" s="5"/>
      <c r="D44" s="5"/>
      <c r="E44" s="5"/>
      <c r="F44" s="5"/>
      <c r="G44" s="5"/>
      <c r="H44" s="5"/>
      <c r="I44" s="5"/>
      <c r="J44" s="16"/>
      <c r="K44" s="16"/>
      <c r="L44" s="16"/>
      <c r="M44" s="5"/>
      <c r="N44" s="5"/>
      <c r="O44" s="5"/>
      <c r="P44" s="5"/>
      <c r="Q44" s="5"/>
    </row>
    <row r="45" spans="3:17" x14ac:dyDescent="0.25">
      <c r="C45" s="5"/>
      <c r="D45" s="5"/>
      <c r="E45" s="5"/>
      <c r="F45" s="5"/>
      <c r="G45" s="5"/>
      <c r="H45" s="5"/>
      <c r="I45" s="5"/>
      <c r="J45" s="16"/>
      <c r="K45" s="16"/>
      <c r="L45" s="16"/>
      <c r="M45" s="5"/>
      <c r="N45" s="5"/>
      <c r="O45" s="5"/>
      <c r="P45" s="5"/>
      <c r="Q45" s="5"/>
    </row>
    <row r="46" spans="3:17" x14ac:dyDescent="0.25">
      <c r="C46" s="204" t="s">
        <v>104</v>
      </c>
      <c r="D46" s="154"/>
      <c r="E46" s="154"/>
      <c r="F46" s="154"/>
      <c r="G46" s="154"/>
      <c r="H46" s="154"/>
      <c r="I46" s="154"/>
      <c r="J46" s="167"/>
      <c r="K46" s="167"/>
      <c r="L46" s="167"/>
      <c r="M46" s="154"/>
      <c r="N46" s="154"/>
      <c r="O46" s="154"/>
      <c r="P46" s="154"/>
      <c r="Q46" s="168"/>
    </row>
    <row r="47" spans="3:17" x14ac:dyDescent="0.25">
      <c r="C47" s="59" t="s">
        <v>105</v>
      </c>
      <c r="D47" s="5"/>
      <c r="E47" s="5"/>
      <c r="F47" s="5"/>
      <c r="G47" s="5"/>
      <c r="H47" s="5"/>
      <c r="I47" s="5"/>
      <c r="J47" s="192" t="s">
        <v>103</v>
      </c>
      <c r="K47" s="48">
        <f>K13/J13-1</f>
        <v>4.0417357239716845E-2</v>
      </c>
      <c r="L47" s="48">
        <f>L13/K13-1</f>
        <v>2.184328349202902E-3</v>
      </c>
      <c r="M47" s="48">
        <f ca="1">M119</f>
        <v>3.3566392999561545E-2</v>
      </c>
      <c r="N47" s="48">
        <f t="shared" ref="N47:Q47" ca="1" si="19">N119</f>
        <v>3.6137481411506522E-2</v>
      </c>
      <c r="O47" s="48">
        <f t="shared" ca="1" si="19"/>
        <v>5.1346067567230591E-2</v>
      </c>
      <c r="P47" s="48">
        <f t="shared" ca="1" si="19"/>
        <v>5.8684126995815378E-2</v>
      </c>
      <c r="Q47" s="205">
        <f t="shared" ca="1" si="19"/>
        <v>6.9473860308115754E-2</v>
      </c>
    </row>
    <row r="48" spans="3:17" x14ac:dyDescent="0.25">
      <c r="C48" s="59" t="s">
        <v>240</v>
      </c>
      <c r="D48" s="5"/>
      <c r="E48" s="5"/>
      <c r="F48" s="5"/>
      <c r="G48" s="5"/>
      <c r="H48" s="5"/>
      <c r="I48" s="5"/>
      <c r="J48" s="48">
        <f>J15/J13</f>
        <v>0.29905579830244589</v>
      </c>
      <c r="K48" s="48">
        <f>K15/K13</f>
        <v>0.30222173949772518</v>
      </c>
      <c r="L48" s="48">
        <f>L15/L13</f>
        <v>0.29939550118009728</v>
      </c>
      <c r="M48" s="48">
        <f t="shared" ref="M48:Q50" ca="1" si="20">M120</f>
        <v>0.30000000000000004</v>
      </c>
      <c r="N48" s="48">
        <f t="shared" ca="1" si="20"/>
        <v>0.30000000000000004</v>
      </c>
      <c r="O48" s="48">
        <f t="shared" ca="1" si="20"/>
        <v>0.30000000000000004</v>
      </c>
      <c r="P48" s="48">
        <f t="shared" ca="1" si="20"/>
        <v>0.30000000000000004</v>
      </c>
      <c r="Q48" s="205">
        <f t="shared" ca="1" si="20"/>
        <v>0.30000000000000004</v>
      </c>
    </row>
    <row r="49" spans="3:17" x14ac:dyDescent="0.25">
      <c r="C49" s="62" t="s">
        <v>106</v>
      </c>
      <c r="D49" s="5"/>
      <c r="E49" s="5"/>
      <c r="F49" s="5"/>
      <c r="G49" s="5"/>
      <c r="H49" s="5"/>
      <c r="I49" s="5"/>
      <c r="J49" s="48">
        <f>-J17/J13</f>
        <v>5.9414394053538246E-2</v>
      </c>
      <c r="K49" s="48">
        <f>-K17/K13</f>
        <v>6.231973257062863E-2</v>
      </c>
      <c r="L49" s="48">
        <f>-L17/L13</f>
        <v>6.6928375319107947E-2</v>
      </c>
      <c r="M49" s="48">
        <f t="shared" ca="1" si="20"/>
        <v>6.5000000000000002E-2</v>
      </c>
      <c r="N49" s="48">
        <f t="shared" ca="1" si="20"/>
        <v>6.5000000000000002E-2</v>
      </c>
      <c r="O49" s="48">
        <f t="shared" ca="1" si="20"/>
        <v>6.5000000000000002E-2</v>
      </c>
      <c r="P49" s="48">
        <f t="shared" ca="1" si="20"/>
        <v>6.5000000000000002E-2</v>
      </c>
      <c r="Q49" s="205">
        <f t="shared" ca="1" si="20"/>
        <v>6.5000000000000002E-2</v>
      </c>
    </row>
    <row r="50" spans="3:17" x14ac:dyDescent="0.25">
      <c r="C50" s="59" t="s">
        <v>107</v>
      </c>
      <c r="D50" s="5"/>
      <c r="E50" s="5"/>
      <c r="F50" s="5"/>
      <c r="G50" s="5"/>
      <c r="H50" s="5"/>
      <c r="I50" s="5"/>
      <c r="J50" s="48">
        <f>-J18/J13</f>
        <v>0.14651448947817788</v>
      </c>
      <c r="K50" s="48">
        <f>-K18/K13</f>
        <v>0.14916186959197711</v>
      </c>
      <c r="L50" s="48">
        <f>-L18/L13</f>
        <v>0.15583305235778624</v>
      </c>
      <c r="M50" s="48">
        <f t="shared" ca="1" si="20"/>
        <v>0.16</v>
      </c>
      <c r="N50" s="48">
        <f t="shared" ca="1" si="20"/>
        <v>0.16</v>
      </c>
      <c r="O50" s="48">
        <f t="shared" ca="1" si="20"/>
        <v>0.16</v>
      </c>
      <c r="P50" s="48">
        <f t="shared" ca="1" si="20"/>
        <v>0.16</v>
      </c>
      <c r="Q50" s="205">
        <f t="shared" ca="1" si="20"/>
        <v>0.16</v>
      </c>
    </row>
    <row r="51" spans="3:17" x14ac:dyDescent="0.25">
      <c r="C51" s="59" t="s">
        <v>108</v>
      </c>
      <c r="D51" s="5"/>
      <c r="E51" s="5"/>
      <c r="F51" s="5"/>
      <c r="G51" s="5"/>
      <c r="H51" s="5"/>
      <c r="I51" s="5"/>
      <c r="J51" s="48">
        <f>-J28/J27</f>
        <v>0.27120475418692597</v>
      </c>
      <c r="K51" s="48">
        <f>-K28/K27</f>
        <v>0.26233512457254521</v>
      </c>
      <c r="L51" s="48">
        <f>-L28/L27</f>
        <v>0.25515527950310557</v>
      </c>
      <c r="M51" s="50">
        <f>AVERAGE($J$51:$L$51)</f>
        <v>0.26289838608752558</v>
      </c>
      <c r="N51" s="50">
        <f t="shared" ref="N51:Q51" si="21">AVERAGE($J$51:$L$51)</f>
        <v>0.26289838608752558</v>
      </c>
      <c r="O51" s="50">
        <f t="shared" si="21"/>
        <v>0.26289838608752558</v>
      </c>
      <c r="P51" s="50">
        <f t="shared" si="21"/>
        <v>0.26289838608752558</v>
      </c>
      <c r="Q51" s="72">
        <f t="shared" si="21"/>
        <v>0.26289838608752558</v>
      </c>
    </row>
    <row r="52" spans="3:17" x14ac:dyDescent="0.25">
      <c r="C52" s="4"/>
      <c r="D52" s="5"/>
      <c r="E52" s="5"/>
      <c r="F52" s="5"/>
      <c r="G52" s="5"/>
      <c r="H52" s="5"/>
      <c r="I52" s="5"/>
      <c r="J52" s="16"/>
      <c r="K52" s="16"/>
      <c r="L52" s="16"/>
      <c r="M52" s="5"/>
      <c r="N52" s="5"/>
      <c r="O52" s="5"/>
      <c r="P52" s="5"/>
      <c r="Q52" s="8"/>
    </row>
    <row r="53" spans="3:17" x14ac:dyDescent="0.25">
      <c r="C53" s="206" t="s">
        <v>109</v>
      </c>
      <c r="D53" s="5"/>
      <c r="E53" s="5"/>
      <c r="F53" s="5"/>
      <c r="G53" s="5"/>
      <c r="H53" s="5"/>
      <c r="I53" s="5"/>
      <c r="J53" s="16"/>
      <c r="K53" s="16"/>
      <c r="L53" s="16"/>
      <c r="M53" s="5"/>
      <c r="N53" s="5"/>
      <c r="O53" s="5"/>
      <c r="P53" s="5"/>
      <c r="Q53" s="8"/>
    </row>
    <row r="54" spans="3:17" x14ac:dyDescent="0.25">
      <c r="C54" s="59" t="s">
        <v>110</v>
      </c>
      <c r="D54" s="5"/>
      <c r="E54" s="5"/>
      <c r="F54" s="5"/>
      <c r="G54" s="5"/>
      <c r="H54" s="5"/>
      <c r="I54" s="5"/>
      <c r="J54" s="14">
        <v>2764</v>
      </c>
      <c r="K54" s="14">
        <v>3211</v>
      </c>
      <c r="L54" s="14">
        <v>3419</v>
      </c>
      <c r="M54" s="80">
        <f ca="1">-'PPE &amp; Intangible Assets'!G22</f>
        <v>2610.0003304045345</v>
      </c>
      <c r="N54" s="80">
        <f ca="1">-'PPE &amp; Intangible Assets'!H22</f>
        <v>2601.385286914518</v>
      </c>
      <c r="O54" s="80">
        <f ca="1">-'PPE &amp; Intangible Assets'!I22</f>
        <v>2565.2511355886359</v>
      </c>
      <c r="P54" s="80">
        <f ca="1">-'PPE &amp; Intangible Assets'!J22</f>
        <v>2500.2870304800681</v>
      </c>
      <c r="Q54" s="78">
        <f ca="1">-'PPE &amp; Intangible Assets'!K22</f>
        <v>2403.6501462087263</v>
      </c>
    </row>
    <row r="55" spans="3:17" x14ac:dyDescent="0.25">
      <c r="C55" s="59" t="s">
        <v>111</v>
      </c>
      <c r="D55" s="5"/>
      <c r="E55" s="5"/>
      <c r="F55" s="5"/>
      <c r="G55" s="5"/>
      <c r="H55" s="5"/>
      <c r="I55" s="5"/>
      <c r="J55" s="49">
        <v>0</v>
      </c>
      <c r="K55" s="49">
        <v>0</v>
      </c>
      <c r="L55" s="49">
        <v>0</v>
      </c>
      <c r="M55" s="53">
        <f>AVERAGE(J55:L55)</f>
        <v>0</v>
      </c>
      <c r="N55" s="53">
        <f t="shared" ref="N55:Q55" si="22">AVERAGE(K55:M55)</f>
        <v>0</v>
      </c>
      <c r="O55" s="53">
        <f t="shared" si="22"/>
        <v>0</v>
      </c>
      <c r="P55" s="53">
        <f t="shared" si="22"/>
        <v>0</v>
      </c>
      <c r="Q55" s="207">
        <f t="shared" si="22"/>
        <v>0</v>
      </c>
    </row>
    <row r="56" spans="3:17" x14ac:dyDescent="0.25">
      <c r="C56" s="208" t="s">
        <v>112</v>
      </c>
      <c r="D56" s="18"/>
      <c r="E56" s="18"/>
      <c r="F56" s="18"/>
      <c r="G56" s="18"/>
      <c r="H56" s="18"/>
      <c r="I56" s="18"/>
      <c r="J56" s="209">
        <f t="shared" ref="J56:Q56" si="23">SUM(J23,J54:J55)</f>
        <v>10216</v>
      </c>
      <c r="K56" s="209">
        <f t="shared" si="23"/>
        <v>10825</v>
      </c>
      <c r="L56" s="209">
        <f t="shared" si="23"/>
        <v>9602</v>
      </c>
      <c r="M56" s="209">
        <f t="shared" ca="1" si="23"/>
        <v>9004.3618959237101</v>
      </c>
      <c r="N56" s="209">
        <f t="shared" ca="1" si="23"/>
        <v>9228.3768863467831</v>
      </c>
      <c r="O56" s="209">
        <f t="shared" ca="1" si="23"/>
        <v>9534.7205743582144</v>
      </c>
      <c r="P56" s="209">
        <f t="shared" ca="1" si="23"/>
        <v>9881.2771163486759</v>
      </c>
      <c r="Q56" s="210">
        <f t="shared" ca="1" si="23"/>
        <v>10300.413482231801</v>
      </c>
    </row>
    <row r="57" spans="3:17" x14ac:dyDescent="0.25">
      <c r="C57" s="5"/>
      <c r="D57" s="5"/>
      <c r="E57" s="5"/>
      <c r="F57" s="5"/>
      <c r="G57" s="5"/>
      <c r="H57" s="5"/>
      <c r="I57" s="5"/>
      <c r="J57" s="16"/>
      <c r="K57" s="16"/>
      <c r="L57" s="16"/>
      <c r="M57" s="5"/>
      <c r="N57" s="5"/>
      <c r="O57" s="5"/>
      <c r="P57" s="5"/>
      <c r="Q57" s="5"/>
    </row>
    <row r="58" spans="3:17" outlineLevel="1" x14ac:dyDescent="0.25">
      <c r="C58" s="5"/>
      <c r="D58" s="5"/>
      <c r="E58" s="5"/>
      <c r="F58" s="5"/>
      <c r="G58" s="5"/>
      <c r="H58" s="5"/>
      <c r="I58" s="5"/>
      <c r="J58" s="16"/>
      <c r="K58" s="16"/>
      <c r="L58" s="16"/>
      <c r="M58" s="5"/>
      <c r="N58" s="5"/>
      <c r="O58" s="5"/>
      <c r="P58" s="5"/>
      <c r="Q58" s="5"/>
    </row>
    <row r="59" spans="3:17" outlineLevel="1" x14ac:dyDescent="0.25"/>
    <row r="60" spans="3:17" ht="15.75" outlineLevel="1" thickBot="1" x14ac:dyDescent="0.3">
      <c r="C60" s="103" t="s">
        <v>89</v>
      </c>
      <c r="D60" s="104"/>
      <c r="E60" s="104"/>
      <c r="F60" s="104"/>
      <c r="G60" s="104"/>
      <c r="H60" s="104"/>
      <c r="I60" s="104"/>
      <c r="J60" s="105">
        <f t="shared" ref="J60:Q60" si="24">J8</f>
        <v>2016</v>
      </c>
      <c r="K60" s="105">
        <f t="shared" si="24"/>
        <v>2017</v>
      </c>
      <c r="L60" s="105">
        <f t="shared" si="24"/>
        <v>2018</v>
      </c>
      <c r="M60" s="106">
        <f t="shared" si="24"/>
        <v>2019</v>
      </c>
      <c r="N60" s="106">
        <f t="shared" si="24"/>
        <v>2020</v>
      </c>
      <c r="O60" s="106">
        <f t="shared" si="24"/>
        <v>2021</v>
      </c>
      <c r="P60" s="106">
        <f t="shared" si="24"/>
        <v>2022</v>
      </c>
      <c r="Q60" s="107">
        <f t="shared" si="24"/>
        <v>2023</v>
      </c>
    </row>
    <row r="61" spans="3:17" outlineLevel="1" x14ac:dyDescent="0.25">
      <c r="C61" s="4" t="s">
        <v>90</v>
      </c>
      <c r="D61" s="5"/>
      <c r="E61" s="5"/>
      <c r="F61" s="5"/>
      <c r="G61" s="5"/>
      <c r="H61" s="5"/>
      <c r="I61" s="5"/>
      <c r="J61" s="14">
        <v>16471</v>
      </c>
      <c r="K61" s="14">
        <v>15434</v>
      </c>
      <c r="L61" s="14">
        <v>12441</v>
      </c>
      <c r="M61" s="28">
        <f>L61*(1+M75)</f>
        <v>10843.06770205879</v>
      </c>
      <c r="N61" s="28">
        <f t="shared" ref="N61:Q61" si="25">M61*(1+N75)</f>
        <v>9095.3639783832004</v>
      </c>
      <c r="O61" s="28">
        <f t="shared" si="25"/>
        <v>7778.2529916516105</v>
      </c>
      <c r="P61" s="28">
        <f t="shared" si="25"/>
        <v>6588.2078492057108</v>
      </c>
      <c r="Q61" s="29">
        <f t="shared" si="25"/>
        <v>5607.198330286652</v>
      </c>
    </row>
    <row r="62" spans="3:17" outlineLevel="1" x14ac:dyDescent="0.25">
      <c r="C62" s="4" t="s">
        <v>91</v>
      </c>
      <c r="D62" s="5"/>
      <c r="E62" s="5"/>
      <c r="F62" s="5"/>
      <c r="G62" s="5"/>
      <c r="H62" s="5"/>
      <c r="I62" s="5"/>
      <c r="J62" s="14">
        <v>11940</v>
      </c>
      <c r="K62" s="14">
        <v>12273</v>
      </c>
      <c r="L62" s="14">
        <v>12266</v>
      </c>
      <c r="M62" s="28">
        <f t="shared" ref="M62:Q62" si="26">L62*(1+M76)</f>
        <v>12433.547976151433</v>
      </c>
      <c r="N62" s="28">
        <f t="shared" si="26"/>
        <v>12514.92049388098</v>
      </c>
      <c r="O62" s="28">
        <f t="shared" si="26"/>
        <v>12641.347086163487</v>
      </c>
      <c r="P62" s="28">
        <f t="shared" si="26"/>
        <v>12746.565206614781</v>
      </c>
      <c r="Q62" s="29">
        <f t="shared" si="26"/>
        <v>12863.99549107528</v>
      </c>
    </row>
    <row r="63" spans="3:17" outlineLevel="1" x14ac:dyDescent="0.25">
      <c r="C63" s="4" t="s">
        <v>92</v>
      </c>
      <c r="D63" s="5"/>
      <c r="E63" s="5"/>
      <c r="F63" s="5"/>
      <c r="G63" s="5"/>
      <c r="H63" s="5"/>
      <c r="I63" s="5"/>
      <c r="J63" s="14">
        <v>6156</v>
      </c>
      <c r="K63" s="14">
        <v>6523</v>
      </c>
      <c r="L63" s="14">
        <v>6613</v>
      </c>
      <c r="M63" s="28">
        <f t="shared" ref="M63:Q63" si="27">L63*(1+M77)</f>
        <v>6855.7432808728881</v>
      </c>
      <c r="N63" s="28">
        <f t="shared" si="27"/>
        <v>7028.8655929379029</v>
      </c>
      <c r="O63" s="28">
        <f t="shared" si="27"/>
        <v>7246.616831086958</v>
      </c>
      <c r="P63" s="28">
        <f t="shared" si="27"/>
        <v>7450.3617264365721</v>
      </c>
      <c r="Q63" s="29">
        <f t="shared" si="27"/>
        <v>7670.502909720044</v>
      </c>
    </row>
    <row r="64" spans="3:17" outlineLevel="1" x14ac:dyDescent="0.25">
      <c r="C64" s="4" t="s">
        <v>93</v>
      </c>
      <c r="D64" s="5"/>
      <c r="E64" s="5"/>
      <c r="F64" s="5"/>
      <c r="G64" s="5"/>
      <c r="H64" s="5"/>
      <c r="I64" s="5"/>
      <c r="J64" s="14">
        <v>7825</v>
      </c>
      <c r="K64" s="14">
        <v>8104</v>
      </c>
      <c r="L64" s="14">
        <v>8758</v>
      </c>
      <c r="M64" s="28">
        <f t="shared" ref="M64:Q64" si="28">L64*(1+M78)</f>
        <v>9267.5222256669695</v>
      </c>
      <c r="N64" s="28">
        <f t="shared" si="28"/>
        <v>9911.0534488805097</v>
      </c>
      <c r="O64" s="28">
        <f t="shared" si="28"/>
        <v>10543.464511537444</v>
      </c>
      <c r="P64" s="28">
        <f t="shared" si="28"/>
        <v>11245.91264260404</v>
      </c>
      <c r="Q64" s="29">
        <f t="shared" si="28"/>
        <v>11979.329993077319</v>
      </c>
    </row>
    <row r="65" spans="3:28" outlineLevel="1" x14ac:dyDescent="0.25">
      <c r="C65" s="4" t="s">
        <v>94</v>
      </c>
      <c r="D65" s="5"/>
      <c r="E65" s="5"/>
      <c r="F65" s="5"/>
      <c r="G65" s="5"/>
      <c r="H65" s="5"/>
      <c r="I65" s="5"/>
      <c r="J65" s="14">
        <v>10172</v>
      </c>
      <c r="K65" s="14">
        <v>11344</v>
      </c>
      <c r="L65" s="14">
        <v>12932</v>
      </c>
      <c r="M65" s="28">
        <f t="shared" ref="M65:Q65" si="29">L65*(1+M79)</f>
        <v>14582.149980837354</v>
      </c>
      <c r="N65" s="28">
        <f t="shared" si="29"/>
        <v>16533.153911300687</v>
      </c>
      <c r="O65" s="28">
        <f t="shared" si="29"/>
        <v>18694.004508909529</v>
      </c>
      <c r="P65" s="28">
        <f t="shared" si="29"/>
        <v>21166.211925858926</v>
      </c>
      <c r="Q65" s="29">
        <f t="shared" si="29"/>
        <v>23948.976481484548</v>
      </c>
    </row>
    <row r="66" spans="3:28" outlineLevel="1" x14ac:dyDescent="0.25">
      <c r="C66" s="4" t="s">
        <v>95</v>
      </c>
      <c r="D66" s="5"/>
      <c r="E66" s="5"/>
      <c r="F66" s="5"/>
      <c r="G66" s="5"/>
      <c r="H66" s="5"/>
      <c r="I66" s="5"/>
      <c r="J66" s="14">
        <v>9038</v>
      </c>
      <c r="K66" s="14">
        <v>8873</v>
      </c>
      <c r="L66" s="14">
        <v>8840</v>
      </c>
      <c r="M66" s="28">
        <f t="shared" ref="M66:Q66" si="30">L66*(1+M80)</f>
        <v>8742.8687348285421</v>
      </c>
      <c r="N66" s="28">
        <f t="shared" si="30"/>
        <v>8678.5787155442395</v>
      </c>
      <c r="O66" s="28">
        <f t="shared" si="30"/>
        <v>8598.9912734940117</v>
      </c>
      <c r="P66" s="28">
        <f t="shared" si="30"/>
        <v>8527.946469579123</v>
      </c>
      <c r="Q66" s="29">
        <f t="shared" si="30"/>
        <v>8453.6145235823751</v>
      </c>
    </row>
    <row r="67" spans="3:28" outlineLevel="1" x14ac:dyDescent="0.25">
      <c r="C67" s="4" t="s">
        <v>96</v>
      </c>
      <c r="D67" s="5"/>
      <c r="E67" s="5"/>
      <c r="F67" s="5"/>
      <c r="G67" s="5"/>
      <c r="H67" s="5"/>
      <c r="I67" s="5"/>
      <c r="J67" s="14">
        <v>13535</v>
      </c>
      <c r="K67" s="14">
        <v>13671</v>
      </c>
      <c r="L67" s="14">
        <v>13425</v>
      </c>
      <c r="M67" s="28">
        <f t="shared" ref="M67:Q67" si="31">L67*(1+M81)</f>
        <v>13371.660656922182</v>
      </c>
      <c r="N67" s="28">
        <f t="shared" si="31"/>
        <v>13224.790147746224</v>
      </c>
      <c r="O67" s="28">
        <f t="shared" si="31"/>
        <v>13125.889543951818</v>
      </c>
      <c r="P67" s="28">
        <f t="shared" si="31"/>
        <v>13004.723537775011</v>
      </c>
      <c r="Q67" s="29">
        <f t="shared" si="31"/>
        <v>12896.072354576185</v>
      </c>
    </row>
    <row r="68" spans="3:28" outlineLevel="1" x14ac:dyDescent="0.25">
      <c r="C68" s="4" t="s">
        <v>97</v>
      </c>
      <c r="D68" s="5"/>
      <c r="E68" s="5"/>
      <c r="F68" s="5"/>
      <c r="G68" s="5"/>
      <c r="H68" s="5"/>
      <c r="I68" s="5"/>
      <c r="J68" s="14">
        <v>5976</v>
      </c>
      <c r="K68" s="14">
        <v>7922</v>
      </c>
      <c r="L68" s="14">
        <v>9122</v>
      </c>
      <c r="M68" s="28">
        <f t="shared" ref="M68:Q68" si="32">L68*(1+M82)</f>
        <v>11298.111374134087</v>
      </c>
      <c r="N68" s="28">
        <f t="shared" si="32"/>
        <v>13501.431138305186</v>
      </c>
      <c r="O68" s="28">
        <f t="shared" si="32"/>
        <v>16428.359358131424</v>
      </c>
      <c r="P68" s="28">
        <f t="shared" si="32"/>
        <v>19810.984508528203</v>
      </c>
      <c r="Q68" s="29">
        <f t="shared" si="32"/>
        <v>23997.918172196987</v>
      </c>
    </row>
    <row r="69" spans="3:28" outlineLevel="1" x14ac:dyDescent="0.25">
      <c r="C69" s="10" t="s">
        <v>98</v>
      </c>
      <c r="D69" s="5"/>
      <c r="E69" s="5"/>
      <c r="F69" s="5"/>
      <c r="G69" s="5"/>
      <c r="H69" s="5"/>
      <c r="I69" s="5"/>
      <c r="J69" s="34">
        <f>SUM(J61:J68)</f>
        <v>81113</v>
      </c>
      <c r="K69" s="34">
        <f>SUM(K61:K68)</f>
        <v>84144</v>
      </c>
      <c r="L69" s="34">
        <f>SUM(L61:L68)</f>
        <v>84397</v>
      </c>
      <c r="M69" s="34">
        <f t="shared" ref="M69:Q69" si="33">SUM(M61:M68)</f>
        <v>87394.671931472229</v>
      </c>
      <c r="N69" s="34">
        <f t="shared" si="33"/>
        <v>90488.157426978927</v>
      </c>
      <c r="O69" s="34">
        <f t="shared" si="33"/>
        <v>95056.926104926286</v>
      </c>
      <c r="P69" s="34">
        <f t="shared" si="33"/>
        <v>100540.91386660238</v>
      </c>
      <c r="Q69" s="35">
        <f t="shared" si="33"/>
        <v>107417.6082559994</v>
      </c>
    </row>
    <row r="70" spans="3:28" outlineLevel="1" x14ac:dyDescent="0.25">
      <c r="C70" s="4" t="s">
        <v>99</v>
      </c>
      <c r="D70" s="5"/>
      <c r="E70" s="5"/>
      <c r="F70" s="5"/>
      <c r="G70" s="5"/>
      <c r="H70" s="5"/>
      <c r="I70" s="5"/>
      <c r="J70" s="14">
        <v>979</v>
      </c>
      <c r="K70" s="14">
        <v>921</v>
      </c>
      <c r="L70" s="14">
        <v>950</v>
      </c>
      <c r="M70" s="28">
        <f t="shared" ref="M70:Q70" si="34">L70*(1+M84)</f>
        <v>936.81560878336495</v>
      </c>
      <c r="N70" s="28">
        <f t="shared" si="34"/>
        <v>945.06389878460595</v>
      </c>
      <c r="O70" s="28">
        <f t="shared" si="34"/>
        <v>942.66641200137371</v>
      </c>
      <c r="P70" s="28">
        <f t="shared" si="34"/>
        <v>945.62061164565409</v>
      </c>
      <c r="Q70" s="29">
        <f t="shared" si="34"/>
        <v>945.90289097492735</v>
      </c>
    </row>
    <row r="71" spans="3:28" outlineLevel="1" x14ac:dyDescent="0.25">
      <c r="C71" s="4" t="s">
        <v>101</v>
      </c>
      <c r="D71" s="5"/>
      <c r="E71" s="5"/>
      <c r="F71" s="5"/>
      <c r="G71" s="5"/>
      <c r="H71" s="5"/>
      <c r="I71" s="5"/>
      <c r="J71" s="9">
        <v>-2447</v>
      </c>
      <c r="K71" s="9">
        <v>-2203</v>
      </c>
      <c r="L71" s="9">
        <v>-2303</v>
      </c>
      <c r="M71" s="36">
        <v>-2500</v>
      </c>
      <c r="N71" s="56">
        <f>M71</f>
        <v>-2500</v>
      </c>
      <c r="O71" s="56">
        <f t="shared" ref="O71:Q71" si="35">N71</f>
        <v>-2500</v>
      </c>
      <c r="P71" s="56">
        <f t="shared" si="35"/>
        <v>-2500</v>
      </c>
      <c r="Q71" s="57">
        <f t="shared" si="35"/>
        <v>-2500</v>
      </c>
    </row>
    <row r="72" spans="3:28" outlineLevel="1" x14ac:dyDescent="0.25">
      <c r="C72" s="10" t="s">
        <v>100</v>
      </c>
      <c r="D72" s="5"/>
      <c r="E72" s="5"/>
      <c r="F72" s="5"/>
      <c r="G72" s="5"/>
      <c r="H72" s="5"/>
      <c r="I72" s="5"/>
      <c r="J72" s="34">
        <f>SUM(J69:J71)</f>
        <v>79645</v>
      </c>
      <c r="K72" s="34">
        <f>SUM(K69:K71)</f>
        <v>82862</v>
      </c>
      <c r="L72" s="34">
        <f>SUM(L69:L71)</f>
        <v>83044</v>
      </c>
      <c r="M72" s="34">
        <f t="shared" ref="M72:Q72" si="36">SUM(M69:M71)</f>
        <v>85831.487540255592</v>
      </c>
      <c r="N72" s="34">
        <f t="shared" si="36"/>
        <v>88933.22132576353</v>
      </c>
      <c r="O72" s="34">
        <f t="shared" si="36"/>
        <v>93499.59251692766</v>
      </c>
      <c r="P72" s="34">
        <f t="shared" si="36"/>
        <v>98986.534478248039</v>
      </c>
      <c r="Q72" s="35">
        <f t="shared" si="36"/>
        <v>105863.51114697433</v>
      </c>
    </row>
    <row r="73" spans="3:28" outlineLevel="1" x14ac:dyDescent="0.25">
      <c r="C73" s="4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8"/>
    </row>
    <row r="74" spans="3:28" outlineLevel="1" x14ac:dyDescent="0.25">
      <c r="C74" s="10" t="s">
        <v>102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8"/>
      <c r="AB74" t="s">
        <v>353</v>
      </c>
    </row>
    <row r="75" spans="3:28" outlineLevel="1" x14ac:dyDescent="0.25">
      <c r="C75" s="4" t="s">
        <v>90</v>
      </c>
      <c r="D75" s="5"/>
      <c r="E75" s="5"/>
      <c r="F75" s="5"/>
      <c r="G75" s="5"/>
      <c r="H75" s="5"/>
      <c r="I75" s="5"/>
      <c r="J75" s="37" t="s">
        <v>103</v>
      </c>
      <c r="K75" s="38">
        <f>K61/J61-1</f>
        <v>-6.2959140307206618E-2</v>
      </c>
      <c r="L75" s="38">
        <f>L61/K61-1</f>
        <v>-0.19392250874692241</v>
      </c>
      <c r="M75" s="39">
        <f>AVERAGE(K75:L75)</f>
        <v>-0.12844082452706451</v>
      </c>
      <c r="N75" s="39">
        <f t="shared" ref="N75:N82" si="37">AVERAGE(L75:M75)</f>
        <v>-0.16118166663699346</v>
      </c>
      <c r="O75" s="39">
        <f t="shared" ref="O75:O82" si="38">AVERAGE(M75:N75)</f>
        <v>-0.14481124558202899</v>
      </c>
      <c r="P75" s="39">
        <f t="shared" ref="P75:P82" si="39">AVERAGE(N75:O75)</f>
        <v>-0.15299645610951124</v>
      </c>
      <c r="Q75" s="40">
        <f t="shared" ref="Q75:Q82" si="40">AVERAGE(O75:P75)</f>
        <v>-0.14890385084577012</v>
      </c>
      <c r="T75" s="39"/>
      <c r="U75" s="39"/>
      <c r="V75" s="39"/>
      <c r="W75" s="39"/>
      <c r="X75" s="39"/>
      <c r="AB75" s="39">
        <v>0.11</v>
      </c>
    </row>
    <row r="76" spans="3:28" outlineLevel="1" x14ac:dyDescent="0.25">
      <c r="C76" s="4" t="s">
        <v>91</v>
      </c>
      <c r="D76" s="5"/>
      <c r="E76" s="5"/>
      <c r="F76" s="5"/>
      <c r="G76" s="5"/>
      <c r="H76" s="5"/>
      <c r="I76" s="5"/>
      <c r="J76" s="37" t="s">
        <v>103</v>
      </c>
      <c r="K76" s="38">
        <f t="shared" ref="K76:L76" si="41">K62/J62-1</f>
        <v>2.7889447236180809E-2</v>
      </c>
      <c r="L76" s="38">
        <f t="shared" si="41"/>
        <v>-5.7035769575486395E-4</v>
      </c>
      <c r="M76" s="39">
        <f t="shared" ref="M76:M82" si="42">AVERAGE(K76:L76)</f>
        <v>1.3659544770212972E-2</v>
      </c>
      <c r="N76" s="39">
        <f t="shared" si="37"/>
        <v>6.5445935372290542E-3</v>
      </c>
      <c r="O76" s="39">
        <f t="shared" si="38"/>
        <v>1.0102069153721013E-2</v>
      </c>
      <c r="P76" s="39">
        <f t="shared" si="39"/>
        <v>8.3233313454750338E-3</v>
      </c>
      <c r="Q76" s="40">
        <f t="shared" si="40"/>
        <v>9.2127002495980236E-3</v>
      </c>
      <c r="T76" s="39"/>
      <c r="U76" s="39"/>
      <c r="V76" s="39"/>
      <c r="W76" s="39"/>
      <c r="X76" s="39"/>
      <c r="AB76" s="39">
        <v>7.0000000000000007E-2</v>
      </c>
    </row>
    <row r="77" spans="3:28" outlineLevel="1" x14ac:dyDescent="0.25">
      <c r="C77" s="4" t="s">
        <v>92</v>
      </c>
      <c r="D77" s="5"/>
      <c r="E77" s="5"/>
      <c r="F77" s="5"/>
      <c r="G77" s="5"/>
      <c r="H77" s="5"/>
      <c r="I77" s="5"/>
      <c r="J77" s="37" t="s">
        <v>103</v>
      </c>
      <c r="K77" s="38">
        <f t="shared" ref="K77:L77" si="43">K63/J63-1</f>
        <v>5.9616634178037753E-2</v>
      </c>
      <c r="L77" s="38">
        <f t="shared" si="43"/>
        <v>1.3797332515713689E-2</v>
      </c>
      <c r="M77" s="39">
        <f t="shared" si="42"/>
        <v>3.6706983346875721E-2</v>
      </c>
      <c r="N77" s="39">
        <f t="shared" si="37"/>
        <v>2.5252157931294705E-2</v>
      </c>
      <c r="O77" s="39">
        <f t="shared" si="38"/>
        <v>3.0979570639085213E-2</v>
      </c>
      <c r="P77" s="39">
        <f t="shared" si="39"/>
        <v>2.8115864285189959E-2</v>
      </c>
      <c r="Q77" s="40">
        <f t="shared" si="40"/>
        <v>2.9547717462137586E-2</v>
      </c>
      <c r="T77" s="39"/>
      <c r="U77" s="39"/>
      <c r="V77" s="39"/>
      <c r="W77" s="39"/>
      <c r="X77" s="39"/>
      <c r="AB77" s="39">
        <v>0.08</v>
      </c>
    </row>
    <row r="78" spans="3:28" outlineLevel="1" x14ac:dyDescent="0.25">
      <c r="C78" s="4" t="s">
        <v>93</v>
      </c>
      <c r="D78" s="5"/>
      <c r="E78" s="5"/>
      <c r="F78" s="5"/>
      <c r="G78" s="5"/>
      <c r="H78" s="5"/>
      <c r="I78" s="5"/>
      <c r="J78" s="37" t="s">
        <v>103</v>
      </c>
      <c r="K78" s="38">
        <f t="shared" ref="K78:L78" si="44">K64/J64-1</f>
        <v>3.5654952076677349E-2</v>
      </c>
      <c r="L78" s="38">
        <f t="shared" si="44"/>
        <v>8.0700888450148112E-2</v>
      </c>
      <c r="M78" s="39">
        <f t="shared" si="42"/>
        <v>5.817792026341273E-2</v>
      </c>
      <c r="N78" s="39">
        <f t="shared" si="37"/>
        <v>6.9439404356780421E-2</v>
      </c>
      <c r="O78" s="39">
        <f t="shared" si="38"/>
        <v>6.3808662310096576E-2</v>
      </c>
      <c r="P78" s="39">
        <f t="shared" si="39"/>
        <v>6.6624033333438498E-2</v>
      </c>
      <c r="Q78" s="40">
        <f t="shared" si="40"/>
        <v>6.5216347821767537E-2</v>
      </c>
      <c r="T78" s="39"/>
      <c r="U78" s="39"/>
      <c r="V78" s="39"/>
      <c r="W78" s="39"/>
      <c r="X78" s="39"/>
      <c r="AB78" s="39">
        <v>0.06</v>
      </c>
    </row>
    <row r="79" spans="3:28" outlineLevel="1" x14ac:dyDescent="0.25">
      <c r="C79" s="4" t="s">
        <v>94</v>
      </c>
      <c r="D79" s="5"/>
      <c r="E79" s="5"/>
      <c r="F79" s="5"/>
      <c r="G79" s="5"/>
      <c r="H79" s="5"/>
      <c r="I79" s="5"/>
      <c r="J79" s="37" t="s">
        <v>103</v>
      </c>
      <c r="K79" s="38">
        <f t="shared" ref="K79:L79" si="45">K65/J65-1</f>
        <v>0.11521824616594567</v>
      </c>
      <c r="L79" s="38">
        <f t="shared" si="45"/>
        <v>0.13998589562764452</v>
      </c>
      <c r="M79" s="39">
        <f t="shared" si="42"/>
        <v>0.12760207089679509</v>
      </c>
      <c r="N79" s="39">
        <f t="shared" si="37"/>
        <v>0.13379398326221981</v>
      </c>
      <c r="O79" s="39">
        <f t="shared" si="38"/>
        <v>0.13069802707950745</v>
      </c>
      <c r="P79" s="39">
        <f t="shared" si="39"/>
        <v>0.13224600517086363</v>
      </c>
      <c r="Q79" s="40">
        <f t="shared" si="40"/>
        <v>0.13147201612518555</v>
      </c>
      <c r="T79" s="39"/>
      <c r="U79" s="39"/>
      <c r="V79" s="39"/>
      <c r="W79" s="39"/>
      <c r="X79" s="39"/>
      <c r="AB79" s="39">
        <v>0.14000000000000001</v>
      </c>
    </row>
    <row r="80" spans="3:28" outlineLevel="1" x14ac:dyDescent="0.25">
      <c r="C80" s="4" t="s">
        <v>95</v>
      </c>
      <c r="D80" s="5"/>
      <c r="E80" s="5"/>
      <c r="F80" s="5"/>
      <c r="G80" s="5"/>
      <c r="H80" s="5"/>
      <c r="I80" s="5"/>
      <c r="J80" s="37" t="s">
        <v>103</v>
      </c>
      <c r="K80" s="38">
        <f t="shared" ref="K80:L80" si="46">K66/J66-1</f>
        <v>-1.8256251383049316E-2</v>
      </c>
      <c r="L80" s="38">
        <f t="shared" si="46"/>
        <v>-3.7191479770088964E-3</v>
      </c>
      <c r="M80" s="39">
        <f t="shared" si="42"/>
        <v>-1.0987699680029106E-2</v>
      </c>
      <c r="N80" s="39">
        <f t="shared" si="37"/>
        <v>-7.3534238285190012E-3</v>
      </c>
      <c r="O80" s="39">
        <f t="shared" si="38"/>
        <v>-9.1705617542740536E-3</v>
      </c>
      <c r="P80" s="39">
        <f t="shared" si="39"/>
        <v>-8.2619927913965274E-3</v>
      </c>
      <c r="Q80" s="40">
        <f t="shared" si="40"/>
        <v>-8.7162772728352905E-3</v>
      </c>
      <c r="T80" s="39"/>
      <c r="U80" s="39"/>
      <c r="V80" s="39"/>
      <c r="W80" s="39"/>
      <c r="X80" s="39"/>
      <c r="AB80" s="39">
        <v>0.08</v>
      </c>
    </row>
    <row r="81" spans="3:28" outlineLevel="1" x14ac:dyDescent="0.25">
      <c r="C81" s="4" t="s">
        <v>96</v>
      </c>
      <c r="D81" s="5"/>
      <c r="E81" s="5"/>
      <c r="F81" s="5"/>
      <c r="G81" s="5"/>
      <c r="H81" s="5"/>
      <c r="I81" s="5"/>
      <c r="J81" s="37" t="s">
        <v>103</v>
      </c>
      <c r="K81" s="38">
        <f t="shared" ref="K81:L81" si="47">K67/J67-1</f>
        <v>1.0048023642408532E-2</v>
      </c>
      <c r="L81" s="38">
        <f t="shared" si="47"/>
        <v>-1.7994294491990304E-2</v>
      </c>
      <c r="M81" s="39">
        <f t="shared" si="42"/>
        <v>-3.9731354247908857E-3</v>
      </c>
      <c r="N81" s="39">
        <f t="shared" si="37"/>
        <v>-1.0983714958390595E-2</v>
      </c>
      <c r="O81" s="39">
        <f t="shared" si="38"/>
        <v>-7.4784251915907402E-3</v>
      </c>
      <c r="P81" s="39">
        <f t="shared" si="39"/>
        <v>-9.2310700749906674E-3</v>
      </c>
      <c r="Q81" s="40">
        <f t="shared" si="40"/>
        <v>-8.3547476332907038E-3</v>
      </c>
      <c r="T81" s="39"/>
      <c r="U81" s="39"/>
      <c r="V81" s="39"/>
      <c r="W81" s="39"/>
      <c r="X81" s="39"/>
      <c r="AB81" s="39">
        <v>0.15</v>
      </c>
    </row>
    <row r="82" spans="3:28" outlineLevel="1" x14ac:dyDescent="0.25">
      <c r="C82" s="4" t="s">
        <v>97</v>
      </c>
      <c r="D82" s="5"/>
      <c r="E82" s="5"/>
      <c r="F82" s="5"/>
      <c r="G82" s="5"/>
      <c r="H82" s="5"/>
      <c r="I82" s="5"/>
      <c r="J82" s="37" t="s">
        <v>103</v>
      </c>
      <c r="K82" s="38">
        <f t="shared" ref="K82:L82" si="48">K68/J68-1</f>
        <v>0.32563587684069617</v>
      </c>
      <c r="L82" s="38">
        <f t="shared" si="48"/>
        <v>0.15147689977278467</v>
      </c>
      <c r="M82" s="39">
        <f t="shared" si="42"/>
        <v>0.23855638830674042</v>
      </c>
      <c r="N82" s="39">
        <f t="shared" si="37"/>
        <v>0.19501664403976254</v>
      </c>
      <c r="O82" s="39">
        <f t="shared" si="38"/>
        <v>0.21678651617325148</v>
      </c>
      <c r="P82" s="39">
        <f t="shared" si="39"/>
        <v>0.205901580106507</v>
      </c>
      <c r="Q82" s="40">
        <f t="shared" si="40"/>
        <v>0.21134404813987923</v>
      </c>
      <c r="T82" s="39"/>
      <c r="U82" s="39"/>
      <c r="V82" s="39"/>
      <c r="W82" s="39"/>
      <c r="X82" s="39"/>
      <c r="AB82" s="39">
        <v>0.05</v>
      </c>
    </row>
    <row r="83" spans="3:28" outlineLevel="1" x14ac:dyDescent="0.25">
      <c r="C83" s="10" t="s">
        <v>98</v>
      </c>
      <c r="D83" s="5"/>
      <c r="E83" s="5"/>
      <c r="F83" s="5"/>
      <c r="G83" s="5"/>
      <c r="H83" s="5"/>
      <c r="I83" s="5"/>
      <c r="J83" s="41" t="s">
        <v>103</v>
      </c>
      <c r="K83" s="42">
        <f t="shared" ref="K83:L83" si="49">K69/J69-1</f>
        <v>3.7367622945767121E-2</v>
      </c>
      <c r="L83" s="42">
        <f t="shared" si="49"/>
        <v>3.0067503327628753E-3</v>
      </c>
      <c r="M83" s="42"/>
      <c r="N83" s="42"/>
      <c r="O83" s="42"/>
      <c r="P83" s="42"/>
      <c r="Q83" s="43"/>
      <c r="T83" s="42"/>
      <c r="U83" s="42"/>
      <c r="V83" s="42"/>
      <c r="W83" s="42"/>
      <c r="X83" s="42"/>
      <c r="AB83" s="42"/>
    </row>
    <row r="84" spans="3:28" outlineLevel="1" x14ac:dyDescent="0.25">
      <c r="C84" s="4" t="s">
        <v>99</v>
      </c>
      <c r="D84" s="5"/>
      <c r="E84" s="5"/>
      <c r="F84" s="5"/>
      <c r="G84" s="5"/>
      <c r="H84" s="5"/>
      <c r="I84" s="5"/>
      <c r="J84" s="37" t="s">
        <v>103</v>
      </c>
      <c r="K84" s="38">
        <f t="shared" ref="K84:L84" si="50">K70/J70-1</f>
        <v>-5.924412665985701E-2</v>
      </c>
      <c r="L84" s="38">
        <f t="shared" si="50"/>
        <v>3.148751357220414E-2</v>
      </c>
      <c r="M84" s="39">
        <f t="shared" ref="M84" si="51">AVERAGE(K84:L84)</f>
        <v>-1.3878306543826435E-2</v>
      </c>
      <c r="N84" s="39">
        <f t="shared" ref="N84" si="52">AVERAGE(L84:M84)</f>
        <v>8.8046035141888523E-3</v>
      </c>
      <c r="O84" s="39">
        <f t="shared" ref="O84" si="53">AVERAGE(M84:N84)</f>
        <v>-2.5368515148187915E-3</v>
      </c>
      <c r="P84" s="39">
        <f t="shared" ref="P84" si="54">AVERAGE(N84:O84)</f>
        <v>3.1338759996850304E-3</v>
      </c>
      <c r="Q84" s="40">
        <f t="shared" ref="Q84" si="55">AVERAGE(O84:P84)</f>
        <v>2.985122424331195E-4</v>
      </c>
      <c r="T84" s="39"/>
      <c r="U84" s="39"/>
      <c r="V84" s="39"/>
      <c r="W84" s="39"/>
      <c r="X84" s="39"/>
      <c r="AB84" s="39">
        <v>0.15</v>
      </c>
    </row>
    <row r="85" spans="3:28" outlineLevel="1" x14ac:dyDescent="0.25">
      <c r="C85" s="4" t="s">
        <v>101</v>
      </c>
      <c r="D85" s="5"/>
      <c r="E85" s="5"/>
      <c r="F85" s="5"/>
      <c r="G85" s="5"/>
      <c r="H85" s="5"/>
      <c r="I85" s="5"/>
      <c r="J85" s="37" t="s">
        <v>103</v>
      </c>
      <c r="K85" s="38">
        <f t="shared" ref="K85:L85" si="56">K71/J71-1</f>
        <v>-9.9713935431140155E-2</v>
      </c>
      <c r="L85" s="38">
        <f t="shared" si="56"/>
        <v>4.5392646391284597E-2</v>
      </c>
      <c r="M85" s="39"/>
      <c r="N85" s="39"/>
      <c r="O85" s="39"/>
      <c r="P85" s="39"/>
      <c r="Q85" s="40"/>
    </row>
    <row r="86" spans="3:28" outlineLevel="1" x14ac:dyDescent="0.25">
      <c r="C86" s="44" t="s">
        <v>100</v>
      </c>
      <c r="D86" s="18"/>
      <c r="E86" s="18"/>
      <c r="F86" s="18"/>
      <c r="G86" s="18"/>
      <c r="H86" s="18"/>
      <c r="I86" s="18"/>
      <c r="J86" s="45" t="s">
        <v>103</v>
      </c>
      <c r="K86" s="46">
        <f t="shared" ref="K86:Q86" si="57">K72/J72-1</f>
        <v>4.0391738338878769E-2</v>
      </c>
      <c r="L86" s="46">
        <f t="shared" si="57"/>
        <v>2.1964229683086867E-3</v>
      </c>
      <c r="M86" s="46">
        <f t="shared" si="57"/>
        <v>3.3566392999561545E-2</v>
      </c>
      <c r="N86" s="46">
        <f t="shared" si="57"/>
        <v>3.6137481411506522E-2</v>
      </c>
      <c r="O86" s="46">
        <f t="shared" si="57"/>
        <v>5.1346067567230591E-2</v>
      </c>
      <c r="P86" s="46">
        <f t="shared" si="57"/>
        <v>5.8684126995815378E-2</v>
      </c>
      <c r="Q86" s="47">
        <f t="shared" si="57"/>
        <v>6.9473860308115754E-2</v>
      </c>
    </row>
    <row r="87" spans="3:28" outlineLevel="1" x14ac:dyDescent="0.25"/>
    <row r="88" spans="3:28" outlineLevel="1" x14ac:dyDescent="0.25"/>
    <row r="89" spans="3:28" ht="15.75" outlineLevel="1" thickBot="1" x14ac:dyDescent="0.3">
      <c r="C89" s="103" t="s">
        <v>209</v>
      </c>
      <c r="D89" s="104"/>
      <c r="E89" s="104"/>
      <c r="F89" s="104"/>
      <c r="G89" s="104"/>
      <c r="H89" s="104"/>
      <c r="I89" s="104"/>
      <c r="J89" s="105"/>
      <c r="K89" s="105"/>
      <c r="L89" s="105"/>
      <c r="M89" s="106"/>
      <c r="N89" s="106"/>
      <c r="O89" s="106"/>
      <c r="P89" s="106"/>
      <c r="Q89" s="107"/>
    </row>
    <row r="90" spans="3:28" outlineLevel="1" x14ac:dyDescent="0.25">
      <c r="C90" s="10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8"/>
    </row>
    <row r="91" spans="3:28" outlineLevel="1" x14ac:dyDescent="0.25">
      <c r="C91" s="10" t="s">
        <v>210</v>
      </c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8"/>
    </row>
    <row r="92" spans="3:28" outlineLevel="1" x14ac:dyDescent="0.25">
      <c r="C92" s="61" t="s">
        <v>116</v>
      </c>
      <c r="D92" s="5"/>
      <c r="E92" s="5"/>
      <c r="F92" s="5"/>
      <c r="G92" s="5"/>
      <c r="H92" s="5"/>
      <c r="I92" s="5"/>
      <c r="J92" s="5"/>
      <c r="K92" s="15">
        <f>J95</f>
        <v>808686</v>
      </c>
      <c r="L92" s="15">
        <f>K95</f>
        <v>812180</v>
      </c>
      <c r="M92" s="15">
        <f t="shared" ref="M92:Q92" si="58">L95</f>
        <v>815063</v>
      </c>
      <c r="N92" s="15">
        <f t="shared" si="58"/>
        <v>815063</v>
      </c>
      <c r="O92" s="15">
        <f t="shared" si="58"/>
        <v>815063</v>
      </c>
      <c r="P92" s="15">
        <f t="shared" si="58"/>
        <v>815063</v>
      </c>
      <c r="Q92" s="25">
        <f t="shared" si="58"/>
        <v>815063</v>
      </c>
    </row>
    <row r="93" spans="3:28" outlineLevel="1" x14ac:dyDescent="0.25">
      <c r="C93" s="60" t="s">
        <v>211</v>
      </c>
      <c r="D93" s="5"/>
      <c r="E93" s="5"/>
      <c r="F93" s="5"/>
      <c r="G93" s="5"/>
      <c r="H93" s="5"/>
      <c r="I93" s="5"/>
      <c r="J93" s="5"/>
      <c r="K93" s="5"/>
      <c r="L93" s="5">
        <f>'Equity Schedule'!I12/'Income Statement'!L99</f>
        <v>0</v>
      </c>
      <c r="M93" s="5">
        <f>'Equity Schedule'!J12/'Income Statement'!M99</f>
        <v>0</v>
      </c>
      <c r="N93" s="5">
        <f>'Equity Schedule'!K12/'Income Statement'!N99</f>
        <v>0</v>
      </c>
      <c r="O93" s="5">
        <f>'Equity Schedule'!L12/'Income Statement'!O99</f>
        <v>0</v>
      </c>
      <c r="P93" s="5">
        <f>'Equity Schedule'!M12/'Income Statement'!P99</f>
        <v>0</v>
      </c>
      <c r="Q93" s="8">
        <f>'Equity Schedule'!N12/'Income Statement'!Q99</f>
        <v>0</v>
      </c>
    </row>
    <row r="94" spans="3:28" outlineLevel="1" x14ac:dyDescent="0.25">
      <c r="C94" s="60" t="s">
        <v>212</v>
      </c>
      <c r="D94" s="5"/>
      <c r="E94" s="5"/>
      <c r="F94" s="5"/>
      <c r="G94" s="5"/>
      <c r="H94" s="5"/>
      <c r="I94" s="5"/>
      <c r="J94" s="5"/>
      <c r="K94" s="5"/>
      <c r="L94" s="5">
        <f>-'Equity Schedule'!I21/'Income Statement'!L99</f>
        <v>0</v>
      </c>
      <c r="M94" s="5">
        <f>-'Equity Schedule'!J21/'Income Statement'!M99</f>
        <v>0</v>
      </c>
      <c r="N94" s="5">
        <f>-'Equity Schedule'!K21/'Income Statement'!N99</f>
        <v>0</v>
      </c>
      <c r="O94" s="5">
        <f>-'Equity Schedule'!L21/'Income Statement'!O99</f>
        <v>0</v>
      </c>
      <c r="P94" s="5">
        <f>-'Equity Schedule'!M21/'Income Statement'!P99</f>
        <v>0</v>
      </c>
      <c r="Q94" s="8">
        <f>-'Equity Schedule'!N21/'Income Statement'!Q99</f>
        <v>0</v>
      </c>
    </row>
    <row r="95" spans="3:28" outlineLevel="1" x14ac:dyDescent="0.25">
      <c r="C95" s="61" t="s">
        <v>118</v>
      </c>
      <c r="D95" s="5"/>
      <c r="E95" s="5"/>
      <c r="F95" s="5"/>
      <c r="G95" s="5"/>
      <c r="H95" s="5"/>
      <c r="I95" s="5"/>
      <c r="J95" s="15">
        <f>J37</f>
        <v>808686</v>
      </c>
      <c r="K95" s="15">
        <f>K37</f>
        <v>812180</v>
      </c>
      <c r="L95" s="15">
        <f>L37</f>
        <v>815063</v>
      </c>
      <c r="M95" s="15">
        <f>SUM(M92:M94)</f>
        <v>815063</v>
      </c>
      <c r="N95" s="15">
        <f t="shared" ref="N95:Q95" si="59">SUM(N92:N94)</f>
        <v>815063</v>
      </c>
      <c r="O95" s="15">
        <f t="shared" si="59"/>
        <v>815063</v>
      </c>
      <c r="P95" s="15">
        <f t="shared" si="59"/>
        <v>815063</v>
      </c>
      <c r="Q95" s="25">
        <f t="shared" si="59"/>
        <v>815063</v>
      </c>
    </row>
    <row r="96" spans="3:28" outlineLevel="1" x14ac:dyDescent="0.25">
      <c r="C96" s="10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8"/>
    </row>
    <row r="97" spans="3:17" outlineLevel="1" x14ac:dyDescent="0.25">
      <c r="C97" s="59" t="s">
        <v>213</v>
      </c>
      <c r="D97" s="5"/>
      <c r="E97" s="5"/>
      <c r="F97" s="5"/>
      <c r="G97" s="5"/>
      <c r="H97" s="5"/>
      <c r="I97" s="5"/>
      <c r="J97" s="16">
        <f>J42</f>
        <v>6.5068518559737649</v>
      </c>
      <c r="K97" s="16">
        <f>K42</f>
        <v>7.2742495505922333</v>
      </c>
      <c r="L97" s="16">
        <f>L42</f>
        <v>6.972467158980348</v>
      </c>
      <c r="M97" s="16">
        <f>L97*(1+M98)</f>
        <v>7.2389913463193469</v>
      </c>
      <c r="N97" s="16">
        <f t="shared" ref="N97:Q97" si="60">M97*(1+N98)</f>
        <v>7.5157034830336569</v>
      </c>
      <c r="O97" s="16">
        <f t="shared" si="60"/>
        <v>7.8029930058701282</v>
      </c>
      <c r="P97" s="16">
        <f t="shared" si="60"/>
        <v>8.1012642378863085</v>
      </c>
      <c r="Q97" s="176">
        <f t="shared" si="60"/>
        <v>8.4109369574831554</v>
      </c>
    </row>
    <row r="98" spans="3:17" outlineLevel="1" x14ac:dyDescent="0.25">
      <c r="C98" s="59" t="s">
        <v>214</v>
      </c>
      <c r="D98" s="5"/>
      <c r="E98" s="5"/>
      <c r="F98" s="5"/>
      <c r="G98" s="5"/>
      <c r="H98" s="5"/>
      <c r="I98" s="5"/>
      <c r="J98" s="5"/>
      <c r="K98" s="201">
        <f>K97/J97-1</f>
        <v>0.11793686280316051</v>
      </c>
      <c r="L98" s="201">
        <f>L97/K97-1</f>
        <v>-4.1486395196232428E-2</v>
      </c>
      <c r="M98" s="139">
        <f>AVERAGE(K98:L98)</f>
        <v>3.8225233803464043E-2</v>
      </c>
      <c r="N98" s="171">
        <f>M98</f>
        <v>3.8225233803464043E-2</v>
      </c>
      <c r="O98" s="171">
        <f t="shared" ref="O98:Q98" si="61">N98</f>
        <v>3.8225233803464043E-2</v>
      </c>
      <c r="P98" s="171">
        <f t="shared" si="61"/>
        <v>3.8225233803464043E-2</v>
      </c>
      <c r="Q98" s="172">
        <f t="shared" si="61"/>
        <v>3.8225233803464043E-2</v>
      </c>
    </row>
    <row r="99" spans="3:17" outlineLevel="1" x14ac:dyDescent="0.25">
      <c r="C99" s="63" t="s">
        <v>215</v>
      </c>
      <c r="D99" s="18"/>
      <c r="E99" s="18"/>
      <c r="F99" s="18"/>
      <c r="G99" s="18"/>
      <c r="H99" s="18"/>
      <c r="I99" s="18"/>
      <c r="J99" s="202">
        <v>97.400941149019573</v>
      </c>
      <c r="K99" s="202">
        <v>120.29941161960777</v>
      </c>
      <c r="L99" s="202">
        <v>109.66119077777776</v>
      </c>
      <c r="M99" s="19">
        <f>L99*(1+M98)</f>
        <v>113.85301543442459</v>
      </c>
      <c r="N99" s="19">
        <f t="shared" ref="N99:Q99" si="62">M99*(1+N98)</f>
        <v>118.20507356863487</v>
      </c>
      <c r="O99" s="19">
        <f t="shared" si="62"/>
        <v>122.72349014255161</v>
      </c>
      <c r="P99" s="19">
        <f t="shared" si="62"/>
        <v>127.41462424642776</v>
      </c>
      <c r="Q99" s="177">
        <f t="shared" si="62"/>
        <v>132.285078048228</v>
      </c>
    </row>
    <row r="100" spans="3:17" outlineLevel="1" x14ac:dyDescent="0.25"/>
    <row r="101" spans="3:17" outlineLevel="1" x14ac:dyDescent="0.25"/>
    <row r="104" spans="3:17" ht="15.75" thickBot="1" x14ac:dyDescent="0.3">
      <c r="C104" s="103" t="s">
        <v>238</v>
      </c>
      <c r="D104" s="104"/>
      <c r="E104" s="104"/>
      <c r="F104" s="104"/>
      <c r="G104" s="104"/>
      <c r="H104" s="104"/>
      <c r="I104" s="104"/>
      <c r="J104" s="105"/>
      <c r="K104" s="105"/>
      <c r="L104" s="105"/>
      <c r="M104" s="106"/>
      <c r="N104" s="106"/>
      <c r="O104" s="106"/>
      <c r="P104" s="106"/>
      <c r="Q104" s="107"/>
    </row>
    <row r="105" spans="3:17" x14ac:dyDescent="0.25">
      <c r="C105" s="4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8"/>
    </row>
    <row r="106" spans="3:17" x14ac:dyDescent="0.25">
      <c r="C106" s="4"/>
      <c r="D106" s="5"/>
      <c r="E106" s="5"/>
      <c r="F106" s="5"/>
      <c r="G106" s="5"/>
      <c r="H106" s="5"/>
      <c r="I106" s="5"/>
      <c r="J106" s="184" t="s">
        <v>40</v>
      </c>
      <c r="K106" s="372" t="s">
        <v>239</v>
      </c>
      <c r="L106" s="373"/>
      <c r="M106" s="373"/>
      <c r="N106" s="373"/>
      <c r="O106" s="374"/>
      <c r="P106" s="5"/>
      <c r="Q106" s="8"/>
    </row>
    <row r="107" spans="3:17" x14ac:dyDescent="0.25">
      <c r="C107" s="4"/>
      <c r="D107" s="5"/>
      <c r="E107" s="5"/>
      <c r="F107" s="5"/>
      <c r="G107" s="203"/>
      <c r="H107" s="203"/>
      <c r="I107" s="203"/>
      <c r="J107" s="223">
        <f ca="1">M43</f>
        <v>7.0470455375641512</v>
      </c>
      <c r="K107" s="183">
        <f ca="1">L107-1.668%</f>
        <v>2.0639299956154433E-4</v>
      </c>
      <c r="L107" s="183">
        <f ca="1">M107-1.668%</f>
        <v>1.6886392999561545E-2</v>
      </c>
      <c r="M107" s="183">
        <f ca="1">M119</f>
        <v>3.3566392999561545E-2</v>
      </c>
      <c r="N107" s="183">
        <f ca="1">M107+1.68%</f>
        <v>5.0366392999561541E-2</v>
      </c>
      <c r="O107" s="185">
        <f ca="1">N107+1.68%</f>
        <v>6.7166392999561536E-2</v>
      </c>
      <c r="P107" s="5"/>
      <c r="Q107" s="8"/>
    </row>
    <row r="108" spans="3:17" x14ac:dyDescent="0.25">
      <c r="C108" s="4"/>
      <c r="D108" s="5"/>
      <c r="E108" s="5"/>
      <c r="F108" s="363" t="s">
        <v>240</v>
      </c>
      <c r="G108" s="364"/>
      <c r="H108" s="364"/>
      <c r="I108" s="365"/>
      <c r="J108" s="186">
        <f ca="1">J109-5%</f>
        <v>0.20000000000000007</v>
      </c>
      <c r="K108" s="187">
        <f t="dataTable" ref="K108:O112" dt2D="1" dtr="1" r1="M47" r2="M48" ca="1"/>
        <v>-0.7454572525122265</v>
      </c>
      <c r="L108" s="187">
        <v>-0.80442016145501727</v>
      </c>
      <c r="M108" s="187">
        <v>-0.84581356107497752</v>
      </c>
      <c r="N108" s="187">
        <v>-0.88750475175863119</v>
      </c>
      <c r="O108" s="188">
        <v>-0.92919594244125769</v>
      </c>
      <c r="P108" s="5"/>
      <c r="Q108" s="8"/>
    </row>
    <row r="109" spans="3:17" x14ac:dyDescent="0.25">
      <c r="C109" s="4"/>
      <c r="D109" s="5"/>
      <c r="E109" s="5"/>
      <c r="F109" s="366"/>
      <c r="G109" s="367"/>
      <c r="H109" s="367"/>
      <c r="I109" s="368"/>
      <c r="J109" s="186">
        <f ca="1">J110-5%</f>
        <v>0.25000000000000006</v>
      </c>
      <c r="K109" s="187">
        <v>3.0884001407254464</v>
      </c>
      <c r="L109" s="187">
        <v>3.0868585970541527</v>
      </c>
      <c r="M109" s="187">
        <v>3.0853170533830494</v>
      </c>
      <c r="N109" s="187">
        <v>3.0837644194696976</v>
      </c>
      <c r="O109" s="188">
        <v>3.0822117855563538</v>
      </c>
      <c r="P109" s="5"/>
      <c r="Q109" s="8"/>
    </row>
    <row r="110" spans="3:17" x14ac:dyDescent="0.25">
      <c r="C110" s="4"/>
      <c r="D110" s="5"/>
      <c r="E110" s="5"/>
      <c r="F110" s="366"/>
      <c r="G110" s="367"/>
      <c r="H110" s="367"/>
      <c r="I110" s="368"/>
      <c r="J110" s="186">
        <f ca="1">M120</f>
        <v>0.30000000000000004</v>
      </c>
      <c r="K110" s="187">
        <v>6.9222575339669756</v>
      </c>
      <c r="L110" s="187">
        <v>6.9846515357634216</v>
      </c>
      <c r="M110" s="187">
        <v>7.0470455375625445</v>
      </c>
      <c r="N110" s="187">
        <v>7.1098884170724403</v>
      </c>
      <c r="O110" s="188">
        <v>7.1727312965823451</v>
      </c>
      <c r="P110" s="5"/>
      <c r="Q110" s="8"/>
    </row>
    <row r="111" spans="3:17" x14ac:dyDescent="0.25">
      <c r="C111" s="4"/>
      <c r="D111" s="5"/>
      <c r="E111" s="5"/>
      <c r="F111" s="366"/>
      <c r="G111" s="367"/>
      <c r="H111" s="367"/>
      <c r="I111" s="368"/>
      <c r="J111" s="186">
        <f ca="1">J110+5%</f>
        <v>0.35000000000000003</v>
      </c>
      <c r="K111" s="187">
        <v>10.75611492720641</v>
      </c>
      <c r="L111" s="187">
        <v>10.882444474472686</v>
      </c>
      <c r="M111" s="187">
        <v>11.00877402174204</v>
      </c>
      <c r="N111" s="187">
        <v>11.136012414675182</v>
      </c>
      <c r="O111" s="188">
        <v>11.263250807608342</v>
      </c>
      <c r="P111" s="5"/>
      <c r="Q111" s="8"/>
    </row>
    <row r="112" spans="3:17" x14ac:dyDescent="0.25">
      <c r="C112" s="4"/>
      <c r="D112" s="5"/>
      <c r="E112" s="5"/>
      <c r="F112" s="369"/>
      <c r="G112" s="370"/>
      <c r="H112" s="370"/>
      <c r="I112" s="371"/>
      <c r="J112" s="189">
        <f ca="1">J111+5%</f>
        <v>0.4</v>
      </c>
      <c r="K112" s="190">
        <v>14.589972320445844</v>
      </c>
      <c r="L112" s="190">
        <v>14.780237413185269</v>
      </c>
      <c r="M112" s="190">
        <v>14.970502505924852</v>
      </c>
      <c r="N112" s="190">
        <v>15.16213641228126</v>
      </c>
      <c r="O112" s="191">
        <v>15.353770318637672</v>
      </c>
      <c r="P112" s="5"/>
      <c r="Q112" s="8"/>
    </row>
    <row r="113" spans="3:17" x14ac:dyDescent="0.25">
      <c r="C113" s="17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20"/>
    </row>
    <row r="115" spans="3:17" ht="15.75" thickBot="1" x14ac:dyDescent="0.3">
      <c r="C115" s="103" t="s">
        <v>245</v>
      </c>
      <c r="D115" s="104"/>
      <c r="E115" s="104"/>
      <c r="F115" s="104"/>
      <c r="G115" s="104"/>
      <c r="H115" s="104"/>
      <c r="I115" s="104"/>
      <c r="J115" s="105">
        <f>K115-1</f>
        <v>2016</v>
      </c>
      <c r="K115" s="105">
        <f>L115-1</f>
        <v>2017</v>
      </c>
      <c r="L115" s="105">
        <f>YEAR('Valuation Summary'!E15)</f>
        <v>2018</v>
      </c>
      <c r="M115" s="106">
        <f>L115+1</f>
        <v>2019</v>
      </c>
      <c r="N115" s="106">
        <f t="shared" ref="N115" si="63">M115+1</f>
        <v>2020</v>
      </c>
      <c r="O115" s="106">
        <f t="shared" ref="O115" si="64">N115+1</f>
        <v>2021</v>
      </c>
      <c r="P115" s="106">
        <f t="shared" ref="P115" si="65">O115+1</f>
        <v>2022</v>
      </c>
      <c r="Q115" s="107">
        <f t="shared" ref="Q115" si="66">P115+1</f>
        <v>2023</v>
      </c>
    </row>
    <row r="116" spans="3:17" ht="15.75" thickBot="1" x14ac:dyDescent="0.3">
      <c r="C116" s="4"/>
      <c r="D116" s="5"/>
      <c r="E116" s="5"/>
      <c r="F116" s="5"/>
      <c r="G116" s="5"/>
      <c r="H116" s="5"/>
      <c r="I116" s="5"/>
      <c r="J116" s="5"/>
      <c r="K116" s="5"/>
      <c r="L116" s="5"/>
      <c r="M116" s="211"/>
      <c r="N116" s="211"/>
      <c r="O116" s="211"/>
      <c r="P116" s="211"/>
      <c r="Q116" s="212"/>
    </row>
    <row r="117" spans="3:17" ht="15.75" thickBot="1" x14ac:dyDescent="0.3">
      <c r="C117" s="375" t="s">
        <v>246</v>
      </c>
      <c r="D117" s="376"/>
      <c r="E117" s="376"/>
      <c r="F117" s="376"/>
      <c r="G117" s="376"/>
      <c r="H117" s="376"/>
      <c r="I117" s="376"/>
      <c r="J117" s="193" t="s">
        <v>247</v>
      </c>
      <c r="K117" s="5"/>
      <c r="L117" s="5"/>
      <c r="M117" s="16"/>
      <c r="N117" s="16"/>
      <c r="O117" s="16"/>
      <c r="P117" s="16"/>
      <c r="Q117" s="176"/>
    </row>
    <row r="118" spans="3:17" x14ac:dyDescent="0.25">
      <c r="C118" s="4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8"/>
    </row>
    <row r="119" spans="3:17" x14ac:dyDescent="0.25">
      <c r="C119" s="59" t="s">
        <v>105</v>
      </c>
      <c r="D119" s="5"/>
      <c r="E119" s="5"/>
      <c r="F119" s="5"/>
      <c r="G119" s="5"/>
      <c r="H119" s="5"/>
      <c r="I119" s="5"/>
      <c r="J119" s="5"/>
      <c r="K119" s="5"/>
      <c r="L119" s="5"/>
      <c r="M119" s="50">
        <f t="shared" ref="M119:Q122" ca="1" si="67">IFERROR(OFFSET(M$128,MATCH($J$117,$C$129:$C$131,0)+MATCH($C119,$C$128:$C$143,0)-1,0),"")</f>
        <v>3.3566392999561545E-2</v>
      </c>
      <c r="N119" s="50">
        <f t="shared" ca="1" si="67"/>
        <v>3.6137481411506522E-2</v>
      </c>
      <c r="O119" s="50">
        <f t="shared" ca="1" si="67"/>
        <v>5.1346067567230591E-2</v>
      </c>
      <c r="P119" s="50">
        <f t="shared" ca="1" si="67"/>
        <v>5.8684126995815378E-2</v>
      </c>
      <c r="Q119" s="72">
        <f t="shared" ca="1" si="67"/>
        <v>6.9473860308115754E-2</v>
      </c>
    </row>
    <row r="120" spans="3:17" x14ac:dyDescent="0.25">
      <c r="C120" s="59" t="s">
        <v>241</v>
      </c>
      <c r="D120" s="5"/>
      <c r="E120" s="5"/>
      <c r="F120" s="5"/>
      <c r="G120" s="5"/>
      <c r="H120" s="5"/>
      <c r="I120" s="5"/>
      <c r="J120" s="5"/>
      <c r="K120" s="5"/>
      <c r="L120" s="5"/>
      <c r="M120" s="50">
        <f t="shared" ca="1" si="67"/>
        <v>0.30000000000000004</v>
      </c>
      <c r="N120" s="50">
        <f t="shared" ca="1" si="67"/>
        <v>0.30000000000000004</v>
      </c>
      <c r="O120" s="50">
        <f t="shared" ca="1" si="67"/>
        <v>0.30000000000000004</v>
      </c>
      <c r="P120" s="50">
        <f t="shared" ca="1" si="67"/>
        <v>0.30000000000000004</v>
      </c>
      <c r="Q120" s="72">
        <f t="shared" ca="1" si="67"/>
        <v>0.30000000000000004</v>
      </c>
    </row>
    <row r="121" spans="3:17" x14ac:dyDescent="0.25">
      <c r="C121" s="62" t="s">
        <v>106</v>
      </c>
      <c r="D121" s="5"/>
      <c r="E121" s="5"/>
      <c r="F121" s="5"/>
      <c r="G121" s="5"/>
      <c r="H121" s="5"/>
      <c r="I121" s="5"/>
      <c r="J121" s="5"/>
      <c r="K121" s="5"/>
      <c r="L121" s="5"/>
      <c r="M121" s="50">
        <f t="shared" ca="1" si="67"/>
        <v>6.5000000000000002E-2</v>
      </c>
      <c r="N121" s="50">
        <f t="shared" ca="1" si="67"/>
        <v>6.5000000000000002E-2</v>
      </c>
      <c r="O121" s="50">
        <f t="shared" ca="1" si="67"/>
        <v>6.5000000000000002E-2</v>
      </c>
      <c r="P121" s="50">
        <f t="shared" ca="1" si="67"/>
        <v>6.5000000000000002E-2</v>
      </c>
      <c r="Q121" s="72">
        <f t="shared" ca="1" si="67"/>
        <v>6.5000000000000002E-2</v>
      </c>
    </row>
    <row r="122" spans="3:17" x14ac:dyDescent="0.25">
      <c r="C122" s="59" t="s">
        <v>107</v>
      </c>
      <c r="D122" s="5"/>
      <c r="E122" s="5"/>
      <c r="F122" s="5"/>
      <c r="G122" s="5"/>
      <c r="H122" s="5"/>
      <c r="I122" s="5"/>
      <c r="J122" s="5"/>
      <c r="K122" s="5"/>
      <c r="L122" s="5"/>
      <c r="M122" s="50">
        <f t="shared" ca="1" si="67"/>
        <v>0.16</v>
      </c>
      <c r="N122" s="50">
        <f t="shared" ca="1" si="67"/>
        <v>0.16</v>
      </c>
      <c r="O122" s="50">
        <f t="shared" ca="1" si="67"/>
        <v>0.16</v>
      </c>
      <c r="P122" s="50">
        <f t="shared" ca="1" si="67"/>
        <v>0.16</v>
      </c>
      <c r="Q122" s="72">
        <f t="shared" ca="1" si="67"/>
        <v>0.16</v>
      </c>
    </row>
    <row r="123" spans="3:17" x14ac:dyDescent="0.25">
      <c r="C123" s="59"/>
      <c r="D123" s="5"/>
      <c r="E123" s="5"/>
      <c r="F123" s="5"/>
      <c r="G123" s="5"/>
      <c r="H123" s="5"/>
      <c r="I123" s="5"/>
      <c r="J123" s="5"/>
      <c r="K123" s="5"/>
      <c r="L123" s="5"/>
      <c r="M123" s="50"/>
      <c r="N123" s="50"/>
      <c r="O123" s="50"/>
      <c r="P123" s="50"/>
      <c r="Q123" s="72"/>
    </row>
    <row r="124" spans="3:17" x14ac:dyDescent="0.25">
      <c r="C124" s="157" t="s">
        <v>249</v>
      </c>
      <c r="D124" s="5"/>
      <c r="E124" s="5"/>
      <c r="F124" s="5"/>
      <c r="G124" s="5"/>
      <c r="H124" s="5"/>
      <c r="I124" s="5"/>
      <c r="J124" s="5"/>
      <c r="K124" s="5"/>
      <c r="L124" s="5"/>
      <c r="M124" s="50"/>
      <c r="N124" s="50"/>
      <c r="O124" s="50"/>
      <c r="P124" s="50"/>
      <c r="Q124" s="72"/>
    </row>
    <row r="125" spans="3:17" x14ac:dyDescent="0.25">
      <c r="C125" s="59" t="str">
        <f>C42</f>
        <v>EPS - Basic</v>
      </c>
      <c r="D125" s="5"/>
      <c r="E125" s="5"/>
      <c r="F125" s="5"/>
      <c r="G125" s="5"/>
      <c r="H125" s="5"/>
      <c r="I125" s="5"/>
      <c r="J125" s="5"/>
      <c r="K125" s="5"/>
      <c r="L125" s="5"/>
      <c r="M125" s="213">
        <f ca="1">M42</f>
        <v>7.1616311518164704</v>
      </c>
      <c r="N125" s="213">
        <f t="shared" ref="N125:Q125" ca="1" si="68">N42</f>
        <v>7.8248885919455953</v>
      </c>
      <c r="O125" s="213">
        <f t="shared" ca="1" si="68"/>
        <v>9.1440182332897972</v>
      </c>
      <c r="P125" s="213">
        <f t="shared" ca="1" si="68"/>
        <v>10.597597160105225</v>
      </c>
      <c r="Q125" s="214">
        <f t="shared" ca="1" si="68"/>
        <v>12.228809550001792</v>
      </c>
    </row>
    <row r="126" spans="3:17" x14ac:dyDescent="0.25">
      <c r="C126" s="59" t="str">
        <f>C43</f>
        <v>EPS - Diluted</v>
      </c>
      <c r="D126" s="5"/>
      <c r="E126" s="5"/>
      <c r="F126" s="5"/>
      <c r="G126" s="5"/>
      <c r="H126" s="5"/>
      <c r="I126" s="5"/>
      <c r="J126" s="5"/>
      <c r="K126" s="5"/>
      <c r="L126" s="5"/>
      <c r="M126" s="213">
        <f ca="1">M43</f>
        <v>7.0470455375641512</v>
      </c>
      <c r="N126" s="213">
        <f t="shared" ref="N126:Q126" ca="1" si="69">N43</f>
        <v>7.6996909034920886</v>
      </c>
      <c r="O126" s="213">
        <f t="shared" ca="1" si="69"/>
        <v>8.9977145597572452</v>
      </c>
      <c r="P126" s="213">
        <f t="shared" ca="1" si="69"/>
        <v>10.428036322015808</v>
      </c>
      <c r="Q126" s="214">
        <f t="shared" ca="1" si="69"/>
        <v>12.033149423955484</v>
      </c>
    </row>
    <row r="127" spans="3:17" x14ac:dyDescent="0.25">
      <c r="C127" s="61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8"/>
    </row>
    <row r="128" spans="3:17" x14ac:dyDescent="0.25">
      <c r="C128" s="157" t="s">
        <v>105</v>
      </c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8"/>
    </row>
    <row r="129" spans="3:17" x14ac:dyDescent="0.25">
      <c r="C129" s="194" t="s">
        <v>242</v>
      </c>
      <c r="D129" s="5"/>
      <c r="E129" s="5"/>
      <c r="F129" s="5"/>
      <c r="G129" s="5"/>
      <c r="H129" s="5"/>
      <c r="I129" s="5"/>
      <c r="J129" s="5"/>
      <c r="K129" s="5"/>
      <c r="L129" s="5"/>
      <c r="M129" s="50">
        <v>0.1</v>
      </c>
      <c r="N129" s="50">
        <v>0.1</v>
      </c>
      <c r="O129" s="50">
        <v>0.1</v>
      </c>
      <c r="P129" s="50">
        <v>0.1</v>
      </c>
      <c r="Q129" s="72">
        <v>0.1</v>
      </c>
    </row>
    <row r="130" spans="3:17" x14ac:dyDescent="0.25">
      <c r="C130" s="194" t="s">
        <v>243</v>
      </c>
      <c r="D130" s="5"/>
      <c r="E130" s="5"/>
      <c r="F130" s="5"/>
      <c r="G130" s="5"/>
      <c r="H130" s="5"/>
      <c r="I130" s="5"/>
      <c r="J130" s="5"/>
      <c r="K130" s="5"/>
      <c r="L130" s="5"/>
      <c r="M130" s="195">
        <f>M86</f>
        <v>3.3566392999561545E-2</v>
      </c>
      <c r="N130" s="195">
        <f t="shared" ref="N130:Q130" si="70">N86</f>
        <v>3.6137481411506522E-2</v>
      </c>
      <c r="O130" s="195">
        <f t="shared" si="70"/>
        <v>5.1346067567230591E-2</v>
      </c>
      <c r="P130" s="195">
        <f t="shared" si="70"/>
        <v>5.8684126995815378E-2</v>
      </c>
      <c r="Q130" s="196">
        <f t="shared" si="70"/>
        <v>6.9473860308115754E-2</v>
      </c>
    </row>
    <row r="131" spans="3:17" x14ac:dyDescent="0.25">
      <c r="C131" s="194" t="s">
        <v>244</v>
      </c>
      <c r="D131" s="5"/>
      <c r="E131" s="5"/>
      <c r="F131" s="5"/>
      <c r="G131" s="5"/>
      <c r="H131" s="5"/>
      <c r="I131" s="5"/>
      <c r="J131" s="5"/>
      <c r="K131" s="5"/>
      <c r="L131" s="5"/>
      <c r="M131" s="50">
        <v>0</v>
      </c>
      <c r="N131" s="50">
        <v>0</v>
      </c>
      <c r="O131" s="50">
        <v>0</v>
      </c>
      <c r="P131" s="50">
        <v>0</v>
      </c>
      <c r="Q131" s="72">
        <v>0</v>
      </c>
    </row>
    <row r="132" spans="3:17" x14ac:dyDescent="0.25">
      <c r="C132" s="157" t="s">
        <v>241</v>
      </c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8"/>
    </row>
    <row r="133" spans="3:17" x14ac:dyDescent="0.25">
      <c r="C133" s="194" t="s">
        <v>242</v>
      </c>
      <c r="D133" s="5"/>
      <c r="E133" s="5"/>
      <c r="F133" s="5"/>
      <c r="G133" s="5"/>
      <c r="H133" s="5"/>
      <c r="I133" s="5"/>
      <c r="J133" s="5"/>
      <c r="K133" s="5"/>
      <c r="L133" s="5"/>
      <c r="M133" s="50">
        <v>0.35</v>
      </c>
      <c r="N133" s="50">
        <v>0.35</v>
      </c>
      <c r="O133" s="50">
        <v>0.35</v>
      </c>
      <c r="P133" s="50">
        <v>0.35</v>
      </c>
      <c r="Q133" s="72">
        <v>0.35</v>
      </c>
    </row>
    <row r="134" spans="3:17" x14ac:dyDescent="0.25">
      <c r="C134" s="194" t="s">
        <v>243</v>
      </c>
      <c r="D134" s="5"/>
      <c r="E134" s="5"/>
      <c r="F134" s="5"/>
      <c r="G134" s="5"/>
      <c r="H134" s="5"/>
      <c r="I134" s="5"/>
      <c r="J134" s="5"/>
      <c r="K134" s="5"/>
      <c r="L134" s="5"/>
      <c r="M134" s="30">
        <v>0.30000000000000004</v>
      </c>
      <c r="N134" s="195">
        <v>0.30000000000000004</v>
      </c>
      <c r="O134" s="195">
        <v>0.30000000000000004</v>
      </c>
      <c r="P134" s="195">
        <v>0.30000000000000004</v>
      </c>
      <c r="Q134" s="196">
        <v>0.30000000000000004</v>
      </c>
    </row>
    <row r="135" spans="3:17" x14ac:dyDescent="0.25">
      <c r="C135" s="194" t="s">
        <v>244</v>
      </c>
      <c r="D135" s="5"/>
      <c r="E135" s="5"/>
      <c r="F135" s="5"/>
      <c r="G135" s="5"/>
      <c r="H135" s="5"/>
      <c r="I135" s="5"/>
      <c r="J135" s="5"/>
      <c r="K135" s="5"/>
      <c r="L135" s="5"/>
      <c r="M135" s="50">
        <v>0.2</v>
      </c>
      <c r="N135" s="50">
        <v>0.2</v>
      </c>
      <c r="O135" s="50">
        <v>0.2</v>
      </c>
      <c r="P135" s="50">
        <v>0.2</v>
      </c>
      <c r="Q135" s="72">
        <v>0.2</v>
      </c>
    </row>
    <row r="136" spans="3:17" x14ac:dyDescent="0.25">
      <c r="C136" s="197" t="s">
        <v>106</v>
      </c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8"/>
    </row>
    <row r="137" spans="3:17" x14ac:dyDescent="0.25">
      <c r="C137" s="194" t="s">
        <v>242</v>
      </c>
      <c r="D137" s="5"/>
      <c r="E137" s="5"/>
      <c r="F137" s="5"/>
      <c r="G137" s="5"/>
      <c r="H137" s="5"/>
      <c r="I137" s="5"/>
      <c r="J137" s="5"/>
      <c r="K137" s="5"/>
      <c r="L137" s="5"/>
      <c r="M137" s="50">
        <v>0.05</v>
      </c>
      <c r="N137" s="50">
        <v>0.05</v>
      </c>
      <c r="O137" s="50">
        <v>0.05</v>
      </c>
      <c r="P137" s="50">
        <v>0.05</v>
      </c>
      <c r="Q137" s="72">
        <v>0.05</v>
      </c>
    </row>
    <row r="138" spans="3:17" x14ac:dyDescent="0.25">
      <c r="C138" s="194" t="s">
        <v>243</v>
      </c>
      <c r="D138" s="5"/>
      <c r="E138" s="5"/>
      <c r="F138" s="5"/>
      <c r="G138" s="5"/>
      <c r="H138" s="5"/>
      <c r="I138" s="5"/>
      <c r="J138" s="5"/>
      <c r="K138" s="5"/>
      <c r="L138" s="5"/>
      <c r="M138" s="30">
        <v>6.5000000000000002E-2</v>
      </c>
      <c r="N138" s="195">
        <v>6.5000000000000002E-2</v>
      </c>
      <c r="O138" s="195">
        <v>6.5000000000000002E-2</v>
      </c>
      <c r="P138" s="195">
        <v>6.5000000000000002E-2</v>
      </c>
      <c r="Q138" s="196">
        <v>6.5000000000000002E-2</v>
      </c>
    </row>
    <row r="139" spans="3:17" x14ac:dyDescent="0.25">
      <c r="C139" s="194" t="s">
        <v>244</v>
      </c>
      <c r="D139" s="5"/>
      <c r="E139" s="5"/>
      <c r="F139" s="5"/>
      <c r="G139" s="5"/>
      <c r="H139" s="5"/>
      <c r="I139" s="5"/>
      <c r="J139" s="5"/>
      <c r="K139" s="5"/>
      <c r="L139" s="5"/>
      <c r="M139" s="50">
        <v>0.08</v>
      </c>
      <c r="N139" s="50">
        <v>0.08</v>
      </c>
      <c r="O139" s="50">
        <v>0.08</v>
      </c>
      <c r="P139" s="50">
        <v>0.08</v>
      </c>
      <c r="Q139" s="72">
        <v>0.08</v>
      </c>
    </row>
    <row r="140" spans="3:17" x14ac:dyDescent="0.25">
      <c r="C140" s="157" t="s">
        <v>107</v>
      </c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8"/>
    </row>
    <row r="141" spans="3:17" x14ac:dyDescent="0.25">
      <c r="C141" s="194" t="s">
        <v>242</v>
      </c>
      <c r="D141" s="5"/>
      <c r="E141" s="5"/>
      <c r="F141" s="5"/>
      <c r="G141" s="5"/>
      <c r="H141" s="5"/>
      <c r="I141" s="5"/>
      <c r="J141" s="5"/>
      <c r="K141" s="5"/>
      <c r="L141" s="5"/>
      <c r="M141" s="50">
        <v>0.12</v>
      </c>
      <c r="N141" s="50">
        <v>0.12</v>
      </c>
      <c r="O141" s="50">
        <v>0.12</v>
      </c>
      <c r="P141" s="50">
        <v>0.12</v>
      </c>
      <c r="Q141" s="72">
        <v>0.12</v>
      </c>
    </row>
    <row r="142" spans="3:17" x14ac:dyDescent="0.25">
      <c r="C142" s="194" t="s">
        <v>243</v>
      </c>
      <c r="D142" s="5"/>
      <c r="E142" s="5"/>
      <c r="F142" s="5"/>
      <c r="G142" s="5"/>
      <c r="H142" s="5"/>
      <c r="I142" s="5"/>
      <c r="J142" s="5"/>
      <c r="K142" s="5"/>
      <c r="L142" s="5"/>
      <c r="M142" s="30">
        <v>0.16</v>
      </c>
      <c r="N142" s="195">
        <v>0.16</v>
      </c>
      <c r="O142" s="195">
        <v>0.16</v>
      </c>
      <c r="P142" s="195">
        <v>0.16</v>
      </c>
      <c r="Q142" s="196">
        <v>0.16</v>
      </c>
    </row>
    <row r="143" spans="3:17" x14ac:dyDescent="0.25">
      <c r="C143" s="198" t="s">
        <v>244</v>
      </c>
      <c r="D143" s="18"/>
      <c r="E143" s="18"/>
      <c r="F143" s="18"/>
      <c r="G143" s="18"/>
      <c r="H143" s="18"/>
      <c r="I143" s="18"/>
      <c r="J143" s="18"/>
      <c r="K143" s="18"/>
      <c r="L143" s="18"/>
      <c r="M143" s="199">
        <v>0.18</v>
      </c>
      <c r="N143" s="199">
        <v>0.18</v>
      </c>
      <c r="O143" s="199">
        <v>0.18</v>
      </c>
      <c r="P143" s="199">
        <v>0.18</v>
      </c>
      <c r="Q143" s="200">
        <v>0.18</v>
      </c>
    </row>
  </sheetData>
  <mergeCells count="4">
    <mergeCell ref="F108:I112"/>
    <mergeCell ref="C3:Q6"/>
    <mergeCell ref="K106:O106"/>
    <mergeCell ref="C117:I117"/>
  </mergeCells>
  <conditionalFormatting sqref="C50">
    <cfRule type="expression" dxfId="9" priority="9">
      <formula>#REF!=$B50</formula>
    </cfRule>
  </conditionalFormatting>
  <conditionalFormatting sqref="C140">
    <cfRule type="expression" dxfId="8" priority="8">
      <formula>#REF!=$B140</formula>
    </cfRule>
  </conditionalFormatting>
  <conditionalFormatting sqref="C122:C126">
    <cfRule type="expression" dxfId="7" priority="7">
      <formula>#REF!=$B122</formula>
    </cfRule>
  </conditionalFormatting>
  <conditionalFormatting sqref="J117">
    <cfRule type="containsText" dxfId="6" priority="4" operator="containsText" text="Worst Case">
      <formula>NOT(ISERROR(SEARCH("Worst Case",J117)))</formula>
    </cfRule>
    <cfRule type="containsText" dxfId="5" priority="5" operator="containsText" text="Best Case">
      <formula>NOT(ISERROR(SEARCH("Best Case",J117)))</formula>
    </cfRule>
    <cfRule type="containsText" dxfId="4" priority="6" operator="containsText" text="Base Case">
      <formula>NOT(ISERROR(SEARCH("Base Case",J117)))</formula>
    </cfRule>
  </conditionalFormatting>
  <conditionalFormatting sqref="M119:Q124">
    <cfRule type="expression" dxfId="3" priority="2">
      <formula>$J$117="Worst Case"</formula>
    </cfRule>
    <cfRule type="expression" dxfId="2" priority="3">
      <formula>$J$117="Best Case"</formula>
    </cfRule>
  </conditionalFormatting>
  <conditionalFormatting sqref="M125:Q126">
    <cfRule type="expression" dxfId="1" priority="1">
      <formula>#REF!=$B125</formula>
    </cfRule>
  </conditionalFormatting>
  <dataValidations disablePrompts="1" count="1">
    <dataValidation type="list" allowBlank="1" showInputMessage="1" showErrorMessage="1" sqref="J117" xr:uid="{5CE0D812-28FB-4D69-B164-E72C61F10723}">
      <formula1>"Best Case, Base Case, Worst Case"</formula1>
    </dataValidation>
  </dataValidations>
  <hyperlinks>
    <hyperlink ref="P2" location="'Valuation Summary'!A1" display="&lt;= back to the index" xr:uid="{8E98F09D-4495-42C5-B9E1-98F4FFBDAD1D}"/>
  </hyperlinks>
  <pageMargins left="0.7" right="0.7" top="0.75" bottom="0.75" header="0.3" footer="0.3"/>
  <pageSetup scale="46" orientation="portrait" horizont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6A246-3F07-488B-9781-7EA4E491F9EC}">
  <sheetPr>
    <pageSetUpPr fitToPage="1"/>
  </sheetPr>
  <dimension ref="C2:T59"/>
  <sheetViews>
    <sheetView showGridLines="0" zoomScale="85" zoomScaleNormal="85" zoomScaleSheetLayoutView="85" workbookViewId="0">
      <pane ySplit="8" topLeftCell="A9" activePane="bottomLeft" state="frozen"/>
      <selection pane="bottomLeft" activeCell="A9" sqref="A9"/>
    </sheetView>
  </sheetViews>
  <sheetFormatPr defaultRowHeight="15" x14ac:dyDescent="0.25"/>
  <cols>
    <col min="1" max="1" width="2.42578125" customWidth="1"/>
    <col min="2" max="2" width="2.7109375" customWidth="1"/>
    <col min="9" max="16" width="15.7109375" customWidth="1"/>
    <col min="17" max="17" width="2.85546875" customWidth="1"/>
    <col min="19" max="19" width="10.28515625" bestFit="1" customWidth="1"/>
    <col min="20" max="20" width="9.5703125" bestFit="1" customWidth="1"/>
  </cols>
  <sheetData>
    <row r="2" spans="3:19" ht="15.75" thickBot="1" x14ac:dyDescent="0.3">
      <c r="O2" s="216" t="s">
        <v>252</v>
      </c>
    </row>
    <row r="3" spans="3:19" ht="15" customHeight="1" x14ac:dyDescent="0.25">
      <c r="C3" s="349" t="s">
        <v>41</v>
      </c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</row>
    <row r="4" spans="3:19" ht="15" customHeight="1" x14ac:dyDescent="0.25">
      <c r="C4" s="352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</row>
    <row r="5" spans="3:19" ht="15" customHeight="1" x14ac:dyDescent="0.25">
      <c r="C5" s="352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</row>
    <row r="6" spans="3:19" ht="15.75" customHeight="1" thickBot="1" x14ac:dyDescent="0.3">
      <c r="C6" s="355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</row>
    <row r="8" spans="3:19" x14ac:dyDescent="0.25">
      <c r="C8" s="92" t="s">
        <v>42</v>
      </c>
      <c r="D8" s="97"/>
      <c r="E8" s="97"/>
      <c r="F8" s="97"/>
      <c r="G8" s="97"/>
      <c r="H8" s="97"/>
      <c r="I8" s="98">
        <f>YEAR(I9)</f>
        <v>2016</v>
      </c>
      <c r="J8" s="98">
        <f t="shared" ref="J8:P8" si="0">YEAR(J9)</f>
        <v>2017</v>
      </c>
      <c r="K8" s="98">
        <f t="shared" si="0"/>
        <v>2018</v>
      </c>
      <c r="L8" s="95">
        <f t="shared" si="0"/>
        <v>2019</v>
      </c>
      <c r="M8" s="95">
        <f t="shared" si="0"/>
        <v>2020</v>
      </c>
      <c r="N8" s="95">
        <f t="shared" si="0"/>
        <v>2021</v>
      </c>
      <c r="O8" s="95">
        <f t="shared" si="0"/>
        <v>2022</v>
      </c>
      <c r="P8" s="96">
        <f t="shared" si="0"/>
        <v>2023</v>
      </c>
    </row>
    <row r="9" spans="3:19" x14ac:dyDescent="0.25">
      <c r="C9" s="99" t="s">
        <v>43</v>
      </c>
      <c r="D9" s="100"/>
      <c r="E9" s="100"/>
      <c r="F9" s="100"/>
      <c r="G9" s="100"/>
      <c r="H9" s="100"/>
      <c r="I9" s="101">
        <f>EOMONTH(J9,-12)</f>
        <v>42643</v>
      </c>
      <c r="J9" s="101">
        <f>EOMONTH(K9,-12)</f>
        <v>43008</v>
      </c>
      <c r="K9" s="101">
        <f>'Valuation Summary'!E15</f>
        <v>43373</v>
      </c>
      <c r="L9" s="101">
        <f>EOMONTH(K9,12)</f>
        <v>43738</v>
      </c>
      <c r="M9" s="101">
        <f t="shared" ref="M9:P9" si="1">EOMONTH(L9,12)</f>
        <v>44104</v>
      </c>
      <c r="N9" s="101">
        <f t="shared" si="1"/>
        <v>44469</v>
      </c>
      <c r="O9" s="101">
        <f t="shared" si="1"/>
        <v>44834</v>
      </c>
      <c r="P9" s="102">
        <f t="shared" si="1"/>
        <v>45199</v>
      </c>
    </row>
    <row r="10" spans="3:19" x14ac:dyDescent="0.25">
      <c r="C10" s="4" t="s">
        <v>44</v>
      </c>
      <c r="D10" s="5"/>
      <c r="E10" s="5"/>
      <c r="F10" s="5"/>
      <c r="G10" s="5"/>
      <c r="H10" s="5"/>
      <c r="I10" s="21">
        <v>10604</v>
      </c>
      <c r="J10" s="21">
        <v>8375</v>
      </c>
      <c r="K10" s="21">
        <v>11066</v>
      </c>
      <c r="L10" s="56">
        <f ca="1">'Cash Flow Statement'!K34</f>
        <v>11206.975193494147</v>
      </c>
      <c r="M10" s="56">
        <f ca="1">'Cash Flow Statement'!L34</f>
        <v>19017.283406314298</v>
      </c>
      <c r="N10" s="56">
        <f ca="1">'Cash Flow Statement'!M34</f>
        <v>27236.504093914093</v>
      </c>
      <c r="O10" s="56">
        <f ca="1">'Cash Flow Statement'!N34</f>
        <v>36092.069169545211</v>
      </c>
      <c r="P10" s="57">
        <f ca="1">'Cash Flow Statement'!O34</f>
        <v>45521.183035892522</v>
      </c>
      <c r="S10" s="163"/>
    </row>
    <row r="11" spans="3:19" x14ac:dyDescent="0.25">
      <c r="C11" s="4" t="s">
        <v>45</v>
      </c>
      <c r="D11" s="5"/>
      <c r="E11" s="5"/>
      <c r="F11" s="5"/>
      <c r="G11" s="5"/>
      <c r="H11" s="5"/>
      <c r="I11" s="21">
        <v>1293</v>
      </c>
      <c r="J11" s="21">
        <v>1242</v>
      </c>
      <c r="K11" s="21">
        <v>1286</v>
      </c>
      <c r="L11" s="64">
        <f>'Other Assets,liabilities &amp; Tax'!I44</f>
        <v>1286</v>
      </c>
      <c r="M11" s="64">
        <f>'Other Assets,liabilities &amp; Tax'!J44</f>
        <v>1286</v>
      </c>
      <c r="N11" s="64">
        <f>'Other Assets,liabilities &amp; Tax'!K44</f>
        <v>1286</v>
      </c>
      <c r="O11" s="64">
        <f>'Other Assets,liabilities &amp; Tax'!L44</f>
        <v>1286</v>
      </c>
      <c r="P11" s="68">
        <f>'Other Assets,liabilities &amp; Tax'!M44</f>
        <v>1286</v>
      </c>
      <c r="S11" s="163"/>
    </row>
    <row r="12" spans="3:19" x14ac:dyDescent="0.25">
      <c r="C12" s="4" t="s">
        <v>46</v>
      </c>
      <c r="D12" s="5"/>
      <c r="E12" s="5"/>
      <c r="F12" s="5"/>
      <c r="G12" s="5"/>
      <c r="H12" s="5"/>
      <c r="I12" s="21">
        <v>16287</v>
      </c>
      <c r="J12" s="21">
        <v>16754</v>
      </c>
      <c r="K12" s="21">
        <v>17918</v>
      </c>
      <c r="L12" s="64">
        <f ca="1">'Working Capital'!I9</f>
        <v>17808.654812806933</v>
      </c>
      <c r="M12" s="64">
        <f ca="1">'Working Capital'!J9</f>
        <v>18452.214745068679</v>
      </c>
      <c r="N12" s="64">
        <f ca="1">'Working Capital'!K9</f>
        <v>19399.663410134024</v>
      </c>
      <c r="O12" s="64">
        <f ca="1">'Working Capital'!L9</f>
        <v>20538.115721370403</v>
      </c>
      <c r="P12" s="68">
        <f ca="1">'Working Capital'!M9</f>
        <v>21964.977903988809</v>
      </c>
      <c r="S12" s="164"/>
    </row>
    <row r="13" spans="3:19" x14ac:dyDescent="0.25">
      <c r="C13" s="4" t="s">
        <v>47</v>
      </c>
      <c r="D13" s="5"/>
      <c r="E13" s="5"/>
      <c r="F13" s="5"/>
      <c r="G13" s="5"/>
      <c r="H13" s="5"/>
      <c r="I13" s="21">
        <v>6800</v>
      </c>
      <c r="J13" s="21">
        <v>7664</v>
      </c>
      <c r="K13" s="21">
        <v>8693</v>
      </c>
      <c r="L13" s="64">
        <f>K13</f>
        <v>8693</v>
      </c>
      <c r="M13" s="64">
        <f t="shared" ref="M13:P13" si="2">L13</f>
        <v>8693</v>
      </c>
      <c r="N13" s="64">
        <f t="shared" si="2"/>
        <v>8693</v>
      </c>
      <c r="O13" s="64">
        <f t="shared" si="2"/>
        <v>8693</v>
      </c>
      <c r="P13" s="68">
        <f t="shared" si="2"/>
        <v>8693</v>
      </c>
      <c r="S13" s="164"/>
    </row>
    <row r="14" spans="3:19" x14ac:dyDescent="0.25">
      <c r="C14" s="4" t="s">
        <v>48</v>
      </c>
      <c r="D14" s="5"/>
      <c r="E14" s="5"/>
      <c r="F14" s="5"/>
      <c r="G14" s="5"/>
      <c r="H14" s="5"/>
      <c r="I14" s="21">
        <v>0</v>
      </c>
      <c r="J14" s="21">
        <v>8781</v>
      </c>
      <c r="K14" s="21">
        <v>8912</v>
      </c>
      <c r="L14" s="64">
        <f>K14</f>
        <v>8912</v>
      </c>
      <c r="M14" s="64">
        <f t="shared" ref="M14:P14" si="3">L14</f>
        <v>8912</v>
      </c>
      <c r="N14" s="64">
        <f t="shared" si="3"/>
        <v>8912</v>
      </c>
      <c r="O14" s="64">
        <f t="shared" si="3"/>
        <v>8912</v>
      </c>
      <c r="P14" s="68">
        <f t="shared" si="3"/>
        <v>8912</v>
      </c>
      <c r="S14" s="164"/>
    </row>
    <row r="15" spans="3:19" x14ac:dyDescent="0.25">
      <c r="C15" s="4" t="s">
        <v>49</v>
      </c>
      <c r="D15" s="5"/>
      <c r="E15" s="5"/>
      <c r="F15" s="5"/>
      <c r="G15" s="5"/>
      <c r="H15" s="5"/>
      <c r="I15" s="21">
        <v>18160</v>
      </c>
      <c r="J15" s="21">
        <v>13885</v>
      </c>
      <c r="K15" s="21">
        <v>13885</v>
      </c>
      <c r="L15" s="64">
        <f ca="1">'Working Capital'!I17</f>
        <v>16103.790922270911</v>
      </c>
      <c r="M15" s="64">
        <f ca="1">'Working Capital'!J17</f>
        <v>16685.741367379265</v>
      </c>
      <c r="N15" s="64">
        <f ca="1">'Working Capital'!K17</f>
        <v>17542.488571038059</v>
      </c>
      <c r="O15" s="64">
        <f ca="1">'Working Capital'!L17</f>
        <v>18571.954198163494</v>
      </c>
      <c r="P15" s="68">
        <f ca="1">'Working Capital'!M17</f>
        <v>19862.219549775429</v>
      </c>
      <c r="S15" s="164"/>
    </row>
    <row r="16" spans="3:19" x14ac:dyDescent="0.25">
      <c r="C16" s="4" t="s">
        <v>50</v>
      </c>
      <c r="D16" s="5"/>
      <c r="E16" s="5"/>
      <c r="F16" s="5"/>
      <c r="G16" s="5"/>
      <c r="H16" s="5"/>
      <c r="I16" s="21">
        <v>790</v>
      </c>
      <c r="J16" s="21">
        <v>1098</v>
      </c>
      <c r="K16" s="21">
        <v>1010</v>
      </c>
      <c r="L16" s="64">
        <f>'Other Assets,liabilities &amp; Tax'!I39</f>
        <v>1010</v>
      </c>
      <c r="M16" s="64">
        <f>'Other Assets,liabilities &amp; Tax'!J39</f>
        <v>1010</v>
      </c>
      <c r="N16" s="64">
        <f>'Other Assets,liabilities &amp; Tax'!K39</f>
        <v>1010</v>
      </c>
      <c r="O16" s="64">
        <f>'Other Assets,liabilities &amp; Tax'!L39</f>
        <v>1010</v>
      </c>
      <c r="P16" s="68">
        <f>'Other Assets,liabilities &amp; Tax'!M39</f>
        <v>1010</v>
      </c>
      <c r="S16" s="164"/>
    </row>
    <row r="17" spans="3:20" x14ac:dyDescent="0.25">
      <c r="C17" s="4" t="s">
        <v>51</v>
      </c>
      <c r="D17" s="5"/>
      <c r="E17" s="5"/>
      <c r="F17" s="5"/>
      <c r="G17" s="5"/>
      <c r="H17" s="5"/>
      <c r="I17" s="21">
        <v>1204</v>
      </c>
      <c r="J17" s="21">
        <v>1466</v>
      </c>
      <c r="K17" s="21">
        <v>1707</v>
      </c>
      <c r="L17" s="64">
        <f>'Other Assets,liabilities &amp; Tax'!I9</f>
        <v>1707</v>
      </c>
      <c r="M17" s="64">
        <f>'Other Assets,liabilities &amp; Tax'!J9</f>
        <v>1707</v>
      </c>
      <c r="N17" s="64">
        <f>'Other Assets,liabilities &amp; Tax'!K9</f>
        <v>1707</v>
      </c>
      <c r="O17" s="64">
        <f>'Other Assets,liabilities &amp; Tax'!L9</f>
        <v>1707</v>
      </c>
      <c r="P17" s="68">
        <f>'Other Assets,liabilities &amp; Tax'!M9</f>
        <v>1707</v>
      </c>
      <c r="S17" s="164"/>
    </row>
    <row r="18" spans="3:20" x14ac:dyDescent="0.25">
      <c r="C18" s="4" t="s">
        <v>52</v>
      </c>
      <c r="D18" s="5"/>
      <c r="E18" s="5"/>
      <c r="F18" s="5"/>
      <c r="G18" s="5"/>
      <c r="H18" s="5"/>
      <c r="I18" s="21">
        <v>190</v>
      </c>
      <c r="J18" s="21">
        <v>1484</v>
      </c>
      <c r="K18" s="21">
        <v>94</v>
      </c>
      <c r="L18" s="64">
        <f>K18</f>
        <v>94</v>
      </c>
      <c r="M18" s="64">
        <f t="shared" ref="M18:P18" si="4">L18</f>
        <v>94</v>
      </c>
      <c r="N18" s="64">
        <f t="shared" si="4"/>
        <v>94</v>
      </c>
      <c r="O18" s="64">
        <f t="shared" si="4"/>
        <v>94</v>
      </c>
      <c r="P18" s="68">
        <f t="shared" si="4"/>
        <v>94</v>
      </c>
      <c r="S18" s="164"/>
    </row>
    <row r="19" spans="3:20" x14ac:dyDescent="0.25">
      <c r="C19" s="10" t="s">
        <v>53</v>
      </c>
      <c r="D19" s="5"/>
      <c r="E19" s="5"/>
      <c r="F19" s="5"/>
      <c r="G19" s="5"/>
      <c r="H19" s="5"/>
      <c r="I19" s="22">
        <f>SUM(I10:I18)</f>
        <v>55328</v>
      </c>
      <c r="J19" s="22">
        <v>60750</v>
      </c>
      <c r="K19" s="22">
        <f t="shared" ref="K19:L19" si="5">SUM(K10:K18)</f>
        <v>64571</v>
      </c>
      <c r="L19" s="22">
        <f t="shared" ca="1" si="5"/>
        <v>66821.420928571984</v>
      </c>
      <c r="M19" s="22">
        <f t="shared" ref="M19:P19" ca="1" si="6">SUM(M10:M18)</f>
        <v>75857.239518762246</v>
      </c>
      <c r="N19" s="22">
        <f t="shared" ca="1" si="6"/>
        <v>85880.656075086183</v>
      </c>
      <c r="O19" s="22">
        <f t="shared" ca="1" si="6"/>
        <v>96904.139089079108</v>
      </c>
      <c r="P19" s="129">
        <f t="shared" ca="1" si="6"/>
        <v>109050.38048965676</v>
      </c>
      <c r="S19" s="164"/>
      <c r="T19" s="163"/>
    </row>
    <row r="20" spans="3:20" x14ac:dyDescent="0.25">
      <c r="C20" s="4" t="s">
        <v>54</v>
      </c>
      <c r="D20" s="5"/>
      <c r="E20" s="5"/>
      <c r="F20" s="5"/>
      <c r="G20" s="5"/>
      <c r="H20" s="5"/>
      <c r="I20" s="21">
        <v>24159</v>
      </c>
      <c r="J20" s="21">
        <v>27906</v>
      </c>
      <c r="K20" s="21">
        <v>28344</v>
      </c>
      <c r="L20" s="64">
        <f>K20</f>
        <v>28344</v>
      </c>
      <c r="M20" s="64">
        <f t="shared" ref="M20:P20" si="7">L20</f>
        <v>28344</v>
      </c>
      <c r="N20" s="64">
        <f t="shared" si="7"/>
        <v>28344</v>
      </c>
      <c r="O20" s="64">
        <f t="shared" si="7"/>
        <v>28344</v>
      </c>
      <c r="P20" s="68">
        <f t="shared" si="7"/>
        <v>28344</v>
      </c>
      <c r="S20" s="164"/>
    </row>
    <row r="21" spans="3:20" x14ac:dyDescent="0.25">
      <c r="C21" s="4" t="s">
        <v>144</v>
      </c>
      <c r="D21" s="5"/>
      <c r="E21" s="5"/>
      <c r="F21" s="5"/>
      <c r="G21" s="5"/>
      <c r="H21" s="5"/>
      <c r="I21" s="21">
        <v>17899</v>
      </c>
      <c r="J21" s="21">
        <v>21903</v>
      </c>
      <c r="K21" s="21">
        <v>21512</v>
      </c>
      <c r="L21" s="64">
        <f ca="1">'PPE &amp; Intangible Assets'!G23</f>
        <v>21476.944295803132</v>
      </c>
      <c r="M21" s="64">
        <f ca="1">'PPE &amp; Intangible Assets'!H23</f>
        <v>21098.889542032703</v>
      </c>
      <c r="N21" s="64">
        <f ca="1">'PPE &amp; Intangible Assets'!I23</f>
        <v>20403.630256782621</v>
      </c>
      <c r="O21" s="64">
        <f ca="1">'PPE &amp; Intangible Assets'!J23</f>
        <v>19388.141243476275</v>
      </c>
      <c r="P21" s="68">
        <f ca="1">'PPE &amp; Intangible Assets'!K23</f>
        <v>18043.126208737292</v>
      </c>
      <c r="S21" s="164"/>
      <c r="T21" s="65"/>
    </row>
    <row r="22" spans="3:20" x14ac:dyDescent="0.25">
      <c r="C22" s="4" t="s">
        <v>55</v>
      </c>
      <c r="D22" s="5"/>
      <c r="E22" s="5"/>
      <c r="F22" s="5"/>
      <c r="G22" s="5"/>
      <c r="H22" s="5"/>
      <c r="I22" s="21">
        <v>3012</v>
      </c>
      <c r="J22" s="21">
        <v>2727</v>
      </c>
      <c r="K22" s="21">
        <v>2579</v>
      </c>
      <c r="L22" s="64">
        <f ca="1">'Other Assets,liabilities &amp; Tax'!I34</f>
        <v>2665.5677275458693</v>
      </c>
      <c r="M22" s="64">
        <f ca="1">'Other Assets,liabilities &amp; Tax'!J34</f>
        <v>2761.89463175117</v>
      </c>
      <c r="N22" s="64">
        <f ca="1">'Other Assets,liabilities &amp; Tax'!K34</f>
        <v>2903.7070601266369</v>
      </c>
      <c r="O22" s="64">
        <f ca="1">'Other Assets,liabilities &amp; Tax'!L34</f>
        <v>3074.1085740017543</v>
      </c>
      <c r="P22" s="68">
        <f ca="1">'Other Assets,liabilities &amp; Tax'!M34</f>
        <v>3287.6787636439331</v>
      </c>
      <c r="S22" s="164"/>
    </row>
    <row r="23" spans="3:20" x14ac:dyDescent="0.25">
      <c r="C23" s="4" t="s">
        <v>56</v>
      </c>
      <c r="D23" s="5"/>
      <c r="E23" s="5"/>
      <c r="F23" s="5"/>
      <c r="G23" s="5"/>
      <c r="H23" s="5"/>
      <c r="I23" s="21">
        <v>20610</v>
      </c>
      <c r="J23" s="21">
        <v>19044</v>
      </c>
      <c r="K23" s="21">
        <v>17759</v>
      </c>
      <c r="L23" s="64">
        <f>K23</f>
        <v>17759</v>
      </c>
      <c r="M23" s="64">
        <f t="shared" ref="M23:P23" si="8">L23</f>
        <v>17759</v>
      </c>
      <c r="N23" s="64">
        <f t="shared" si="8"/>
        <v>17759</v>
      </c>
      <c r="O23" s="64">
        <f t="shared" si="8"/>
        <v>17759</v>
      </c>
      <c r="P23" s="68">
        <f t="shared" si="8"/>
        <v>17759</v>
      </c>
      <c r="S23" s="164"/>
    </row>
    <row r="24" spans="3:20" x14ac:dyDescent="0.25">
      <c r="C24" s="4" t="s">
        <v>57</v>
      </c>
      <c r="D24" s="5"/>
      <c r="E24" s="5"/>
      <c r="F24" s="5"/>
      <c r="G24" s="5"/>
      <c r="H24" s="5"/>
      <c r="I24" s="21">
        <v>3431</v>
      </c>
      <c r="J24" s="21">
        <v>2283</v>
      </c>
      <c r="K24" s="21">
        <v>2341</v>
      </c>
      <c r="L24" s="64">
        <f>'Other Assets,liabilities &amp; Tax'!I19</f>
        <v>2341</v>
      </c>
      <c r="M24" s="64">
        <f>'Other Assets,liabilities &amp; Tax'!J19</f>
        <v>2341</v>
      </c>
      <c r="N24" s="64">
        <f>'Other Assets,liabilities &amp; Tax'!K19</f>
        <v>2341</v>
      </c>
      <c r="O24" s="64">
        <f>'Other Assets,liabilities &amp; Tax'!L19</f>
        <v>2341</v>
      </c>
      <c r="P24" s="68">
        <f>'Other Assets,liabilities &amp; Tax'!M19</f>
        <v>2341</v>
      </c>
      <c r="S24" s="164"/>
    </row>
    <row r="25" spans="3:20" x14ac:dyDescent="0.25">
      <c r="C25" s="4" t="s">
        <v>58</v>
      </c>
      <c r="D25" s="5"/>
      <c r="E25" s="5"/>
      <c r="F25" s="5"/>
      <c r="G25" s="5"/>
      <c r="H25" s="5"/>
      <c r="I25" s="21">
        <v>1279</v>
      </c>
      <c r="J25" s="21">
        <v>1498</v>
      </c>
      <c r="K25" s="21">
        <v>1810</v>
      </c>
      <c r="L25" s="64">
        <f>'Other Assets,liabilities &amp; Tax'!I24</f>
        <v>1810</v>
      </c>
      <c r="M25" s="64">
        <f>'Other Assets,liabilities &amp; Tax'!J24</f>
        <v>1810</v>
      </c>
      <c r="N25" s="64">
        <f>'Other Assets,liabilities &amp; Tax'!K24</f>
        <v>1810</v>
      </c>
      <c r="O25" s="64">
        <f>'Other Assets,liabilities &amp; Tax'!L24</f>
        <v>1810</v>
      </c>
      <c r="P25" s="68">
        <f>'Other Assets,liabilities &amp; Tax'!M24</f>
        <v>1810</v>
      </c>
      <c r="S25" s="164"/>
    </row>
    <row r="26" spans="3:20" x14ac:dyDescent="0.25">
      <c r="C26" s="10" t="s">
        <v>59</v>
      </c>
      <c r="D26" s="5"/>
      <c r="E26" s="5"/>
      <c r="F26" s="5"/>
      <c r="G26" s="5"/>
      <c r="H26" s="5"/>
      <c r="I26" s="22">
        <v>70388</v>
      </c>
      <c r="J26" s="22">
        <f>SUM(J20:J25)</f>
        <v>75361</v>
      </c>
      <c r="K26" s="22">
        <f>SUM(K20:K25)</f>
        <v>74345</v>
      </c>
      <c r="L26" s="22">
        <f ca="1">SUM(L20:L25)</f>
        <v>74396.512023349002</v>
      </c>
      <c r="M26" s="22">
        <f t="shared" ref="M26:P26" ca="1" si="9">SUM(M20:M25)</f>
        <v>74114.784173783875</v>
      </c>
      <c r="N26" s="22">
        <f t="shared" ca="1" si="9"/>
        <v>73561.337316909252</v>
      </c>
      <c r="O26" s="22">
        <f t="shared" ca="1" si="9"/>
        <v>72716.249817478034</v>
      </c>
      <c r="P26" s="129">
        <f t="shared" ca="1" si="9"/>
        <v>71584.804972381215</v>
      </c>
      <c r="S26" s="164"/>
    </row>
    <row r="27" spans="3:20" x14ac:dyDescent="0.25">
      <c r="C27" s="10" t="s">
        <v>60</v>
      </c>
      <c r="D27" s="5"/>
      <c r="E27" s="5"/>
      <c r="F27" s="5"/>
      <c r="G27" s="5"/>
      <c r="H27" s="5"/>
      <c r="I27" s="22">
        <f>SUM(I19,I26)</f>
        <v>125716</v>
      </c>
      <c r="J27" s="22">
        <f>SUM(J19,J26)</f>
        <v>136111</v>
      </c>
      <c r="K27" s="22">
        <f>SUM(K19,K26)</f>
        <v>138916</v>
      </c>
      <c r="L27" s="22">
        <f ca="1">SUM(L19,L26)</f>
        <v>141217.93295192099</v>
      </c>
      <c r="M27" s="22">
        <f t="shared" ref="M27:P27" ca="1" si="10">SUM(M19,M26)</f>
        <v>149972.02369254612</v>
      </c>
      <c r="N27" s="22">
        <f t="shared" ca="1" si="10"/>
        <v>159441.99339199543</v>
      </c>
      <c r="O27" s="22">
        <f t="shared" ca="1" si="10"/>
        <v>169620.38890655714</v>
      </c>
      <c r="P27" s="129">
        <f t="shared" ca="1" si="10"/>
        <v>180635.18546203797</v>
      </c>
      <c r="S27" s="164"/>
    </row>
    <row r="28" spans="3:20" x14ac:dyDescent="0.25"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8"/>
      <c r="S28" s="164"/>
    </row>
    <row r="29" spans="3:20" x14ac:dyDescent="0.25">
      <c r="C29" s="10" t="s">
        <v>61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8"/>
      <c r="S29" s="164"/>
    </row>
    <row r="30" spans="3:20" x14ac:dyDescent="0.25">
      <c r="C30" s="4" t="s">
        <v>62</v>
      </c>
      <c r="D30" s="5"/>
      <c r="E30" s="5"/>
      <c r="F30" s="5"/>
      <c r="G30" s="5"/>
      <c r="H30" s="5"/>
      <c r="I30" s="21">
        <v>6206</v>
      </c>
      <c r="J30" s="21">
        <v>5447</v>
      </c>
      <c r="K30" s="21">
        <v>5057</v>
      </c>
      <c r="L30" s="80">
        <f ca="1">'Debt Schedule'!I9</f>
        <v>0</v>
      </c>
      <c r="M30" s="80">
        <f ca="1">'Debt Schedule'!J9</f>
        <v>0</v>
      </c>
      <c r="N30" s="80">
        <f ca="1">'Debt Schedule'!K9</f>
        <v>0</v>
      </c>
      <c r="O30" s="80">
        <f ca="1">'Debt Schedule'!L9</f>
        <v>0</v>
      </c>
      <c r="P30" s="78">
        <f ca="1">'Debt Schedule'!M9</f>
        <v>0</v>
      </c>
      <c r="S30" s="164"/>
    </row>
    <row r="31" spans="3:20" x14ac:dyDescent="0.25">
      <c r="C31" s="4" t="s">
        <v>63</v>
      </c>
      <c r="D31" s="5"/>
      <c r="E31" s="5"/>
      <c r="F31" s="5"/>
      <c r="G31" s="5"/>
      <c r="H31" s="5"/>
      <c r="I31" s="21">
        <v>8048</v>
      </c>
      <c r="J31" s="21">
        <v>9756</v>
      </c>
      <c r="K31" s="21">
        <v>10716</v>
      </c>
      <c r="L31" s="64">
        <f ca="1">'Working Capital'!I26</f>
        <v>9955.1256293354472</v>
      </c>
      <c r="M31" s="64">
        <f ca="1">'Working Capital'!J26</f>
        <v>10314.878796714771</v>
      </c>
      <c r="N31" s="64">
        <f ca="1">'Working Capital'!K26</f>
        <v>10844.507260358681</v>
      </c>
      <c r="O31" s="64">
        <f ca="1">'Working Capital'!L26</f>
        <v>11480.907701632612</v>
      </c>
      <c r="P31" s="68">
        <f ca="1">'Working Capital'!M26</f>
        <v>12278.530679506208</v>
      </c>
      <c r="S31" s="164"/>
    </row>
    <row r="32" spans="3:20" x14ac:dyDescent="0.25">
      <c r="C32" s="4" t="s">
        <v>64</v>
      </c>
      <c r="D32" s="5"/>
      <c r="E32" s="5"/>
      <c r="F32" s="5"/>
      <c r="G32" s="5"/>
      <c r="H32" s="5"/>
      <c r="I32" s="21">
        <v>1933</v>
      </c>
      <c r="J32" s="21">
        <v>1444</v>
      </c>
      <c r="K32" s="21">
        <v>1485</v>
      </c>
      <c r="L32" s="64">
        <f>K32</f>
        <v>1485</v>
      </c>
      <c r="M32" s="64">
        <f t="shared" ref="M32:P32" si="11">L32</f>
        <v>1485</v>
      </c>
      <c r="N32" s="64">
        <f t="shared" si="11"/>
        <v>1485</v>
      </c>
      <c r="O32" s="64">
        <f t="shared" si="11"/>
        <v>1485</v>
      </c>
      <c r="P32" s="68">
        <f t="shared" si="11"/>
        <v>1485</v>
      </c>
      <c r="S32" s="164"/>
    </row>
    <row r="33" spans="3:19" x14ac:dyDescent="0.25">
      <c r="C33" s="4" t="s">
        <v>65</v>
      </c>
      <c r="D33" s="5"/>
      <c r="E33" s="5"/>
      <c r="F33" s="5"/>
      <c r="G33" s="5"/>
      <c r="H33" s="5"/>
      <c r="I33" s="21">
        <v>0</v>
      </c>
      <c r="J33" s="21">
        <v>14228</v>
      </c>
      <c r="K33" s="21">
        <v>14464</v>
      </c>
      <c r="L33" s="64">
        <f>K33</f>
        <v>14464</v>
      </c>
      <c r="M33" s="64">
        <f t="shared" ref="M33:P34" si="12">L33</f>
        <v>14464</v>
      </c>
      <c r="N33" s="64">
        <f t="shared" si="12"/>
        <v>14464</v>
      </c>
      <c r="O33" s="64">
        <f t="shared" si="12"/>
        <v>14464</v>
      </c>
      <c r="P33" s="68">
        <f t="shared" si="12"/>
        <v>14464</v>
      </c>
      <c r="S33" s="164"/>
    </row>
    <row r="34" spans="3:19" x14ac:dyDescent="0.25">
      <c r="C34" s="4" t="s">
        <v>66</v>
      </c>
      <c r="D34" s="5"/>
      <c r="E34" s="5"/>
      <c r="F34" s="5"/>
      <c r="G34" s="5"/>
      <c r="H34" s="5"/>
      <c r="I34" s="21">
        <v>4166</v>
      </c>
      <c r="J34" s="21">
        <v>4077</v>
      </c>
      <c r="K34" s="21">
        <v>3931</v>
      </c>
      <c r="L34" s="64">
        <f>K34</f>
        <v>3931</v>
      </c>
      <c r="M34" s="64">
        <f t="shared" si="12"/>
        <v>3931</v>
      </c>
      <c r="N34" s="64">
        <f t="shared" si="12"/>
        <v>3931</v>
      </c>
      <c r="O34" s="64">
        <f t="shared" si="12"/>
        <v>3931</v>
      </c>
      <c r="P34" s="68">
        <f t="shared" si="12"/>
        <v>3931</v>
      </c>
      <c r="S34" s="164"/>
    </row>
    <row r="35" spans="3:19" x14ac:dyDescent="0.25">
      <c r="C35" s="4" t="s">
        <v>67</v>
      </c>
      <c r="D35" s="5"/>
      <c r="E35" s="5"/>
      <c r="F35" s="5"/>
      <c r="G35" s="5"/>
      <c r="H35" s="5"/>
      <c r="I35" s="21">
        <v>2085</v>
      </c>
      <c r="J35" s="21">
        <v>2355</v>
      </c>
      <c r="K35" s="21">
        <v>3102</v>
      </c>
      <c r="L35" s="64">
        <f>K35</f>
        <v>3102</v>
      </c>
      <c r="M35" s="64">
        <f t="shared" ref="M35:P35" si="13">L35</f>
        <v>3102</v>
      </c>
      <c r="N35" s="64">
        <f t="shared" si="13"/>
        <v>3102</v>
      </c>
      <c r="O35" s="64">
        <f t="shared" si="13"/>
        <v>3102</v>
      </c>
      <c r="P35" s="68">
        <f t="shared" si="13"/>
        <v>3102</v>
      </c>
      <c r="S35" s="164"/>
    </row>
    <row r="36" spans="3:19" x14ac:dyDescent="0.25">
      <c r="C36" s="4" t="s">
        <v>68</v>
      </c>
      <c r="D36" s="5"/>
      <c r="E36" s="5"/>
      <c r="F36" s="5"/>
      <c r="G36" s="5"/>
      <c r="H36" s="5"/>
      <c r="I36" s="21">
        <v>20437</v>
      </c>
      <c r="J36" s="21">
        <v>8671</v>
      </c>
      <c r="K36" s="21">
        <v>9118</v>
      </c>
      <c r="L36" s="64">
        <f>'Other Assets,liabilities &amp; Tax'!I14</f>
        <v>9118</v>
      </c>
      <c r="M36" s="64">
        <f>'Other Assets,liabilities &amp; Tax'!J14</f>
        <v>9118</v>
      </c>
      <c r="N36" s="64">
        <f>'Other Assets,liabilities &amp; Tax'!K14</f>
        <v>9118</v>
      </c>
      <c r="O36" s="64">
        <f>'Other Assets,liabilities &amp; Tax'!L14</f>
        <v>9118</v>
      </c>
      <c r="P36" s="68">
        <f>'Other Assets,liabilities &amp; Tax'!M14</f>
        <v>9118</v>
      </c>
      <c r="S36" s="164"/>
    </row>
    <row r="37" spans="3:19" x14ac:dyDescent="0.25">
      <c r="C37" s="4" t="s">
        <v>69</v>
      </c>
      <c r="D37" s="5"/>
      <c r="E37" s="5"/>
      <c r="F37" s="5"/>
      <c r="G37" s="5"/>
      <c r="H37" s="5"/>
      <c r="I37" s="21">
        <v>40</v>
      </c>
      <c r="J37" s="21">
        <v>99</v>
      </c>
      <c r="K37" s="21">
        <v>1</v>
      </c>
      <c r="L37" s="64">
        <f>'Other Assets,liabilities &amp; Tax'!I49</f>
        <v>1</v>
      </c>
      <c r="M37" s="64">
        <f>'Other Assets,liabilities &amp; Tax'!J49</f>
        <v>1</v>
      </c>
      <c r="N37" s="64">
        <f>'Other Assets,liabilities &amp; Tax'!K49</f>
        <v>1</v>
      </c>
      <c r="O37" s="64">
        <f>'Other Assets,liabilities &amp; Tax'!L49</f>
        <v>1</v>
      </c>
      <c r="P37" s="68">
        <f>'Other Assets,liabilities &amp; Tax'!M49</f>
        <v>1</v>
      </c>
      <c r="S37" s="164"/>
    </row>
    <row r="38" spans="3:19" x14ac:dyDescent="0.25">
      <c r="C38" s="10" t="s">
        <v>70</v>
      </c>
      <c r="D38" s="5"/>
      <c r="E38" s="5"/>
      <c r="F38" s="5"/>
      <c r="G38" s="5"/>
      <c r="H38" s="5"/>
      <c r="I38" s="22">
        <f>SUM(I30:I37)</f>
        <v>42915</v>
      </c>
      <c r="J38" s="22">
        <f t="shared" ref="J38:L38" si="14">SUM(J30:J37)</f>
        <v>46077</v>
      </c>
      <c r="K38" s="22">
        <f t="shared" si="14"/>
        <v>47874</v>
      </c>
      <c r="L38" s="22">
        <f t="shared" ca="1" si="14"/>
        <v>42056.125629335445</v>
      </c>
      <c r="M38" s="22">
        <f t="shared" ref="M38:P38" ca="1" si="15">SUM(M30:M37)</f>
        <v>42415.878796714773</v>
      </c>
      <c r="N38" s="22">
        <f t="shared" ca="1" si="15"/>
        <v>42945.507260358681</v>
      </c>
      <c r="O38" s="22">
        <f t="shared" ca="1" si="15"/>
        <v>43581.907701632612</v>
      </c>
      <c r="P38" s="129">
        <f t="shared" ca="1" si="15"/>
        <v>44379.530679506206</v>
      </c>
      <c r="S38" s="164"/>
    </row>
    <row r="39" spans="3:19" x14ac:dyDescent="0.25">
      <c r="C39" s="4" t="s">
        <v>71</v>
      </c>
      <c r="D39" s="5"/>
      <c r="E39" s="5"/>
      <c r="F39" s="5"/>
      <c r="G39" s="5"/>
      <c r="H39" s="5"/>
      <c r="I39" s="21">
        <v>24761</v>
      </c>
      <c r="J39" s="21">
        <v>26777</v>
      </c>
      <c r="K39" s="21">
        <v>27120</v>
      </c>
      <c r="L39" s="80">
        <f>'Debt Schedule'!I24</f>
        <v>32117.333333333332</v>
      </c>
      <c r="M39" s="80">
        <f>'Debt Schedule'!J24</f>
        <v>37114.666666666664</v>
      </c>
      <c r="N39" s="80">
        <f>'Debt Schedule'!K24</f>
        <v>42112</v>
      </c>
      <c r="O39" s="80">
        <f>'Debt Schedule'!L24</f>
        <v>47109.333333333336</v>
      </c>
      <c r="P39" s="78">
        <f>'Debt Schedule'!M24</f>
        <v>52106.666666666672</v>
      </c>
      <c r="S39" s="164"/>
    </row>
    <row r="40" spans="3:19" x14ac:dyDescent="0.25">
      <c r="C40" s="4" t="s">
        <v>72</v>
      </c>
      <c r="D40" s="5"/>
      <c r="E40" s="5"/>
      <c r="F40" s="5"/>
      <c r="G40" s="5"/>
      <c r="H40" s="5"/>
      <c r="I40" s="21">
        <v>13695</v>
      </c>
      <c r="J40" s="21">
        <v>9582</v>
      </c>
      <c r="K40" s="21">
        <v>7684</v>
      </c>
      <c r="L40" s="64">
        <f>'Other Assets,liabilities &amp; Tax'!I59</f>
        <v>7684</v>
      </c>
      <c r="M40" s="64">
        <f>'Other Assets,liabilities &amp; Tax'!J59</f>
        <v>7684</v>
      </c>
      <c r="N40" s="64">
        <f>'Other Assets,liabilities &amp; Tax'!K59</f>
        <v>7684</v>
      </c>
      <c r="O40" s="64">
        <f>'Other Assets,liabilities &amp; Tax'!L59</f>
        <v>7684</v>
      </c>
      <c r="P40" s="68">
        <f>'Other Assets,liabilities &amp; Tax'!M59</f>
        <v>7684</v>
      </c>
      <c r="S40" s="164"/>
    </row>
    <row r="41" spans="3:19" x14ac:dyDescent="0.25">
      <c r="C41" s="4" t="s">
        <v>73</v>
      </c>
      <c r="D41" s="5"/>
      <c r="E41" s="5"/>
      <c r="F41" s="5"/>
      <c r="G41" s="5"/>
      <c r="H41" s="5"/>
      <c r="I41" s="21">
        <v>829</v>
      </c>
      <c r="J41" s="21">
        <v>1635</v>
      </c>
      <c r="K41" s="21">
        <v>1092</v>
      </c>
      <c r="L41" s="64">
        <f>'Other Assets,liabilities &amp; Tax'!I64</f>
        <v>1092</v>
      </c>
      <c r="M41" s="64">
        <f>'Other Assets,liabilities &amp; Tax'!J64</f>
        <v>1092</v>
      </c>
      <c r="N41" s="64">
        <f>'Other Assets,liabilities &amp; Tax'!K64</f>
        <v>1092</v>
      </c>
      <c r="O41" s="64">
        <f>'Other Assets,liabilities &amp; Tax'!L64</f>
        <v>1092</v>
      </c>
      <c r="P41" s="68">
        <f>'Other Assets,liabilities &amp; Tax'!M64</f>
        <v>1092</v>
      </c>
      <c r="S41" s="164"/>
    </row>
    <row r="42" spans="3:19" x14ac:dyDescent="0.25">
      <c r="C42" s="4" t="s">
        <v>74</v>
      </c>
      <c r="D42" s="5"/>
      <c r="E42" s="5"/>
      <c r="F42" s="5"/>
      <c r="G42" s="5"/>
      <c r="H42" s="5"/>
      <c r="I42" s="21">
        <v>5087</v>
      </c>
      <c r="J42" s="21">
        <v>4366</v>
      </c>
      <c r="K42" s="21">
        <v>4216</v>
      </c>
      <c r="L42" s="64">
        <f>'Other Assets,liabilities &amp; Tax'!I54</f>
        <v>4216</v>
      </c>
      <c r="M42" s="64">
        <f>'Other Assets,liabilities &amp; Tax'!J54</f>
        <v>4216</v>
      </c>
      <c r="N42" s="64">
        <f>'Other Assets,liabilities &amp; Tax'!K54</f>
        <v>4216</v>
      </c>
      <c r="O42" s="64">
        <f>'Other Assets,liabilities &amp; Tax'!L54</f>
        <v>4216</v>
      </c>
      <c r="P42" s="68">
        <f>'Other Assets,liabilities &amp; Tax'!M54</f>
        <v>4216</v>
      </c>
      <c r="S42" s="164"/>
    </row>
    <row r="43" spans="3:19" x14ac:dyDescent="0.25">
      <c r="C43" s="4" t="s">
        <v>75</v>
      </c>
      <c r="D43" s="5"/>
      <c r="E43" s="5"/>
      <c r="F43" s="5"/>
      <c r="G43" s="5"/>
      <c r="H43" s="5"/>
      <c r="I43" s="21">
        <v>1142</v>
      </c>
      <c r="J43" s="21">
        <v>902</v>
      </c>
      <c r="K43" s="21">
        <v>685</v>
      </c>
      <c r="L43" s="64">
        <f>K43</f>
        <v>685</v>
      </c>
      <c r="M43" s="64">
        <f t="shared" ref="M43:P43" si="16">L43</f>
        <v>685</v>
      </c>
      <c r="N43" s="64">
        <f t="shared" si="16"/>
        <v>685</v>
      </c>
      <c r="O43" s="64">
        <f t="shared" si="16"/>
        <v>685</v>
      </c>
      <c r="P43" s="68">
        <f t="shared" si="16"/>
        <v>685</v>
      </c>
      <c r="S43" s="164"/>
    </row>
    <row r="44" spans="3:19" x14ac:dyDescent="0.25">
      <c r="C44" s="4" t="s">
        <v>76</v>
      </c>
      <c r="D44" s="5"/>
      <c r="E44" s="5"/>
      <c r="F44" s="5"/>
      <c r="G44" s="5"/>
      <c r="H44" s="5"/>
      <c r="I44" s="21">
        <v>2471</v>
      </c>
      <c r="J44" s="21">
        <v>2153</v>
      </c>
      <c r="K44" s="21">
        <v>2198</v>
      </c>
      <c r="L44" s="64">
        <f>'Other Assets,liabilities &amp; Tax'!I29</f>
        <v>2198</v>
      </c>
      <c r="M44" s="64">
        <f>'Other Assets,liabilities &amp; Tax'!J29</f>
        <v>2198</v>
      </c>
      <c r="N44" s="64">
        <f>'Other Assets,liabilities &amp; Tax'!K29</f>
        <v>2198</v>
      </c>
      <c r="O44" s="64">
        <f>'Other Assets,liabilities &amp; Tax'!L29</f>
        <v>2198</v>
      </c>
      <c r="P44" s="68">
        <f>'Other Assets,liabilities &amp; Tax'!M29</f>
        <v>2198</v>
      </c>
      <c r="S44" s="164"/>
    </row>
    <row r="45" spans="3:19" x14ac:dyDescent="0.25">
      <c r="C45" s="10" t="s">
        <v>77</v>
      </c>
      <c r="D45" s="5"/>
      <c r="E45" s="5"/>
      <c r="F45" s="5"/>
      <c r="G45" s="5"/>
      <c r="H45" s="5"/>
      <c r="I45" s="22">
        <v>47986</v>
      </c>
      <c r="J45" s="22">
        <f t="shared" ref="J45:L45" si="17">SUM(J39:J44)</f>
        <v>45415</v>
      </c>
      <c r="K45" s="22">
        <f t="shared" si="17"/>
        <v>42995</v>
      </c>
      <c r="L45" s="22">
        <f t="shared" si="17"/>
        <v>47992.333333333328</v>
      </c>
      <c r="M45" s="22">
        <f t="shared" ref="M45:P45" si="18">SUM(M39:M44)</f>
        <v>52989.666666666664</v>
      </c>
      <c r="N45" s="22">
        <f t="shared" si="18"/>
        <v>57987</v>
      </c>
      <c r="O45" s="22">
        <f t="shared" si="18"/>
        <v>62984.333333333336</v>
      </c>
      <c r="P45" s="129">
        <f t="shared" si="18"/>
        <v>67981.666666666672</v>
      </c>
      <c r="S45" s="164"/>
    </row>
    <row r="46" spans="3:19" x14ac:dyDescent="0.25">
      <c r="C46" s="10" t="s">
        <v>78</v>
      </c>
      <c r="D46" s="5"/>
      <c r="E46" s="5"/>
      <c r="F46" s="5"/>
      <c r="G46" s="5"/>
      <c r="H46" s="5"/>
      <c r="I46" s="22">
        <f>SUM(I38,I45)</f>
        <v>90901</v>
      </c>
      <c r="J46" s="22">
        <f t="shared" ref="J46:L46" si="19">SUM(J38,J45)</f>
        <v>91492</v>
      </c>
      <c r="K46" s="22">
        <f t="shared" si="19"/>
        <v>90869</v>
      </c>
      <c r="L46" s="22">
        <f t="shared" ca="1" si="19"/>
        <v>90048.458962668781</v>
      </c>
      <c r="M46" s="22">
        <f t="shared" ref="M46:P46" ca="1" si="20">SUM(M38,M45)</f>
        <v>95405.545463381437</v>
      </c>
      <c r="N46" s="22">
        <f t="shared" ca="1" si="20"/>
        <v>100932.50726035869</v>
      </c>
      <c r="O46" s="22">
        <f t="shared" ca="1" si="20"/>
        <v>106566.24103496595</v>
      </c>
      <c r="P46" s="129">
        <f t="shared" ca="1" si="20"/>
        <v>112361.19734617288</v>
      </c>
      <c r="S46" s="164"/>
    </row>
    <row r="47" spans="3:19" x14ac:dyDescent="0.25">
      <c r="C47" s="4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8"/>
      <c r="S47" s="164"/>
    </row>
    <row r="48" spans="3:19" x14ac:dyDescent="0.25">
      <c r="C48" s="10" t="s">
        <v>79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8"/>
      <c r="S48" s="164"/>
    </row>
    <row r="49" spans="3:20" x14ac:dyDescent="0.25">
      <c r="C49" s="4" t="s">
        <v>80</v>
      </c>
      <c r="D49" s="5"/>
      <c r="E49" s="5"/>
      <c r="F49" s="5"/>
      <c r="G49" s="5"/>
      <c r="H49" s="5"/>
      <c r="I49" s="21">
        <v>2550</v>
      </c>
      <c r="J49" s="21">
        <v>2550</v>
      </c>
      <c r="K49" s="21">
        <v>2550</v>
      </c>
      <c r="L49" s="64">
        <f>'Equity Schedule'!I10</f>
        <v>2550</v>
      </c>
      <c r="M49" s="64">
        <f>'Equity Schedule'!J10</f>
        <v>2550</v>
      </c>
      <c r="N49" s="64">
        <f>'Equity Schedule'!K10</f>
        <v>2550</v>
      </c>
      <c r="O49" s="64">
        <f ca="1">'Equity Schedule'!L10</f>
        <v>2550</v>
      </c>
      <c r="P49" s="68">
        <f ca="1">'Equity Schedule'!M10</f>
        <v>2550</v>
      </c>
      <c r="S49" s="164"/>
      <c r="T49" s="164"/>
    </row>
    <row r="50" spans="3:20" x14ac:dyDescent="0.25">
      <c r="C50" s="4" t="s">
        <v>81</v>
      </c>
      <c r="D50" s="5"/>
      <c r="E50" s="5"/>
      <c r="F50" s="5"/>
      <c r="G50" s="5"/>
      <c r="H50" s="5"/>
      <c r="I50" s="21">
        <v>5890</v>
      </c>
      <c r="J50" s="21">
        <v>6368</v>
      </c>
      <c r="K50" s="21">
        <v>6184</v>
      </c>
      <c r="L50" s="64">
        <f>K50</f>
        <v>6184</v>
      </c>
      <c r="M50" s="64">
        <f t="shared" ref="M50:P50" si="21">L50</f>
        <v>6184</v>
      </c>
      <c r="N50" s="64">
        <f t="shared" si="21"/>
        <v>6184</v>
      </c>
      <c r="O50" s="64">
        <f t="shared" si="21"/>
        <v>6184</v>
      </c>
      <c r="P50" s="68">
        <f t="shared" si="21"/>
        <v>6184</v>
      </c>
      <c r="S50" s="164"/>
      <c r="T50" s="164"/>
    </row>
    <row r="51" spans="3:20" x14ac:dyDescent="0.25">
      <c r="C51" s="4" t="s">
        <v>82</v>
      </c>
      <c r="D51" s="5"/>
      <c r="E51" s="5"/>
      <c r="F51" s="5"/>
      <c r="G51" s="5"/>
      <c r="H51" s="5"/>
      <c r="I51" s="21">
        <v>27454</v>
      </c>
      <c r="J51" s="21">
        <v>35794</v>
      </c>
      <c r="K51" s="21">
        <v>41014</v>
      </c>
      <c r="L51" s="64">
        <f ca="1">'Equity Schedule'!I27</f>
        <v>44136.473989252212</v>
      </c>
      <c r="M51" s="64">
        <f ca="1">'Equity Schedule'!J27</f>
        <v>47533.478229164677</v>
      </c>
      <c r="N51" s="64">
        <f ca="1">'Equity Schedule'!K27</f>
        <v>51476.486131636746</v>
      </c>
      <c r="O51" s="64">
        <f ca="1">'Equity Schedule'!L27</f>
        <v>56021.14787159118</v>
      </c>
      <c r="P51" s="68">
        <f ca="1">'Equity Schedule'!M27</f>
        <v>61240.988115865126</v>
      </c>
      <c r="S51" s="164"/>
    </row>
    <row r="52" spans="3:20" x14ac:dyDescent="0.25">
      <c r="C52" s="4" t="s">
        <v>83</v>
      </c>
      <c r="D52" s="5"/>
      <c r="E52" s="5"/>
      <c r="F52" s="5"/>
      <c r="G52" s="5"/>
      <c r="H52" s="5"/>
      <c r="I52" s="21">
        <v>1921</v>
      </c>
      <c r="J52" s="21">
        <v>1665</v>
      </c>
      <c r="K52" s="21">
        <v>-352</v>
      </c>
      <c r="L52" s="64">
        <f>K52</f>
        <v>-352</v>
      </c>
      <c r="M52" s="64">
        <f t="shared" ref="M52:P52" si="22">L52</f>
        <v>-352</v>
      </c>
      <c r="N52" s="64">
        <f t="shared" si="22"/>
        <v>-352</v>
      </c>
      <c r="O52" s="64">
        <f t="shared" si="22"/>
        <v>-352</v>
      </c>
      <c r="P52" s="68">
        <f t="shared" si="22"/>
        <v>-352</v>
      </c>
      <c r="S52" s="164"/>
    </row>
    <row r="53" spans="3:20" x14ac:dyDescent="0.25">
      <c r="C53" s="4" t="s">
        <v>84</v>
      </c>
      <c r="D53" s="5"/>
      <c r="E53" s="5"/>
      <c r="F53" s="5"/>
      <c r="G53" s="5"/>
      <c r="H53" s="5"/>
      <c r="I53" s="21">
        <v>-3605</v>
      </c>
      <c r="J53" s="21">
        <v>-3196</v>
      </c>
      <c r="K53" s="21">
        <v>-3922</v>
      </c>
      <c r="L53" s="64">
        <f>-'Equity Schedule'!I19</f>
        <v>-3922</v>
      </c>
      <c r="M53" s="64">
        <f>-'Equity Schedule'!J19</f>
        <v>-3922</v>
      </c>
      <c r="N53" s="64">
        <f>-'Equity Schedule'!K19</f>
        <v>-3922</v>
      </c>
      <c r="O53" s="64">
        <f>-'Equity Schedule'!L19</f>
        <v>-3922</v>
      </c>
      <c r="P53" s="68">
        <f>-'Equity Schedule'!M19</f>
        <v>-3922</v>
      </c>
      <c r="S53" s="164"/>
    </row>
    <row r="54" spans="3:20" x14ac:dyDescent="0.25">
      <c r="C54" s="10" t="s">
        <v>85</v>
      </c>
      <c r="D54" s="5"/>
      <c r="E54" s="5"/>
      <c r="F54" s="5"/>
      <c r="G54" s="5"/>
      <c r="H54" s="5"/>
      <c r="I54" s="22">
        <f>SUM(I49:I53)</f>
        <v>34210</v>
      </c>
      <c r="J54" s="22">
        <f t="shared" ref="J54:L54" si="23">SUM(J49:J53)</f>
        <v>43181</v>
      </c>
      <c r="K54" s="22">
        <f t="shared" si="23"/>
        <v>45474</v>
      </c>
      <c r="L54" s="22">
        <f t="shared" ca="1" si="23"/>
        <v>48596.473989252212</v>
      </c>
      <c r="M54" s="22">
        <f t="shared" ref="M54:P54" ca="1" si="24">SUM(M49:M53)</f>
        <v>51993.478229164677</v>
      </c>
      <c r="N54" s="22">
        <f t="shared" ca="1" si="24"/>
        <v>55936.486131636746</v>
      </c>
      <c r="O54" s="22">
        <f t="shared" ca="1" si="24"/>
        <v>60481.14787159118</v>
      </c>
      <c r="P54" s="129">
        <f t="shared" ca="1" si="24"/>
        <v>65700.988115865126</v>
      </c>
      <c r="S54" s="164"/>
    </row>
    <row r="55" spans="3:20" x14ac:dyDescent="0.25">
      <c r="C55" s="4" t="s">
        <v>32</v>
      </c>
      <c r="D55" s="5"/>
      <c r="E55" s="5"/>
      <c r="F55" s="5"/>
      <c r="G55" s="5"/>
      <c r="H55" s="5"/>
      <c r="I55" s="21">
        <v>605</v>
      </c>
      <c r="J55" s="21">
        <v>1438</v>
      </c>
      <c r="K55" s="21">
        <v>2573</v>
      </c>
      <c r="L55" s="64">
        <f>K55</f>
        <v>2573</v>
      </c>
      <c r="M55" s="64">
        <f t="shared" ref="M55:P55" si="25">L55</f>
        <v>2573</v>
      </c>
      <c r="N55" s="64">
        <f t="shared" si="25"/>
        <v>2573</v>
      </c>
      <c r="O55" s="64">
        <f t="shared" si="25"/>
        <v>2573</v>
      </c>
      <c r="P55" s="68">
        <f t="shared" si="25"/>
        <v>2573</v>
      </c>
      <c r="S55" s="164"/>
    </row>
    <row r="56" spans="3:20" x14ac:dyDescent="0.25">
      <c r="C56" s="10" t="s">
        <v>86</v>
      </c>
      <c r="D56" s="5"/>
      <c r="E56" s="5"/>
      <c r="F56" s="5"/>
      <c r="G56" s="5"/>
      <c r="H56" s="5"/>
      <c r="I56" s="22">
        <f>SUM(I54:I55)</f>
        <v>34815</v>
      </c>
      <c r="J56" s="22">
        <f t="shared" ref="J56:K56" si="26">SUM(J54:J55)</f>
        <v>44619</v>
      </c>
      <c r="K56" s="22">
        <f t="shared" si="26"/>
        <v>48047</v>
      </c>
      <c r="L56" s="22">
        <f t="shared" ref="L56:P56" ca="1" si="27">SUM(L54:L55)</f>
        <v>51169.473989252212</v>
      </c>
      <c r="M56" s="22">
        <f t="shared" ca="1" si="27"/>
        <v>54566.478229164677</v>
      </c>
      <c r="N56" s="22">
        <f t="shared" ca="1" si="27"/>
        <v>58509.486131636746</v>
      </c>
      <c r="O56" s="22">
        <f t="shared" ca="1" si="27"/>
        <v>63054.14787159118</v>
      </c>
      <c r="P56" s="129">
        <f t="shared" ca="1" si="27"/>
        <v>68273.988115865126</v>
      </c>
      <c r="S56" s="164"/>
    </row>
    <row r="57" spans="3:20" x14ac:dyDescent="0.25">
      <c r="C57" s="10" t="s">
        <v>87</v>
      </c>
      <c r="D57" s="5"/>
      <c r="E57" s="5"/>
      <c r="F57" s="5"/>
      <c r="G57" s="5"/>
      <c r="H57" s="5"/>
      <c r="I57" s="22">
        <f>SUM(I46,I56)</f>
        <v>125716</v>
      </c>
      <c r="J57" s="22">
        <f t="shared" ref="J57:K57" si="28">SUM(J46,J56)</f>
        <v>136111</v>
      </c>
      <c r="K57" s="22">
        <f t="shared" si="28"/>
        <v>138916</v>
      </c>
      <c r="L57" s="22">
        <f t="shared" ref="L57:P57" ca="1" si="29">SUM(L46,L56)</f>
        <v>141217.93295192099</v>
      </c>
      <c r="M57" s="22">
        <f t="shared" ca="1" si="29"/>
        <v>149972.02369254612</v>
      </c>
      <c r="N57" s="22">
        <f t="shared" ca="1" si="29"/>
        <v>159441.99339199543</v>
      </c>
      <c r="O57" s="22">
        <f t="shared" ca="1" si="29"/>
        <v>169620.38890655711</v>
      </c>
      <c r="P57" s="129">
        <f t="shared" ca="1" si="29"/>
        <v>180635.185462038</v>
      </c>
      <c r="S57" s="164"/>
    </row>
    <row r="58" spans="3:20" x14ac:dyDescent="0.25">
      <c r="C58" s="4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8"/>
    </row>
    <row r="59" spans="3:20" x14ac:dyDescent="0.25">
      <c r="C59" s="23" t="s">
        <v>88</v>
      </c>
      <c r="D59" s="18"/>
      <c r="E59" s="18"/>
      <c r="F59" s="18"/>
      <c r="G59" s="18"/>
      <c r="H59" s="18"/>
      <c r="I59" s="24">
        <f>ROUND(I57,0)-ROUND(I27,0)</f>
        <v>0</v>
      </c>
      <c r="J59" s="24">
        <f t="shared" ref="J59:P59" si="30">ROUND(J57,1)-ROUND(J27,1)</f>
        <v>0</v>
      </c>
      <c r="K59" s="24">
        <f t="shared" si="30"/>
        <v>0</v>
      </c>
      <c r="L59" s="24">
        <f t="shared" ca="1" si="30"/>
        <v>0</v>
      </c>
      <c r="M59" s="24">
        <f t="shared" ca="1" si="30"/>
        <v>0</v>
      </c>
      <c r="N59" s="24">
        <f t="shared" ca="1" si="30"/>
        <v>0</v>
      </c>
      <c r="O59" s="24">
        <f t="shared" ca="1" si="30"/>
        <v>0</v>
      </c>
      <c r="P59" s="147">
        <f t="shared" ca="1" si="30"/>
        <v>0</v>
      </c>
    </row>
  </sheetData>
  <mergeCells count="1">
    <mergeCell ref="C3:P6"/>
  </mergeCells>
  <hyperlinks>
    <hyperlink ref="O2" location="'Valuation Summary'!A1" display="&lt;= back to the index" xr:uid="{AD2BB970-D271-44A9-8DBD-A8DC6189E164}"/>
  </hyperlinks>
  <pageMargins left="0.7" right="0.7" top="0.75" bottom="0.75" header="0.3" footer="0.3"/>
  <pageSetup scale="48" fitToHeight="0" orientation="portrait" r:id="rId1"/>
  <ignoredErrors>
    <ignoredError sqref="J26" formulaRange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E25BA-A191-43B9-A6B9-1B77F34A42B3}">
  <sheetPr>
    <pageSetUpPr fitToPage="1"/>
  </sheetPr>
  <dimension ref="C2:R42"/>
  <sheetViews>
    <sheetView showGridLines="0" zoomScale="85" zoomScaleNormal="85" zoomScaleSheetLayoutView="85" workbookViewId="0">
      <pane ySplit="8" topLeftCell="A9" activePane="bottomLeft" state="frozen"/>
      <selection pane="bottomLeft" activeCell="A9" sqref="A9"/>
    </sheetView>
  </sheetViews>
  <sheetFormatPr defaultRowHeight="15" x14ac:dyDescent="0.25"/>
  <cols>
    <col min="1" max="1" width="2.42578125" customWidth="1"/>
    <col min="2" max="2" width="3.5703125" customWidth="1"/>
    <col min="9" max="9" width="16.85546875" customWidth="1"/>
    <col min="10" max="15" width="15.7109375" customWidth="1"/>
    <col min="16" max="16" width="2.7109375" customWidth="1"/>
  </cols>
  <sheetData>
    <row r="2" spans="3:18" ht="15.75" thickBot="1" x14ac:dyDescent="0.3">
      <c r="N2" s="216" t="s">
        <v>252</v>
      </c>
    </row>
    <row r="3" spans="3:18" ht="15" customHeight="1" x14ac:dyDescent="0.25">
      <c r="C3" s="349" t="s">
        <v>185</v>
      </c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</row>
    <row r="4" spans="3:18" ht="15" customHeight="1" x14ac:dyDescent="0.25">
      <c r="C4" s="352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</row>
    <row r="5" spans="3:18" ht="15" customHeight="1" x14ac:dyDescent="0.25">
      <c r="C5" s="352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</row>
    <row r="6" spans="3:18" ht="15.75" customHeight="1" thickBot="1" x14ac:dyDescent="0.3">
      <c r="C6" s="355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</row>
    <row r="7" spans="3:18" x14ac:dyDescent="0.25">
      <c r="C7" s="52" t="s">
        <v>42</v>
      </c>
    </row>
    <row r="8" spans="3:18" ht="15.75" thickBot="1" x14ac:dyDescent="0.3">
      <c r="C8" s="103" t="s">
        <v>13</v>
      </c>
      <c r="D8" s="104"/>
      <c r="E8" s="104"/>
      <c r="F8" s="104"/>
      <c r="G8" s="104"/>
      <c r="H8" s="104"/>
      <c r="I8" s="104"/>
      <c r="J8" s="105">
        <f>YEAR('Valuation Summary'!E15)</f>
        <v>2018</v>
      </c>
      <c r="K8" s="106">
        <f>J8+1</f>
        <v>2019</v>
      </c>
      <c r="L8" s="106">
        <f t="shared" ref="L8:O8" si="0">K8+1</f>
        <v>2020</v>
      </c>
      <c r="M8" s="106">
        <f t="shared" si="0"/>
        <v>2021</v>
      </c>
      <c r="N8" s="106">
        <f t="shared" si="0"/>
        <v>2022</v>
      </c>
      <c r="O8" s="107">
        <f t="shared" si="0"/>
        <v>2023</v>
      </c>
    </row>
    <row r="9" spans="3:18" x14ac:dyDescent="0.25">
      <c r="C9" s="4" t="s">
        <v>14</v>
      </c>
      <c r="D9" s="5"/>
      <c r="E9" s="5"/>
      <c r="F9" s="5"/>
      <c r="G9" s="5"/>
      <c r="H9" s="5"/>
      <c r="I9" s="5"/>
      <c r="J9" s="165">
        <f>'Valuation Summary'!E15</f>
        <v>43373</v>
      </c>
      <c r="K9" s="6">
        <f>EOMONTH(J9,12)</f>
        <v>43738</v>
      </c>
      <c r="L9" s="6">
        <f t="shared" ref="L9:O9" si="1">EOMONTH(K9,12)</f>
        <v>44104</v>
      </c>
      <c r="M9" s="6">
        <f t="shared" si="1"/>
        <v>44469</v>
      </c>
      <c r="N9" s="6">
        <f t="shared" si="1"/>
        <v>44834</v>
      </c>
      <c r="O9" s="7">
        <f t="shared" si="1"/>
        <v>45199</v>
      </c>
    </row>
    <row r="10" spans="3:18" x14ac:dyDescent="0.25"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8"/>
    </row>
    <row r="11" spans="3:18" x14ac:dyDescent="0.25">
      <c r="C11" s="61" t="s">
        <v>30</v>
      </c>
      <c r="D11" s="5"/>
      <c r="E11" s="5"/>
      <c r="F11" s="5"/>
      <c r="G11" s="5"/>
      <c r="H11" s="5"/>
      <c r="I11" s="5"/>
      <c r="J11" s="155"/>
      <c r="K11" s="155">
        <f ca="1">'Income Statement'!M31</f>
        <v>6148.6805714925194</v>
      </c>
      <c r="L11" s="155">
        <f ca="1">'Income Statement'!N31</f>
        <v>6689.2771704257084</v>
      </c>
      <c r="M11" s="155">
        <f ca="1">'Income Statement'!O31</f>
        <v>7764.4509331910358</v>
      </c>
      <c r="N11" s="155">
        <f ca="1">'Income Statement'!P31</f>
        <v>8949.209334745603</v>
      </c>
      <c r="O11" s="156">
        <f ca="1">'Income Statement'!Q31</f>
        <v>10278.750194563281</v>
      </c>
    </row>
    <row r="12" spans="3:18" x14ac:dyDescent="0.25">
      <c r="C12" s="61" t="s">
        <v>186</v>
      </c>
      <c r="D12" s="5"/>
      <c r="E12" s="5"/>
      <c r="F12" s="5"/>
      <c r="G12" s="5"/>
      <c r="H12" s="5"/>
      <c r="I12" s="5"/>
      <c r="J12" s="155"/>
      <c r="K12" s="155">
        <f ca="1">'Income Statement'!M54</f>
        <v>2610.0003304045345</v>
      </c>
      <c r="L12" s="155">
        <f ca="1">'Income Statement'!N54</f>
        <v>2601.385286914518</v>
      </c>
      <c r="M12" s="155">
        <f ca="1">'Income Statement'!O54</f>
        <v>2565.2511355886359</v>
      </c>
      <c r="N12" s="155">
        <f ca="1">'Income Statement'!P54</f>
        <v>2500.2870304800681</v>
      </c>
      <c r="O12" s="156">
        <f ca="1">'Income Statement'!Q54</f>
        <v>2403.6501462087263</v>
      </c>
      <c r="R12" s="162"/>
    </row>
    <row r="13" spans="3:18" x14ac:dyDescent="0.25">
      <c r="C13" s="113" t="s">
        <v>187</v>
      </c>
      <c r="D13" s="5"/>
      <c r="E13" s="5"/>
      <c r="F13" s="5"/>
      <c r="G13" s="5"/>
      <c r="H13" s="5"/>
      <c r="I13" s="5"/>
      <c r="J13" s="148"/>
      <c r="K13" s="155">
        <f ca="1">-'Other Assets,liabilities &amp; Tax'!I33</f>
        <v>-86.567727545869275</v>
      </c>
      <c r="L13" s="155">
        <f ca="1">-'Other Assets,liabilities &amp; Tax'!J33</f>
        <v>-96.326904205300707</v>
      </c>
      <c r="M13" s="155">
        <f ca="1">-'Other Assets,liabilities &amp; Tax'!K33</f>
        <v>-141.81242837546688</v>
      </c>
      <c r="N13" s="155">
        <f ca="1">-'Other Assets,liabilities &amp; Tax'!L33</f>
        <v>-170.40151387511742</v>
      </c>
      <c r="O13" s="156">
        <f ca="1">-'Other Assets,liabilities &amp; Tax'!M33</f>
        <v>-213.57018964217878</v>
      </c>
    </row>
    <row r="14" spans="3:18" x14ac:dyDescent="0.25">
      <c r="C14" s="110" t="s">
        <v>188</v>
      </c>
      <c r="D14" s="5"/>
      <c r="E14" s="5"/>
      <c r="F14" s="5"/>
      <c r="G14" s="5"/>
      <c r="H14" s="5"/>
      <c r="I14" s="5"/>
      <c r="J14" s="149"/>
      <c r="K14" s="149"/>
      <c r="L14" s="149"/>
      <c r="M14" s="149"/>
      <c r="N14" s="149"/>
      <c r="O14" s="150"/>
    </row>
    <row r="15" spans="3:18" x14ac:dyDescent="0.25">
      <c r="C15" s="61" t="s">
        <v>189</v>
      </c>
      <c r="D15" s="5"/>
      <c r="E15" s="5"/>
      <c r="F15" s="5"/>
      <c r="G15" s="5"/>
      <c r="H15" s="5"/>
      <c r="I15" s="5"/>
      <c r="J15" s="151"/>
      <c r="K15" s="155">
        <f ca="1">-'Working Capital'!I8</f>
        <v>109.34518719306652</v>
      </c>
      <c r="L15" s="155">
        <f ca="1">-'Working Capital'!J8</f>
        <v>-643.55993226174542</v>
      </c>
      <c r="M15" s="155">
        <f ca="1">-'Working Capital'!K8</f>
        <v>-947.44866506534527</v>
      </c>
      <c r="N15" s="155">
        <f ca="1">-'Working Capital'!L8</f>
        <v>-1138.4523112363786</v>
      </c>
      <c r="O15" s="156">
        <f ca="1">-'Working Capital'!M8</f>
        <v>-1426.8621826184062</v>
      </c>
    </row>
    <row r="16" spans="3:18" x14ac:dyDescent="0.25">
      <c r="C16" s="61" t="s">
        <v>190</v>
      </c>
      <c r="D16" s="5"/>
      <c r="E16" s="5"/>
      <c r="F16" s="5"/>
      <c r="G16" s="5"/>
      <c r="H16" s="5"/>
      <c r="I16" s="5"/>
      <c r="J16" s="151"/>
      <c r="K16" s="155">
        <f ca="1">-'Working Capital'!I16</f>
        <v>-2218.7909222709113</v>
      </c>
      <c r="L16" s="155">
        <f ca="1">-'Working Capital'!J16</f>
        <v>-581.95044510835396</v>
      </c>
      <c r="M16" s="155">
        <f ca="1">-'Working Capital'!K16</f>
        <v>-856.7472036587933</v>
      </c>
      <c r="N16" s="155">
        <f ca="1">-'Working Capital'!L16</f>
        <v>-1029.4656271254353</v>
      </c>
      <c r="O16" s="156">
        <f ca="1">-'Working Capital'!M16</f>
        <v>-1290.2653516119353</v>
      </c>
    </row>
    <row r="17" spans="3:18" x14ac:dyDescent="0.25">
      <c r="C17" s="61" t="s">
        <v>191</v>
      </c>
      <c r="D17" s="5"/>
      <c r="E17" s="5"/>
      <c r="F17" s="5"/>
      <c r="G17" s="5"/>
      <c r="H17" s="5"/>
      <c r="I17" s="5"/>
      <c r="J17" s="125"/>
      <c r="K17" s="56">
        <f ca="1">'Working Capital'!I25</f>
        <v>-760.87437066455277</v>
      </c>
      <c r="L17" s="56">
        <f ca="1">'Working Capital'!J25</f>
        <v>359.75316737932371</v>
      </c>
      <c r="M17" s="56">
        <f ca="1">'Working Capital'!K25</f>
        <v>529.62846364391044</v>
      </c>
      <c r="N17" s="56">
        <f ca="1">'Working Capital'!L25</f>
        <v>636.40044127393048</v>
      </c>
      <c r="O17" s="57">
        <f ca="1">'Working Capital'!M25</f>
        <v>797.62297787359603</v>
      </c>
    </row>
    <row r="18" spans="3:18" x14ac:dyDescent="0.25">
      <c r="C18" s="113" t="s">
        <v>192</v>
      </c>
      <c r="D18" s="5"/>
      <c r="E18" s="5"/>
      <c r="F18" s="5"/>
      <c r="G18" s="5"/>
      <c r="H18" s="5"/>
      <c r="I18" s="5"/>
      <c r="J18" s="148"/>
      <c r="K18" s="56">
        <f>SUM('Balance sheet'!L11,'Balance sheet'!L13,'Balance sheet'!L14,'Balance sheet'!L16:L18,'Balance sheet'!L23:L25)-SUM('Balance sheet'!K11,'Balance sheet'!K13:K14,'Balance sheet'!K16:K18,'Balance sheet'!K23:K25)</f>
        <v>0</v>
      </c>
      <c r="L18" s="56">
        <f>SUM('Balance sheet'!M11,'Balance sheet'!M13,'Balance sheet'!M14,'Balance sheet'!M16:M18,'Balance sheet'!M23:M25)-SUM('Balance sheet'!L11,'Balance sheet'!L13:L14,'Balance sheet'!L16:L18,'Balance sheet'!L23:L25)</f>
        <v>0</v>
      </c>
      <c r="M18" s="56">
        <f>SUM('Balance sheet'!N11,'Balance sheet'!N13,'Balance sheet'!N14,'Balance sheet'!N16:N18,'Balance sheet'!N23:N25)-SUM('Balance sheet'!M11,'Balance sheet'!M13:M14,'Balance sheet'!M16:M18,'Balance sheet'!M23:M25)</f>
        <v>0</v>
      </c>
      <c r="N18" s="56">
        <f>SUM('Balance sheet'!O11,'Balance sheet'!O13,'Balance sheet'!O14,'Balance sheet'!O16:O18,'Balance sheet'!O23:O25)-SUM('Balance sheet'!N11,'Balance sheet'!N13:N14,'Balance sheet'!N16:N18,'Balance sheet'!N23:N25)</f>
        <v>0</v>
      </c>
      <c r="O18" s="57">
        <f>SUM('Balance sheet'!P11,'Balance sheet'!P13,'Balance sheet'!P14,'Balance sheet'!P16:P18,'Balance sheet'!P23:P25)-SUM('Balance sheet'!O11,'Balance sheet'!O13:O14,'Balance sheet'!O16:O18,'Balance sheet'!O23:O25)</f>
        <v>0</v>
      </c>
    </row>
    <row r="19" spans="3:18" x14ac:dyDescent="0.25">
      <c r="C19" s="10" t="s">
        <v>193</v>
      </c>
      <c r="D19" s="5"/>
      <c r="E19" s="5"/>
      <c r="F19" s="5"/>
      <c r="G19" s="5"/>
      <c r="H19" s="5"/>
      <c r="I19" s="5"/>
      <c r="J19" s="125"/>
      <c r="K19" s="149">
        <f ca="1">IFERROR(SUM(K11:K13)+K15+K16+K17+K18,"")</f>
        <v>5801.7930686087875</v>
      </c>
      <c r="L19" s="149">
        <f t="shared" ref="L19:O19" ca="1" si="2">IFERROR(SUM(L11:L13)+L15+L16+L17+L18,"")</f>
        <v>8328.5783431441505</v>
      </c>
      <c r="M19" s="149">
        <f t="shared" ca="1" si="2"/>
        <v>8913.322235323978</v>
      </c>
      <c r="N19" s="149">
        <f t="shared" ca="1" si="2"/>
        <v>9747.5773542626703</v>
      </c>
      <c r="O19" s="150">
        <f t="shared" ca="1" si="2"/>
        <v>10549.325594773085</v>
      </c>
    </row>
    <row r="20" spans="3:18" x14ac:dyDescent="0.25">
      <c r="C20" s="10"/>
      <c r="D20" s="5"/>
      <c r="E20" s="5"/>
      <c r="F20" s="5"/>
      <c r="G20" s="5"/>
      <c r="H20" s="5"/>
      <c r="I20" s="5"/>
      <c r="J20" s="125"/>
      <c r="K20" s="149"/>
      <c r="L20" s="149"/>
      <c r="M20" s="149"/>
      <c r="N20" s="149"/>
      <c r="O20" s="150"/>
    </row>
    <row r="21" spans="3:18" x14ac:dyDescent="0.25">
      <c r="C21" s="113" t="s">
        <v>194</v>
      </c>
      <c r="D21" s="5"/>
      <c r="E21" s="5"/>
      <c r="F21" s="5"/>
      <c r="G21" s="5"/>
      <c r="H21" s="5"/>
      <c r="I21" s="5"/>
      <c r="J21" s="148"/>
      <c r="K21" s="56">
        <f ca="1">-'PPE &amp; Intangible Assets'!G21+'Balance sheet'!L20-'Balance sheet'!K20</f>
        <v>-2574.9446262076672</v>
      </c>
      <c r="L21" s="56">
        <f ca="1">-'PPE &amp; Intangible Assets'!H21+'Balance sheet'!M20-'Balance sheet'!L20</f>
        <v>-2223.3305331440861</v>
      </c>
      <c r="M21" s="56">
        <f ca="1">-'PPE &amp; Intangible Assets'!I21+'Balance sheet'!N20-'Balance sheet'!M20</f>
        <v>-1869.9918503385525</v>
      </c>
      <c r="N21" s="56">
        <f ca="1">-'PPE &amp; Intangible Assets'!J21+'Balance sheet'!O20-'Balance sheet'!N20</f>
        <v>-1484.7980171737217</v>
      </c>
      <c r="O21" s="57">
        <f ca="1">-'PPE &amp; Intangible Assets'!K21+'Balance sheet'!P20-'Balance sheet'!O20</f>
        <v>-1058.6351114697427</v>
      </c>
      <c r="R21" s="162"/>
    </row>
    <row r="22" spans="3:18" x14ac:dyDescent="0.25">
      <c r="C22" s="10" t="s">
        <v>195</v>
      </c>
      <c r="D22" s="5"/>
      <c r="E22" s="5"/>
      <c r="F22" s="5"/>
      <c r="G22" s="5"/>
      <c r="H22" s="5"/>
      <c r="I22" s="5"/>
      <c r="J22" s="149"/>
      <c r="K22" s="149">
        <f ca="1">K21</f>
        <v>-2574.9446262076672</v>
      </c>
      <c r="L22" s="149">
        <f t="shared" ref="L22:O22" ca="1" si="3">L21</f>
        <v>-2223.3305331440861</v>
      </c>
      <c r="M22" s="149">
        <f t="shared" ca="1" si="3"/>
        <v>-1869.9918503385525</v>
      </c>
      <c r="N22" s="149">
        <f t="shared" ca="1" si="3"/>
        <v>-1484.7980171737217</v>
      </c>
      <c r="O22" s="150">
        <f t="shared" ca="1" si="3"/>
        <v>-1058.6351114697427</v>
      </c>
    </row>
    <row r="23" spans="3:18" x14ac:dyDescent="0.25">
      <c r="C23" s="10"/>
      <c r="D23" s="5"/>
      <c r="E23" s="5"/>
      <c r="F23" s="5"/>
      <c r="G23" s="5"/>
      <c r="H23" s="5"/>
      <c r="I23" s="5"/>
      <c r="J23" s="149"/>
      <c r="K23" s="149"/>
      <c r="L23" s="149"/>
      <c r="M23" s="149"/>
      <c r="N23" s="149"/>
      <c r="O23" s="150"/>
    </row>
    <row r="24" spans="3:18" x14ac:dyDescent="0.25">
      <c r="C24" s="113" t="s">
        <v>196</v>
      </c>
      <c r="D24" s="5"/>
      <c r="E24" s="5"/>
      <c r="F24" s="5"/>
      <c r="G24" s="5"/>
      <c r="H24" s="5"/>
      <c r="I24" s="5"/>
      <c r="J24" s="125"/>
      <c r="K24" s="56">
        <f>'Equity Schedule'!I18</f>
        <v>0</v>
      </c>
      <c r="L24" s="56">
        <f>'Equity Schedule'!J18</f>
        <v>0</v>
      </c>
      <c r="M24" s="56">
        <f>'Equity Schedule'!K18</f>
        <v>0</v>
      </c>
      <c r="N24" s="56">
        <f>'Equity Schedule'!L18</f>
        <v>0</v>
      </c>
      <c r="O24" s="57">
        <f>'Equity Schedule'!M18</f>
        <v>0</v>
      </c>
    </row>
    <row r="25" spans="3:18" x14ac:dyDescent="0.25">
      <c r="C25" s="61" t="s">
        <v>197</v>
      </c>
      <c r="D25" s="5"/>
      <c r="E25" s="5"/>
      <c r="F25" s="5"/>
      <c r="G25" s="5"/>
      <c r="H25" s="5"/>
      <c r="I25" s="5"/>
      <c r="J25" s="125"/>
      <c r="K25" s="56">
        <f>'Debt Schedule'!I23</f>
        <v>4997.333333333333</v>
      </c>
      <c r="L25" s="56">
        <f>'Debt Schedule'!J23</f>
        <v>4997.333333333333</v>
      </c>
      <c r="M25" s="56">
        <f>'Debt Schedule'!K23</f>
        <v>4997.333333333333</v>
      </c>
      <c r="N25" s="56">
        <f>'Debt Schedule'!L23</f>
        <v>4997.333333333333</v>
      </c>
      <c r="O25" s="57">
        <f>'Debt Schedule'!M23</f>
        <v>4997.333333333333</v>
      </c>
    </row>
    <row r="26" spans="3:18" x14ac:dyDescent="0.25">
      <c r="C26" s="113" t="s">
        <v>198</v>
      </c>
      <c r="D26" s="5"/>
      <c r="E26" s="5"/>
      <c r="F26" s="5"/>
      <c r="G26" s="5"/>
      <c r="H26" s="5"/>
      <c r="I26" s="5"/>
      <c r="J26" s="125"/>
      <c r="K26" s="56">
        <v>0</v>
      </c>
      <c r="L26" s="56">
        <v>0</v>
      </c>
      <c r="M26" s="56">
        <v>0</v>
      </c>
      <c r="N26" s="56">
        <v>0</v>
      </c>
      <c r="O26" s="57">
        <v>0</v>
      </c>
    </row>
    <row r="27" spans="3:18" x14ac:dyDescent="0.25">
      <c r="C27" s="113" t="s">
        <v>199</v>
      </c>
      <c r="D27" s="5"/>
      <c r="E27" s="5"/>
      <c r="F27" s="5"/>
      <c r="G27" s="5"/>
      <c r="H27" s="5"/>
      <c r="I27" s="5"/>
      <c r="J27" s="149"/>
      <c r="K27" s="160">
        <f ca="1">'Debt Schedule'!I8</f>
        <v>-5057</v>
      </c>
      <c r="L27" s="160">
        <f ca="1">'Debt Schedule'!J8</f>
        <v>0</v>
      </c>
      <c r="M27" s="160">
        <f ca="1">'Debt Schedule'!K8</f>
        <v>0</v>
      </c>
      <c r="N27" s="160">
        <f ca="1">'Debt Schedule'!L8</f>
        <v>0</v>
      </c>
      <c r="O27" s="161">
        <f ca="1">'Debt Schedule'!M8</f>
        <v>0</v>
      </c>
    </row>
    <row r="28" spans="3:18" x14ac:dyDescent="0.25">
      <c r="C28" s="61" t="s">
        <v>200</v>
      </c>
      <c r="D28" s="5"/>
      <c r="E28" s="5"/>
      <c r="F28" s="5"/>
      <c r="G28" s="5"/>
      <c r="H28" s="5"/>
      <c r="I28" s="5"/>
      <c r="J28" s="125"/>
      <c r="K28" s="80">
        <f ca="1">'Equity Schedule'!I31</f>
        <v>-3026.2065822433442</v>
      </c>
      <c r="L28" s="80">
        <f ca="1">'Equity Schedule'!J31</f>
        <v>-3292.2729304514978</v>
      </c>
      <c r="M28" s="80">
        <f ca="1">'Equity Schedule'!K31</f>
        <v>-3821.4430313957905</v>
      </c>
      <c r="N28" s="80">
        <f ca="1">'Equity Schedule'!L31</f>
        <v>-4404.5475895133386</v>
      </c>
      <c r="O28" s="78">
        <f ca="1">'Equity Schedule'!M31</f>
        <v>-5058.9099825982839</v>
      </c>
    </row>
    <row r="29" spans="3:18" x14ac:dyDescent="0.25">
      <c r="C29" s="113" t="s">
        <v>201</v>
      </c>
      <c r="D29" s="5"/>
      <c r="E29" s="5"/>
      <c r="F29" s="5"/>
      <c r="G29" s="5"/>
      <c r="H29" s="5"/>
      <c r="I29" s="5"/>
      <c r="J29" s="125"/>
      <c r="K29" s="56">
        <f>SUM('Balance sheet'!L32:L37,'Balance sheet'!L40:L44)-SUM('Balance sheet'!K32:K37,'Balance sheet'!K40:K44)</f>
        <v>0</v>
      </c>
      <c r="L29" s="56">
        <f>SUM('Balance sheet'!M32:M37,'Balance sheet'!M40:M44)-SUM('Balance sheet'!L32:L37,'Balance sheet'!L40:L44)</f>
        <v>0</v>
      </c>
      <c r="M29" s="56">
        <f>SUM('Balance sheet'!N32:N37,'Balance sheet'!N40:N44)-SUM('Balance sheet'!M32:M37,'Balance sheet'!M40:M44)</f>
        <v>0</v>
      </c>
      <c r="N29" s="56">
        <f>SUM('Balance sheet'!O32:O37,'Balance sheet'!O40:O44)-SUM('Balance sheet'!N32:N37,'Balance sheet'!N40:N44)</f>
        <v>0</v>
      </c>
      <c r="O29" s="57">
        <f>SUM('Balance sheet'!P32:P37,'Balance sheet'!P40:P44)-SUM('Balance sheet'!O32:O37,'Balance sheet'!O40:O44)</f>
        <v>0</v>
      </c>
    </row>
    <row r="30" spans="3:18" x14ac:dyDescent="0.25">
      <c r="C30" s="10" t="s">
        <v>202</v>
      </c>
      <c r="D30" s="5"/>
      <c r="E30" s="5"/>
      <c r="F30" s="5"/>
      <c r="G30" s="5"/>
      <c r="H30" s="5"/>
      <c r="I30" s="5"/>
      <c r="J30" s="125"/>
      <c r="K30" s="149">
        <f ca="1">SUM(K24:K29)</f>
        <v>-3085.8732489100112</v>
      </c>
      <c r="L30" s="149">
        <f t="shared" ref="L30:O30" ca="1" si="4">SUM(L24:L29)</f>
        <v>1705.0604028818352</v>
      </c>
      <c r="M30" s="149">
        <f t="shared" ca="1" si="4"/>
        <v>1175.8903019375425</v>
      </c>
      <c r="N30" s="149">
        <f t="shared" ca="1" si="4"/>
        <v>592.78574381999442</v>
      </c>
      <c r="O30" s="150">
        <f t="shared" ca="1" si="4"/>
        <v>-61.576649264950902</v>
      </c>
    </row>
    <row r="31" spans="3:18" x14ac:dyDescent="0.25">
      <c r="C31" s="10"/>
      <c r="D31" s="5"/>
      <c r="E31" s="5"/>
      <c r="F31" s="5"/>
      <c r="G31" s="5"/>
      <c r="H31" s="5"/>
      <c r="I31" s="5"/>
      <c r="J31" s="125"/>
      <c r="K31" s="56"/>
      <c r="L31" s="56"/>
      <c r="M31" s="56"/>
      <c r="N31" s="56"/>
      <c r="O31" s="57"/>
    </row>
    <row r="32" spans="3:18" x14ac:dyDescent="0.25">
      <c r="C32" s="61" t="s">
        <v>203</v>
      </c>
      <c r="D32" s="12"/>
      <c r="E32" s="12"/>
      <c r="F32" s="12"/>
      <c r="G32" s="12"/>
      <c r="H32" s="12"/>
      <c r="I32" s="12"/>
      <c r="J32" s="149"/>
      <c r="K32" s="149">
        <f ca="1">SUM(K19,K22,K30)</f>
        <v>140.97519349110917</v>
      </c>
      <c r="L32" s="149">
        <f ca="1">SUM(L19,L22,L30)</f>
        <v>7810.3082128818996</v>
      </c>
      <c r="M32" s="149">
        <f t="shared" ref="M32:O32" ca="1" si="5">SUM(M19,M22,M30)</f>
        <v>8219.2206869229685</v>
      </c>
      <c r="N32" s="149">
        <f t="shared" ca="1" si="5"/>
        <v>8855.565080908942</v>
      </c>
      <c r="O32" s="150">
        <f t="shared" ca="1" si="5"/>
        <v>9429.1138340383914</v>
      </c>
    </row>
    <row r="33" spans="3:15" x14ac:dyDescent="0.25">
      <c r="C33" s="61" t="s">
        <v>204</v>
      </c>
      <c r="D33" s="5"/>
      <c r="E33" s="5"/>
      <c r="F33" s="5"/>
      <c r="G33" s="5"/>
      <c r="H33" s="5"/>
      <c r="I33" s="5"/>
      <c r="J33" s="125"/>
      <c r="K33" s="80">
        <f>'Balance sheet'!K10</f>
        <v>11066</v>
      </c>
      <c r="L33" s="80">
        <f ca="1">K34</f>
        <v>11206.975193494147</v>
      </c>
      <c r="M33" s="80">
        <f t="shared" ref="M33:O33" ca="1" si="6">L34</f>
        <v>19017.283406314298</v>
      </c>
      <c r="N33" s="80">
        <f t="shared" ca="1" si="6"/>
        <v>27236.504093914093</v>
      </c>
      <c r="O33" s="78">
        <f t="shared" ca="1" si="6"/>
        <v>36092.069169545211</v>
      </c>
    </row>
    <row r="34" spans="3:15" x14ac:dyDescent="0.25">
      <c r="C34" s="10" t="s">
        <v>205</v>
      </c>
      <c r="D34" s="12"/>
      <c r="E34" s="12"/>
      <c r="F34" s="12"/>
      <c r="G34" s="12"/>
      <c r="H34" s="12"/>
      <c r="I34" s="12"/>
      <c r="J34" s="149"/>
      <c r="K34" s="149">
        <f ca="1">SUM(K32:K33)</f>
        <v>11206.975193491109</v>
      </c>
      <c r="L34" s="152">
        <f ca="1">SUM(L32:L33)</f>
        <v>19017.283406376046</v>
      </c>
      <c r="M34" s="152">
        <f t="shared" ref="M34:O34" ca="1" si="7">SUM(M32:M33)</f>
        <v>27236.504093237265</v>
      </c>
      <c r="N34" s="152">
        <f t="shared" ca="1" si="7"/>
        <v>36092.069174823031</v>
      </c>
      <c r="O34" s="153">
        <f t="shared" ca="1" si="7"/>
        <v>45521.183003583603</v>
      </c>
    </row>
    <row r="35" spans="3:15" x14ac:dyDescent="0.25">
      <c r="C35" s="154"/>
      <c r="D35" s="154"/>
      <c r="E35" s="154"/>
      <c r="F35" s="154"/>
      <c r="G35" s="154"/>
      <c r="H35" s="154"/>
      <c r="I35" s="154"/>
      <c r="J35" s="118"/>
      <c r="K35" s="118"/>
      <c r="L35" s="118"/>
      <c r="M35" s="118"/>
      <c r="N35" s="118"/>
      <c r="O35" s="118"/>
    </row>
    <row r="36" spans="3:15" x14ac:dyDescent="0.25">
      <c r="C36" s="166" t="s">
        <v>206</v>
      </c>
      <c r="D36" s="154"/>
      <c r="E36" s="154"/>
      <c r="F36" s="154"/>
      <c r="G36" s="154"/>
      <c r="H36" s="154"/>
      <c r="I36" s="154"/>
      <c r="J36" s="167"/>
      <c r="K36" s="154"/>
      <c r="L36" s="154"/>
      <c r="M36" s="154"/>
      <c r="N36" s="154"/>
      <c r="O36" s="168"/>
    </row>
    <row r="37" spans="3:15" x14ac:dyDescent="0.25">
      <c r="C37" s="120" t="s">
        <v>116</v>
      </c>
      <c r="D37" s="5"/>
      <c r="E37" s="5"/>
      <c r="F37" s="5"/>
      <c r="G37" s="5"/>
      <c r="H37" s="5"/>
      <c r="I37" s="5"/>
      <c r="J37" s="64">
        <f>'Balance sheet'!J10</f>
        <v>8375</v>
      </c>
      <c r="K37" s="64">
        <f>'Balance sheet'!K10</f>
        <v>11066</v>
      </c>
      <c r="L37" s="64">
        <f ca="1">'Balance sheet'!L10</f>
        <v>11206.975193494147</v>
      </c>
      <c r="M37" s="64">
        <f ca="1">'Balance sheet'!M10</f>
        <v>19017.283406314298</v>
      </c>
      <c r="N37" s="64">
        <f ca="1">'Balance sheet'!N10</f>
        <v>27236.504093914093</v>
      </c>
      <c r="O37" s="68">
        <f ca="1">'Balance sheet'!O10</f>
        <v>36092.069169545211</v>
      </c>
    </row>
    <row r="38" spans="3:15" x14ac:dyDescent="0.25">
      <c r="C38" s="60" t="s">
        <v>207</v>
      </c>
      <c r="D38" s="5"/>
      <c r="E38" s="5"/>
      <c r="F38" s="5"/>
      <c r="G38" s="5"/>
      <c r="H38" s="5"/>
      <c r="I38" s="5"/>
      <c r="J38" s="64">
        <f>J39-J37</f>
        <v>2691</v>
      </c>
      <c r="K38" s="64">
        <f t="shared" ref="K38:O38" ca="1" si="8">K39-K37</f>
        <v>140.97519348579772</v>
      </c>
      <c r="L38" s="64">
        <f t="shared" ca="1" si="8"/>
        <v>7810.3082129844024</v>
      </c>
      <c r="M38" s="64">
        <f t="shared" ca="1" si="8"/>
        <v>8219.2206858532991</v>
      </c>
      <c r="N38" s="64">
        <f t="shared" ca="1" si="8"/>
        <v>8855.5650887531483</v>
      </c>
      <c r="O38" s="68">
        <f t="shared" ca="1" si="8"/>
        <v>9429.1137875136046</v>
      </c>
    </row>
    <row r="39" spans="3:15" x14ac:dyDescent="0.25">
      <c r="C39" s="120" t="s">
        <v>118</v>
      </c>
      <c r="D39" s="5"/>
      <c r="E39" s="5"/>
      <c r="F39" s="5"/>
      <c r="G39" s="5"/>
      <c r="H39" s="5"/>
      <c r="I39" s="5"/>
      <c r="J39" s="64">
        <f>'Balance sheet'!K10</f>
        <v>11066</v>
      </c>
      <c r="K39" s="64">
        <f ca="1">'Balance sheet'!L10</f>
        <v>11206.975193494147</v>
      </c>
      <c r="L39" s="64">
        <f ca="1">'Balance sheet'!M10</f>
        <v>19017.283406314298</v>
      </c>
      <c r="M39" s="64">
        <f ca="1">'Balance sheet'!N10</f>
        <v>27236.504093914093</v>
      </c>
      <c r="N39" s="64">
        <f ca="1">'Balance sheet'!O10</f>
        <v>36092.069169545211</v>
      </c>
      <c r="O39" s="68">
        <f ca="1">'Balance sheet'!P10</f>
        <v>45521.183035892522</v>
      </c>
    </row>
    <row r="40" spans="3:15" x14ac:dyDescent="0.25">
      <c r="C40" s="5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8"/>
    </row>
    <row r="41" spans="3:15" x14ac:dyDescent="0.25">
      <c r="C41" s="120" t="s">
        <v>208</v>
      </c>
      <c r="D41" s="5"/>
      <c r="E41" s="5"/>
      <c r="F41" s="5"/>
      <c r="G41" s="5"/>
      <c r="H41" s="5"/>
      <c r="I41" s="5"/>
      <c r="J41" s="133">
        <f>J42/AVERAGE(J37,J39)</f>
        <v>0.15235841777686332</v>
      </c>
      <c r="K41" s="171">
        <f>J41</f>
        <v>0.15235841777686332</v>
      </c>
      <c r="L41" s="171">
        <f t="shared" ref="L41:O41" si="9">K41</f>
        <v>0.15235841777686332</v>
      </c>
      <c r="M41" s="171">
        <f t="shared" si="9"/>
        <v>0.15235841777686332</v>
      </c>
      <c r="N41" s="171">
        <f t="shared" si="9"/>
        <v>0.15235841777686332</v>
      </c>
      <c r="O41" s="172">
        <f t="shared" si="9"/>
        <v>0.15235841777686332</v>
      </c>
    </row>
    <row r="42" spans="3:15" x14ac:dyDescent="0.25">
      <c r="C42" s="169" t="s">
        <v>23</v>
      </c>
      <c r="D42" s="18"/>
      <c r="E42" s="18"/>
      <c r="F42" s="18"/>
      <c r="G42" s="18"/>
      <c r="H42" s="18"/>
      <c r="I42" s="18"/>
      <c r="J42" s="170">
        <f>'Income Statement'!L24</f>
        <v>1481</v>
      </c>
      <c r="K42" s="170">
        <f ca="1">K41*AVERAGE(K37,K39)</f>
        <v>1696.7376298320471</v>
      </c>
      <c r="L42" s="170">
        <f t="shared" ref="L42:O42" ca="1" si="10">L41*AVERAGE(L37,L39)</f>
        <v>2302.4601093727847</v>
      </c>
      <c r="M42" s="170">
        <f t="shared" ca="1" si="10"/>
        <v>3523.5769398610278</v>
      </c>
      <c r="N42" s="170">
        <f t="shared" ca="1" si="10"/>
        <v>4824.3206112434145</v>
      </c>
      <c r="O42" s="173">
        <f t="shared" ca="1" si="10"/>
        <v>6217.2329878222972</v>
      </c>
    </row>
  </sheetData>
  <mergeCells count="1">
    <mergeCell ref="C3:O6"/>
  </mergeCells>
  <hyperlinks>
    <hyperlink ref="N2" location="'Valuation Summary'!A1" display="&lt;= back to the index" xr:uid="{868D849F-F8A9-48F8-B2DF-819238EB76B2}"/>
  </hyperlinks>
  <pageMargins left="0.7" right="0.7" top="0.75" bottom="0.75" header="0.3" footer="0.3"/>
  <pageSetup scale="52" fitToHeight="0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E0680-BCAC-4012-93BB-FCAC3F778CCA}">
  <dimension ref="B1:M100"/>
  <sheetViews>
    <sheetView showGridLines="0" zoomScale="85" zoomScaleNormal="85" workbookViewId="0"/>
  </sheetViews>
  <sheetFormatPr defaultColWidth="9.140625" defaultRowHeight="15.75" x14ac:dyDescent="0.25"/>
  <cols>
    <col min="1" max="1" width="1.7109375" style="234" customWidth="1"/>
    <col min="2" max="2" width="41.42578125" style="234" customWidth="1"/>
    <col min="3" max="3" width="22.7109375" style="234" bestFit="1" customWidth="1"/>
    <col min="4" max="4" width="18.42578125" style="234" customWidth="1"/>
    <col min="5" max="5" width="18" style="234" customWidth="1"/>
    <col min="6" max="10" width="15.7109375" style="234" customWidth="1"/>
    <col min="11" max="11" width="12.140625" style="234" bestFit="1" customWidth="1"/>
    <col min="12" max="12" width="11" style="234" bestFit="1" customWidth="1"/>
    <col min="13" max="13" width="9.140625" style="234" customWidth="1"/>
    <col min="14" max="16384" width="9.140625" style="234"/>
  </cols>
  <sheetData>
    <row r="1" spans="2:10" ht="16.5" thickBot="1" x14ac:dyDescent="0.3"/>
    <row r="2" spans="2:10" ht="16.5" thickBot="1" x14ac:dyDescent="0.3">
      <c r="B2" s="324" t="str">
        <f>"Discounted Cash Flow Model for " &amp;C6</f>
        <v>Discounted Cash Flow Model for Siemens AG</v>
      </c>
      <c r="C2" s="325"/>
      <c r="D2" s="325"/>
      <c r="E2" s="325"/>
      <c r="F2" s="325"/>
      <c r="G2" s="325"/>
      <c r="H2" s="325"/>
      <c r="I2" s="325"/>
      <c r="J2" s="325"/>
    </row>
    <row r="3" spans="2:10" x14ac:dyDescent="0.25">
      <c r="B3" s="2" t="s">
        <v>268</v>
      </c>
      <c r="J3" s="216" t="s">
        <v>252</v>
      </c>
    </row>
    <row r="4" spans="2:10" ht="16.5" thickBot="1" x14ac:dyDescent="0.3">
      <c r="B4" s="2"/>
    </row>
    <row r="5" spans="2:10" ht="16.5" thickBot="1" x14ac:dyDescent="0.3">
      <c r="B5" s="324" t="s">
        <v>269</v>
      </c>
      <c r="C5" s="324"/>
    </row>
    <row r="6" spans="2:10" x14ac:dyDescent="0.25">
      <c r="B6" s="236" t="s">
        <v>0</v>
      </c>
      <c r="C6" s="237" t="str">
        <f>'Valuation Summary'!E11</f>
        <v>Siemens AG</v>
      </c>
    </row>
    <row r="7" spans="2:10" x14ac:dyDescent="0.25">
      <c r="B7" s="236" t="s">
        <v>2</v>
      </c>
      <c r="C7" s="237" t="str">
        <f>'Valuation Summary'!E12</f>
        <v>SIE.DE</v>
      </c>
    </row>
    <row r="8" spans="2:10" x14ac:dyDescent="0.25">
      <c r="B8" s="238" t="s">
        <v>3</v>
      </c>
      <c r="C8" s="239">
        <f>'Valuation Summary'!E13</f>
        <v>88.19</v>
      </c>
    </row>
    <row r="9" spans="2:10" x14ac:dyDescent="0.25">
      <c r="B9" s="236" t="s">
        <v>4</v>
      </c>
      <c r="C9" s="331">
        <f>'Valuation Summary'!E14</f>
        <v>43700</v>
      </c>
    </row>
    <row r="10" spans="2:10" x14ac:dyDescent="0.25">
      <c r="B10" s="236" t="s">
        <v>5</v>
      </c>
      <c r="C10" s="331">
        <f>'Valuation Summary'!E15</f>
        <v>43373</v>
      </c>
    </row>
    <row r="11" spans="2:10" x14ac:dyDescent="0.25">
      <c r="B11" s="236" t="s">
        <v>341</v>
      </c>
      <c r="C11" s="332">
        <f>'Income Statement'!L37</f>
        <v>815063</v>
      </c>
    </row>
    <row r="12" spans="2:10" ht="16.5" thickBot="1" x14ac:dyDescent="0.3">
      <c r="B12" s="326" t="s">
        <v>270</v>
      </c>
      <c r="C12" s="240">
        <f>J76</f>
        <v>5.6677137472079003E-2</v>
      </c>
    </row>
    <row r="14" spans="2:10" ht="16.5" thickBot="1" x14ac:dyDescent="0.3">
      <c r="B14" s="241" t="s">
        <v>271</v>
      </c>
      <c r="C14" s="235"/>
      <c r="D14" s="235"/>
      <c r="E14" s="235"/>
      <c r="F14" s="235"/>
      <c r="G14" s="235"/>
      <c r="H14" s="235"/>
      <c r="I14" s="235"/>
      <c r="J14" s="235"/>
    </row>
    <row r="15" spans="2:10" x14ac:dyDescent="0.25">
      <c r="B15" s="330" t="s">
        <v>272</v>
      </c>
      <c r="C15" s="327">
        <f>D15-1</f>
        <v>2016</v>
      </c>
      <c r="D15" s="327">
        <f>E15-1</f>
        <v>2017</v>
      </c>
      <c r="E15" s="327">
        <f>YEAR(E16)</f>
        <v>2018</v>
      </c>
      <c r="F15" s="328">
        <f>E15+1</f>
        <v>2019</v>
      </c>
      <c r="G15" s="328">
        <f>F15+1</f>
        <v>2020</v>
      </c>
      <c r="H15" s="328">
        <f>G15+1</f>
        <v>2021</v>
      </c>
      <c r="I15" s="328">
        <f>H15+1</f>
        <v>2022</v>
      </c>
      <c r="J15" s="328">
        <f>I15+1</f>
        <v>2023</v>
      </c>
    </row>
    <row r="16" spans="2:10" x14ac:dyDescent="0.25">
      <c r="B16" s="336" t="s">
        <v>14</v>
      </c>
      <c r="C16" s="329">
        <f>EOMONTH(D16,-12)</f>
        <v>42643</v>
      </c>
      <c r="D16" s="329">
        <f>EOMONTH(E16,-12)</f>
        <v>43008</v>
      </c>
      <c r="E16" s="329">
        <f>'Valuation Summary'!E15</f>
        <v>43373</v>
      </c>
      <c r="F16" s="329">
        <f>EOMONTH(E16,12)</f>
        <v>43738</v>
      </c>
      <c r="G16" s="329">
        <f t="shared" ref="G16:J16" si="0">EOMONTH(F16,12)</f>
        <v>44104</v>
      </c>
      <c r="H16" s="329">
        <f t="shared" si="0"/>
        <v>44469</v>
      </c>
      <c r="I16" s="329">
        <f t="shared" si="0"/>
        <v>44834</v>
      </c>
      <c r="J16" s="329">
        <f t="shared" si="0"/>
        <v>45199</v>
      </c>
    </row>
    <row r="17" spans="2:10" s="244" customFormat="1" ht="15" x14ac:dyDescent="0.25">
      <c r="B17" s="243"/>
      <c r="F17" s="245"/>
      <c r="G17" s="245"/>
      <c r="H17" s="245"/>
      <c r="I17" s="245"/>
      <c r="J17" s="245"/>
    </row>
    <row r="18" spans="2:10" s="244" customFormat="1" ht="15" x14ac:dyDescent="0.25">
      <c r="B18" s="238" t="s">
        <v>112</v>
      </c>
      <c r="C18" s="314">
        <f>'Income Statement'!J56</f>
        <v>10216</v>
      </c>
      <c r="D18" s="314">
        <f>'Income Statement'!K56</f>
        <v>10825</v>
      </c>
      <c r="E18" s="314">
        <f>'Income Statement'!L56</f>
        <v>9602</v>
      </c>
      <c r="F18" s="314">
        <f ca="1">'Income Statement'!M56</f>
        <v>9004.3618959237101</v>
      </c>
      <c r="G18" s="314">
        <f ca="1">'Income Statement'!N56</f>
        <v>9228.3768863467831</v>
      </c>
      <c r="H18" s="314">
        <f ca="1">'Income Statement'!O56</f>
        <v>9534.7205743582144</v>
      </c>
      <c r="I18" s="314">
        <f ca="1">'Income Statement'!P56</f>
        <v>9881.2771163486759</v>
      </c>
      <c r="J18" s="314">
        <f ca="1">'Income Statement'!Q56</f>
        <v>10300.413482231801</v>
      </c>
    </row>
    <row r="19" spans="2:10" s="244" customFormat="1" ht="15" x14ac:dyDescent="0.25">
      <c r="B19" s="238" t="s">
        <v>186</v>
      </c>
      <c r="C19" s="314">
        <f>'Income Statement'!J54</f>
        <v>2764</v>
      </c>
      <c r="D19" s="314">
        <f>'Income Statement'!K54</f>
        <v>3211</v>
      </c>
      <c r="E19" s="314">
        <f>'Income Statement'!L54</f>
        <v>3419</v>
      </c>
      <c r="F19" s="314">
        <f ca="1">'Income Statement'!M54</f>
        <v>2610.0003304045345</v>
      </c>
      <c r="G19" s="314">
        <f ca="1">'Income Statement'!N54</f>
        <v>2601.385286914518</v>
      </c>
      <c r="H19" s="314">
        <f ca="1">'Income Statement'!O54</f>
        <v>2565.2511355886359</v>
      </c>
      <c r="I19" s="314">
        <f ca="1">'Income Statement'!P54</f>
        <v>2500.2870304800681</v>
      </c>
      <c r="J19" s="314">
        <f ca="1">'Income Statement'!Q54</f>
        <v>2403.6501462087263</v>
      </c>
    </row>
    <row r="20" spans="2:10" s="244" customFormat="1" ht="15" x14ac:dyDescent="0.25">
      <c r="B20" s="238" t="s">
        <v>273</v>
      </c>
      <c r="C20" s="268">
        <f t="shared" ref="C20:E20" si="1">C18-C19</f>
        <v>7452</v>
      </c>
      <c r="D20" s="268">
        <f t="shared" si="1"/>
        <v>7614</v>
      </c>
      <c r="E20" s="268">
        <f t="shared" si="1"/>
        <v>6183</v>
      </c>
      <c r="F20" s="268">
        <f ca="1">F18-F19</f>
        <v>6394.3615655191752</v>
      </c>
      <c r="G20" s="268">
        <f t="shared" ref="G20:J20" ca="1" si="2">G18-G19</f>
        <v>6626.9915994322655</v>
      </c>
      <c r="H20" s="268">
        <f t="shared" ca="1" si="2"/>
        <v>6969.4694387695781</v>
      </c>
      <c r="I20" s="268">
        <f t="shared" ca="1" si="2"/>
        <v>7380.9900858686078</v>
      </c>
      <c r="J20" s="268">
        <f t="shared" ca="1" si="2"/>
        <v>7896.7633360230748</v>
      </c>
    </row>
    <row r="21" spans="2:10" s="244" customFormat="1" ht="15" x14ac:dyDescent="0.25">
      <c r="B21" s="238" t="s">
        <v>274</v>
      </c>
      <c r="C21" s="315"/>
      <c r="D21" s="315"/>
      <c r="E21" s="315"/>
      <c r="F21" s="315">
        <f>'Income Statement'!M51</f>
        <v>0.26289838608752558</v>
      </c>
      <c r="G21" s="315">
        <f>'Income Statement'!N51</f>
        <v>0.26289838608752558</v>
      </c>
      <c r="H21" s="315">
        <f>'Income Statement'!O51</f>
        <v>0.26289838608752558</v>
      </c>
      <c r="I21" s="315">
        <f>'Income Statement'!P51</f>
        <v>0.26289838608752558</v>
      </c>
      <c r="J21" s="315">
        <f>'Income Statement'!Q51</f>
        <v>0.26289838608752558</v>
      </c>
    </row>
    <row r="22" spans="2:10" s="244" customFormat="1" ht="15" x14ac:dyDescent="0.25">
      <c r="B22" s="247" t="s">
        <v>275</v>
      </c>
      <c r="C22" s="316"/>
      <c r="D22" s="316"/>
      <c r="E22" s="316"/>
      <c r="F22" s="316">
        <f ca="1">F20*(1-F21)</f>
        <v>4713.2942298840808</v>
      </c>
      <c r="G22" s="316">
        <f t="shared" ref="G22:J22" ca="1" si="3">G20*(1-G21)</f>
        <v>4884.766203325933</v>
      </c>
      <c r="H22" s="316">
        <f t="shared" ca="1" si="3"/>
        <v>5137.2071714307231</v>
      </c>
      <c r="I22" s="316">
        <f t="shared" ca="1" si="3"/>
        <v>5440.5397045657237</v>
      </c>
      <c r="J22" s="316">
        <f t="shared" ca="1" si="3"/>
        <v>5820.7169996674638</v>
      </c>
    </row>
    <row r="23" spans="2:10" s="244" customFormat="1" ht="15" x14ac:dyDescent="0.25">
      <c r="B23" s="247" t="s">
        <v>276</v>
      </c>
      <c r="C23" s="317"/>
      <c r="D23" s="317"/>
      <c r="E23" s="317"/>
      <c r="F23" s="317"/>
      <c r="G23" s="317"/>
      <c r="H23" s="317"/>
      <c r="I23" s="317"/>
      <c r="J23" s="317"/>
    </row>
    <row r="24" spans="2:10" s="244" customFormat="1" ht="15" x14ac:dyDescent="0.25">
      <c r="B24" s="249" t="s">
        <v>186</v>
      </c>
      <c r="C24" s="317"/>
      <c r="D24" s="317"/>
      <c r="E24" s="314"/>
      <c r="F24" s="314">
        <f ca="1">F19</f>
        <v>2610.0003304045345</v>
      </c>
      <c r="G24" s="314">
        <f t="shared" ref="G24:J24" ca="1" si="4">G19</f>
        <v>2601.385286914518</v>
      </c>
      <c r="H24" s="314">
        <f t="shared" ca="1" si="4"/>
        <v>2565.2511355886359</v>
      </c>
      <c r="I24" s="314">
        <f t="shared" ca="1" si="4"/>
        <v>2500.2870304800681</v>
      </c>
      <c r="J24" s="314">
        <f t="shared" ca="1" si="4"/>
        <v>2403.6501462087263</v>
      </c>
    </row>
    <row r="25" spans="2:10" s="244" customFormat="1" ht="15" x14ac:dyDescent="0.25">
      <c r="B25" s="249" t="s">
        <v>277</v>
      </c>
      <c r="C25" s="317"/>
      <c r="D25" s="317"/>
      <c r="E25" s="314"/>
      <c r="F25" s="314">
        <f ca="1">'Cash Flow Statement'!K13</f>
        <v>-86.567727545869275</v>
      </c>
      <c r="G25" s="314">
        <f ca="1">'Cash Flow Statement'!L13</f>
        <v>-96.326904205300707</v>
      </c>
      <c r="H25" s="314">
        <f ca="1">'Cash Flow Statement'!M13</f>
        <v>-141.81242837546688</v>
      </c>
      <c r="I25" s="314">
        <f ca="1">'Cash Flow Statement'!N13</f>
        <v>-170.40151387511742</v>
      </c>
      <c r="J25" s="314">
        <f ca="1">'Cash Flow Statement'!O13</f>
        <v>-213.57018964217878</v>
      </c>
    </row>
    <row r="26" spans="2:10" s="244" customFormat="1" ht="15" x14ac:dyDescent="0.25">
      <c r="B26" s="249" t="s">
        <v>278</v>
      </c>
      <c r="C26" s="317"/>
      <c r="D26" s="317"/>
      <c r="E26" s="314"/>
      <c r="F26" s="314">
        <f ca="1">'Cash Flow Statement'!K15</f>
        <v>109.34518719306652</v>
      </c>
      <c r="G26" s="314">
        <f ca="1">'Cash Flow Statement'!L15</f>
        <v>-643.55993226174542</v>
      </c>
      <c r="H26" s="314">
        <f ca="1">'Cash Flow Statement'!M15</f>
        <v>-947.44866506534527</v>
      </c>
      <c r="I26" s="314">
        <f ca="1">'Cash Flow Statement'!N15</f>
        <v>-1138.4523112363786</v>
      </c>
      <c r="J26" s="314">
        <f ca="1">'Cash Flow Statement'!O15</f>
        <v>-1426.8621826184062</v>
      </c>
    </row>
    <row r="27" spans="2:10" s="244" customFormat="1" ht="15" x14ac:dyDescent="0.25">
      <c r="B27" s="249" t="s">
        <v>279</v>
      </c>
      <c r="C27" s="317"/>
      <c r="D27" s="317"/>
      <c r="E27" s="314"/>
      <c r="F27" s="314">
        <f ca="1">'Cash Flow Statement'!K16</f>
        <v>-2218.7909222709113</v>
      </c>
      <c r="G27" s="314">
        <f ca="1">'Cash Flow Statement'!L16</f>
        <v>-581.95044510835396</v>
      </c>
      <c r="H27" s="314">
        <f ca="1">'Cash Flow Statement'!M16</f>
        <v>-856.7472036587933</v>
      </c>
      <c r="I27" s="314">
        <f ca="1">'Cash Flow Statement'!N16</f>
        <v>-1029.4656271254353</v>
      </c>
      <c r="J27" s="314">
        <f ca="1">'Cash Flow Statement'!O16</f>
        <v>-1290.2653516119353</v>
      </c>
    </row>
    <row r="28" spans="2:10" s="244" customFormat="1" ht="15" x14ac:dyDescent="0.25">
      <c r="B28" s="249" t="s">
        <v>125</v>
      </c>
      <c r="C28" s="317"/>
      <c r="D28" s="317"/>
      <c r="E28" s="314"/>
      <c r="F28" s="314">
        <f ca="1">'Cash Flow Statement'!K17</f>
        <v>-760.87437066455277</v>
      </c>
      <c r="G28" s="314">
        <f ca="1">'Cash Flow Statement'!L17</f>
        <v>359.75316737932371</v>
      </c>
      <c r="H28" s="314">
        <f ca="1">'Cash Flow Statement'!M17</f>
        <v>529.62846364391044</v>
      </c>
      <c r="I28" s="314">
        <f ca="1">'Cash Flow Statement'!N17</f>
        <v>636.40044127393048</v>
      </c>
      <c r="J28" s="314">
        <f ca="1">'Cash Flow Statement'!O17</f>
        <v>797.62297787359603</v>
      </c>
    </row>
    <row r="29" spans="2:10" s="244" customFormat="1" ht="15" x14ac:dyDescent="0.25">
      <c r="B29" s="249" t="s">
        <v>280</v>
      </c>
      <c r="C29" s="317"/>
      <c r="D29" s="317"/>
      <c r="E29" s="314"/>
      <c r="F29" s="314">
        <f>'Cash Flow Statement'!K18</f>
        <v>0</v>
      </c>
      <c r="G29" s="314">
        <f>'Cash Flow Statement'!L18</f>
        <v>0</v>
      </c>
      <c r="H29" s="314">
        <f>'Cash Flow Statement'!M18</f>
        <v>0</v>
      </c>
      <c r="I29" s="314">
        <f>'Cash Flow Statement'!N18</f>
        <v>0</v>
      </c>
      <c r="J29" s="314">
        <f>'Cash Flow Statement'!O18</f>
        <v>0</v>
      </c>
    </row>
    <row r="30" spans="2:10" s="244" customFormat="1" ht="15" x14ac:dyDescent="0.25">
      <c r="B30" s="250" t="s">
        <v>148</v>
      </c>
      <c r="C30" s="317"/>
      <c r="D30" s="317"/>
      <c r="E30" s="314"/>
      <c r="F30" s="314">
        <f>'Cash Flow Statement'!K29</f>
        <v>0</v>
      </c>
      <c r="G30" s="314">
        <f>'Cash Flow Statement'!L29</f>
        <v>0</v>
      </c>
      <c r="H30" s="314">
        <f>'Cash Flow Statement'!M29</f>
        <v>0</v>
      </c>
      <c r="I30" s="314">
        <f>'Cash Flow Statement'!N29</f>
        <v>0</v>
      </c>
      <c r="J30" s="314">
        <f>'Cash Flow Statement'!O29</f>
        <v>0</v>
      </c>
    </row>
    <row r="31" spans="2:10" s="244" customFormat="1" ht="15" x14ac:dyDescent="0.25">
      <c r="B31" s="247" t="s">
        <v>281</v>
      </c>
      <c r="C31" s="317"/>
      <c r="D31" s="317"/>
      <c r="E31" s="318"/>
      <c r="F31" s="318"/>
      <c r="G31" s="318"/>
      <c r="H31" s="318"/>
      <c r="I31" s="318"/>
      <c r="J31" s="318"/>
    </row>
    <row r="32" spans="2:10" s="244" customFormat="1" ht="15" x14ac:dyDescent="0.25">
      <c r="B32" s="252" t="s">
        <v>282</v>
      </c>
      <c r="C32" s="317"/>
      <c r="D32" s="317"/>
      <c r="E32" s="314"/>
      <c r="F32" s="314">
        <f ca="1">-'PPE &amp; Intangible Assets'!G21</f>
        <v>-2574.9446262076676</v>
      </c>
      <c r="G32" s="314">
        <f ca="1">-'PPE &amp; Intangible Assets'!H21</f>
        <v>-2223.3305331440879</v>
      </c>
      <c r="H32" s="314">
        <f ca="1">-'PPE &amp; Intangible Assets'!I21</f>
        <v>-1869.9918503385529</v>
      </c>
      <c r="I32" s="314">
        <f ca="1">-'PPE &amp; Intangible Assets'!J21</f>
        <v>-1484.7980171737202</v>
      </c>
      <c r="J32" s="314">
        <f ca="1">-'PPE &amp; Intangible Assets'!K21</f>
        <v>-1058.6351114697427</v>
      </c>
    </row>
    <row r="33" spans="2:11" s="244" customFormat="1" ht="15" x14ac:dyDescent="0.25">
      <c r="B33" s="253" t="s">
        <v>283</v>
      </c>
      <c r="C33" s="317"/>
      <c r="D33" s="317"/>
      <c r="E33" s="317"/>
      <c r="F33" s="318">
        <f ca="1">SUM(F22:F32)</f>
        <v>1791.4621007926812</v>
      </c>
      <c r="G33" s="318">
        <f t="shared" ref="G33:J33" ca="1" si="5">SUM(G22:G32)</f>
        <v>4300.7368429002863</v>
      </c>
      <c r="H33" s="318">
        <f t="shared" ca="1" si="5"/>
        <v>4416.0866232251101</v>
      </c>
      <c r="I33" s="318">
        <f t="shared" ca="1" si="5"/>
        <v>4754.1097069090711</v>
      </c>
      <c r="J33" s="318">
        <f t="shared" ca="1" si="5"/>
        <v>5032.6572884075222</v>
      </c>
    </row>
    <row r="34" spans="2:11" s="244" customFormat="1" ht="15" x14ac:dyDescent="0.25">
      <c r="B34" s="254" t="s">
        <v>284</v>
      </c>
      <c r="C34" s="317"/>
      <c r="D34" s="317"/>
      <c r="E34" s="317"/>
      <c r="F34" s="317"/>
      <c r="G34" s="319">
        <f ca="1">G33/F33-1</f>
        <v>1.4006853625300297</v>
      </c>
      <c r="H34" s="319">
        <f t="shared" ref="H34:J34" ca="1" si="6">H33/G33-1</f>
        <v>2.6820934304605304E-2</v>
      </c>
      <c r="I34" s="319">
        <f t="shared" ca="1" si="6"/>
        <v>7.6543580894955277E-2</v>
      </c>
      <c r="J34" s="319">
        <f t="shared" ca="1" si="6"/>
        <v>5.8590903170291142E-2</v>
      </c>
    </row>
    <row r="35" spans="2:11" x14ac:dyDescent="0.25">
      <c r="B35" s="256"/>
      <c r="C35" s="320"/>
      <c r="D35" s="320"/>
      <c r="E35" s="320"/>
      <c r="F35" s="320"/>
      <c r="G35" s="321"/>
      <c r="H35" s="321"/>
      <c r="I35" s="321"/>
      <c r="J35" s="321"/>
    </row>
    <row r="36" spans="2:11" x14ac:dyDescent="0.25">
      <c r="B36" s="258" t="s">
        <v>285</v>
      </c>
      <c r="C36" s="320"/>
      <c r="D36" s="320"/>
      <c r="E36" s="320"/>
      <c r="F36" s="322">
        <f>YEARFRAC($C$9,F16)</f>
        <v>0.10277777777777777</v>
      </c>
      <c r="G36" s="322">
        <f t="shared" ref="G36:J36" si="7">YEARFRAC($C$9,G16)</f>
        <v>1.1027777777777779</v>
      </c>
      <c r="H36" s="322">
        <f t="shared" si="7"/>
        <v>2.1027777777777779</v>
      </c>
      <c r="I36" s="322">
        <f t="shared" si="7"/>
        <v>3.1027777777777779</v>
      </c>
      <c r="J36" s="322">
        <f t="shared" si="7"/>
        <v>4.1027777777777779</v>
      </c>
    </row>
    <row r="37" spans="2:11" x14ac:dyDescent="0.25">
      <c r="B37" s="244" t="s">
        <v>286</v>
      </c>
      <c r="C37" s="260"/>
      <c r="D37" s="320"/>
      <c r="E37" s="320"/>
      <c r="F37" s="323">
        <f>F36-E36</f>
        <v>0.10277777777777777</v>
      </c>
      <c r="G37" s="323">
        <f t="shared" ref="G37:J37" si="8">G36-F36</f>
        <v>1</v>
      </c>
      <c r="H37" s="323">
        <f t="shared" si="8"/>
        <v>1</v>
      </c>
      <c r="I37" s="323">
        <f t="shared" si="8"/>
        <v>1</v>
      </c>
      <c r="J37" s="323">
        <f t="shared" si="8"/>
        <v>1</v>
      </c>
    </row>
    <row r="38" spans="2:11" x14ac:dyDescent="0.25">
      <c r="B38" s="258" t="s">
        <v>287</v>
      </c>
      <c r="C38" s="320"/>
      <c r="D38" s="320"/>
      <c r="E38" s="320"/>
      <c r="F38" s="261">
        <f ca="1">F33/((1+$C$12)^F36)</f>
        <v>1781.3402759576381</v>
      </c>
      <c r="G38" s="261">
        <f t="shared" ref="G38:J38" ca="1" si="9">G33/((1+$C$12)^G36)</f>
        <v>4047.0616563232916</v>
      </c>
      <c r="H38" s="261">
        <f t="shared" ca="1" si="9"/>
        <v>3932.712731038936</v>
      </c>
      <c r="I38" s="261">
        <f t="shared" ca="1" si="9"/>
        <v>4006.6511292487444</v>
      </c>
      <c r="J38" s="261">
        <f t="shared" ca="1" si="9"/>
        <v>4013.9076423537817</v>
      </c>
    </row>
    <row r="39" spans="2:11" ht="16.5" thickBot="1" x14ac:dyDescent="0.3">
      <c r="B39" s="262"/>
      <c r="C39" s="257"/>
      <c r="D39" s="263"/>
      <c r="F39" s="261"/>
      <c r="G39" s="261"/>
      <c r="H39" s="261"/>
      <c r="I39" s="261"/>
      <c r="J39" s="261"/>
    </row>
    <row r="40" spans="2:11" ht="16.5" thickBot="1" x14ac:dyDescent="0.3">
      <c r="B40" s="324" t="s">
        <v>288</v>
      </c>
      <c r="C40" s="257"/>
      <c r="D40" s="263"/>
      <c r="F40" s="261"/>
      <c r="G40" s="261"/>
      <c r="H40" s="261"/>
      <c r="I40" s="261"/>
      <c r="J40" s="261"/>
    </row>
    <row r="41" spans="2:11" ht="19.5" thickBot="1" x14ac:dyDescent="0.35">
      <c r="B41" s="264"/>
      <c r="C41" s="265"/>
      <c r="D41" s="343"/>
      <c r="E41" s="266"/>
      <c r="F41" s="267"/>
      <c r="G41" s="267"/>
      <c r="H41" s="267"/>
      <c r="I41" s="267"/>
      <c r="J41" s="267"/>
    </row>
    <row r="42" spans="2:11" ht="16.5" thickBot="1" x14ac:dyDescent="0.3">
      <c r="B42" s="324" t="s">
        <v>289</v>
      </c>
      <c r="C42" s="324"/>
      <c r="D42" s="242"/>
      <c r="E42" s="324" t="s">
        <v>290</v>
      </c>
      <c r="F42" s="324"/>
      <c r="G42" s="324"/>
      <c r="H42" s="324"/>
      <c r="I42" s="324"/>
      <c r="J42" s="324"/>
    </row>
    <row r="43" spans="2:11" s="244" customFormat="1" ht="15" x14ac:dyDescent="0.25">
      <c r="B43" s="244" t="s">
        <v>291</v>
      </c>
      <c r="C43" s="268">
        <f ca="1">J33</f>
        <v>5032.6572884075222</v>
      </c>
      <c r="D43" s="238"/>
      <c r="E43" s="244" t="s">
        <v>292</v>
      </c>
      <c r="J43" s="246">
        <f ca="1">J18</f>
        <v>10300.413482231801</v>
      </c>
    </row>
    <row r="44" spans="2:11" s="244" customFormat="1" ht="17.25" x14ac:dyDescent="0.25">
      <c r="B44" s="244" t="s">
        <v>293</v>
      </c>
      <c r="C44" s="269">
        <f ca="1">C43*(1+C45)</f>
        <v>5133.3104341756725</v>
      </c>
      <c r="D44" s="238"/>
      <c r="E44" s="244" t="s">
        <v>294</v>
      </c>
      <c r="J44" s="270">
        <v>8.16</v>
      </c>
      <c r="K44" s="271"/>
    </row>
    <row r="45" spans="2:11" s="244" customFormat="1" ht="15" x14ac:dyDescent="0.25">
      <c r="B45" s="244" t="s">
        <v>295</v>
      </c>
      <c r="C45" s="272">
        <v>0.02</v>
      </c>
      <c r="D45" s="238"/>
      <c r="E45" s="244" t="s">
        <v>296</v>
      </c>
      <c r="J45" s="246">
        <f ca="1">J43*J44</f>
        <v>84051.374015011505</v>
      </c>
    </row>
    <row r="46" spans="2:11" s="244" customFormat="1" ht="15" x14ac:dyDescent="0.25">
      <c r="B46" s="244" t="s">
        <v>296</v>
      </c>
      <c r="C46" s="246">
        <f ca="1">C44/($C$12-C45)</f>
        <v>139959.40763052949</v>
      </c>
      <c r="D46" s="238"/>
      <c r="E46" s="238" t="s">
        <v>297</v>
      </c>
      <c r="J46" s="246">
        <f ca="1">J45/((1+C12)^J36)</f>
        <v>67037.04090606689</v>
      </c>
    </row>
    <row r="47" spans="2:11" s="244" customFormat="1" ht="15" x14ac:dyDescent="0.25">
      <c r="B47" s="238" t="s">
        <v>297</v>
      </c>
      <c r="C47" s="246">
        <f ca="1">C46/((1+C12)^J36)</f>
        <v>111627.73535196457</v>
      </c>
      <c r="D47" s="238"/>
      <c r="E47" s="273" t="s">
        <v>298</v>
      </c>
      <c r="J47" s="246">
        <f ca="1">SUM($F$38:$J$38)</f>
        <v>17781.673434922392</v>
      </c>
    </row>
    <row r="48" spans="2:11" s="244" customFormat="1" ht="15" x14ac:dyDescent="0.25">
      <c r="B48" s="273" t="s">
        <v>298</v>
      </c>
      <c r="C48" s="246">
        <f ca="1">SUM($F$38:$J$38)</f>
        <v>17781.673434922392</v>
      </c>
      <c r="D48" s="238"/>
      <c r="E48" s="247" t="s">
        <v>299</v>
      </c>
      <c r="J48" s="251">
        <f ca="1">SUM(J46:J47)</f>
        <v>84818.714340989274</v>
      </c>
    </row>
    <row r="49" spans="2:13" s="244" customFormat="1" ht="15" x14ac:dyDescent="0.25">
      <c r="B49" s="247" t="s">
        <v>299</v>
      </c>
      <c r="C49" s="251">
        <f ca="1">SUM(C47:C48)</f>
        <v>129409.40878688695</v>
      </c>
      <c r="D49" s="238"/>
      <c r="E49" s="274" t="s">
        <v>300</v>
      </c>
      <c r="F49" s="275"/>
      <c r="G49" s="275"/>
      <c r="H49" s="275"/>
      <c r="I49" s="275"/>
      <c r="J49" s="255">
        <f ca="1">(C12-(C43*(1+C12)^0.5)/J45)/(1+(C43*(1+C12)^0.5)/J45)</f>
        <v>-4.5897481514648982E-3</v>
      </c>
    </row>
    <row r="50" spans="2:13" s="244" customFormat="1" thickBot="1" x14ac:dyDescent="0.3">
      <c r="B50" s="276" t="s">
        <v>301</v>
      </c>
      <c r="C50" s="277">
        <f ca="1">C49/J43</f>
        <v>12.563515921969346</v>
      </c>
      <c r="D50" s="238"/>
      <c r="E50" s="279"/>
      <c r="F50" s="278"/>
      <c r="G50" s="278"/>
      <c r="H50" s="278"/>
      <c r="I50" s="278"/>
      <c r="J50" s="280"/>
    </row>
    <row r="51" spans="2:13" ht="16.5" thickBot="1" x14ac:dyDescent="0.3">
      <c r="B51" s="281"/>
      <c r="C51" s="282"/>
      <c r="E51" s="283"/>
      <c r="J51" s="257"/>
    </row>
    <row r="52" spans="2:13" ht="16.5" thickBot="1" x14ac:dyDescent="0.3">
      <c r="B52" s="324" t="s">
        <v>302</v>
      </c>
      <c r="C52" s="324"/>
      <c r="E52" s="324" t="s">
        <v>303</v>
      </c>
      <c r="F52" s="324"/>
      <c r="G52" s="324"/>
      <c r="H52" s="324"/>
      <c r="I52" s="324"/>
      <c r="J52" s="324"/>
    </row>
    <row r="53" spans="2:13" s="244" customFormat="1" ht="17.25" x14ac:dyDescent="0.4">
      <c r="B53" s="244" t="s">
        <v>304</v>
      </c>
      <c r="C53" s="284">
        <f>'Balance sheet'!K10+'Balance sheet'!K11</f>
        <v>12352</v>
      </c>
      <c r="I53" s="285" t="s">
        <v>305</v>
      </c>
      <c r="J53" s="285" t="s">
        <v>112</v>
      </c>
    </row>
    <row r="54" spans="2:13" s="244" customFormat="1" ht="15" x14ac:dyDescent="0.25">
      <c r="B54" s="273" t="s">
        <v>164</v>
      </c>
      <c r="C54" s="284">
        <f>'Balance sheet'!K30+'Balance sheet'!K39</f>
        <v>32177</v>
      </c>
      <c r="E54" s="244" t="s">
        <v>306</v>
      </c>
      <c r="I54" s="246">
        <f ca="1">C49</f>
        <v>129409.40878688695</v>
      </c>
      <c r="J54" s="246">
        <f ca="1">J48</f>
        <v>84818.714340989274</v>
      </c>
    </row>
    <row r="55" spans="2:13" s="244" customFormat="1" ht="15" x14ac:dyDescent="0.25">
      <c r="B55" s="286" t="s">
        <v>233</v>
      </c>
      <c r="C55" s="248">
        <f>C54-C53</f>
        <v>19825</v>
      </c>
      <c r="E55" s="244" t="s">
        <v>307</v>
      </c>
      <c r="I55" s="246">
        <f>-C55</f>
        <v>-19825</v>
      </c>
      <c r="J55" s="246">
        <f>I55</f>
        <v>-19825</v>
      </c>
    </row>
    <row r="56" spans="2:13" ht="16.5" thickBot="1" x14ac:dyDescent="0.3">
      <c r="E56" s="253" t="s">
        <v>308</v>
      </c>
      <c r="F56" s="262"/>
      <c r="G56" s="262"/>
      <c r="I56" s="287">
        <f ca="1">SUM(I54:I55)</f>
        <v>109584.40878688695</v>
      </c>
      <c r="J56" s="287">
        <f ca="1">SUM(J54:J55)</f>
        <v>64993.714340989274</v>
      </c>
    </row>
    <row r="57" spans="2:13" ht="16.5" thickBot="1" x14ac:dyDescent="0.3">
      <c r="B57" s="324" t="s">
        <v>309</v>
      </c>
      <c r="C57" s="324"/>
      <c r="D57" s="242"/>
      <c r="E57" s="273" t="s">
        <v>310</v>
      </c>
      <c r="I57" s="288">
        <f>C65</f>
        <v>832.83199999999999</v>
      </c>
      <c r="J57" s="288">
        <f>I57</f>
        <v>832.83199999999999</v>
      </c>
    </row>
    <row r="58" spans="2:13" x14ac:dyDescent="0.25">
      <c r="B58" s="275" t="s">
        <v>210</v>
      </c>
      <c r="C58" s="289">
        <f>C11</f>
        <v>815063</v>
      </c>
      <c r="D58" s="242"/>
      <c r="E58" s="253" t="s">
        <v>311</v>
      </c>
      <c r="I58" s="290">
        <f ca="1">I56/I57</f>
        <v>131.58044934258885</v>
      </c>
      <c r="J58" s="290">
        <f ca="1">J56/J57</f>
        <v>78.03940571566568</v>
      </c>
      <c r="M58" s="344"/>
    </row>
    <row r="59" spans="2:13" x14ac:dyDescent="0.25">
      <c r="B59" s="291" t="s">
        <v>312</v>
      </c>
      <c r="C59" s="292" t="str">
        <f>D81</f>
        <v>na</v>
      </c>
      <c r="D59" s="242"/>
      <c r="E59" s="275" t="s">
        <v>313</v>
      </c>
      <c r="I59" s="257">
        <f ca="1">$C$8/I58-1</f>
        <v>-0.32976365075039005</v>
      </c>
      <c r="J59" s="257">
        <f ca="1">$C$8/J58-1</f>
        <v>0.13007011254439482</v>
      </c>
    </row>
    <row r="60" spans="2:13" ht="16.5" thickBot="1" x14ac:dyDescent="0.3">
      <c r="B60" s="291" t="s">
        <v>314</v>
      </c>
      <c r="C60" s="293" t="str">
        <f>E81</f>
        <v>na</v>
      </c>
    </row>
    <row r="61" spans="2:13" ht="16.5" thickBot="1" x14ac:dyDescent="0.3">
      <c r="B61" s="294" t="s">
        <v>315</v>
      </c>
      <c r="C61" s="295" t="str">
        <f>IFERROR(C59*C60,"na")</f>
        <v>na</v>
      </c>
      <c r="E61" s="324" t="s">
        <v>316</v>
      </c>
      <c r="F61" s="324"/>
      <c r="G61" s="324"/>
      <c r="H61" s="324"/>
      <c r="I61" s="324"/>
      <c r="J61" s="324"/>
    </row>
    <row r="62" spans="2:13" x14ac:dyDescent="0.25">
      <c r="B62" s="294" t="s">
        <v>317</v>
      </c>
      <c r="C62" s="292" t="s">
        <v>318</v>
      </c>
      <c r="E62" s="296" t="s">
        <v>319</v>
      </c>
      <c r="F62" s="244"/>
      <c r="G62" s="244"/>
      <c r="H62" s="244"/>
      <c r="I62" s="244"/>
      <c r="J62" s="297">
        <v>2.9000000000000001E-2</v>
      </c>
    </row>
    <row r="63" spans="2:13" x14ac:dyDescent="0.25">
      <c r="B63" s="294" t="s">
        <v>320</v>
      </c>
      <c r="C63" s="295">
        <f>F81</f>
        <v>0</v>
      </c>
      <c r="E63" s="238" t="s">
        <v>108</v>
      </c>
      <c r="F63" s="244"/>
      <c r="G63" s="244"/>
      <c r="H63" s="244"/>
      <c r="I63" s="244"/>
      <c r="J63" s="245">
        <f>J21</f>
        <v>0.26289838608752558</v>
      </c>
    </row>
    <row r="64" spans="2:13" x14ac:dyDescent="0.25">
      <c r="B64" s="294" t="s">
        <v>321</v>
      </c>
      <c r="C64" s="284">
        <v>0</v>
      </c>
      <c r="E64" s="244" t="s">
        <v>322</v>
      </c>
      <c r="F64" s="244"/>
      <c r="G64" s="244"/>
      <c r="H64" s="244"/>
      <c r="I64" s="244"/>
      <c r="J64" s="245">
        <f>J62*(1-J63)</f>
        <v>2.1375946803461759E-2</v>
      </c>
    </row>
    <row r="65" spans="2:12" x14ac:dyDescent="0.25">
      <c r="B65" s="298" t="s">
        <v>323</v>
      </c>
      <c r="C65" s="299">
        <v>832.83199999999999</v>
      </c>
      <c r="E65" s="244"/>
      <c r="F65" s="244"/>
      <c r="G65" s="244"/>
      <c r="H65" s="244"/>
      <c r="I65" s="244"/>
      <c r="J65" s="244"/>
    </row>
    <row r="66" spans="2:12" ht="18" x14ac:dyDescent="0.25">
      <c r="E66" s="244" t="s">
        <v>324</v>
      </c>
      <c r="F66" s="244"/>
      <c r="G66" s="244"/>
      <c r="H66" s="244"/>
      <c r="I66" s="244"/>
      <c r="J66" s="300">
        <v>-6.7999999999999996E-3</v>
      </c>
      <c r="K66" s="301"/>
      <c r="L66" s="301"/>
    </row>
    <row r="67" spans="2:12" x14ac:dyDescent="0.25">
      <c r="E67" s="244" t="s">
        <v>325</v>
      </c>
      <c r="F67" s="244"/>
      <c r="G67" s="244"/>
      <c r="H67" s="244"/>
      <c r="I67" s="244"/>
      <c r="J67" s="302">
        <f>'Beta Calc'!B9</f>
        <v>1.2249272689723938</v>
      </c>
      <c r="K67" s="334"/>
      <c r="L67" s="335"/>
    </row>
    <row r="68" spans="2:12" x14ac:dyDescent="0.25">
      <c r="E68" s="238" t="s">
        <v>326</v>
      </c>
      <c r="F68" s="244"/>
      <c r="G68" s="244"/>
      <c r="H68" s="244"/>
      <c r="I68" s="244"/>
      <c r="J68" s="333">
        <v>5.96E-2</v>
      </c>
      <c r="K68" s="303"/>
    </row>
    <row r="69" spans="2:12" x14ac:dyDescent="0.25">
      <c r="E69" s="273" t="s">
        <v>327</v>
      </c>
      <c r="F69" s="244"/>
      <c r="G69" s="244"/>
      <c r="H69" s="244"/>
      <c r="I69" s="244"/>
      <c r="J69" s="304">
        <f>J66+J67*J68</f>
        <v>6.6205665230754676E-2</v>
      </c>
    </row>
    <row r="70" spans="2:12" ht="16.5" thickBot="1" x14ac:dyDescent="0.3"/>
    <row r="71" spans="2:12" ht="16.5" thickBot="1" x14ac:dyDescent="0.3">
      <c r="E71" s="324" t="s">
        <v>328</v>
      </c>
      <c r="F71" s="324"/>
      <c r="G71" s="324"/>
      <c r="H71" s="324"/>
      <c r="I71" s="324"/>
      <c r="J71" s="324"/>
    </row>
    <row r="72" spans="2:12" ht="18" x14ac:dyDescent="0.4">
      <c r="I72" s="305" t="s">
        <v>329</v>
      </c>
      <c r="J72" s="306" t="s">
        <v>330</v>
      </c>
    </row>
    <row r="73" spans="2:12" x14ac:dyDescent="0.25">
      <c r="E73" s="273" t="s">
        <v>331</v>
      </c>
      <c r="F73" s="244"/>
      <c r="G73" s="244"/>
      <c r="H73" s="244"/>
      <c r="I73" s="307">
        <f>C65*C8</f>
        <v>73447.454079999996</v>
      </c>
      <c r="J73" s="245">
        <f>I73/(I73+I74)</f>
        <v>0.78745064450651148</v>
      </c>
    </row>
    <row r="74" spans="2:12" x14ac:dyDescent="0.25">
      <c r="E74" s="273" t="s">
        <v>233</v>
      </c>
      <c r="F74" s="244"/>
      <c r="G74" s="244"/>
      <c r="H74" s="244"/>
      <c r="I74" s="307">
        <f>C55</f>
        <v>19825</v>
      </c>
      <c r="J74" s="245">
        <f>1-J73</f>
        <v>0.21254935549348852</v>
      </c>
    </row>
    <row r="75" spans="2:12" ht="16.5" thickBot="1" x14ac:dyDescent="0.3"/>
    <row r="76" spans="2:12" ht="16.5" thickBot="1" x14ac:dyDescent="0.3">
      <c r="E76" s="324" t="s">
        <v>332</v>
      </c>
      <c r="F76" s="324"/>
      <c r="G76" s="324"/>
      <c r="H76" s="324"/>
      <c r="I76" s="324"/>
      <c r="J76" s="337">
        <f>J64*J74+J69*J73</f>
        <v>5.6677137472079003E-2</v>
      </c>
    </row>
    <row r="77" spans="2:12" x14ac:dyDescent="0.25">
      <c r="E77" s="283"/>
      <c r="J77" s="259"/>
    </row>
    <row r="78" spans="2:12" x14ac:dyDescent="0.25">
      <c r="B78" s="308" t="s">
        <v>333</v>
      </c>
      <c r="C78" s="244"/>
      <c r="D78" s="244"/>
      <c r="E78" s="244"/>
      <c r="F78" s="244"/>
      <c r="J78" s="259"/>
    </row>
    <row r="79" spans="2:12" x14ac:dyDescent="0.25">
      <c r="B79" s="275" t="s">
        <v>334</v>
      </c>
      <c r="C79" s="244"/>
      <c r="D79" s="244"/>
      <c r="E79" s="244"/>
      <c r="F79" s="244"/>
      <c r="J79" s="259"/>
    </row>
    <row r="80" spans="2:12" ht="45" x14ac:dyDescent="0.25">
      <c r="B80" s="244"/>
      <c r="C80" s="309" t="s">
        <v>335</v>
      </c>
      <c r="D80" s="310" t="s">
        <v>336</v>
      </c>
      <c r="E80" s="310" t="s">
        <v>337</v>
      </c>
      <c r="F80" s="309" t="s">
        <v>338</v>
      </c>
      <c r="J80" s="259"/>
    </row>
    <row r="81" spans="2:10" x14ac:dyDescent="0.25">
      <c r="B81" s="244"/>
      <c r="C81" s="293" t="s">
        <v>339</v>
      </c>
      <c r="D81" s="293" t="s">
        <v>318</v>
      </c>
      <c r="E81" s="293" t="s">
        <v>318</v>
      </c>
      <c r="F81" s="311">
        <f>IF(E81&gt;C8,0,D81-(D81*E81/C8))</f>
        <v>0</v>
      </c>
      <c r="J81" s="259"/>
    </row>
    <row r="82" spans="2:10" x14ac:dyDescent="0.25">
      <c r="E82" s="283"/>
      <c r="J82" s="259"/>
    </row>
    <row r="83" spans="2:10" ht="16.5" thickBot="1" x14ac:dyDescent="0.3">
      <c r="E83" s="283"/>
      <c r="J83" s="259"/>
    </row>
    <row r="84" spans="2:10" ht="16.5" thickBot="1" x14ac:dyDescent="0.3">
      <c r="B84" s="324" t="s">
        <v>340</v>
      </c>
      <c r="C84" s="324"/>
      <c r="D84" s="324"/>
      <c r="E84" s="324"/>
      <c r="F84" s="324"/>
      <c r="G84" s="324"/>
      <c r="H84" s="324"/>
      <c r="I84" s="324"/>
      <c r="J84" s="324"/>
    </row>
    <row r="85" spans="2:10" x14ac:dyDescent="0.25">
      <c r="B85" s="247"/>
      <c r="C85" s="238"/>
      <c r="D85" s="238"/>
      <c r="E85" s="238"/>
      <c r="F85" s="238"/>
      <c r="G85" s="238"/>
      <c r="H85" s="238"/>
    </row>
    <row r="86" spans="2:10" x14ac:dyDescent="0.25">
      <c r="C86" s="379" t="s">
        <v>344</v>
      </c>
      <c r="D86" s="379"/>
      <c r="E86" s="379"/>
      <c r="F86" s="379"/>
      <c r="G86" s="379"/>
      <c r="H86" s="379"/>
    </row>
    <row r="87" spans="2:10" x14ac:dyDescent="0.25">
      <c r="C87" s="338"/>
      <c r="D87" s="377" t="s">
        <v>342</v>
      </c>
      <c r="E87" s="377"/>
      <c r="F87" s="377"/>
      <c r="G87" s="377"/>
      <c r="H87" s="377"/>
    </row>
    <row r="88" spans="2:10" x14ac:dyDescent="0.25">
      <c r="C88" s="341">
        <f ca="1">I58</f>
        <v>131.58044934258885</v>
      </c>
      <c r="D88" s="339">
        <f>E88-0.5%</f>
        <v>9.9999999999999985E-3</v>
      </c>
      <c r="E88" s="339">
        <f>F88-0.5%</f>
        <v>1.4999999999999999E-2</v>
      </c>
      <c r="F88" s="339">
        <v>0.02</v>
      </c>
      <c r="G88" s="339">
        <f>F88+0.5%</f>
        <v>2.5000000000000001E-2</v>
      </c>
      <c r="H88" s="339">
        <f>G88+0.5%</f>
        <v>3.0000000000000002E-2</v>
      </c>
    </row>
    <row r="89" spans="2:10" x14ac:dyDescent="0.25">
      <c r="B89" s="378" t="s">
        <v>343</v>
      </c>
      <c r="C89" s="340">
        <v>5.6677137472079003E-2</v>
      </c>
      <c r="D89" s="342">
        <f t="dataTable" ref="D89:H93" dt2D="1" dtr="1" r1="C45" r2="J76" ca="1"/>
        <v>101.83280126854676</v>
      </c>
      <c r="E89" s="342">
        <v>114.92221484227898</v>
      </c>
      <c r="F89" s="342">
        <v>131.58044934258885</v>
      </c>
      <c r="G89" s="342">
        <v>153.49744010362235</v>
      </c>
      <c r="H89" s="342">
        <v>183.63007648404528</v>
      </c>
    </row>
    <row r="90" spans="2:10" x14ac:dyDescent="0.25">
      <c r="B90" s="378"/>
      <c r="C90" s="340">
        <f t="shared" ref="C90:C91" si="10">C89+1%</f>
        <v>6.6677137472078998E-2</v>
      </c>
      <c r="D90" s="342">
        <v>79.710862780681907</v>
      </c>
      <c r="E90" s="342">
        <v>88.154381537363307</v>
      </c>
      <c r="F90" s="342">
        <v>98.406819866658225</v>
      </c>
      <c r="G90" s="342">
        <v>111.11922520692248</v>
      </c>
      <c r="H90" s="342">
        <v>127.29766040023664</v>
      </c>
    </row>
    <row r="91" spans="2:10" x14ac:dyDescent="0.25">
      <c r="B91" s="378"/>
      <c r="C91" s="340">
        <f t="shared" si="10"/>
        <v>7.6677137472078993E-2</v>
      </c>
      <c r="D91" s="342">
        <v>64.231338028864158</v>
      </c>
      <c r="E91" s="342">
        <v>70.073245210696243</v>
      </c>
      <c r="F91" s="342">
        <v>76.945886731345311</v>
      </c>
      <c r="G91" s="342">
        <v>85.148447410996198</v>
      </c>
      <c r="H91" s="342">
        <v>95.108305372331827</v>
      </c>
    </row>
    <row r="92" spans="2:10" x14ac:dyDescent="0.25">
      <c r="B92" s="378"/>
      <c r="C92" s="340">
        <f>C91+1%</f>
        <v>8.6677137472078988E-2</v>
      </c>
      <c r="D92" s="342">
        <v>52.795124765543484</v>
      </c>
      <c r="E92" s="342">
        <v>57.042801824918975</v>
      </c>
      <c r="F92" s="342">
        <v>61.927530386566055</v>
      </c>
      <c r="G92" s="342">
        <v>67.604242617017192</v>
      </c>
      <c r="H92" s="342">
        <v>74.282542521730747</v>
      </c>
    </row>
    <row r="93" spans="2:10" x14ac:dyDescent="0.25">
      <c r="B93" s="378"/>
      <c r="C93" s="340">
        <f t="shared" ref="C93" si="11">C92+1%</f>
        <v>9.6677137472078983E-2</v>
      </c>
      <c r="D93" s="342">
        <v>44.002572889605595</v>
      </c>
      <c r="E93" s="342">
        <v>47.207729909444936</v>
      </c>
      <c r="F93" s="342">
        <v>50.830893798803423</v>
      </c>
      <c r="G93" s="342">
        <v>54.959541586813657</v>
      </c>
      <c r="H93" s="342">
        <v>59.707389290198087</v>
      </c>
    </row>
    <row r="95" spans="2:10" x14ac:dyDescent="0.25">
      <c r="B95" s="242"/>
      <c r="C95" s="242"/>
      <c r="D95" s="242"/>
      <c r="E95" s="242"/>
    </row>
    <row r="96" spans="2:10" x14ac:dyDescent="0.25">
      <c r="B96" s="312"/>
      <c r="C96" s="313"/>
      <c r="D96" s="313"/>
      <c r="E96" s="313"/>
    </row>
    <row r="97" spans="2:5" x14ac:dyDescent="0.25">
      <c r="B97" s="242"/>
      <c r="C97" s="313"/>
      <c r="D97" s="313"/>
      <c r="E97" s="313"/>
    </row>
    <row r="98" spans="2:5" x14ac:dyDescent="0.25">
      <c r="B98" s="242"/>
      <c r="C98" s="242"/>
      <c r="D98" s="313"/>
      <c r="E98" s="242"/>
    </row>
    <row r="99" spans="2:5" x14ac:dyDescent="0.25">
      <c r="B99" s="242"/>
      <c r="C99" s="242"/>
      <c r="D99" s="242"/>
      <c r="E99" s="242"/>
    </row>
    <row r="100" spans="2:5" x14ac:dyDescent="0.25">
      <c r="B100" s="242"/>
      <c r="C100" s="242"/>
      <c r="D100" s="242"/>
      <c r="E100" s="242"/>
    </row>
  </sheetData>
  <mergeCells count="3">
    <mergeCell ref="D87:H87"/>
    <mergeCell ref="B89:B93"/>
    <mergeCell ref="C86:H86"/>
  </mergeCells>
  <hyperlinks>
    <hyperlink ref="J3" location="'Valuation Summary'!A1" display="&lt;= back to the index" xr:uid="{04FA0B9C-EF8B-4F37-BC79-6FA4B6513C9B}"/>
  </hyperlink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BF9E9-4306-4432-AF0D-3A7D446878B1}">
  <dimension ref="A1:G30"/>
  <sheetViews>
    <sheetView showGridLines="0" zoomScale="85" zoomScaleNormal="85" workbookViewId="0"/>
  </sheetViews>
  <sheetFormatPr defaultRowHeight="15" x14ac:dyDescent="0.25"/>
  <cols>
    <col min="1" max="1" width="31.7109375" bestFit="1" customWidth="1"/>
    <col min="2" max="2" width="20.7109375" customWidth="1"/>
    <col min="3" max="3" width="29.28515625" bestFit="1" customWidth="1"/>
    <col min="4" max="7" width="20.7109375" customWidth="1"/>
  </cols>
  <sheetData>
    <row r="1" spans="1:7" x14ac:dyDescent="0.25">
      <c r="A1" s="224" t="s">
        <v>254</v>
      </c>
    </row>
    <row r="3" spans="1:7" x14ac:dyDescent="0.25">
      <c r="A3" s="225" t="s">
        <v>255</v>
      </c>
      <c r="B3" s="225" t="s">
        <v>256</v>
      </c>
      <c r="C3" s="225" t="s">
        <v>263</v>
      </c>
      <c r="D3" s="225" t="s">
        <v>264</v>
      </c>
      <c r="E3" s="225" t="s">
        <v>257</v>
      </c>
      <c r="F3" s="225" t="s">
        <v>258</v>
      </c>
      <c r="G3" s="225" t="s">
        <v>259</v>
      </c>
    </row>
    <row r="4" spans="1:7" x14ac:dyDescent="0.25">
      <c r="A4" t="s">
        <v>260</v>
      </c>
      <c r="B4">
        <v>1.23</v>
      </c>
      <c r="C4" s="226">
        <v>0.71950999999999998</v>
      </c>
      <c r="D4">
        <v>167.14</v>
      </c>
      <c r="E4">
        <v>0.5</v>
      </c>
      <c r="F4" s="230">
        <f>AVERAGE(D18:E18)</f>
        <v>0.25624751840732252</v>
      </c>
      <c r="G4" s="226">
        <f>B4/(1+((1-F4)*E4))</f>
        <v>0.89658233259147102</v>
      </c>
    </row>
    <row r="5" spans="1:7" x14ac:dyDescent="0.25">
      <c r="A5" t="s">
        <v>261</v>
      </c>
      <c r="B5">
        <v>1.07</v>
      </c>
      <c r="C5" s="226">
        <v>2.13</v>
      </c>
      <c r="D5">
        <v>18.96</v>
      </c>
      <c r="E5">
        <v>0.7</v>
      </c>
      <c r="F5" s="230">
        <f>AVERAGE(B24:E24)</f>
        <v>0.27755962073905394</v>
      </c>
      <c r="G5" s="226">
        <f t="shared" ref="G5:G6" si="0">B5/(1+((1-F5)*E5))</f>
        <v>0.7106290272352368</v>
      </c>
    </row>
    <row r="6" spans="1:7" x14ac:dyDescent="0.25">
      <c r="A6" t="s">
        <v>262</v>
      </c>
      <c r="B6">
        <v>1.04</v>
      </c>
      <c r="C6" s="226">
        <v>2.74</v>
      </c>
      <c r="D6">
        <v>16.45</v>
      </c>
      <c r="E6">
        <v>0.3</v>
      </c>
      <c r="F6" s="230">
        <f>AVERAGE(B30:E30)</f>
        <v>0.2286791810980921</v>
      </c>
      <c r="G6" s="226">
        <f t="shared" si="0"/>
        <v>0.84456973428049964</v>
      </c>
    </row>
    <row r="7" spans="1:7" x14ac:dyDescent="0.25">
      <c r="C7" s="226"/>
      <c r="F7" s="231" t="s">
        <v>267</v>
      </c>
      <c r="G7" s="232">
        <f>AVERAGE(G4:G6)</f>
        <v>0.8172603647024026</v>
      </c>
    </row>
    <row r="8" spans="1:7" x14ac:dyDescent="0.25">
      <c r="C8" s="226"/>
      <c r="F8" s="230"/>
      <c r="G8" s="226"/>
    </row>
    <row r="9" spans="1:7" x14ac:dyDescent="0.25">
      <c r="A9" t="s">
        <v>1</v>
      </c>
      <c r="B9" s="233">
        <f>$G$7*(1+((1-F9)*E9))</f>
        <v>1.2249272689723938</v>
      </c>
      <c r="C9" s="226"/>
      <c r="E9" s="226">
        <f>'Ratio Analysis'!H26</f>
        <v>0.66969842029679272</v>
      </c>
      <c r="F9" s="230">
        <f>'Income Statement'!L51</f>
        <v>0.25515527950310557</v>
      </c>
      <c r="G9" s="226"/>
    </row>
    <row r="10" spans="1:7" x14ac:dyDescent="0.25">
      <c r="C10" s="226"/>
      <c r="F10" s="230"/>
      <c r="G10" s="226"/>
    </row>
    <row r="15" spans="1:7" x14ac:dyDescent="0.25">
      <c r="A15" s="224" t="s">
        <v>260</v>
      </c>
    </row>
    <row r="16" spans="1:7" ht="15.75" thickBot="1" x14ac:dyDescent="0.3">
      <c r="A16" s="227" t="s">
        <v>265</v>
      </c>
      <c r="B16" s="228">
        <v>7487000</v>
      </c>
      <c r="C16" s="228">
        <v>6950000</v>
      </c>
      <c r="D16" s="228">
        <v>6452000</v>
      </c>
      <c r="E16" s="228">
        <v>6586000</v>
      </c>
    </row>
    <row r="17" spans="1:5" ht="15.75" thickBot="1" x14ac:dyDescent="0.3">
      <c r="A17" s="227" t="s">
        <v>266</v>
      </c>
      <c r="B17" s="228">
        <v>659000</v>
      </c>
      <c r="C17" s="228">
        <v>5362000</v>
      </c>
      <c r="D17" s="228">
        <v>1603000</v>
      </c>
      <c r="E17" s="228">
        <v>1739000</v>
      </c>
    </row>
    <row r="18" spans="1:5" x14ac:dyDescent="0.25">
      <c r="B18" s="229">
        <f>B17/B16</f>
        <v>8.8019233337785496E-2</v>
      </c>
      <c r="C18" s="229">
        <f t="shared" ref="C18:E18" si="1">C17/C16</f>
        <v>0.77151079136690648</v>
      </c>
      <c r="D18" s="229">
        <f t="shared" si="1"/>
        <v>0.24845009299442034</v>
      </c>
      <c r="E18" s="229">
        <f t="shared" si="1"/>
        <v>0.2640449438202247</v>
      </c>
    </row>
    <row r="21" spans="1:5" x14ac:dyDescent="0.25">
      <c r="A21" s="224" t="s">
        <v>261</v>
      </c>
    </row>
    <row r="22" spans="1:5" ht="15.75" thickBot="1" x14ac:dyDescent="0.3">
      <c r="A22" s="227" t="s">
        <v>265</v>
      </c>
      <c r="B22" s="228">
        <v>2119000</v>
      </c>
      <c r="C22" s="228">
        <v>2102000</v>
      </c>
      <c r="D22" s="228">
        <v>1761000</v>
      </c>
      <c r="E22" s="228">
        <v>2840000</v>
      </c>
    </row>
    <row r="23" spans="1:5" ht="15.75" thickBot="1" x14ac:dyDescent="0.3">
      <c r="A23" s="227" t="s">
        <v>266</v>
      </c>
      <c r="B23" s="228">
        <v>544000</v>
      </c>
      <c r="C23" s="228">
        <v>583000</v>
      </c>
      <c r="D23" s="228">
        <v>526000</v>
      </c>
      <c r="E23" s="228">
        <v>788000</v>
      </c>
    </row>
    <row r="24" spans="1:5" x14ac:dyDescent="0.25">
      <c r="B24" s="229">
        <f>B23/B22</f>
        <v>0.25672487022180274</v>
      </c>
      <c r="C24" s="229">
        <f t="shared" ref="C24:E24" si="2">C23/C22</f>
        <v>0.27735490009514746</v>
      </c>
      <c r="D24" s="229">
        <f t="shared" si="2"/>
        <v>0.29869392390687111</v>
      </c>
      <c r="E24" s="229">
        <f t="shared" si="2"/>
        <v>0.27746478873239439</v>
      </c>
    </row>
    <row r="27" spans="1:5" x14ac:dyDescent="0.25">
      <c r="A27" s="224" t="s">
        <v>262</v>
      </c>
    </row>
    <row r="28" spans="1:5" ht="15.75" thickBot="1" x14ac:dyDescent="0.3">
      <c r="A28" s="227" t="s">
        <v>265</v>
      </c>
      <c r="B28" s="228">
        <v>3147000</v>
      </c>
      <c r="C28" s="228">
        <v>2904000</v>
      </c>
      <c r="D28" s="228">
        <v>2547000</v>
      </c>
      <c r="E28" s="228">
        <v>1892000</v>
      </c>
    </row>
    <row r="29" spans="1:5" ht="15.75" thickBot="1" x14ac:dyDescent="0.3">
      <c r="A29" s="227" t="s">
        <v>266</v>
      </c>
      <c r="B29" s="228">
        <v>693000</v>
      </c>
      <c r="C29" s="228">
        <v>600000</v>
      </c>
      <c r="D29" s="228">
        <v>719000</v>
      </c>
      <c r="E29" s="228">
        <v>389000</v>
      </c>
    </row>
    <row r="30" spans="1:5" x14ac:dyDescent="0.25">
      <c r="B30" s="229">
        <f>B29/B28</f>
        <v>0.2202097235462345</v>
      </c>
      <c r="C30" s="229">
        <f>C29/C28</f>
        <v>0.20661157024793389</v>
      </c>
      <c r="D30" s="229">
        <f>D29/D28</f>
        <v>0.28229289360031412</v>
      </c>
      <c r="E30" s="229">
        <f>E29/E28</f>
        <v>0.20560253699788583</v>
      </c>
    </row>
  </sheetData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66118-B27B-4CE6-B1D7-7D608EBCA6DD}">
  <sheetPr>
    <pageSetUpPr fitToPage="1"/>
  </sheetPr>
  <dimension ref="B1:M29"/>
  <sheetViews>
    <sheetView showGridLines="0" zoomScale="85" zoomScaleNormal="85" zoomScaleSheetLayoutView="85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2.5703125" customWidth="1"/>
    <col min="6" max="13" width="12.7109375" customWidth="1"/>
    <col min="14" max="14" width="2.5703125" customWidth="1"/>
  </cols>
  <sheetData>
    <row r="1" spans="2:13" ht="15.75" thickBot="1" x14ac:dyDescent="0.3">
      <c r="L1" s="216" t="s">
        <v>252</v>
      </c>
    </row>
    <row r="2" spans="2:13" ht="15" customHeight="1" x14ac:dyDescent="0.25">
      <c r="B2" s="380" t="s">
        <v>114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2"/>
    </row>
    <row r="3" spans="2:13" ht="15" customHeight="1" thickBot="1" x14ac:dyDescent="0.3">
      <c r="B3" s="383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5"/>
    </row>
    <row r="4" spans="2:13" ht="15" customHeight="1" x14ac:dyDescent="0.5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2:13" x14ac:dyDescent="0.25">
      <c r="B5" s="92" t="s">
        <v>42</v>
      </c>
      <c r="C5" s="93"/>
      <c r="D5" s="93"/>
      <c r="E5" s="93"/>
      <c r="F5" s="94">
        <f>'Balance sheet'!I8</f>
        <v>2016</v>
      </c>
      <c r="G5" s="94">
        <f>'Balance sheet'!J8</f>
        <v>2017</v>
      </c>
      <c r="H5" s="94">
        <f>'Balance sheet'!K8</f>
        <v>2018</v>
      </c>
      <c r="I5" s="95">
        <f>'Balance sheet'!L8</f>
        <v>2019</v>
      </c>
      <c r="J5" s="95">
        <f>'Balance sheet'!M8</f>
        <v>2020</v>
      </c>
      <c r="K5" s="95">
        <f>'Balance sheet'!N8</f>
        <v>2021</v>
      </c>
      <c r="L5" s="95">
        <f>'Balance sheet'!O8</f>
        <v>2022</v>
      </c>
      <c r="M5" s="96">
        <f>'Balance sheet'!P8</f>
        <v>2023</v>
      </c>
    </row>
    <row r="6" spans="2:13" x14ac:dyDescent="0.25">
      <c r="B6" s="10" t="s">
        <v>115</v>
      </c>
      <c r="C6" s="5"/>
      <c r="D6" s="5"/>
      <c r="E6" s="5"/>
      <c r="F6" s="5"/>
      <c r="G6" s="5"/>
      <c r="H6" s="5"/>
      <c r="I6" s="5"/>
      <c r="J6" s="5"/>
      <c r="K6" s="5"/>
      <c r="L6" s="5"/>
      <c r="M6" s="8"/>
    </row>
    <row r="7" spans="2:13" x14ac:dyDescent="0.25">
      <c r="B7" s="59" t="s">
        <v>116</v>
      </c>
      <c r="C7" s="5"/>
      <c r="D7" s="5"/>
      <c r="E7" s="5"/>
      <c r="G7" s="65">
        <f>F9</f>
        <v>16287</v>
      </c>
      <c r="H7" s="65">
        <f>G9</f>
        <v>16754</v>
      </c>
      <c r="I7" s="65">
        <f t="shared" ref="I7:M7" si="0">H9</f>
        <v>17918</v>
      </c>
      <c r="J7" s="65">
        <f t="shared" ca="1" si="0"/>
        <v>17808.654812806933</v>
      </c>
      <c r="K7" s="65">
        <f t="shared" ca="1" si="0"/>
        <v>18452.214745068679</v>
      </c>
      <c r="L7" s="65">
        <f t="shared" ca="1" si="0"/>
        <v>19399.663410134024</v>
      </c>
      <c r="M7" s="68">
        <f t="shared" ca="1" si="0"/>
        <v>20538.115721370403</v>
      </c>
    </row>
    <row r="8" spans="2:13" x14ac:dyDescent="0.25">
      <c r="B8" s="60" t="s">
        <v>117</v>
      </c>
      <c r="C8" s="5"/>
      <c r="D8" s="5"/>
      <c r="E8" s="5"/>
      <c r="F8" s="5"/>
      <c r="G8" s="64">
        <f>G9-G7</f>
        <v>467</v>
      </c>
      <c r="H8" s="64">
        <f>H9-H7</f>
        <v>1164</v>
      </c>
      <c r="I8" s="64">
        <f t="shared" ref="I8:M8" ca="1" si="1">I9-I7</f>
        <v>-109.34518719306652</v>
      </c>
      <c r="J8" s="64">
        <f t="shared" ca="1" si="1"/>
        <v>643.55993226174542</v>
      </c>
      <c r="K8" s="64">
        <f t="shared" ca="1" si="1"/>
        <v>947.44866506534527</v>
      </c>
      <c r="L8" s="64">
        <f t="shared" ca="1" si="1"/>
        <v>1138.4523112363786</v>
      </c>
      <c r="M8" s="68">
        <f t="shared" ca="1" si="1"/>
        <v>1426.8621826184062</v>
      </c>
    </row>
    <row r="9" spans="2:13" x14ac:dyDescent="0.25">
      <c r="B9" s="59" t="s">
        <v>118</v>
      </c>
      <c r="C9" s="5"/>
      <c r="D9" s="5"/>
      <c r="E9" s="5"/>
      <c r="F9" s="64">
        <f>'Balance sheet'!I12</f>
        <v>16287</v>
      </c>
      <c r="G9" s="64">
        <f>'Balance sheet'!J12</f>
        <v>16754</v>
      </c>
      <c r="H9" s="64">
        <f>'Balance sheet'!K12</f>
        <v>17918</v>
      </c>
      <c r="I9" s="64">
        <f ca="1">I11*'Income Statement'!M13</f>
        <v>17808.654812806933</v>
      </c>
      <c r="J9" s="64">
        <f ca="1">J11*'Income Statement'!N13</f>
        <v>18452.214745068679</v>
      </c>
      <c r="K9" s="64">
        <f ca="1">K11*'Income Statement'!O13</f>
        <v>19399.663410134024</v>
      </c>
      <c r="L9" s="64">
        <f ca="1">L11*'Income Statement'!P13</f>
        <v>20538.115721370403</v>
      </c>
      <c r="M9" s="68">
        <f ca="1">M11*'Income Statement'!Q13</f>
        <v>21964.977903988809</v>
      </c>
    </row>
    <row r="10" spans="2:13" x14ac:dyDescent="0.25">
      <c r="B10" s="61"/>
      <c r="C10" s="5"/>
      <c r="D10" s="5"/>
      <c r="E10" s="5"/>
      <c r="F10" s="5"/>
      <c r="G10" s="5"/>
      <c r="H10" s="5"/>
      <c r="I10" s="5"/>
      <c r="J10" s="5"/>
      <c r="K10" s="5"/>
      <c r="L10" s="5"/>
      <c r="M10" s="8"/>
    </row>
    <row r="11" spans="2:13" x14ac:dyDescent="0.25">
      <c r="B11" s="59" t="s">
        <v>119</v>
      </c>
      <c r="C11" s="5"/>
      <c r="D11" s="5"/>
      <c r="E11" s="5"/>
      <c r="F11" s="48">
        <f>F9/'Income Statement'!J$13</f>
        <v>0.20449751393701973</v>
      </c>
      <c r="G11" s="48">
        <f>G9/'Income Statement'!K$13</f>
        <v>0.20218915559417353</v>
      </c>
      <c r="H11" s="48">
        <f>H9/'Income Statement'!L$13</f>
        <v>0.21576513655411589</v>
      </c>
      <c r="I11" s="30">
        <f>AVERAGE($F$11:$H$11)</f>
        <v>0.20748393536176971</v>
      </c>
      <c r="J11" s="50">
        <f>I11</f>
        <v>0.20748393536176971</v>
      </c>
      <c r="K11" s="50">
        <f t="shared" ref="K11:M11" si="2">J11</f>
        <v>0.20748393536176971</v>
      </c>
      <c r="L11" s="50">
        <f t="shared" si="2"/>
        <v>0.20748393536176971</v>
      </c>
      <c r="M11" s="72">
        <f t="shared" si="2"/>
        <v>0.20748393536176971</v>
      </c>
    </row>
    <row r="12" spans="2:13" x14ac:dyDescent="0.25">
      <c r="B12" s="62" t="s">
        <v>120</v>
      </c>
      <c r="C12" s="5"/>
      <c r="D12" s="5"/>
      <c r="E12" s="5"/>
      <c r="F12" s="66">
        <f>F11*'Valuation Summary'!$E$17</f>
        <v>74.641592587012198</v>
      </c>
      <c r="G12" s="66">
        <f>G11*'Valuation Summary'!$E$17</f>
        <v>73.799041791873336</v>
      </c>
      <c r="H12" s="66">
        <f>H11*'Valuation Summary'!$E$17</f>
        <v>78.7542748422523</v>
      </c>
      <c r="I12" s="69">
        <f>I11*'Valuation Summary'!$E$17</f>
        <v>75.73163640704594</v>
      </c>
      <c r="J12" s="69">
        <f>J11*'Valuation Summary'!$E$17</f>
        <v>75.73163640704594</v>
      </c>
      <c r="K12" s="69">
        <f>K11*'Valuation Summary'!$E$17</f>
        <v>75.73163640704594</v>
      </c>
      <c r="L12" s="69">
        <f>L11*'Valuation Summary'!$E$17</f>
        <v>75.73163640704594</v>
      </c>
      <c r="M12" s="70">
        <f>M11*'Valuation Summary'!$E$17</f>
        <v>75.73163640704594</v>
      </c>
    </row>
    <row r="13" spans="2:13" x14ac:dyDescent="0.25">
      <c r="B13" s="61"/>
      <c r="C13" s="5"/>
      <c r="D13" s="5"/>
      <c r="E13" s="5"/>
      <c r="F13" s="5"/>
      <c r="G13" s="5"/>
      <c r="H13" s="5"/>
      <c r="I13" s="5"/>
      <c r="J13" s="5"/>
      <c r="K13" s="5"/>
      <c r="L13" s="5"/>
      <c r="M13" s="8"/>
    </row>
    <row r="14" spans="2:13" x14ac:dyDescent="0.25">
      <c r="B14" s="10" t="s">
        <v>121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8"/>
    </row>
    <row r="15" spans="2:13" x14ac:dyDescent="0.25">
      <c r="B15" s="59" t="s">
        <v>116</v>
      </c>
      <c r="C15" s="5"/>
      <c r="D15" s="5"/>
      <c r="E15" s="5"/>
      <c r="F15" s="5"/>
      <c r="G15" s="64">
        <f>F17</f>
        <v>18160</v>
      </c>
      <c r="H15" s="64">
        <f>G17</f>
        <v>13885</v>
      </c>
      <c r="I15" s="64">
        <f t="shared" ref="I15:M15" si="3">H17</f>
        <v>13885</v>
      </c>
      <c r="J15" s="64">
        <f t="shared" ca="1" si="3"/>
        <v>16103.790922270911</v>
      </c>
      <c r="K15" s="64">
        <f t="shared" ca="1" si="3"/>
        <v>16685.741367379265</v>
      </c>
      <c r="L15" s="64">
        <f t="shared" ca="1" si="3"/>
        <v>17542.488571038059</v>
      </c>
      <c r="M15" s="68">
        <f t="shared" ca="1" si="3"/>
        <v>18571.954198163494</v>
      </c>
    </row>
    <row r="16" spans="2:13" x14ac:dyDescent="0.25">
      <c r="B16" s="60" t="s">
        <v>117</v>
      </c>
      <c r="C16" s="5"/>
      <c r="D16" s="5"/>
      <c r="E16" s="5"/>
      <c r="F16" s="5"/>
      <c r="G16" s="64">
        <f>G17-G15</f>
        <v>-4275</v>
      </c>
      <c r="H16" s="64">
        <f>H17-H15</f>
        <v>0</v>
      </c>
      <c r="I16" s="64">
        <f t="shared" ref="I16:M16" ca="1" si="4">I17-I15</f>
        <v>2218.7909222709113</v>
      </c>
      <c r="J16" s="64">
        <f t="shared" ca="1" si="4"/>
        <v>581.95044510835396</v>
      </c>
      <c r="K16" s="64">
        <f t="shared" ca="1" si="4"/>
        <v>856.7472036587933</v>
      </c>
      <c r="L16" s="64">
        <f t="shared" ca="1" si="4"/>
        <v>1029.4656271254353</v>
      </c>
      <c r="M16" s="68">
        <f t="shared" ca="1" si="4"/>
        <v>1290.2653516119353</v>
      </c>
    </row>
    <row r="17" spans="2:13" x14ac:dyDescent="0.25">
      <c r="B17" s="59" t="s">
        <v>118</v>
      </c>
      <c r="C17" s="5"/>
      <c r="D17" s="5"/>
      <c r="E17" s="5"/>
      <c r="F17" s="64">
        <f>'Balance sheet'!I15</f>
        <v>18160</v>
      </c>
      <c r="G17" s="64">
        <f>'Balance sheet'!J15</f>
        <v>13885</v>
      </c>
      <c r="H17" s="64">
        <f>'Balance sheet'!K15</f>
        <v>13885</v>
      </c>
      <c r="I17" s="64">
        <f ca="1">-I19*'Income Statement'!M14</f>
        <v>16103.790922270911</v>
      </c>
      <c r="J17" s="64">
        <f ca="1">-J19*'Income Statement'!N14</f>
        <v>16685.741367379265</v>
      </c>
      <c r="K17" s="64">
        <f ca="1">-K19*'Income Statement'!O14</f>
        <v>17542.488571038059</v>
      </c>
      <c r="L17" s="64">
        <f ca="1">-L19*'Income Statement'!P14</f>
        <v>18571.954198163494</v>
      </c>
      <c r="M17" s="68">
        <f ca="1">-M19*'Income Statement'!Q14</f>
        <v>19862.219549775429</v>
      </c>
    </row>
    <row r="18" spans="2:13" x14ac:dyDescent="0.25">
      <c r="B18" s="61"/>
      <c r="C18" s="5"/>
      <c r="D18" s="5"/>
      <c r="E18" s="5"/>
      <c r="F18" s="5"/>
      <c r="G18" s="5"/>
      <c r="H18" s="5"/>
      <c r="I18" s="5"/>
      <c r="J18" s="5"/>
      <c r="K18" s="5"/>
      <c r="L18" s="5"/>
      <c r="M18" s="8"/>
    </row>
    <row r="19" spans="2:13" x14ac:dyDescent="0.25">
      <c r="B19" s="59" t="s">
        <v>122</v>
      </c>
      <c r="C19" s="5"/>
      <c r="D19" s="5"/>
      <c r="E19" s="5"/>
      <c r="F19" s="48">
        <f>-F17/'Income Statement'!J14</f>
        <v>0.32529645684806363</v>
      </c>
      <c r="G19" s="48">
        <f>-G17/'Income Statement'!K14</f>
        <v>0.24014181943964027</v>
      </c>
      <c r="H19" s="48">
        <f>-H17/'Income Statement'!L14</f>
        <v>0.23865179354084667</v>
      </c>
      <c r="I19" s="31">
        <f>AVERAGE($F$19:$H$19)</f>
        <v>0.26803002327618353</v>
      </c>
      <c r="J19" s="50">
        <f>I19</f>
        <v>0.26803002327618353</v>
      </c>
      <c r="K19" s="50">
        <f t="shared" ref="K19:M19" si="5">J19</f>
        <v>0.26803002327618353</v>
      </c>
      <c r="L19" s="50">
        <f t="shared" si="5"/>
        <v>0.26803002327618353</v>
      </c>
      <c r="M19" s="72">
        <f t="shared" si="5"/>
        <v>0.26803002327618353</v>
      </c>
    </row>
    <row r="20" spans="2:13" x14ac:dyDescent="0.25">
      <c r="B20" s="59" t="s">
        <v>123</v>
      </c>
      <c r="C20" s="5"/>
      <c r="D20" s="5"/>
      <c r="E20" s="5"/>
      <c r="F20" s="71">
        <f>1/F19</f>
        <v>3.0741189427312774</v>
      </c>
      <c r="G20" s="71">
        <f t="shared" ref="G20:H20" si="6">1/G19</f>
        <v>4.1642059776737481</v>
      </c>
      <c r="H20" s="71">
        <f t="shared" si="6"/>
        <v>4.1902052574720923</v>
      </c>
      <c r="I20" s="71">
        <f t="shared" ref="I20" si="7">1/I19</f>
        <v>3.7309253186520075</v>
      </c>
      <c r="J20" s="71">
        <f t="shared" ref="J20" si="8">1/J19</f>
        <v>3.7309253186520075</v>
      </c>
      <c r="K20" s="71">
        <f t="shared" ref="K20" si="9">1/K19</f>
        <v>3.7309253186520075</v>
      </c>
      <c r="L20" s="71">
        <f t="shared" ref="L20" si="10">1/L19</f>
        <v>3.7309253186520075</v>
      </c>
      <c r="M20" s="73">
        <f t="shared" ref="M20" si="11">1/M19</f>
        <v>3.7309253186520075</v>
      </c>
    </row>
    <row r="21" spans="2:13" x14ac:dyDescent="0.25">
      <c r="B21" s="59" t="s">
        <v>124</v>
      </c>
      <c r="C21" s="5"/>
      <c r="D21" s="5"/>
      <c r="E21" s="5"/>
      <c r="F21" s="66">
        <f>F19*'Valuation Summary'!$E$17</f>
        <v>118.73320674954323</v>
      </c>
      <c r="G21" s="66">
        <f>G19*'Valuation Summary'!$E$17</f>
        <v>87.651764095468707</v>
      </c>
      <c r="H21" s="66">
        <f>H19*'Valuation Summary'!$E$17</f>
        <v>87.107904642409039</v>
      </c>
      <c r="I21" s="66">
        <f>I19*'Valuation Summary'!$E$17</f>
        <v>97.830958495806982</v>
      </c>
      <c r="J21" s="66">
        <f>J19*'Valuation Summary'!$E$17</f>
        <v>97.830958495806982</v>
      </c>
      <c r="K21" s="66">
        <f>K19*'Valuation Summary'!$E$17</f>
        <v>97.830958495806982</v>
      </c>
      <c r="L21" s="66">
        <f>L19*'Valuation Summary'!$E$17</f>
        <v>97.830958495806982</v>
      </c>
      <c r="M21" s="67">
        <f>M19*'Valuation Summary'!$E$17</f>
        <v>97.830958495806982</v>
      </c>
    </row>
    <row r="22" spans="2:13" x14ac:dyDescent="0.25">
      <c r="B22" s="59"/>
      <c r="C22" s="5"/>
      <c r="D22" s="5"/>
      <c r="E22" s="5"/>
      <c r="F22" s="5"/>
      <c r="G22" s="5"/>
      <c r="H22" s="5"/>
      <c r="I22" s="5"/>
      <c r="J22" s="5"/>
      <c r="K22" s="5"/>
      <c r="L22" s="5"/>
      <c r="M22" s="8"/>
    </row>
    <row r="23" spans="2:13" x14ac:dyDescent="0.25">
      <c r="B23" s="10" t="s">
        <v>125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8"/>
    </row>
    <row r="24" spans="2:13" x14ac:dyDescent="0.25">
      <c r="B24" s="59" t="s">
        <v>116</v>
      </c>
      <c r="C24" s="5"/>
      <c r="D24" s="5"/>
      <c r="E24" s="5"/>
      <c r="F24" s="5"/>
      <c r="G24" s="64">
        <f>F26</f>
        <v>8048</v>
      </c>
      <c r="H24" s="64">
        <f t="shared" ref="H24:M24" si="12">G26</f>
        <v>9756</v>
      </c>
      <c r="I24" s="64">
        <f t="shared" si="12"/>
        <v>10716</v>
      </c>
      <c r="J24" s="64">
        <f t="shared" ca="1" si="12"/>
        <v>9955.1256293354472</v>
      </c>
      <c r="K24" s="64">
        <f t="shared" ca="1" si="12"/>
        <v>10314.878796714771</v>
      </c>
      <c r="L24" s="64">
        <f t="shared" ca="1" si="12"/>
        <v>10844.507260358681</v>
      </c>
      <c r="M24" s="68">
        <f t="shared" ca="1" si="12"/>
        <v>11480.907701632612</v>
      </c>
    </row>
    <row r="25" spans="2:13" x14ac:dyDescent="0.25">
      <c r="B25" s="60" t="s">
        <v>117</v>
      </c>
      <c r="C25" s="5"/>
      <c r="D25" s="5"/>
      <c r="E25" s="5"/>
      <c r="F25" s="5"/>
      <c r="G25" s="64">
        <f>G26-G24</f>
        <v>1708</v>
      </c>
      <c r="H25" s="64">
        <f t="shared" ref="H25:M25" si="13">H26-H24</f>
        <v>960</v>
      </c>
      <c r="I25" s="64">
        <f t="shared" ca="1" si="13"/>
        <v>-760.87437066455277</v>
      </c>
      <c r="J25" s="64">
        <f t="shared" ca="1" si="13"/>
        <v>359.75316737932371</v>
      </c>
      <c r="K25" s="64">
        <f t="shared" ca="1" si="13"/>
        <v>529.62846364391044</v>
      </c>
      <c r="L25" s="64">
        <f t="shared" ca="1" si="13"/>
        <v>636.40044127393048</v>
      </c>
      <c r="M25" s="68">
        <f t="shared" ca="1" si="13"/>
        <v>797.62297787359603</v>
      </c>
    </row>
    <row r="26" spans="2:13" x14ac:dyDescent="0.25">
      <c r="B26" s="59" t="s">
        <v>118</v>
      </c>
      <c r="C26" s="5"/>
      <c r="D26" s="5"/>
      <c r="E26" s="5"/>
      <c r="F26" s="64">
        <f>'Balance sheet'!I31</f>
        <v>8048</v>
      </c>
      <c r="G26" s="64">
        <f>'Balance sheet'!J31</f>
        <v>9756</v>
      </c>
      <c r="H26" s="64">
        <f>'Balance sheet'!K31</f>
        <v>10716</v>
      </c>
      <c r="I26" s="64">
        <f ca="1">-I28*'Income Statement'!M14</f>
        <v>9955.1256293354472</v>
      </c>
      <c r="J26" s="64">
        <f ca="1">-J28*'Income Statement'!N14</f>
        <v>10314.878796714771</v>
      </c>
      <c r="K26" s="64">
        <f ca="1">-K28*'Income Statement'!O14</f>
        <v>10844.507260358681</v>
      </c>
      <c r="L26" s="64">
        <f ca="1">-L28*'Income Statement'!P14</f>
        <v>11480.907701632612</v>
      </c>
      <c r="M26" s="68">
        <f ca="1">-M28*'Income Statement'!Q14</f>
        <v>12278.530679506208</v>
      </c>
    </row>
    <row r="27" spans="2:13" x14ac:dyDescent="0.25">
      <c r="B27" s="61"/>
      <c r="C27" s="5"/>
      <c r="D27" s="5"/>
      <c r="E27" s="5"/>
      <c r="F27" s="5"/>
      <c r="G27" s="5"/>
      <c r="H27" s="5"/>
      <c r="I27" s="5"/>
      <c r="J27" s="5"/>
      <c r="K27" s="5"/>
      <c r="L27" s="5"/>
      <c r="M27" s="8"/>
    </row>
    <row r="28" spans="2:13" x14ac:dyDescent="0.25">
      <c r="B28" s="59" t="s">
        <v>126</v>
      </c>
      <c r="C28" s="5"/>
      <c r="D28" s="5"/>
      <c r="E28" s="5"/>
      <c r="F28" s="48">
        <f>-F26/'Income Statement'!J14</f>
        <v>0.14416221832121234</v>
      </c>
      <c r="G28" s="48">
        <f>-G26/'Income Statement'!K14</f>
        <v>0.16873054306468349</v>
      </c>
      <c r="H28" s="48">
        <f>-H26/'Income Statement'!L14</f>
        <v>0.18418384008525121</v>
      </c>
      <c r="I28" s="31">
        <f>AVERAGE($F$28:$H$28)</f>
        <v>0.16569220049038236</v>
      </c>
      <c r="J28" s="50">
        <f>I28</f>
        <v>0.16569220049038236</v>
      </c>
      <c r="K28" s="50">
        <f t="shared" ref="K28:M28" si="14">J28</f>
        <v>0.16569220049038236</v>
      </c>
      <c r="L28" s="50">
        <f t="shared" si="14"/>
        <v>0.16569220049038236</v>
      </c>
      <c r="M28" s="72">
        <f t="shared" si="14"/>
        <v>0.16569220049038236</v>
      </c>
    </row>
    <row r="29" spans="2:13" x14ac:dyDescent="0.25">
      <c r="B29" s="63" t="s">
        <v>127</v>
      </c>
      <c r="C29" s="18"/>
      <c r="D29" s="18"/>
      <c r="E29" s="18"/>
      <c r="F29" s="74">
        <f>F28*'Valuation Summary'!$E$17</f>
        <v>52.619209687242503</v>
      </c>
      <c r="G29" s="74">
        <f>G28*'Valuation Summary'!$E$17</f>
        <v>61.586648218609476</v>
      </c>
      <c r="H29" s="74">
        <f>H28*'Valuation Summary'!$E$17</f>
        <v>67.227101631116696</v>
      </c>
      <c r="I29" s="74">
        <f>I28*'Valuation Summary'!$E$17</f>
        <v>60.477653178989563</v>
      </c>
      <c r="J29" s="74">
        <f>J28*'Valuation Summary'!$E$17</f>
        <v>60.477653178989563</v>
      </c>
      <c r="K29" s="74">
        <f>K28*'Valuation Summary'!$E$17</f>
        <v>60.477653178989563</v>
      </c>
      <c r="L29" s="74">
        <f>L28*'Valuation Summary'!$E$17</f>
        <v>60.477653178989563</v>
      </c>
      <c r="M29" s="75">
        <f>M28*'Valuation Summary'!$E$17</f>
        <v>60.477653178989563</v>
      </c>
    </row>
  </sheetData>
  <mergeCells count="1">
    <mergeCell ref="B2:M3"/>
  </mergeCells>
  <hyperlinks>
    <hyperlink ref="L1" location="'Valuation Summary'!A1" display="&lt;= back to the index" xr:uid="{3E27E2DA-21E7-4571-A573-2E2055016FC3}"/>
  </hyperlinks>
  <pageMargins left="0.7" right="0.7" top="0.75" bottom="0.75" header="0.3" footer="0.3"/>
  <pageSetup scale="6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DC836-111E-44AC-997B-67035A33BCB5}">
  <sheetPr>
    <pageSetUpPr fitToPage="1"/>
  </sheetPr>
  <dimension ref="B1:M40"/>
  <sheetViews>
    <sheetView showGridLines="0" zoomScale="85" zoomScaleNormal="85" zoomScaleSheetLayoutView="85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2.5703125" customWidth="1"/>
    <col min="2" max="2" width="61" bestFit="1" customWidth="1"/>
    <col min="4" max="11" width="12.7109375" customWidth="1"/>
    <col min="12" max="12" width="2.5703125" customWidth="1"/>
  </cols>
  <sheetData>
    <row r="1" spans="2:11" ht="15.75" thickBot="1" x14ac:dyDescent="0.3">
      <c r="J1" s="216" t="s">
        <v>252</v>
      </c>
    </row>
    <row r="2" spans="2:11" ht="15" customHeight="1" x14ac:dyDescent="0.25">
      <c r="B2" s="380" t="s">
        <v>128</v>
      </c>
      <c r="C2" s="381"/>
      <c r="D2" s="381"/>
      <c r="E2" s="381"/>
      <c r="F2" s="381"/>
      <c r="G2" s="381"/>
      <c r="H2" s="381"/>
      <c r="I2" s="381"/>
      <c r="J2" s="381"/>
      <c r="K2" s="382"/>
    </row>
    <row r="3" spans="2:11" ht="15" customHeight="1" thickBot="1" x14ac:dyDescent="0.3">
      <c r="B3" s="383"/>
      <c r="C3" s="384"/>
      <c r="D3" s="384"/>
      <c r="E3" s="384"/>
      <c r="F3" s="384"/>
      <c r="G3" s="384"/>
      <c r="H3" s="384"/>
      <c r="I3" s="384"/>
      <c r="J3" s="384"/>
      <c r="K3" s="385"/>
    </row>
    <row r="4" spans="2:11" ht="15" customHeight="1" x14ac:dyDescent="0.5"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2:11" x14ac:dyDescent="0.25">
      <c r="B5" s="92" t="s">
        <v>42</v>
      </c>
      <c r="C5" s="93"/>
      <c r="D5" s="94">
        <f>'Balance sheet'!I8</f>
        <v>2016</v>
      </c>
      <c r="E5" s="94">
        <f>'Balance sheet'!J8</f>
        <v>2017</v>
      </c>
      <c r="F5" s="94">
        <f>'Balance sheet'!K8</f>
        <v>2018</v>
      </c>
      <c r="G5" s="95">
        <f>'Balance sheet'!L8</f>
        <v>2019</v>
      </c>
      <c r="H5" s="95">
        <f>'Balance sheet'!M8</f>
        <v>2020</v>
      </c>
      <c r="I5" s="95">
        <f>'Balance sheet'!N8</f>
        <v>2021</v>
      </c>
      <c r="J5" s="95">
        <f>'Balance sheet'!O8</f>
        <v>2022</v>
      </c>
      <c r="K5" s="96">
        <f>'Balance sheet'!P8</f>
        <v>2023</v>
      </c>
    </row>
    <row r="6" spans="2:11" x14ac:dyDescent="0.25">
      <c r="B6" s="10"/>
      <c r="C6" s="5"/>
      <c r="D6" s="5"/>
      <c r="E6" s="5"/>
      <c r="F6" s="5"/>
      <c r="G6" s="5"/>
      <c r="H6" s="5"/>
      <c r="I6" s="5"/>
      <c r="J6" s="5"/>
      <c r="K6" s="8"/>
    </row>
    <row r="7" spans="2:11" x14ac:dyDescent="0.25">
      <c r="B7" s="59" t="s">
        <v>116</v>
      </c>
      <c r="C7" s="5"/>
      <c r="D7" s="77"/>
      <c r="E7" s="80"/>
      <c r="F7" s="80"/>
      <c r="G7" s="80">
        <f t="shared" ref="G7:K7" si="0">F10</f>
        <v>21512</v>
      </c>
      <c r="H7" s="80">
        <f t="shared" ca="1" si="0"/>
        <v>27212.899693565385</v>
      </c>
      <c r="I7" s="80">
        <f t="shared" ca="1" si="0"/>
        <v>31912.996515476363</v>
      </c>
      <c r="J7" s="80">
        <f t="shared" ca="1" si="0"/>
        <v>35679.139979163585</v>
      </c>
      <c r="K7" s="78">
        <f t="shared" ca="1" si="0"/>
        <v>38521.027406192239</v>
      </c>
    </row>
    <row r="8" spans="2:11" x14ac:dyDescent="0.25">
      <c r="B8" s="60" t="s">
        <v>129</v>
      </c>
      <c r="C8" s="5"/>
      <c r="D8" s="79"/>
      <c r="E8" s="80"/>
      <c r="F8" s="80"/>
      <c r="G8" s="80">
        <f ca="1">G13</f>
        <v>2574.9446262076676</v>
      </c>
      <c r="H8" s="80">
        <f t="shared" ref="H8:K8" ca="1" si="1">H13</f>
        <v>2223.3305331440879</v>
      </c>
      <c r="I8" s="80">
        <f t="shared" ca="1" si="1"/>
        <v>1869.9918503385529</v>
      </c>
      <c r="J8" s="80">
        <f t="shared" ca="1" si="1"/>
        <v>1484.7980171737202</v>
      </c>
      <c r="K8" s="78">
        <f t="shared" ca="1" si="1"/>
        <v>1058.6351114697427</v>
      </c>
    </row>
    <row r="9" spans="2:11" x14ac:dyDescent="0.25">
      <c r="B9" s="60" t="s">
        <v>130</v>
      </c>
      <c r="C9" s="5"/>
      <c r="D9" s="80"/>
      <c r="E9" s="80"/>
      <c r="F9" s="80"/>
      <c r="G9" s="80">
        <f ca="1">G15</f>
        <v>3125.9550673577173</v>
      </c>
      <c r="H9" s="80">
        <f t="shared" ref="H9:K9" ca="1" si="2">H15</f>
        <v>2476.7662887668916</v>
      </c>
      <c r="I9" s="80">
        <f t="shared" ca="1" si="2"/>
        <v>1896.1516133486691</v>
      </c>
      <c r="J9" s="80">
        <f t="shared" ca="1" si="2"/>
        <v>1357.0894098549347</v>
      </c>
      <c r="K9" s="78">
        <f t="shared" ca="1" si="2"/>
        <v>952.77160032276845</v>
      </c>
    </row>
    <row r="10" spans="2:11" x14ac:dyDescent="0.25">
      <c r="B10" s="59" t="s">
        <v>118</v>
      </c>
      <c r="C10" s="5"/>
      <c r="D10" s="80">
        <f>'Balance sheet'!I21</f>
        <v>17899</v>
      </c>
      <c r="E10" s="80">
        <f>'Balance sheet'!J21</f>
        <v>21903</v>
      </c>
      <c r="F10" s="80">
        <f>'Balance sheet'!K21</f>
        <v>21512</v>
      </c>
      <c r="G10" s="80">
        <f ca="1">SUM(G7:G9)</f>
        <v>27212.899693565385</v>
      </c>
      <c r="H10" s="80">
        <f t="shared" ref="H10:K10" ca="1" si="3">SUM(H7:H9)</f>
        <v>31912.996515476363</v>
      </c>
      <c r="I10" s="80">
        <f t="shared" ca="1" si="3"/>
        <v>35679.139979163585</v>
      </c>
      <c r="J10" s="80">
        <f t="shared" ca="1" si="3"/>
        <v>38521.027406192239</v>
      </c>
      <c r="K10" s="78">
        <f t="shared" ca="1" si="3"/>
        <v>40532.434117984754</v>
      </c>
    </row>
    <row r="11" spans="2:11" x14ac:dyDescent="0.25">
      <c r="B11" s="76"/>
      <c r="C11" s="5"/>
      <c r="D11" s="81"/>
      <c r="E11" s="87"/>
      <c r="F11" s="87"/>
      <c r="G11" s="82"/>
      <c r="H11" s="83"/>
      <c r="I11" s="83"/>
      <c r="J11" s="83"/>
      <c r="K11" s="84"/>
    </row>
    <row r="12" spans="2:11" x14ac:dyDescent="0.25">
      <c r="B12" s="59" t="s">
        <v>131</v>
      </c>
      <c r="C12" s="5"/>
      <c r="D12" s="86">
        <f>15469+25717</f>
        <v>41186</v>
      </c>
      <c r="E12" s="86">
        <f>19413+27017</f>
        <v>46430</v>
      </c>
      <c r="F12" s="86">
        <f>19938+28040</f>
        <v>47978</v>
      </c>
      <c r="G12" s="69"/>
      <c r="H12" s="69"/>
      <c r="I12" s="69"/>
      <c r="J12" s="69"/>
      <c r="K12" s="70"/>
    </row>
    <row r="13" spans="2:11" x14ac:dyDescent="0.25">
      <c r="B13" s="62" t="s">
        <v>132</v>
      </c>
      <c r="C13" s="5"/>
      <c r="D13" s="86">
        <v>2135</v>
      </c>
      <c r="E13" s="86">
        <v>2406</v>
      </c>
      <c r="F13" s="86">
        <v>2602</v>
      </c>
      <c r="G13" s="80">
        <f ca="1">G14*'Income Statement'!M13</f>
        <v>2574.9446262076676</v>
      </c>
      <c r="H13" s="80">
        <f ca="1">H14*'Income Statement'!N13</f>
        <v>2223.3305331440879</v>
      </c>
      <c r="I13" s="80">
        <f ca="1">I14*'Income Statement'!O13</f>
        <v>1869.9918503385529</v>
      </c>
      <c r="J13" s="80">
        <f ca="1">J14*'Income Statement'!P13</f>
        <v>1484.7980171737202</v>
      </c>
      <c r="K13" s="78">
        <f ca="1">K14*'Income Statement'!Q13</f>
        <v>1058.6351114697427</v>
      </c>
    </row>
    <row r="14" spans="2:11" x14ac:dyDescent="0.25">
      <c r="B14" s="59" t="s">
        <v>133</v>
      </c>
      <c r="C14" s="5"/>
      <c r="D14" s="81">
        <f>D13/'Income Statement'!J13</f>
        <v>2.6806790216463261E-2</v>
      </c>
      <c r="E14" s="81">
        <f>E13/'Income Statement'!K13</f>
        <v>2.9035878498244089E-2</v>
      </c>
      <c r="F14" s="81">
        <f>F13/'Income Statement'!L13</f>
        <v>3.1332787437984684E-2</v>
      </c>
      <c r="G14" s="30">
        <v>0.03</v>
      </c>
      <c r="H14" s="54">
        <f>IF(G14-0.5%&lt;=0.5%,0.5%,G14-0.5%)</f>
        <v>2.4999999999999998E-2</v>
      </c>
      <c r="I14" s="54">
        <f t="shared" ref="I14:K14" si="4">IF(H14-0.5%&lt;=0.5%,0.5%,H14-0.5%)</f>
        <v>1.9999999999999997E-2</v>
      </c>
      <c r="J14" s="54">
        <f t="shared" si="4"/>
        <v>1.4999999999999996E-2</v>
      </c>
      <c r="K14" s="55">
        <f t="shared" si="4"/>
        <v>9.999999999999995E-3</v>
      </c>
    </row>
    <row r="15" spans="2:11" x14ac:dyDescent="0.25">
      <c r="B15" s="62" t="s">
        <v>134</v>
      </c>
      <c r="C15" s="5"/>
      <c r="D15" s="80">
        <f>-'Income Statement'!J54</f>
        <v>-2764</v>
      </c>
      <c r="E15" s="80">
        <f>-'Income Statement'!K54</f>
        <v>-3211</v>
      </c>
      <c r="F15" s="80">
        <f>-'Income Statement'!L54</f>
        <v>-3419</v>
      </c>
      <c r="G15" s="80">
        <f ca="1">G16*G13</f>
        <v>3125.9550673577173</v>
      </c>
      <c r="H15" s="80">
        <f t="shared" ref="H15:K15" ca="1" si="5">H16*H13</f>
        <v>2476.7662887668916</v>
      </c>
      <c r="I15" s="80">
        <f t="shared" ca="1" si="5"/>
        <v>1896.1516133486691</v>
      </c>
      <c r="J15" s="80">
        <f t="shared" ca="1" si="5"/>
        <v>1357.0894098549347</v>
      </c>
      <c r="K15" s="78">
        <f t="shared" ca="1" si="5"/>
        <v>952.77160032276845</v>
      </c>
    </row>
    <row r="16" spans="2:11" x14ac:dyDescent="0.25">
      <c r="B16" s="59" t="s">
        <v>135</v>
      </c>
      <c r="C16" s="5"/>
      <c r="D16" s="81">
        <f>-D15/D13</f>
        <v>1.2946135831381733</v>
      </c>
      <c r="E16" s="81">
        <f t="shared" ref="E16:F16" si="6">-E15/E13</f>
        <v>1.3345802161263507</v>
      </c>
      <c r="F16" s="81">
        <f t="shared" si="6"/>
        <v>1.313989239046887</v>
      </c>
      <c r="G16" s="81">
        <f>IF(F16-10%&lt;90%,90%,F16-10%)</f>
        <v>1.2139892390468869</v>
      </c>
      <c r="H16" s="81">
        <f t="shared" ref="H16:K16" si="7">IF(G16-10%&lt;90%,90%,G16-10%)</f>
        <v>1.1139892390468868</v>
      </c>
      <c r="I16" s="81">
        <f t="shared" si="7"/>
        <v>1.0139892390468868</v>
      </c>
      <c r="J16" s="81">
        <f t="shared" si="7"/>
        <v>0.91398923904688678</v>
      </c>
      <c r="K16" s="88">
        <f t="shared" si="7"/>
        <v>0.9</v>
      </c>
    </row>
    <row r="17" spans="2:13" x14ac:dyDescent="0.25">
      <c r="B17" s="59" t="s">
        <v>118</v>
      </c>
      <c r="C17" s="5"/>
      <c r="D17" s="80"/>
      <c r="E17" s="80"/>
      <c r="F17" s="80"/>
      <c r="G17" s="80"/>
      <c r="H17" s="80"/>
      <c r="I17" s="80"/>
      <c r="J17" s="80"/>
      <c r="K17" s="78"/>
    </row>
    <row r="18" spans="2:13" x14ac:dyDescent="0.25">
      <c r="B18" s="59"/>
      <c r="C18" s="5"/>
      <c r="D18" s="66"/>
      <c r="E18" s="66"/>
      <c r="F18" s="66"/>
      <c r="G18" s="66"/>
      <c r="H18" s="66"/>
      <c r="I18" s="66"/>
      <c r="J18" s="66"/>
      <c r="K18" s="67"/>
    </row>
    <row r="19" spans="2:13" x14ac:dyDescent="0.25">
      <c r="B19" s="85" t="s">
        <v>136</v>
      </c>
      <c r="C19" s="5"/>
      <c r="D19" s="5"/>
      <c r="E19" s="5"/>
      <c r="F19" s="5"/>
      <c r="G19" s="5"/>
      <c r="H19" s="5"/>
      <c r="I19" s="5"/>
      <c r="J19" s="5"/>
      <c r="K19" s="8"/>
    </row>
    <row r="20" spans="2:13" x14ac:dyDescent="0.25">
      <c r="B20" s="59" t="s">
        <v>116</v>
      </c>
      <c r="C20" s="5"/>
      <c r="D20" s="5"/>
      <c r="E20" s="5"/>
      <c r="F20" s="5"/>
      <c r="G20" s="64">
        <f>F23</f>
        <v>21512</v>
      </c>
      <c r="H20" s="64">
        <f t="shared" ref="H20:K20" ca="1" si="8">G23</f>
        <v>21476.944295803132</v>
      </c>
      <c r="I20" s="64">
        <f t="shared" ca="1" si="8"/>
        <v>21098.889542032703</v>
      </c>
      <c r="J20" s="64">
        <f t="shared" ca="1" si="8"/>
        <v>20403.630256782621</v>
      </c>
      <c r="K20" s="68">
        <f t="shared" ca="1" si="8"/>
        <v>19388.141243476275</v>
      </c>
      <c r="M20" s="65"/>
    </row>
    <row r="21" spans="2:13" x14ac:dyDescent="0.25">
      <c r="B21" s="60" t="s">
        <v>129</v>
      </c>
      <c r="C21" s="5"/>
      <c r="D21" s="5"/>
      <c r="E21" s="5"/>
      <c r="F21" s="5"/>
      <c r="G21" s="64">
        <f ca="1">G13</f>
        <v>2574.9446262076676</v>
      </c>
      <c r="H21" s="64">
        <f t="shared" ref="H21:K21" ca="1" si="9">H13</f>
        <v>2223.3305331440879</v>
      </c>
      <c r="I21" s="64">
        <f t="shared" ca="1" si="9"/>
        <v>1869.9918503385529</v>
      </c>
      <c r="J21" s="64">
        <f t="shared" ca="1" si="9"/>
        <v>1484.7980171737202</v>
      </c>
      <c r="K21" s="68">
        <f t="shared" ca="1" si="9"/>
        <v>1058.6351114697427</v>
      </c>
      <c r="M21" s="65"/>
    </row>
    <row r="22" spans="2:13" x14ac:dyDescent="0.25">
      <c r="B22" s="60" t="s">
        <v>130</v>
      </c>
      <c r="C22" s="5"/>
      <c r="D22" s="5"/>
      <c r="E22" s="5"/>
      <c r="F22" s="5"/>
      <c r="G22" s="64">
        <f ca="1">-G40</f>
        <v>-2610.0003304045345</v>
      </c>
      <c r="H22" s="64">
        <f t="shared" ref="H22:K22" ca="1" si="10">-H40</f>
        <v>-2601.385286914518</v>
      </c>
      <c r="I22" s="64">
        <f t="shared" ca="1" si="10"/>
        <v>-2565.2511355886359</v>
      </c>
      <c r="J22" s="64">
        <f t="shared" ca="1" si="10"/>
        <v>-2500.2870304800681</v>
      </c>
      <c r="K22" s="68">
        <f t="shared" ca="1" si="10"/>
        <v>-2403.6501462087263</v>
      </c>
      <c r="M22" s="65"/>
    </row>
    <row r="23" spans="2:13" x14ac:dyDescent="0.25">
      <c r="B23" s="59" t="s">
        <v>118</v>
      </c>
      <c r="C23" s="5"/>
      <c r="D23" s="64">
        <f>D10</f>
        <v>17899</v>
      </c>
      <c r="E23" s="64">
        <f t="shared" ref="E23:F23" si="11">E10</f>
        <v>21903</v>
      </c>
      <c r="F23" s="64">
        <f t="shared" si="11"/>
        <v>21512</v>
      </c>
      <c r="G23" s="64">
        <f ca="1">SUM(G20:G22)</f>
        <v>21476.944295803132</v>
      </c>
      <c r="H23" s="64">
        <f t="shared" ref="H23:K23" ca="1" si="12">SUM(H20:H22)</f>
        <v>21098.889542032703</v>
      </c>
      <c r="I23" s="64">
        <f t="shared" ca="1" si="12"/>
        <v>20403.630256782621</v>
      </c>
      <c r="J23" s="64">
        <f t="shared" ca="1" si="12"/>
        <v>19388.141243476275</v>
      </c>
      <c r="K23" s="68">
        <f t="shared" ca="1" si="12"/>
        <v>18043.126208737292</v>
      </c>
      <c r="M23" s="65"/>
    </row>
    <row r="24" spans="2:13" x14ac:dyDescent="0.25">
      <c r="B24" s="61"/>
      <c r="C24" s="5"/>
      <c r="D24" s="5"/>
      <c r="E24" s="5"/>
      <c r="F24" s="5"/>
      <c r="G24" s="5"/>
      <c r="H24" s="5"/>
      <c r="I24" s="5"/>
      <c r="J24" s="5"/>
      <c r="K24" s="8"/>
      <c r="M24" s="65"/>
    </row>
    <row r="25" spans="2:13" x14ac:dyDescent="0.25">
      <c r="B25" s="61" t="s">
        <v>137</v>
      </c>
      <c r="C25" s="5"/>
      <c r="D25" s="15">
        <f>D12</f>
        <v>41186</v>
      </c>
      <c r="E25" s="15">
        <f t="shared" ref="E25:F25" si="13">E12</f>
        <v>46430</v>
      </c>
      <c r="F25" s="15">
        <f t="shared" si="13"/>
        <v>47978</v>
      </c>
      <c r="G25" s="5"/>
      <c r="H25" s="5"/>
      <c r="I25" s="5"/>
      <c r="J25" s="5"/>
      <c r="K25" s="8"/>
    </row>
    <row r="26" spans="2:13" x14ac:dyDescent="0.25">
      <c r="B26" s="61" t="s">
        <v>138</v>
      </c>
      <c r="C26" s="5"/>
      <c r="D26" s="15">
        <f>7859/2</f>
        <v>3929.5</v>
      </c>
      <c r="E26" s="15">
        <f>8129*0.5</f>
        <v>4064.5</v>
      </c>
      <c r="F26" s="15">
        <f>8372*0.5</f>
        <v>4186</v>
      </c>
      <c r="G26" s="5"/>
      <c r="H26" s="5"/>
      <c r="I26" s="5"/>
      <c r="J26" s="5"/>
      <c r="K26" s="8"/>
    </row>
    <row r="27" spans="2:13" x14ac:dyDescent="0.25">
      <c r="B27" s="61" t="s">
        <v>139</v>
      </c>
      <c r="C27" s="5"/>
      <c r="D27" s="15">
        <f>D25-'Balance sheet'!I21</f>
        <v>23287</v>
      </c>
      <c r="E27" s="15">
        <f>E25-'Balance sheet'!J21</f>
        <v>24527</v>
      </c>
      <c r="F27" s="15">
        <f>F25-'Balance sheet'!K21</f>
        <v>26466</v>
      </c>
      <c r="G27" s="5"/>
      <c r="H27" s="5"/>
      <c r="I27" s="5"/>
      <c r="J27" s="5"/>
      <c r="K27" s="8"/>
    </row>
    <row r="28" spans="2:13" x14ac:dyDescent="0.25">
      <c r="B28" s="61" t="s">
        <v>140</v>
      </c>
      <c r="C28" s="5"/>
      <c r="D28" s="15">
        <f t="shared" ref="D28:E28" si="14">D25-D26-D27</f>
        <v>13969.5</v>
      </c>
      <c r="E28" s="15">
        <f t="shared" si="14"/>
        <v>17838.5</v>
      </c>
      <c r="F28" s="15">
        <f>F25-F26-F27</f>
        <v>17326</v>
      </c>
      <c r="G28" s="5"/>
      <c r="H28" s="5"/>
      <c r="I28" s="5"/>
      <c r="J28" s="5"/>
      <c r="K28" s="8"/>
    </row>
    <row r="29" spans="2:13" x14ac:dyDescent="0.25">
      <c r="B29" s="61"/>
      <c r="C29" s="5"/>
      <c r="D29" s="5"/>
      <c r="E29" s="5"/>
      <c r="F29" s="5"/>
      <c r="G29" s="5"/>
      <c r="H29" s="5"/>
      <c r="I29" s="5"/>
      <c r="J29" s="5"/>
      <c r="K29" s="8"/>
    </row>
    <row r="30" spans="2:13" x14ac:dyDescent="0.25">
      <c r="B30" s="61" t="s">
        <v>141</v>
      </c>
      <c r="C30" s="5"/>
      <c r="D30" s="5"/>
      <c r="E30" s="5"/>
      <c r="F30" s="89">
        <f>-(F25-F26)/F15</f>
        <v>12.808423515647851</v>
      </c>
      <c r="G30" s="5"/>
      <c r="H30" s="5"/>
      <c r="I30" s="5"/>
      <c r="J30" s="5"/>
      <c r="K30" s="8"/>
    </row>
    <row r="31" spans="2:13" x14ac:dyDescent="0.25">
      <c r="B31" s="61"/>
      <c r="C31" s="5"/>
      <c r="D31" s="5"/>
      <c r="E31" s="5"/>
      <c r="F31" s="5"/>
      <c r="G31" s="5"/>
      <c r="H31" s="5"/>
      <c r="I31" s="5"/>
      <c r="J31" s="5"/>
      <c r="K31" s="8"/>
    </row>
    <row r="32" spans="2:13" x14ac:dyDescent="0.25">
      <c r="B32" s="61"/>
      <c r="C32" s="5"/>
      <c r="D32" s="5"/>
      <c r="E32" s="5"/>
      <c r="F32" s="5"/>
      <c r="G32" s="108">
        <f>G5</f>
        <v>2019</v>
      </c>
      <c r="H32" s="108">
        <f t="shared" ref="H32:K32" si="15">H5</f>
        <v>2020</v>
      </c>
      <c r="I32" s="108">
        <f t="shared" si="15"/>
        <v>2021</v>
      </c>
      <c r="J32" s="108">
        <f t="shared" si="15"/>
        <v>2022</v>
      </c>
      <c r="K32" s="109">
        <f t="shared" si="15"/>
        <v>2023</v>
      </c>
    </row>
    <row r="33" spans="2:11" x14ac:dyDescent="0.25">
      <c r="B33" s="61"/>
      <c r="C33" s="5"/>
      <c r="D33" s="5"/>
      <c r="E33" s="5"/>
      <c r="F33" s="5"/>
      <c r="G33" s="5">
        <v>1</v>
      </c>
      <c r="H33" s="5">
        <f>G33+1</f>
        <v>2</v>
      </c>
      <c r="I33" s="5">
        <f t="shared" ref="I33:K33" si="16">H33+1</f>
        <v>3</v>
      </c>
      <c r="J33" s="5">
        <f t="shared" si="16"/>
        <v>4</v>
      </c>
      <c r="K33" s="8">
        <f t="shared" si="16"/>
        <v>5</v>
      </c>
    </row>
    <row r="34" spans="2:11" x14ac:dyDescent="0.25">
      <c r="B34" s="61" t="s">
        <v>142</v>
      </c>
      <c r="C34" s="5"/>
      <c r="D34" s="5"/>
      <c r="E34" s="5"/>
      <c r="F34" s="5"/>
      <c r="G34" s="15">
        <f>SYD($F$28,0,$F$30,G33)</f>
        <v>2509.4827053017302</v>
      </c>
      <c r="H34" s="15">
        <f t="shared" ref="H34:K34" si="17">SYD($F$28,0,$F$30,H33)</f>
        <v>2313.5583042826715</v>
      </c>
      <c r="I34" s="15">
        <f t="shared" si="17"/>
        <v>2117.6339032636133</v>
      </c>
      <c r="J34" s="15">
        <f t="shared" si="17"/>
        <v>1921.7095022445544</v>
      </c>
      <c r="K34" s="25">
        <f t="shared" si="17"/>
        <v>1725.7851012254957</v>
      </c>
    </row>
    <row r="35" spans="2:11" x14ac:dyDescent="0.25">
      <c r="B35" s="61" t="str">
        <f>"Depreciation due to capital expenditures in "&amp;G5</f>
        <v>Depreciation due to capital expenditures in 2019</v>
      </c>
      <c r="C35" s="5"/>
      <c r="D35" s="5"/>
      <c r="E35" s="5"/>
      <c r="F35" s="5"/>
      <c r="G35" s="15">
        <f ca="1">$G$8/$F$30/2</f>
        <v>100.51762510280433</v>
      </c>
      <c r="H35" s="15">
        <f t="shared" ref="H35:K35" ca="1" si="18">$G$8/$F$30</f>
        <v>201.03525020560866</v>
      </c>
      <c r="I35" s="15">
        <f t="shared" ca="1" si="18"/>
        <v>201.03525020560866</v>
      </c>
      <c r="J35" s="15">
        <f t="shared" ca="1" si="18"/>
        <v>201.03525020560866</v>
      </c>
      <c r="K35" s="25">
        <f t="shared" ca="1" si="18"/>
        <v>201.03525020560866</v>
      </c>
    </row>
    <row r="36" spans="2:11" x14ac:dyDescent="0.25">
      <c r="B36" s="61" t="str">
        <f>"Depreciation due to capital expenditures in "&amp;H5</f>
        <v>Depreciation due to capital expenditures in 2020</v>
      </c>
      <c r="C36" s="5"/>
      <c r="D36" s="5"/>
      <c r="E36" s="5"/>
      <c r="F36" s="5"/>
      <c r="G36" s="5"/>
      <c r="H36" s="15">
        <f ca="1">$H$8/$F$30/2</f>
        <v>86.791732426238084</v>
      </c>
      <c r="I36" s="15">
        <f t="shared" ref="I36:K36" ca="1" si="19">$H$8/$F$30</f>
        <v>173.58346485247617</v>
      </c>
      <c r="J36" s="15">
        <f t="shared" ca="1" si="19"/>
        <v>173.58346485247617</v>
      </c>
      <c r="K36" s="25">
        <f t="shared" ca="1" si="19"/>
        <v>173.58346485247617</v>
      </c>
    </row>
    <row r="37" spans="2:11" x14ac:dyDescent="0.25">
      <c r="B37" s="61" t="str">
        <f>"Depreciation due to capital expenditures in "&amp;I5</f>
        <v>Depreciation due to capital expenditures in 2021</v>
      </c>
      <c r="C37" s="5"/>
      <c r="D37" s="5"/>
      <c r="E37" s="5"/>
      <c r="F37" s="5"/>
      <c r="G37" s="5"/>
      <c r="H37" s="5"/>
      <c r="I37" s="15">
        <f ca="1">$I$8/$F$30/2</f>
        <v>72.998517266938165</v>
      </c>
      <c r="J37" s="15">
        <f t="shared" ref="J37:K37" ca="1" si="20">$I$8/$F$30</f>
        <v>145.99703453387633</v>
      </c>
      <c r="K37" s="25">
        <f t="shared" ca="1" si="20"/>
        <v>145.99703453387633</v>
      </c>
    </row>
    <row r="38" spans="2:11" x14ac:dyDescent="0.25">
      <c r="B38" s="61" t="str">
        <f>"Depreciation due to capital expenditures in "&amp;J5</f>
        <v>Depreciation due to capital expenditures in 2022</v>
      </c>
      <c r="C38" s="5"/>
      <c r="D38" s="5"/>
      <c r="E38" s="5"/>
      <c r="F38" s="5"/>
      <c r="G38" s="5"/>
      <c r="H38" s="5"/>
      <c r="I38" s="5"/>
      <c r="J38" s="15">
        <f ca="1">$J$8/$F$30/2</f>
        <v>57.961778643553032</v>
      </c>
      <c r="K38" s="25">
        <f ca="1">$J$8/$F$30</f>
        <v>115.92355728710606</v>
      </c>
    </row>
    <row r="39" spans="2:11" x14ac:dyDescent="0.25">
      <c r="B39" s="61" t="str">
        <f>"Depreciation due to capital expenditures in "&amp;K5</f>
        <v>Depreciation due to capital expenditures in 2023</v>
      </c>
      <c r="C39" s="5"/>
      <c r="D39" s="5"/>
      <c r="E39" s="5"/>
      <c r="F39" s="5"/>
      <c r="G39" s="5"/>
      <c r="H39" s="5"/>
      <c r="I39" s="5"/>
      <c r="J39" s="5"/>
      <c r="K39" s="25">
        <f ca="1">$K$8/$F$30/2</f>
        <v>41.325738104163435</v>
      </c>
    </row>
    <row r="40" spans="2:11" x14ac:dyDescent="0.25">
      <c r="B40" s="44" t="s">
        <v>143</v>
      </c>
      <c r="C40" s="18"/>
      <c r="D40" s="18"/>
      <c r="E40" s="18"/>
      <c r="F40" s="18"/>
      <c r="G40" s="90">
        <f ca="1">SUM(G34:G39)</f>
        <v>2610.0003304045345</v>
      </c>
      <c r="H40" s="90">
        <f t="shared" ref="H40:K40" ca="1" si="21">SUM(H34:H39)</f>
        <v>2601.385286914518</v>
      </c>
      <c r="I40" s="90">
        <f t="shared" ca="1" si="21"/>
        <v>2565.2511355886359</v>
      </c>
      <c r="J40" s="90">
        <f t="shared" ca="1" si="21"/>
        <v>2500.2870304800681</v>
      </c>
      <c r="K40" s="91">
        <f t="shared" ca="1" si="21"/>
        <v>2403.6501462087263</v>
      </c>
    </row>
  </sheetData>
  <mergeCells count="1">
    <mergeCell ref="B2:K3"/>
  </mergeCells>
  <conditionalFormatting sqref="G34:K39">
    <cfRule type="cellIs" dxfId="0" priority="1" operator="greaterThan">
      <formula>0</formula>
    </cfRule>
  </conditionalFormatting>
  <hyperlinks>
    <hyperlink ref="J1" location="'Valuation Summary'!A1" display="&lt;= back to the index" xr:uid="{9AF5856B-B483-465C-B15C-CFE8C8890D17}"/>
  </hyperlinks>
  <pageMargins left="0.7" right="0.7" top="0.75" bottom="0.75" header="0.3" footer="0.3"/>
  <pageSetup scale="51" fitToHeight="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797B3-933B-4B2A-A3D8-9DBA7748CFC3}">
  <sheetPr>
    <pageSetUpPr fitToPage="1"/>
  </sheetPr>
  <dimension ref="A1:M69"/>
  <sheetViews>
    <sheetView showGridLines="0" zoomScale="85" zoomScaleNormal="85" zoomScaleSheetLayoutView="85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2.5703125" customWidth="1"/>
    <col min="5" max="5" width="13.140625" customWidth="1"/>
    <col min="6" max="13" width="12.7109375" customWidth="1"/>
    <col min="14" max="14" width="2.5703125" customWidth="1"/>
  </cols>
  <sheetData>
    <row r="1" spans="1:13" ht="15.75" thickBot="1" x14ac:dyDescent="0.3">
      <c r="L1" s="216" t="s">
        <v>252</v>
      </c>
    </row>
    <row r="2" spans="1:13" ht="15" customHeight="1" x14ac:dyDescent="0.25">
      <c r="B2" s="380" t="s">
        <v>145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2"/>
    </row>
    <row r="3" spans="1:13" ht="15" customHeight="1" thickBot="1" x14ac:dyDescent="0.3">
      <c r="B3" s="383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5"/>
    </row>
    <row r="4" spans="1:13" ht="15" customHeight="1" x14ac:dyDescent="0.5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3" x14ac:dyDescent="0.25">
      <c r="B5" s="92" t="s">
        <v>42</v>
      </c>
      <c r="C5" s="93"/>
      <c r="D5" s="93"/>
      <c r="E5" s="93"/>
      <c r="F5" s="94">
        <f>'Balance sheet'!I8</f>
        <v>2016</v>
      </c>
      <c r="G5" s="94">
        <f>'Balance sheet'!J8</f>
        <v>2017</v>
      </c>
      <c r="H5" s="94">
        <f>'Balance sheet'!K8</f>
        <v>2018</v>
      </c>
      <c r="I5" s="95">
        <f>'Balance sheet'!L8</f>
        <v>2019</v>
      </c>
      <c r="J5" s="95">
        <f>'Balance sheet'!M8</f>
        <v>2020</v>
      </c>
      <c r="K5" s="95">
        <f>'Balance sheet'!N8</f>
        <v>2021</v>
      </c>
      <c r="L5" s="95">
        <f>'Balance sheet'!O8</f>
        <v>2022</v>
      </c>
      <c r="M5" s="96">
        <f>'Balance sheet'!P8</f>
        <v>2023</v>
      </c>
    </row>
    <row r="6" spans="1:13" s="77" customFormat="1" x14ac:dyDescent="0.25">
      <c r="A6"/>
      <c r="B6" s="117" t="s">
        <v>146</v>
      </c>
      <c r="C6" s="118"/>
      <c r="D6" s="118"/>
      <c r="E6" s="118"/>
      <c r="F6" s="118"/>
      <c r="G6" s="118"/>
      <c r="H6" s="118"/>
      <c r="I6" s="122"/>
      <c r="J6" s="118"/>
      <c r="K6" s="118"/>
      <c r="L6" s="118"/>
      <c r="M6" s="119"/>
    </row>
    <row r="7" spans="1:13" s="77" customFormat="1" x14ac:dyDescent="0.25">
      <c r="A7"/>
      <c r="B7" s="59" t="s">
        <v>116</v>
      </c>
      <c r="C7" s="79"/>
      <c r="D7" s="79"/>
      <c r="E7" s="79"/>
      <c r="F7" s="79"/>
      <c r="G7" s="80"/>
      <c r="H7" s="80"/>
      <c r="I7" s="80">
        <f>H9</f>
        <v>1707</v>
      </c>
      <c r="J7" s="80">
        <f t="shared" ref="J7:M7" si="0">I9</f>
        <v>1707</v>
      </c>
      <c r="K7" s="80">
        <f t="shared" si="0"/>
        <v>1707</v>
      </c>
      <c r="L7" s="80">
        <f t="shared" si="0"/>
        <v>1707</v>
      </c>
      <c r="M7" s="78">
        <f t="shared" si="0"/>
        <v>1707</v>
      </c>
    </row>
    <row r="8" spans="1:13" s="77" customFormat="1" x14ac:dyDescent="0.25">
      <c r="A8"/>
      <c r="B8" s="60" t="s">
        <v>117</v>
      </c>
      <c r="C8" s="79"/>
      <c r="D8" s="79"/>
      <c r="E8" s="79"/>
      <c r="F8" s="79"/>
      <c r="G8" s="80"/>
      <c r="H8" s="80"/>
      <c r="I8" s="125">
        <v>0</v>
      </c>
      <c r="J8" s="125">
        <v>0</v>
      </c>
      <c r="K8" s="125">
        <v>0</v>
      </c>
      <c r="L8" s="125">
        <v>0</v>
      </c>
      <c r="M8" s="126">
        <v>0</v>
      </c>
    </row>
    <row r="9" spans="1:13" s="77" customFormat="1" x14ac:dyDescent="0.25">
      <c r="A9"/>
      <c r="B9" s="59" t="s">
        <v>118</v>
      </c>
      <c r="C9" s="79"/>
      <c r="D9" s="79"/>
      <c r="E9" s="79"/>
      <c r="F9" s="80">
        <f>'Balance sheet'!I17</f>
        <v>1204</v>
      </c>
      <c r="G9" s="80">
        <f>'Balance sheet'!J17</f>
        <v>1466</v>
      </c>
      <c r="H9" s="80">
        <f>'Balance sheet'!K17</f>
        <v>1707</v>
      </c>
      <c r="I9" s="80">
        <f>SUM(I7:I8)</f>
        <v>1707</v>
      </c>
      <c r="J9" s="80">
        <f t="shared" ref="J9:M9" si="1">SUM(J7:J8)</f>
        <v>1707</v>
      </c>
      <c r="K9" s="80">
        <f t="shared" si="1"/>
        <v>1707</v>
      </c>
      <c r="L9" s="80">
        <f t="shared" si="1"/>
        <v>1707</v>
      </c>
      <c r="M9" s="78">
        <f t="shared" si="1"/>
        <v>1707</v>
      </c>
    </row>
    <row r="10" spans="1:13" s="77" customFormat="1" x14ac:dyDescent="0.25">
      <c r="A10"/>
      <c r="B10" s="5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111"/>
    </row>
    <row r="11" spans="1:13" s="77" customFormat="1" x14ac:dyDescent="0.25">
      <c r="A11"/>
      <c r="B11" s="10" t="s">
        <v>68</v>
      </c>
      <c r="C11" s="79"/>
      <c r="D11" s="79"/>
      <c r="E11" s="79"/>
      <c r="F11" s="81"/>
      <c r="G11" s="81"/>
      <c r="H11" s="81"/>
      <c r="I11" s="82"/>
      <c r="J11" s="83"/>
      <c r="K11" s="83"/>
      <c r="L11" s="83"/>
      <c r="M11" s="84"/>
    </row>
    <row r="12" spans="1:13" s="77" customFormat="1" x14ac:dyDescent="0.25">
      <c r="A12"/>
      <c r="B12" s="59" t="s">
        <v>116</v>
      </c>
      <c r="C12" s="79"/>
      <c r="D12" s="79"/>
      <c r="E12" s="79"/>
      <c r="F12" s="69"/>
      <c r="G12" s="69"/>
      <c r="H12" s="69"/>
      <c r="I12" s="80">
        <f>H14</f>
        <v>9118</v>
      </c>
      <c r="J12" s="80">
        <f t="shared" ref="J12:M12" si="2">I14</f>
        <v>9118</v>
      </c>
      <c r="K12" s="80">
        <f t="shared" si="2"/>
        <v>9118</v>
      </c>
      <c r="L12" s="80">
        <f t="shared" si="2"/>
        <v>9118</v>
      </c>
      <c r="M12" s="78">
        <f t="shared" si="2"/>
        <v>9118</v>
      </c>
    </row>
    <row r="13" spans="1:13" s="77" customFormat="1" x14ac:dyDescent="0.25">
      <c r="A13"/>
      <c r="B13" s="60" t="s">
        <v>117</v>
      </c>
      <c r="C13" s="79"/>
      <c r="D13" s="79"/>
      <c r="E13" s="79"/>
      <c r="F13" s="79"/>
      <c r="G13" s="79"/>
      <c r="H13" s="79"/>
      <c r="I13" s="125">
        <v>0</v>
      </c>
      <c r="J13" s="125">
        <v>0</v>
      </c>
      <c r="K13" s="125">
        <v>0</v>
      </c>
      <c r="L13" s="125">
        <v>0</v>
      </c>
      <c r="M13" s="126">
        <v>0</v>
      </c>
    </row>
    <row r="14" spans="1:13" s="77" customFormat="1" x14ac:dyDescent="0.25">
      <c r="A14"/>
      <c r="B14" s="59" t="s">
        <v>118</v>
      </c>
      <c r="C14" s="79"/>
      <c r="D14" s="79"/>
      <c r="E14" s="79"/>
      <c r="F14" s="80">
        <f>'Balance sheet'!I36</f>
        <v>20437</v>
      </c>
      <c r="G14" s="80">
        <f>'Balance sheet'!J36</f>
        <v>8671</v>
      </c>
      <c r="H14" s="80">
        <f>'Balance sheet'!K36</f>
        <v>9118</v>
      </c>
      <c r="I14" s="80">
        <f>SUM(I12:I13)</f>
        <v>9118</v>
      </c>
      <c r="J14" s="80">
        <f t="shared" ref="J14" si="3">SUM(J12:J13)</f>
        <v>9118</v>
      </c>
      <c r="K14" s="80">
        <f t="shared" ref="K14" si="4">SUM(K12:K13)</f>
        <v>9118</v>
      </c>
      <c r="L14" s="80">
        <f t="shared" ref="L14" si="5">SUM(L12:L13)</f>
        <v>9118</v>
      </c>
      <c r="M14" s="78">
        <f t="shared" ref="M14" si="6">SUM(M12:M13)</f>
        <v>9118</v>
      </c>
    </row>
    <row r="15" spans="1:13" s="77" customFormat="1" x14ac:dyDescent="0.25">
      <c r="A15"/>
      <c r="B15" s="61"/>
      <c r="C15" s="79"/>
      <c r="D15" s="79"/>
      <c r="E15" s="79"/>
      <c r="F15" s="79"/>
      <c r="G15" s="80"/>
      <c r="H15" s="80"/>
      <c r="I15" s="80"/>
      <c r="J15" s="80"/>
      <c r="K15" s="80"/>
      <c r="L15" s="80"/>
      <c r="M15" s="78"/>
    </row>
    <row r="16" spans="1:13" s="77" customFormat="1" x14ac:dyDescent="0.25">
      <c r="A16"/>
      <c r="B16" s="110" t="s">
        <v>147</v>
      </c>
      <c r="C16" s="79"/>
      <c r="D16" s="79"/>
      <c r="E16" s="79"/>
      <c r="F16" s="79"/>
      <c r="G16" s="80"/>
      <c r="H16" s="80"/>
      <c r="I16" s="80"/>
      <c r="J16" s="80"/>
      <c r="K16" s="80"/>
      <c r="L16" s="80"/>
      <c r="M16" s="78"/>
    </row>
    <row r="17" spans="1:13" s="77" customFormat="1" x14ac:dyDescent="0.25">
      <c r="A17"/>
      <c r="B17" s="59" t="s">
        <v>116</v>
      </c>
      <c r="C17" s="79"/>
      <c r="D17" s="79"/>
      <c r="E17" s="79"/>
      <c r="F17" s="80"/>
      <c r="G17" s="80"/>
      <c r="H17" s="80"/>
      <c r="I17" s="80">
        <f>H19</f>
        <v>2341</v>
      </c>
      <c r="J17" s="80">
        <f t="shared" ref="J17:M17" si="7">I19</f>
        <v>2341</v>
      </c>
      <c r="K17" s="80">
        <f t="shared" si="7"/>
        <v>2341</v>
      </c>
      <c r="L17" s="80">
        <f t="shared" si="7"/>
        <v>2341</v>
      </c>
      <c r="M17" s="78">
        <f t="shared" si="7"/>
        <v>2341</v>
      </c>
    </row>
    <row r="18" spans="1:13" s="77" customFormat="1" x14ac:dyDescent="0.25">
      <c r="A18"/>
      <c r="B18" s="60" t="s">
        <v>117</v>
      </c>
      <c r="C18" s="79"/>
      <c r="D18" s="79"/>
      <c r="E18" s="79"/>
      <c r="F18" s="79"/>
      <c r="G18" s="79"/>
      <c r="H18" s="79"/>
      <c r="I18" s="125">
        <v>0</v>
      </c>
      <c r="J18" s="125">
        <v>0</v>
      </c>
      <c r="K18" s="125">
        <v>0</v>
      </c>
      <c r="L18" s="125">
        <v>0</v>
      </c>
      <c r="M18" s="126">
        <v>0</v>
      </c>
    </row>
    <row r="19" spans="1:13" s="77" customFormat="1" x14ac:dyDescent="0.25">
      <c r="A19"/>
      <c r="B19" s="59" t="s">
        <v>118</v>
      </c>
      <c r="C19" s="79"/>
      <c r="D19" s="79"/>
      <c r="E19" s="79"/>
      <c r="F19" s="80">
        <f>'Balance sheet'!I24</f>
        <v>3431</v>
      </c>
      <c r="G19" s="80">
        <f>'Balance sheet'!J24</f>
        <v>2283</v>
      </c>
      <c r="H19" s="80">
        <f>'Balance sheet'!K24</f>
        <v>2341</v>
      </c>
      <c r="I19" s="80">
        <f>SUM(I17:I18)</f>
        <v>2341</v>
      </c>
      <c r="J19" s="80">
        <f t="shared" ref="J19" si="8">SUM(J17:J18)</f>
        <v>2341</v>
      </c>
      <c r="K19" s="80">
        <f t="shared" ref="K19" si="9">SUM(K17:K18)</f>
        <v>2341</v>
      </c>
      <c r="L19" s="80">
        <f t="shared" ref="L19" si="10">SUM(L17:L18)</f>
        <v>2341</v>
      </c>
      <c r="M19" s="78">
        <f t="shared" ref="M19" si="11">SUM(M17:M18)</f>
        <v>2341</v>
      </c>
    </row>
    <row r="20" spans="1:13" s="77" customFormat="1" x14ac:dyDescent="0.25">
      <c r="A20"/>
      <c r="B20" s="61"/>
      <c r="C20" s="79"/>
      <c r="D20" s="79"/>
      <c r="E20" s="79"/>
      <c r="F20" s="114"/>
      <c r="G20" s="114"/>
      <c r="H20" s="114"/>
      <c r="I20" s="114"/>
      <c r="J20" s="114"/>
      <c r="K20" s="114"/>
      <c r="L20" s="114"/>
      <c r="M20" s="115"/>
    </row>
    <row r="21" spans="1:13" s="77" customFormat="1" x14ac:dyDescent="0.25">
      <c r="A21"/>
      <c r="B21" s="110" t="s">
        <v>58</v>
      </c>
      <c r="C21" s="79"/>
      <c r="D21" s="79"/>
      <c r="E21" s="79"/>
      <c r="F21" s="69"/>
      <c r="G21" s="69"/>
      <c r="H21" s="69"/>
      <c r="I21" s="69"/>
      <c r="J21" s="69"/>
      <c r="K21" s="69"/>
      <c r="L21" s="69"/>
      <c r="M21" s="70"/>
    </row>
    <row r="22" spans="1:13" s="77" customFormat="1" x14ac:dyDescent="0.25">
      <c r="A22"/>
      <c r="B22" s="59" t="s">
        <v>116</v>
      </c>
      <c r="C22" s="79"/>
      <c r="D22" s="79"/>
      <c r="E22" s="79"/>
      <c r="F22" s="79"/>
      <c r="G22" s="79"/>
      <c r="H22" s="79"/>
      <c r="I22" s="80">
        <f>H24</f>
        <v>1810</v>
      </c>
      <c r="J22" s="80">
        <f t="shared" ref="J22:M22" si="12">I24</f>
        <v>1810</v>
      </c>
      <c r="K22" s="80">
        <f t="shared" si="12"/>
        <v>1810</v>
      </c>
      <c r="L22" s="80">
        <f t="shared" si="12"/>
        <v>1810</v>
      </c>
      <c r="M22" s="78">
        <f t="shared" si="12"/>
        <v>1810</v>
      </c>
    </row>
    <row r="23" spans="1:13" s="77" customFormat="1" x14ac:dyDescent="0.25">
      <c r="A23"/>
      <c r="B23" s="60" t="s">
        <v>117</v>
      </c>
      <c r="C23" s="79"/>
      <c r="D23" s="79"/>
      <c r="E23" s="79"/>
      <c r="F23" s="79"/>
      <c r="G23" s="79"/>
      <c r="H23" s="79"/>
      <c r="I23" s="125">
        <v>0</v>
      </c>
      <c r="J23" s="125">
        <v>0</v>
      </c>
      <c r="K23" s="125">
        <v>0</v>
      </c>
      <c r="L23" s="125">
        <v>0</v>
      </c>
      <c r="M23" s="126">
        <v>0</v>
      </c>
    </row>
    <row r="24" spans="1:13" s="77" customFormat="1" x14ac:dyDescent="0.25">
      <c r="A24"/>
      <c r="B24" s="59" t="s">
        <v>118</v>
      </c>
      <c r="C24" s="79"/>
      <c r="D24" s="79"/>
      <c r="E24" s="79"/>
      <c r="F24" s="80">
        <f>'Balance sheet'!I25</f>
        <v>1279</v>
      </c>
      <c r="G24" s="80">
        <f>'Balance sheet'!J25</f>
        <v>1498</v>
      </c>
      <c r="H24" s="80">
        <f>'Balance sheet'!K25</f>
        <v>1810</v>
      </c>
      <c r="I24" s="80">
        <f>SUM(I22:I23)</f>
        <v>1810</v>
      </c>
      <c r="J24" s="80">
        <f t="shared" ref="J24" si="13">SUM(J22:J23)</f>
        <v>1810</v>
      </c>
      <c r="K24" s="80">
        <f t="shared" ref="K24" si="14">SUM(K22:K23)</f>
        <v>1810</v>
      </c>
      <c r="L24" s="80">
        <f t="shared" ref="L24" si="15">SUM(L22:L23)</f>
        <v>1810</v>
      </c>
      <c r="M24" s="78">
        <f t="shared" ref="M24" si="16">SUM(M22:M23)</f>
        <v>1810</v>
      </c>
    </row>
    <row r="25" spans="1:13" s="77" customFormat="1" x14ac:dyDescent="0.25">
      <c r="A25"/>
      <c r="B25" s="61"/>
      <c r="C25" s="79"/>
      <c r="D25" s="79"/>
      <c r="E25" s="79"/>
      <c r="F25" s="79"/>
      <c r="G25" s="80"/>
      <c r="H25" s="80"/>
      <c r="I25" s="80"/>
      <c r="J25" s="80"/>
      <c r="K25" s="80"/>
      <c r="L25" s="80"/>
      <c r="M25" s="78"/>
    </row>
    <row r="26" spans="1:13" s="77" customFormat="1" x14ac:dyDescent="0.25">
      <c r="A26"/>
      <c r="B26" s="10" t="s">
        <v>148</v>
      </c>
      <c r="C26" s="79"/>
      <c r="D26" s="79"/>
      <c r="E26" s="79"/>
      <c r="F26" s="80"/>
      <c r="G26" s="80"/>
      <c r="H26" s="80"/>
      <c r="I26" s="80"/>
      <c r="J26" s="80"/>
      <c r="K26" s="80"/>
      <c r="L26" s="80"/>
      <c r="M26" s="78"/>
    </row>
    <row r="27" spans="1:13" s="77" customFormat="1" x14ac:dyDescent="0.25">
      <c r="A27"/>
      <c r="B27" s="59" t="s">
        <v>116</v>
      </c>
      <c r="C27" s="79"/>
      <c r="D27" s="79"/>
      <c r="E27" s="79"/>
      <c r="F27" s="79"/>
      <c r="G27" s="79"/>
      <c r="H27" s="79"/>
      <c r="I27" s="80">
        <f>H29</f>
        <v>2198</v>
      </c>
      <c r="J27" s="80">
        <f t="shared" ref="J27:M27" si="17">I29</f>
        <v>2198</v>
      </c>
      <c r="K27" s="80">
        <f t="shared" si="17"/>
        <v>2198</v>
      </c>
      <c r="L27" s="80">
        <f t="shared" si="17"/>
        <v>2198</v>
      </c>
      <c r="M27" s="78">
        <f t="shared" si="17"/>
        <v>2198</v>
      </c>
    </row>
    <row r="28" spans="1:13" s="77" customFormat="1" x14ac:dyDescent="0.25">
      <c r="A28"/>
      <c r="B28" s="60" t="s">
        <v>117</v>
      </c>
      <c r="C28" s="79"/>
      <c r="D28" s="79"/>
      <c r="E28" s="79"/>
      <c r="F28" s="81"/>
      <c r="G28" s="81"/>
      <c r="H28" s="81"/>
      <c r="I28" s="125">
        <v>0</v>
      </c>
      <c r="J28" s="125">
        <v>0</v>
      </c>
      <c r="K28" s="125">
        <v>0</v>
      </c>
      <c r="L28" s="125">
        <v>0</v>
      </c>
      <c r="M28" s="126">
        <v>0</v>
      </c>
    </row>
    <row r="29" spans="1:13" s="77" customFormat="1" x14ac:dyDescent="0.25">
      <c r="A29"/>
      <c r="B29" s="59" t="s">
        <v>118</v>
      </c>
      <c r="C29" s="79"/>
      <c r="D29" s="79"/>
      <c r="E29" s="79"/>
      <c r="F29" s="80">
        <f>'Balance sheet'!I44</f>
        <v>2471</v>
      </c>
      <c r="G29" s="80">
        <f>'Balance sheet'!J44</f>
        <v>2153</v>
      </c>
      <c r="H29" s="80">
        <f>'Balance sheet'!K44</f>
        <v>2198</v>
      </c>
      <c r="I29" s="80">
        <f>SUM(I27:I28)</f>
        <v>2198</v>
      </c>
      <c r="J29" s="80">
        <f t="shared" ref="J29" si="18">SUM(J27:J28)</f>
        <v>2198</v>
      </c>
      <c r="K29" s="80">
        <f t="shared" ref="K29" si="19">SUM(K27:K28)</f>
        <v>2198</v>
      </c>
      <c r="L29" s="80">
        <f t="shared" ref="L29" si="20">SUM(L27:L28)</f>
        <v>2198</v>
      </c>
      <c r="M29" s="78">
        <f t="shared" ref="M29" si="21">SUM(M27:M28)</f>
        <v>2198</v>
      </c>
    </row>
    <row r="30" spans="1:13" x14ac:dyDescent="0.25">
      <c r="B30" s="59"/>
      <c r="C30" s="5"/>
      <c r="D30" s="5"/>
      <c r="E30" s="5"/>
      <c r="F30" s="5"/>
      <c r="G30" s="5"/>
      <c r="H30" s="5"/>
      <c r="I30" s="5"/>
      <c r="J30" s="5"/>
      <c r="K30" s="5"/>
      <c r="L30" s="5"/>
      <c r="M30" s="8"/>
    </row>
    <row r="31" spans="1:13" x14ac:dyDescent="0.25">
      <c r="B31" s="10" t="s">
        <v>149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8"/>
    </row>
    <row r="32" spans="1:13" x14ac:dyDescent="0.25">
      <c r="B32" s="59" t="s">
        <v>116</v>
      </c>
      <c r="C32" s="5"/>
      <c r="D32" s="5"/>
      <c r="E32" s="5"/>
      <c r="F32" s="5"/>
      <c r="G32" s="5"/>
      <c r="H32" s="5"/>
      <c r="I32" s="80">
        <f>H34</f>
        <v>2579</v>
      </c>
      <c r="J32" s="80">
        <f t="shared" ref="J32:M32" ca="1" si="22">I34</f>
        <v>2665.5677275458693</v>
      </c>
      <c r="K32" s="80">
        <f t="shared" ca="1" si="22"/>
        <v>2761.89463175117</v>
      </c>
      <c r="L32" s="80">
        <f t="shared" ca="1" si="22"/>
        <v>2903.7070601266369</v>
      </c>
      <c r="M32" s="78">
        <f t="shared" ca="1" si="22"/>
        <v>3074.1085740017543</v>
      </c>
    </row>
    <row r="33" spans="2:13" x14ac:dyDescent="0.25">
      <c r="B33" s="60" t="s">
        <v>117</v>
      </c>
      <c r="C33" s="5"/>
      <c r="D33" s="5"/>
      <c r="E33" s="5"/>
      <c r="F33" s="5"/>
      <c r="G33" s="5"/>
      <c r="H33" s="5"/>
      <c r="I33" s="80">
        <f ca="1">I34-I32</f>
        <v>86.567727545869275</v>
      </c>
      <c r="J33" s="80">
        <f t="shared" ref="J33:M33" ca="1" si="23">J34-J32</f>
        <v>96.326904205300707</v>
      </c>
      <c r="K33" s="80">
        <f t="shared" ca="1" si="23"/>
        <v>141.81242837546688</v>
      </c>
      <c r="L33" s="80">
        <f t="shared" ca="1" si="23"/>
        <v>170.40151387511742</v>
      </c>
      <c r="M33" s="78">
        <f t="shared" ca="1" si="23"/>
        <v>213.57018964217878</v>
      </c>
    </row>
    <row r="34" spans="2:13" x14ac:dyDescent="0.25">
      <c r="B34" s="59" t="s">
        <v>118</v>
      </c>
      <c r="C34" s="5"/>
      <c r="D34" s="5"/>
      <c r="E34" s="5"/>
      <c r="F34" s="64">
        <f>'Balance sheet'!I22</f>
        <v>3012</v>
      </c>
      <c r="G34" s="64">
        <f>'Balance sheet'!J22</f>
        <v>2727</v>
      </c>
      <c r="H34" s="64">
        <f>'Balance sheet'!K22</f>
        <v>2579</v>
      </c>
      <c r="I34" s="127">
        <f ca="1">H34*(1+'Income Statement'!M47)</f>
        <v>2665.5677275458693</v>
      </c>
      <c r="J34" s="127">
        <f ca="1">I34*(1+'Income Statement'!N47)</f>
        <v>2761.89463175117</v>
      </c>
      <c r="K34" s="127">
        <f ca="1">J34*(1+'Income Statement'!O47)</f>
        <v>2903.7070601266369</v>
      </c>
      <c r="L34" s="127">
        <f ca="1">K34*(1+'Income Statement'!P47)</f>
        <v>3074.1085740017543</v>
      </c>
      <c r="M34" s="128">
        <f ca="1">L34*(1+'Income Statement'!Q47)</f>
        <v>3287.6787636439331</v>
      </c>
    </row>
    <row r="35" spans="2:13" x14ac:dyDescent="0.25">
      <c r="B35" s="59"/>
      <c r="C35" s="5"/>
      <c r="D35" s="5"/>
      <c r="E35" s="5"/>
      <c r="F35" s="5"/>
      <c r="G35" s="5"/>
      <c r="H35" s="5"/>
      <c r="I35" s="5"/>
      <c r="J35" s="5"/>
      <c r="K35" s="5"/>
      <c r="L35" s="5"/>
      <c r="M35" s="8"/>
    </row>
    <row r="36" spans="2:13" x14ac:dyDescent="0.25">
      <c r="B36" s="10" t="s">
        <v>150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8"/>
    </row>
    <row r="37" spans="2:13" x14ac:dyDescent="0.25">
      <c r="B37" s="59" t="s">
        <v>116</v>
      </c>
      <c r="C37" s="5"/>
      <c r="D37" s="5"/>
      <c r="E37" s="5"/>
      <c r="F37" s="5"/>
      <c r="G37" s="5"/>
      <c r="H37" s="5"/>
      <c r="I37" s="80">
        <f>H39</f>
        <v>1010</v>
      </c>
      <c r="J37" s="80">
        <f t="shared" ref="J37:M37" si="24">I39</f>
        <v>1010</v>
      </c>
      <c r="K37" s="80">
        <f t="shared" si="24"/>
        <v>1010</v>
      </c>
      <c r="L37" s="80">
        <f t="shared" si="24"/>
        <v>1010</v>
      </c>
      <c r="M37" s="78">
        <f t="shared" si="24"/>
        <v>1010</v>
      </c>
    </row>
    <row r="38" spans="2:13" x14ac:dyDescent="0.25">
      <c r="B38" s="60" t="s">
        <v>117</v>
      </c>
      <c r="C38" s="5"/>
      <c r="D38" s="5"/>
      <c r="E38" s="5"/>
      <c r="F38" s="64"/>
      <c r="G38" s="64"/>
      <c r="H38" s="64"/>
      <c r="I38" s="125">
        <v>0</v>
      </c>
      <c r="J38" s="125">
        <v>0</v>
      </c>
      <c r="K38" s="125">
        <v>0</v>
      </c>
      <c r="L38" s="125">
        <v>0</v>
      </c>
      <c r="M38" s="126">
        <v>0</v>
      </c>
    </row>
    <row r="39" spans="2:13" x14ac:dyDescent="0.25">
      <c r="B39" s="59" t="s">
        <v>118</v>
      </c>
      <c r="C39" s="5"/>
      <c r="D39" s="5"/>
      <c r="E39" s="5"/>
      <c r="F39" s="64">
        <f>'Balance sheet'!I16</f>
        <v>790</v>
      </c>
      <c r="G39" s="64">
        <f>'Balance sheet'!J16</f>
        <v>1098</v>
      </c>
      <c r="H39" s="64">
        <f>'Balance sheet'!K16</f>
        <v>1010</v>
      </c>
      <c r="I39" s="80">
        <f>SUM(I37:I38)</f>
        <v>1010</v>
      </c>
      <c r="J39" s="80">
        <f t="shared" ref="J39" si="25">SUM(J37:J38)</f>
        <v>1010</v>
      </c>
      <c r="K39" s="80">
        <f t="shared" ref="K39" si="26">SUM(K37:K38)</f>
        <v>1010</v>
      </c>
      <c r="L39" s="80">
        <f t="shared" ref="L39" si="27">SUM(L37:L38)</f>
        <v>1010</v>
      </c>
      <c r="M39" s="78">
        <f t="shared" ref="M39" si="28">SUM(M37:M38)</f>
        <v>1010</v>
      </c>
    </row>
    <row r="40" spans="2:13" x14ac:dyDescent="0.25">
      <c r="B40" s="59"/>
      <c r="C40" s="5"/>
      <c r="D40" s="5"/>
      <c r="E40" s="5"/>
      <c r="F40" s="5"/>
      <c r="G40" s="5"/>
      <c r="H40" s="5"/>
      <c r="I40" s="5"/>
      <c r="J40" s="5"/>
      <c r="K40" s="5"/>
      <c r="L40" s="5"/>
      <c r="M40" s="8"/>
    </row>
    <row r="41" spans="2:13" x14ac:dyDescent="0.25">
      <c r="B41" s="10" t="s">
        <v>52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8"/>
    </row>
    <row r="42" spans="2:13" x14ac:dyDescent="0.25">
      <c r="B42" s="59" t="s">
        <v>116</v>
      </c>
      <c r="C42" s="5"/>
      <c r="D42" s="5"/>
      <c r="E42" s="5"/>
      <c r="F42" s="5"/>
      <c r="G42" s="5"/>
      <c r="H42" s="5"/>
      <c r="I42" s="80">
        <f>H44</f>
        <v>1286</v>
      </c>
      <c r="J42" s="80">
        <f t="shared" ref="J42:M42" si="29">I44</f>
        <v>1286</v>
      </c>
      <c r="K42" s="80">
        <f t="shared" si="29"/>
        <v>1286</v>
      </c>
      <c r="L42" s="80">
        <f t="shared" si="29"/>
        <v>1286</v>
      </c>
      <c r="M42" s="78">
        <f t="shared" si="29"/>
        <v>1286</v>
      </c>
    </row>
    <row r="43" spans="2:13" x14ac:dyDescent="0.25">
      <c r="B43" s="60" t="s">
        <v>117</v>
      </c>
      <c r="C43" s="5"/>
      <c r="D43" s="5"/>
      <c r="E43" s="5"/>
      <c r="F43" s="5"/>
      <c r="G43" s="5"/>
      <c r="H43" s="5"/>
      <c r="I43" s="125">
        <v>0</v>
      </c>
      <c r="J43" s="125">
        <v>0</v>
      </c>
      <c r="K43" s="125">
        <v>0</v>
      </c>
      <c r="L43" s="125">
        <v>0</v>
      </c>
      <c r="M43" s="126">
        <v>0</v>
      </c>
    </row>
    <row r="44" spans="2:13" x14ac:dyDescent="0.25">
      <c r="B44" s="59" t="s">
        <v>118</v>
      </c>
      <c r="C44" s="5"/>
      <c r="D44" s="5"/>
      <c r="E44" s="5"/>
      <c r="F44" s="64">
        <f>'Balance sheet'!I11</f>
        <v>1293</v>
      </c>
      <c r="G44" s="64">
        <f>'Balance sheet'!J11</f>
        <v>1242</v>
      </c>
      <c r="H44" s="64">
        <f>'Balance sheet'!K11</f>
        <v>1286</v>
      </c>
      <c r="I44" s="80">
        <f>SUM(I42:I43)</f>
        <v>1286</v>
      </c>
      <c r="J44" s="80">
        <f t="shared" ref="J44" si="30">SUM(J42:J43)</f>
        <v>1286</v>
      </c>
      <c r="K44" s="80">
        <f t="shared" ref="K44" si="31">SUM(K42:K43)</f>
        <v>1286</v>
      </c>
      <c r="L44" s="80">
        <f t="shared" ref="L44" si="32">SUM(L42:L43)</f>
        <v>1286</v>
      </c>
      <c r="M44" s="78">
        <f t="shared" ref="M44" si="33">SUM(M42:M43)</f>
        <v>1286</v>
      </c>
    </row>
    <row r="45" spans="2:13" x14ac:dyDescent="0.25">
      <c r="B45" s="59"/>
      <c r="C45" s="5"/>
      <c r="D45" s="5"/>
      <c r="E45" s="5"/>
      <c r="F45" s="5"/>
      <c r="G45" s="5"/>
      <c r="H45" s="5"/>
      <c r="I45" s="5"/>
      <c r="J45" s="5"/>
      <c r="K45" s="5"/>
      <c r="L45" s="5"/>
      <c r="M45" s="8"/>
    </row>
    <row r="46" spans="2:13" x14ac:dyDescent="0.25">
      <c r="B46" s="10" t="s">
        <v>151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8"/>
    </row>
    <row r="47" spans="2:13" x14ac:dyDescent="0.25">
      <c r="B47" s="120" t="s">
        <v>116</v>
      </c>
      <c r="C47" s="5"/>
      <c r="D47" s="5"/>
      <c r="E47" s="5"/>
      <c r="F47" s="5"/>
      <c r="G47" s="5"/>
      <c r="H47" s="5"/>
      <c r="I47" s="80">
        <f>H49</f>
        <v>1</v>
      </c>
      <c r="J47" s="80">
        <f t="shared" ref="J47:M47" si="34">I49</f>
        <v>1</v>
      </c>
      <c r="K47" s="80">
        <f t="shared" si="34"/>
        <v>1</v>
      </c>
      <c r="L47" s="80">
        <f t="shared" si="34"/>
        <v>1</v>
      </c>
      <c r="M47" s="78">
        <f t="shared" si="34"/>
        <v>1</v>
      </c>
    </row>
    <row r="48" spans="2:13" x14ac:dyDescent="0.25">
      <c r="B48" s="120" t="s">
        <v>117</v>
      </c>
      <c r="C48" s="5"/>
      <c r="D48" s="5"/>
      <c r="E48" s="5"/>
      <c r="F48" s="5"/>
      <c r="G48" s="5"/>
      <c r="H48" s="5"/>
      <c r="I48" s="125">
        <v>0</v>
      </c>
      <c r="J48" s="125">
        <v>0</v>
      </c>
      <c r="K48" s="125">
        <v>0</v>
      </c>
      <c r="L48" s="125">
        <v>0</v>
      </c>
      <c r="M48" s="126">
        <v>0</v>
      </c>
    </row>
    <row r="49" spans="2:13" x14ac:dyDescent="0.25">
      <c r="B49" s="113" t="s">
        <v>118</v>
      </c>
      <c r="C49" s="5"/>
      <c r="D49" s="5"/>
      <c r="E49" s="5"/>
      <c r="F49" s="64">
        <f>'Balance sheet'!I37</f>
        <v>40</v>
      </c>
      <c r="G49" s="64">
        <f>'Balance sheet'!J37</f>
        <v>99</v>
      </c>
      <c r="H49" s="64">
        <f>'Balance sheet'!K37</f>
        <v>1</v>
      </c>
      <c r="I49" s="80">
        <f>SUM(I47:I48)</f>
        <v>1</v>
      </c>
      <c r="J49" s="80">
        <f t="shared" ref="J49" si="35">SUM(J47:J48)</f>
        <v>1</v>
      </c>
      <c r="K49" s="80">
        <f t="shared" ref="K49" si="36">SUM(K47:K48)</f>
        <v>1</v>
      </c>
      <c r="L49" s="80">
        <f t="shared" ref="L49" si="37">SUM(L47:L48)</f>
        <v>1</v>
      </c>
      <c r="M49" s="78">
        <f t="shared" ref="M49" si="38">SUM(M47:M48)</f>
        <v>1</v>
      </c>
    </row>
    <row r="50" spans="2:13" x14ac:dyDescent="0.25">
      <c r="B50" s="59"/>
      <c r="C50" s="5"/>
      <c r="D50" s="5"/>
      <c r="E50" s="5"/>
      <c r="F50" s="5"/>
      <c r="G50" s="5"/>
      <c r="H50" s="5"/>
      <c r="I50" s="5"/>
      <c r="J50" s="5"/>
      <c r="K50" s="5"/>
      <c r="L50" s="5"/>
      <c r="M50" s="8"/>
    </row>
    <row r="51" spans="2:13" x14ac:dyDescent="0.25">
      <c r="B51" s="10" t="s">
        <v>74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8"/>
    </row>
    <row r="52" spans="2:13" x14ac:dyDescent="0.25">
      <c r="B52" s="59" t="s">
        <v>116</v>
      </c>
      <c r="C52" s="5"/>
      <c r="D52" s="5"/>
      <c r="E52" s="5"/>
      <c r="F52" s="5"/>
      <c r="G52" s="5"/>
      <c r="H52" s="5"/>
      <c r="I52" s="80">
        <f>H54</f>
        <v>4216</v>
      </c>
      <c r="J52" s="80">
        <f t="shared" ref="J52:M52" si="39">I54</f>
        <v>4216</v>
      </c>
      <c r="K52" s="80">
        <f t="shared" si="39"/>
        <v>4216</v>
      </c>
      <c r="L52" s="80">
        <f t="shared" si="39"/>
        <v>4216</v>
      </c>
      <c r="M52" s="78">
        <f t="shared" si="39"/>
        <v>4216</v>
      </c>
    </row>
    <row r="53" spans="2:13" x14ac:dyDescent="0.25">
      <c r="B53" s="60" t="s">
        <v>117</v>
      </c>
      <c r="C53" s="5"/>
      <c r="D53" s="5"/>
      <c r="E53" s="5"/>
      <c r="F53" s="5"/>
      <c r="G53" s="5"/>
      <c r="H53" s="5"/>
      <c r="I53" s="125">
        <v>0</v>
      </c>
      <c r="J53" s="125">
        <v>0</v>
      </c>
      <c r="K53" s="125">
        <v>0</v>
      </c>
      <c r="L53" s="125">
        <v>0</v>
      </c>
      <c r="M53" s="126">
        <v>0</v>
      </c>
    </row>
    <row r="54" spans="2:13" x14ac:dyDescent="0.25">
      <c r="B54" s="59" t="s">
        <v>118</v>
      </c>
      <c r="C54" s="5"/>
      <c r="D54" s="5"/>
      <c r="E54" s="5"/>
      <c r="F54" s="64">
        <f>'Balance sheet'!I42</f>
        <v>5087</v>
      </c>
      <c r="G54" s="64">
        <f>'Balance sheet'!J42</f>
        <v>4366</v>
      </c>
      <c r="H54" s="64">
        <f>'Balance sheet'!K42</f>
        <v>4216</v>
      </c>
      <c r="I54" s="80">
        <f>SUM(I52:I53)</f>
        <v>4216</v>
      </c>
      <c r="J54" s="80">
        <f t="shared" ref="J54" si="40">SUM(J52:J53)</f>
        <v>4216</v>
      </c>
      <c r="K54" s="80">
        <f t="shared" ref="K54" si="41">SUM(K52:K53)</f>
        <v>4216</v>
      </c>
      <c r="L54" s="80">
        <f t="shared" ref="L54" si="42">SUM(L52:L53)</f>
        <v>4216</v>
      </c>
      <c r="M54" s="78">
        <f t="shared" ref="M54" si="43">SUM(M52:M53)</f>
        <v>4216</v>
      </c>
    </row>
    <row r="55" spans="2:13" x14ac:dyDescent="0.25">
      <c r="B55" s="59"/>
      <c r="C55" s="5"/>
      <c r="D55" s="5"/>
      <c r="E55" s="5"/>
      <c r="F55" s="5"/>
      <c r="G55" s="5"/>
      <c r="H55" s="5"/>
      <c r="I55" s="5"/>
      <c r="J55" s="5"/>
      <c r="K55" s="5"/>
      <c r="L55" s="5"/>
      <c r="M55" s="8"/>
    </row>
    <row r="56" spans="2:13" x14ac:dyDescent="0.25">
      <c r="B56" s="10" t="s">
        <v>152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8"/>
    </row>
    <row r="57" spans="2:13" x14ac:dyDescent="0.25">
      <c r="B57" s="59" t="s">
        <v>116</v>
      </c>
      <c r="C57" s="5"/>
      <c r="D57" s="5"/>
      <c r="E57" s="5"/>
      <c r="F57" s="5"/>
      <c r="G57" s="5"/>
      <c r="H57" s="5"/>
      <c r="I57" s="80">
        <f>H59</f>
        <v>7684</v>
      </c>
      <c r="J57" s="80">
        <f t="shared" ref="J57:M57" si="44">I59</f>
        <v>7684</v>
      </c>
      <c r="K57" s="80">
        <f t="shared" si="44"/>
        <v>7684</v>
      </c>
      <c r="L57" s="80">
        <f t="shared" si="44"/>
        <v>7684</v>
      </c>
      <c r="M57" s="78">
        <f t="shared" si="44"/>
        <v>7684</v>
      </c>
    </row>
    <row r="58" spans="2:13" x14ac:dyDescent="0.25">
      <c r="B58" s="60" t="s">
        <v>117</v>
      </c>
      <c r="C58" s="5"/>
      <c r="D58" s="5"/>
      <c r="E58" s="5"/>
      <c r="F58" s="5"/>
      <c r="G58" s="5"/>
      <c r="H58" s="5"/>
      <c r="I58" s="125">
        <v>0</v>
      </c>
      <c r="J58" s="125">
        <v>0</v>
      </c>
      <c r="K58" s="125">
        <v>0</v>
      </c>
      <c r="L58" s="125">
        <v>0</v>
      </c>
      <c r="M58" s="126">
        <v>0</v>
      </c>
    </row>
    <row r="59" spans="2:13" x14ac:dyDescent="0.25">
      <c r="B59" s="59" t="s">
        <v>118</v>
      </c>
      <c r="C59" s="5"/>
      <c r="D59" s="5"/>
      <c r="E59" s="5"/>
      <c r="F59" s="64">
        <f>'Balance sheet'!I40</f>
        <v>13695</v>
      </c>
      <c r="G59" s="64">
        <f>'Balance sheet'!J40</f>
        <v>9582</v>
      </c>
      <c r="H59" s="64">
        <f>'Balance sheet'!K40</f>
        <v>7684</v>
      </c>
      <c r="I59" s="80">
        <f>SUM(I57:I58)</f>
        <v>7684</v>
      </c>
      <c r="J59" s="80">
        <f t="shared" ref="J59" si="45">SUM(J57:J58)</f>
        <v>7684</v>
      </c>
      <c r="K59" s="80">
        <f t="shared" ref="K59" si="46">SUM(K57:K58)</f>
        <v>7684</v>
      </c>
      <c r="L59" s="80">
        <f t="shared" ref="L59" si="47">SUM(L57:L58)</f>
        <v>7684</v>
      </c>
      <c r="M59" s="78">
        <f t="shared" ref="M59" si="48">SUM(M57:M58)</f>
        <v>7684</v>
      </c>
    </row>
    <row r="60" spans="2:13" x14ac:dyDescent="0.25">
      <c r="B60" s="59"/>
      <c r="C60" s="5"/>
      <c r="D60" s="5"/>
      <c r="E60" s="5"/>
      <c r="F60" s="5"/>
      <c r="G60" s="5"/>
      <c r="H60" s="5"/>
      <c r="I60" s="5"/>
      <c r="J60" s="5"/>
      <c r="K60" s="5"/>
      <c r="L60" s="5"/>
      <c r="M60" s="8"/>
    </row>
    <row r="61" spans="2:13" x14ac:dyDescent="0.25">
      <c r="B61" s="10" t="s">
        <v>73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8"/>
    </row>
    <row r="62" spans="2:13" x14ac:dyDescent="0.25">
      <c r="B62" s="59" t="s">
        <v>116</v>
      </c>
      <c r="C62" s="5"/>
      <c r="D62" s="5"/>
      <c r="E62" s="5"/>
      <c r="F62" s="5"/>
      <c r="G62" s="5"/>
      <c r="H62" s="5"/>
      <c r="I62" s="80">
        <f>H64</f>
        <v>1092</v>
      </c>
      <c r="J62" s="80">
        <f t="shared" ref="J62:M62" si="49">I64</f>
        <v>1092</v>
      </c>
      <c r="K62" s="80">
        <f t="shared" si="49"/>
        <v>1092</v>
      </c>
      <c r="L62" s="80">
        <f t="shared" si="49"/>
        <v>1092</v>
      </c>
      <c r="M62" s="78">
        <f t="shared" si="49"/>
        <v>1092</v>
      </c>
    </row>
    <row r="63" spans="2:13" x14ac:dyDescent="0.25">
      <c r="B63" s="60" t="s">
        <v>117</v>
      </c>
      <c r="C63" s="5"/>
      <c r="D63" s="5"/>
      <c r="E63" s="5"/>
      <c r="F63" s="5"/>
      <c r="G63" s="5"/>
      <c r="H63" s="5"/>
      <c r="I63" s="125">
        <v>0</v>
      </c>
      <c r="J63" s="125">
        <v>0</v>
      </c>
      <c r="K63" s="125">
        <v>0</v>
      </c>
      <c r="L63" s="125">
        <v>0</v>
      </c>
      <c r="M63" s="126">
        <v>0</v>
      </c>
    </row>
    <row r="64" spans="2:13" x14ac:dyDescent="0.25">
      <c r="B64" s="59" t="s">
        <v>118</v>
      </c>
      <c r="C64" s="5"/>
      <c r="D64" s="5"/>
      <c r="E64" s="5"/>
      <c r="F64" s="64">
        <f>'Balance sheet'!I41</f>
        <v>829</v>
      </c>
      <c r="G64" s="64">
        <f>'Balance sheet'!J41</f>
        <v>1635</v>
      </c>
      <c r="H64" s="64">
        <f>'Balance sheet'!K41</f>
        <v>1092</v>
      </c>
      <c r="I64" s="80">
        <f>SUM(I62:I63)</f>
        <v>1092</v>
      </c>
      <c r="J64" s="80">
        <f t="shared" ref="J64" si="50">SUM(J62:J63)</f>
        <v>1092</v>
      </c>
      <c r="K64" s="80">
        <f t="shared" ref="K64" si="51">SUM(K62:K63)</f>
        <v>1092</v>
      </c>
      <c r="L64" s="80">
        <f t="shared" ref="L64" si="52">SUM(L62:L63)</f>
        <v>1092</v>
      </c>
      <c r="M64" s="78">
        <f t="shared" ref="M64" si="53">SUM(M62:M63)</f>
        <v>1092</v>
      </c>
    </row>
    <row r="65" spans="2:13" x14ac:dyDescent="0.25">
      <c r="B65" s="59"/>
      <c r="C65" s="5"/>
      <c r="D65" s="5"/>
      <c r="E65" s="5"/>
      <c r="F65" s="5"/>
      <c r="G65" s="5"/>
      <c r="H65" s="5"/>
      <c r="I65" s="5"/>
      <c r="J65" s="5"/>
      <c r="K65" s="5"/>
      <c r="L65" s="5"/>
      <c r="M65" s="8"/>
    </row>
    <row r="66" spans="2:13" x14ac:dyDescent="0.25">
      <c r="B66" s="10" t="s">
        <v>153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8"/>
    </row>
    <row r="67" spans="2:13" x14ac:dyDescent="0.25">
      <c r="B67" s="59" t="s">
        <v>116</v>
      </c>
      <c r="C67" s="5"/>
      <c r="D67" s="5"/>
      <c r="E67" s="5"/>
      <c r="F67" s="5"/>
      <c r="G67" s="5"/>
      <c r="H67" s="5"/>
      <c r="I67" s="80">
        <f>H69</f>
        <v>3102</v>
      </c>
      <c r="J67" s="80">
        <f t="shared" ref="J67:M67" si="54">I69</f>
        <v>3102</v>
      </c>
      <c r="K67" s="80">
        <f t="shared" si="54"/>
        <v>3102</v>
      </c>
      <c r="L67" s="80">
        <f t="shared" si="54"/>
        <v>3102</v>
      </c>
      <c r="M67" s="78">
        <f t="shared" si="54"/>
        <v>3102</v>
      </c>
    </row>
    <row r="68" spans="2:13" x14ac:dyDescent="0.25">
      <c r="B68" s="60" t="s">
        <v>117</v>
      </c>
      <c r="C68" s="5"/>
      <c r="D68" s="5"/>
      <c r="E68" s="5"/>
      <c r="F68" s="5"/>
      <c r="G68" s="5"/>
      <c r="H68" s="5"/>
      <c r="I68" s="125">
        <v>0</v>
      </c>
      <c r="J68" s="125">
        <v>0</v>
      </c>
      <c r="K68" s="125">
        <v>0</v>
      </c>
      <c r="L68" s="125">
        <v>0</v>
      </c>
      <c r="M68" s="126">
        <v>0</v>
      </c>
    </row>
    <row r="69" spans="2:13" x14ac:dyDescent="0.25">
      <c r="B69" s="63" t="s">
        <v>118</v>
      </c>
      <c r="C69" s="18"/>
      <c r="D69" s="18"/>
      <c r="E69" s="18"/>
      <c r="F69" s="121">
        <f>'Balance sheet'!I35</f>
        <v>2085</v>
      </c>
      <c r="G69" s="121">
        <f>'Balance sheet'!J35</f>
        <v>2355</v>
      </c>
      <c r="H69" s="121">
        <f>'Balance sheet'!K35</f>
        <v>3102</v>
      </c>
      <c r="I69" s="123">
        <f>SUM(I67:I68)</f>
        <v>3102</v>
      </c>
      <c r="J69" s="123">
        <f t="shared" ref="J69" si="55">SUM(J67:J68)</f>
        <v>3102</v>
      </c>
      <c r="K69" s="123">
        <f t="shared" ref="K69" si="56">SUM(K67:K68)</f>
        <v>3102</v>
      </c>
      <c r="L69" s="123">
        <f t="shared" ref="L69" si="57">SUM(L67:L68)</f>
        <v>3102</v>
      </c>
      <c r="M69" s="124">
        <f t="shared" ref="M69" si="58">SUM(M67:M68)</f>
        <v>3102</v>
      </c>
    </row>
  </sheetData>
  <mergeCells count="1">
    <mergeCell ref="B2:M3"/>
  </mergeCells>
  <hyperlinks>
    <hyperlink ref="L1" location="'Valuation Summary'!A1" display="&lt;= back to the index" xr:uid="{BD596DA4-AF6A-4D9D-A6F9-988E00570775}"/>
  </hyperlinks>
  <pageMargins left="0.7" right="0.7" top="0.75" bottom="0.75" header="0.3" footer="0.3"/>
  <pageSetup scale="61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11123-13A9-4AB3-94F7-1A9C7B044153}">
  <sheetPr>
    <pageSetUpPr fitToPage="1"/>
  </sheetPr>
  <dimension ref="A1:M30"/>
  <sheetViews>
    <sheetView showGridLines="0" zoomScale="85" zoomScaleNormal="85" zoomScaleSheetLayoutView="85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2.5703125" customWidth="1"/>
    <col min="5" max="5" width="20" customWidth="1"/>
    <col min="6" max="13" width="12.7109375" customWidth="1"/>
    <col min="14" max="14" width="2.5703125" customWidth="1"/>
  </cols>
  <sheetData>
    <row r="1" spans="1:13" ht="15.75" thickBot="1" x14ac:dyDescent="0.3">
      <c r="L1" s="216" t="s">
        <v>252</v>
      </c>
    </row>
    <row r="2" spans="1:13" ht="15" customHeight="1" x14ac:dyDescent="0.25">
      <c r="B2" s="380" t="s">
        <v>154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2"/>
    </row>
    <row r="3" spans="1:13" ht="15" customHeight="1" thickBot="1" x14ac:dyDescent="0.3">
      <c r="B3" s="383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5"/>
    </row>
    <row r="4" spans="1:13" ht="15" customHeight="1" x14ac:dyDescent="0.5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3" x14ac:dyDescent="0.25">
      <c r="B5" s="92" t="s">
        <v>42</v>
      </c>
      <c r="C5" s="93"/>
      <c r="D5" s="93"/>
      <c r="E5" s="93"/>
      <c r="F5" s="94">
        <f>'Balance sheet'!I8</f>
        <v>2016</v>
      </c>
      <c r="G5" s="94">
        <f>'Balance sheet'!J8</f>
        <v>2017</v>
      </c>
      <c r="H5" s="94">
        <f>'Balance sheet'!K8</f>
        <v>2018</v>
      </c>
      <c r="I5" s="95">
        <f>'Balance sheet'!L8</f>
        <v>2019</v>
      </c>
      <c r="J5" s="95">
        <f>'Balance sheet'!M8</f>
        <v>2020</v>
      </c>
      <c r="K5" s="95">
        <f>'Balance sheet'!N8</f>
        <v>2021</v>
      </c>
      <c r="L5" s="95">
        <f>'Balance sheet'!O8</f>
        <v>2022</v>
      </c>
      <c r="M5" s="96">
        <f>'Balance sheet'!P8</f>
        <v>2023</v>
      </c>
    </row>
    <row r="6" spans="1:13" s="77" customFormat="1" x14ac:dyDescent="0.25">
      <c r="A6"/>
      <c r="B6" s="117" t="s">
        <v>155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9"/>
    </row>
    <row r="7" spans="1:13" s="77" customFormat="1" x14ac:dyDescent="0.25">
      <c r="A7"/>
      <c r="B7" s="59" t="s">
        <v>116</v>
      </c>
      <c r="C7" s="79"/>
      <c r="D7" s="79"/>
      <c r="E7" s="79"/>
      <c r="F7" s="79"/>
      <c r="G7" s="80"/>
      <c r="H7" s="80"/>
      <c r="I7" s="80">
        <f>H9</f>
        <v>5057</v>
      </c>
      <c r="J7" s="80">
        <f t="shared" ref="J7:M7" ca="1" si="0">I9</f>
        <v>0</v>
      </c>
      <c r="K7" s="80">
        <f t="shared" ca="1" si="0"/>
        <v>0</v>
      </c>
      <c r="L7" s="80">
        <f t="shared" ca="1" si="0"/>
        <v>0</v>
      </c>
      <c r="M7" s="78">
        <f t="shared" ca="1" si="0"/>
        <v>0</v>
      </c>
    </row>
    <row r="8" spans="1:13" s="77" customFormat="1" x14ac:dyDescent="0.25">
      <c r="A8"/>
      <c r="B8" s="59" t="s">
        <v>117</v>
      </c>
      <c r="C8" s="79"/>
      <c r="D8" s="79"/>
      <c r="E8" s="79"/>
      <c r="F8" s="79"/>
      <c r="G8" s="80"/>
      <c r="H8" s="80"/>
      <c r="I8" s="80">
        <f ca="1">IF(I16&lt;0,-(I16+I13),-MIN(I7,I16))</f>
        <v>-5057</v>
      </c>
      <c r="J8" s="80">
        <f t="shared" ref="J8:M8" ca="1" si="1">IF(J16&lt;0,-(J16+J13),-MIN(J7,J16))</f>
        <v>0</v>
      </c>
      <c r="K8" s="80">
        <f t="shared" ca="1" si="1"/>
        <v>0</v>
      </c>
      <c r="L8" s="80">
        <f t="shared" ca="1" si="1"/>
        <v>0</v>
      </c>
      <c r="M8" s="78">
        <f t="shared" ca="1" si="1"/>
        <v>0</v>
      </c>
    </row>
    <row r="9" spans="1:13" s="77" customFormat="1" x14ac:dyDescent="0.25">
      <c r="A9"/>
      <c r="B9" s="59" t="s">
        <v>118</v>
      </c>
      <c r="C9" s="79"/>
      <c r="D9" s="79"/>
      <c r="E9" s="79"/>
      <c r="F9" s="80">
        <f>'Balance sheet'!I30</f>
        <v>6206</v>
      </c>
      <c r="G9" s="80">
        <f>'Balance sheet'!J30</f>
        <v>5447</v>
      </c>
      <c r="H9" s="80">
        <f>'Balance sheet'!K30</f>
        <v>5057</v>
      </c>
      <c r="I9" s="80">
        <f ca="1">SUM(I7:I8)</f>
        <v>0</v>
      </c>
      <c r="J9" s="80">
        <f t="shared" ref="J9:M9" ca="1" si="2">SUM(J7:J8)</f>
        <v>0</v>
      </c>
      <c r="K9" s="80">
        <f t="shared" ca="1" si="2"/>
        <v>0</v>
      </c>
      <c r="L9" s="80">
        <f t="shared" ca="1" si="2"/>
        <v>0</v>
      </c>
      <c r="M9" s="78">
        <f t="shared" ca="1" si="2"/>
        <v>0</v>
      </c>
    </row>
    <row r="10" spans="1:13" s="77" customFormat="1" x14ac:dyDescent="0.25">
      <c r="A10"/>
      <c r="B10" s="5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111"/>
    </row>
    <row r="11" spans="1:13" s="77" customFormat="1" x14ac:dyDescent="0.25">
      <c r="A11"/>
      <c r="B11" s="130" t="s">
        <v>156</v>
      </c>
      <c r="C11" s="79"/>
      <c r="D11" s="79"/>
      <c r="E11" s="79"/>
      <c r="F11" s="81"/>
      <c r="G11" s="81"/>
      <c r="H11" s="81"/>
      <c r="I11" s="82"/>
      <c r="J11" s="83"/>
      <c r="K11" s="83"/>
      <c r="L11" s="83"/>
      <c r="M11" s="84"/>
    </row>
    <row r="12" spans="1:13" s="77" customFormat="1" x14ac:dyDescent="0.25">
      <c r="A12"/>
      <c r="B12" s="59" t="s">
        <v>157</v>
      </c>
      <c r="C12" s="79"/>
      <c r="D12" s="79"/>
      <c r="E12" s="79"/>
      <c r="F12" s="80"/>
      <c r="G12" s="80"/>
      <c r="H12" s="80"/>
      <c r="I12" s="80">
        <f>'Balance sheet'!K10</f>
        <v>11066</v>
      </c>
      <c r="J12" s="80">
        <f ca="1">'Balance sheet'!L10</f>
        <v>11206.975193494147</v>
      </c>
      <c r="K12" s="80">
        <f ca="1">'Balance sheet'!M10</f>
        <v>19017.283406314298</v>
      </c>
      <c r="L12" s="80">
        <f ca="1">'Balance sheet'!N10</f>
        <v>27236.504093914093</v>
      </c>
      <c r="M12" s="78">
        <f ca="1">'Balance sheet'!O10</f>
        <v>36092.069169545211</v>
      </c>
    </row>
    <row r="13" spans="1:13" s="77" customFormat="1" x14ac:dyDescent="0.25">
      <c r="A13"/>
      <c r="B13" s="59" t="s">
        <v>158</v>
      </c>
      <c r="C13" s="79"/>
      <c r="D13" s="79"/>
      <c r="E13" s="79"/>
      <c r="F13" s="79"/>
      <c r="G13" s="79"/>
      <c r="H13" s="79"/>
      <c r="I13" s="80">
        <v>-5000</v>
      </c>
      <c r="J13" s="80">
        <v>-5000</v>
      </c>
      <c r="K13" s="80">
        <v>-5000</v>
      </c>
      <c r="L13" s="80">
        <v>-5000</v>
      </c>
      <c r="M13" s="78">
        <v>-5000</v>
      </c>
    </row>
    <row r="14" spans="1:13" s="77" customFormat="1" x14ac:dyDescent="0.25">
      <c r="A14"/>
      <c r="B14" s="59" t="s">
        <v>159</v>
      </c>
      <c r="C14" s="79"/>
      <c r="D14" s="79"/>
      <c r="E14" s="79"/>
      <c r="F14" s="79"/>
      <c r="G14" s="79"/>
      <c r="H14" s="79"/>
      <c r="I14" s="80">
        <f>SUM(I12:I13)</f>
        <v>6066</v>
      </c>
      <c r="J14" s="80">
        <f t="shared" ref="J14:M14" ca="1" si="3">SUM(J12:J13)</f>
        <v>6206.9751934941469</v>
      </c>
      <c r="K14" s="80">
        <f t="shared" ca="1" si="3"/>
        <v>14017.283406314298</v>
      </c>
      <c r="L14" s="80">
        <f t="shared" ca="1" si="3"/>
        <v>22236.504093914093</v>
      </c>
      <c r="M14" s="78">
        <f t="shared" ca="1" si="3"/>
        <v>31092.069169545211</v>
      </c>
    </row>
    <row r="15" spans="1:13" s="77" customFormat="1" x14ac:dyDescent="0.25">
      <c r="A15"/>
      <c r="B15" s="59" t="s">
        <v>160</v>
      </c>
      <c r="C15" s="79"/>
      <c r="D15" s="79"/>
      <c r="E15" s="79"/>
      <c r="F15" s="79"/>
      <c r="G15" s="80"/>
      <c r="H15" s="80"/>
      <c r="I15" s="80">
        <f ca="1">'Cash Flow Statement'!K19</f>
        <v>5801.7930686087875</v>
      </c>
      <c r="J15" s="80">
        <f ca="1">'Cash Flow Statement'!L19</f>
        <v>8328.5783431441505</v>
      </c>
      <c r="K15" s="80">
        <f ca="1">'Cash Flow Statement'!M19</f>
        <v>8913.322235323978</v>
      </c>
      <c r="L15" s="80">
        <f ca="1">'Cash Flow Statement'!N19</f>
        <v>9747.5773542626703</v>
      </c>
      <c r="M15" s="78">
        <f ca="1">'Cash Flow Statement'!O19</f>
        <v>10549.325594773085</v>
      </c>
    </row>
    <row r="16" spans="1:13" s="77" customFormat="1" x14ac:dyDescent="0.25">
      <c r="A16"/>
      <c r="B16" s="157" t="s">
        <v>161</v>
      </c>
      <c r="C16" s="79"/>
      <c r="D16" s="79"/>
      <c r="E16" s="79"/>
      <c r="F16" s="79"/>
      <c r="G16" s="80"/>
      <c r="H16" s="80"/>
      <c r="I16" s="158">
        <f t="shared" ref="I16:M16" ca="1" si="4">SUM(I14:I15)</f>
        <v>11867.793068608788</v>
      </c>
      <c r="J16" s="158">
        <f t="shared" ca="1" si="4"/>
        <v>14535.553536638297</v>
      </c>
      <c r="K16" s="158">
        <f t="shared" ca="1" si="4"/>
        <v>22930.605641638278</v>
      </c>
      <c r="L16" s="158">
        <f t="shared" ca="1" si="4"/>
        <v>31984.081448176763</v>
      </c>
      <c r="M16" s="159">
        <f t="shared" ca="1" si="4"/>
        <v>41641.394764318298</v>
      </c>
    </row>
    <row r="17" spans="1:13" s="77" customFormat="1" x14ac:dyDescent="0.25">
      <c r="A17"/>
      <c r="B17" s="61"/>
      <c r="C17" s="79"/>
      <c r="D17" s="79"/>
      <c r="E17" s="79"/>
      <c r="F17" s="80"/>
      <c r="G17" s="80"/>
      <c r="H17" s="80"/>
      <c r="I17" s="80"/>
      <c r="J17" s="80"/>
      <c r="K17" s="80"/>
      <c r="L17" s="80"/>
      <c r="M17" s="78"/>
    </row>
    <row r="18" spans="1:13" s="77" customFormat="1" x14ac:dyDescent="0.25">
      <c r="A18"/>
      <c r="B18" s="59" t="s">
        <v>162</v>
      </c>
      <c r="C18" s="79"/>
      <c r="D18" s="79"/>
      <c r="E18" s="79"/>
      <c r="F18" s="79"/>
      <c r="G18" s="79"/>
      <c r="H18" s="79"/>
      <c r="I18" s="174">
        <f ca="1">I19*I9</f>
        <v>0</v>
      </c>
      <c r="J18" s="174">
        <f t="shared" ref="J18:M18" ca="1" si="5">J19*J9</f>
        <v>0</v>
      </c>
      <c r="K18" s="174">
        <f t="shared" ca="1" si="5"/>
        <v>0</v>
      </c>
      <c r="L18" s="174">
        <f t="shared" ca="1" si="5"/>
        <v>0</v>
      </c>
      <c r="M18" s="175">
        <f t="shared" ca="1" si="5"/>
        <v>0</v>
      </c>
    </row>
    <row r="19" spans="1:13" s="77" customFormat="1" x14ac:dyDescent="0.25">
      <c r="A19"/>
      <c r="B19" s="59" t="s">
        <v>163</v>
      </c>
      <c r="C19" s="79"/>
      <c r="D19" s="79"/>
      <c r="E19" s="79"/>
      <c r="F19" s="81"/>
      <c r="G19" s="81"/>
      <c r="H19" s="81"/>
      <c r="I19" s="54">
        <f>I27</f>
        <v>2.1000000000000001E-2</v>
      </c>
      <c r="J19" s="54">
        <f t="shared" ref="J19:M19" si="6">J27</f>
        <v>2.1000000000000001E-2</v>
      </c>
      <c r="K19" s="54">
        <f t="shared" si="6"/>
        <v>2.1000000000000001E-2</v>
      </c>
      <c r="L19" s="54">
        <f t="shared" si="6"/>
        <v>2.1000000000000001E-2</v>
      </c>
      <c r="M19" s="55">
        <f t="shared" si="6"/>
        <v>2.1000000000000001E-2</v>
      </c>
    </row>
    <row r="20" spans="1:13" s="77" customFormat="1" x14ac:dyDescent="0.25">
      <c r="A20"/>
      <c r="B20" s="61"/>
      <c r="C20" s="79"/>
      <c r="D20" s="79"/>
      <c r="E20" s="79"/>
      <c r="F20" s="114"/>
      <c r="G20" s="114"/>
      <c r="H20" s="114"/>
      <c r="I20" s="114"/>
      <c r="J20" s="114"/>
      <c r="K20" s="114"/>
      <c r="L20" s="114"/>
      <c r="M20" s="115"/>
    </row>
    <row r="21" spans="1:13" s="77" customFormat="1" x14ac:dyDescent="0.25">
      <c r="A21"/>
      <c r="B21" s="130" t="s">
        <v>164</v>
      </c>
      <c r="C21" s="79"/>
      <c r="D21" s="79"/>
      <c r="E21" s="79"/>
      <c r="F21" s="69"/>
      <c r="G21" s="69"/>
      <c r="H21" s="69"/>
      <c r="I21" s="69"/>
      <c r="J21" s="69"/>
      <c r="K21" s="69"/>
      <c r="L21" s="69"/>
      <c r="M21" s="70"/>
    </row>
    <row r="22" spans="1:13" s="77" customFormat="1" x14ac:dyDescent="0.25">
      <c r="A22"/>
      <c r="B22" s="59" t="s">
        <v>116</v>
      </c>
      <c r="C22" s="79"/>
      <c r="D22" s="79"/>
      <c r="E22" s="79"/>
      <c r="F22" s="79"/>
      <c r="G22" s="79"/>
      <c r="H22" s="79"/>
      <c r="I22" s="80">
        <f>H24</f>
        <v>27120</v>
      </c>
      <c r="J22" s="80">
        <f t="shared" ref="J22:M22" si="7">I24</f>
        <v>32117.333333333332</v>
      </c>
      <c r="K22" s="80">
        <f t="shared" si="7"/>
        <v>37114.666666666664</v>
      </c>
      <c r="L22" s="80">
        <f t="shared" si="7"/>
        <v>42112</v>
      </c>
      <c r="M22" s="78">
        <f t="shared" si="7"/>
        <v>47109.333333333336</v>
      </c>
    </row>
    <row r="23" spans="1:13" s="77" customFormat="1" x14ac:dyDescent="0.25">
      <c r="A23"/>
      <c r="B23" s="59" t="s">
        <v>165</v>
      </c>
      <c r="C23" s="79"/>
      <c r="D23" s="79"/>
      <c r="E23" s="79"/>
      <c r="F23" s="127">
        <v>5300</v>
      </c>
      <c r="G23" s="127">
        <v>6958</v>
      </c>
      <c r="H23" s="127">
        <v>2734</v>
      </c>
      <c r="I23" s="80">
        <f>AVERAGE($F$23:$H$23)</f>
        <v>4997.333333333333</v>
      </c>
      <c r="J23" s="80">
        <f t="shared" ref="J23:M23" si="8">AVERAGE($F$23:$H$23)</f>
        <v>4997.333333333333</v>
      </c>
      <c r="K23" s="80">
        <f t="shared" si="8"/>
        <v>4997.333333333333</v>
      </c>
      <c r="L23" s="80">
        <f t="shared" si="8"/>
        <v>4997.333333333333</v>
      </c>
      <c r="M23" s="78">
        <f t="shared" si="8"/>
        <v>4997.333333333333</v>
      </c>
    </row>
    <row r="24" spans="1:13" s="77" customFormat="1" x14ac:dyDescent="0.25">
      <c r="A24"/>
      <c r="B24" s="59" t="s">
        <v>118</v>
      </c>
      <c r="C24" s="79"/>
      <c r="D24" s="79"/>
      <c r="E24" s="79"/>
      <c r="F24" s="80">
        <f>'Balance sheet'!I39</f>
        <v>24761</v>
      </c>
      <c r="G24" s="80">
        <f>'Balance sheet'!J39</f>
        <v>26777</v>
      </c>
      <c r="H24" s="80">
        <f>'Balance sheet'!K39</f>
        <v>27120</v>
      </c>
      <c r="I24" s="80">
        <f>SUM(I22:I23)</f>
        <v>32117.333333333332</v>
      </c>
      <c r="J24" s="80">
        <f t="shared" ref="J24:M24" si="9">SUM(J22:J23)</f>
        <v>37114.666666666664</v>
      </c>
      <c r="K24" s="80">
        <f t="shared" si="9"/>
        <v>42112</v>
      </c>
      <c r="L24" s="80">
        <f t="shared" si="9"/>
        <v>47109.333333333336</v>
      </c>
      <c r="M24" s="78">
        <f t="shared" si="9"/>
        <v>52106.666666666672</v>
      </c>
    </row>
    <row r="25" spans="1:13" s="77" customFormat="1" x14ac:dyDescent="0.25">
      <c r="A25"/>
      <c r="B25" s="61"/>
      <c r="C25" s="79"/>
      <c r="D25" s="79"/>
      <c r="E25" s="79"/>
      <c r="F25" s="79"/>
      <c r="G25" s="80"/>
      <c r="H25" s="80"/>
      <c r="I25" s="80"/>
      <c r="J25" s="80"/>
      <c r="K25" s="80"/>
      <c r="L25" s="80"/>
      <c r="M25" s="78"/>
    </row>
    <row r="26" spans="1:13" s="77" customFormat="1" x14ac:dyDescent="0.25">
      <c r="A26"/>
      <c r="B26" s="59" t="s">
        <v>166</v>
      </c>
      <c r="C26" s="79"/>
      <c r="D26" s="79"/>
      <c r="E26" s="79"/>
      <c r="F26" s="80"/>
      <c r="G26" s="80"/>
      <c r="H26" s="127">
        <f>(25210+1717)*0.021+98*0.018+95*0.066</f>
        <v>573.50099999999998</v>
      </c>
      <c r="I26" s="80">
        <f>I24*I27</f>
        <v>674.46400000000006</v>
      </c>
      <c r="J26" s="80">
        <f t="shared" ref="J26:M26" si="10">J24*J27</f>
        <v>779.40800000000002</v>
      </c>
      <c r="K26" s="80">
        <f t="shared" si="10"/>
        <v>884.35200000000009</v>
      </c>
      <c r="L26" s="80">
        <f t="shared" si="10"/>
        <v>989.29600000000016</v>
      </c>
      <c r="M26" s="78">
        <f t="shared" si="10"/>
        <v>1094.2400000000002</v>
      </c>
    </row>
    <row r="27" spans="1:13" s="77" customFormat="1" x14ac:dyDescent="0.25">
      <c r="A27"/>
      <c r="B27" s="59" t="s">
        <v>163</v>
      </c>
      <c r="C27" s="79"/>
      <c r="D27" s="79"/>
      <c r="E27" s="79"/>
      <c r="F27" s="79"/>
      <c r="G27" s="79"/>
      <c r="H27" s="131">
        <f>H26/H24</f>
        <v>2.1146792035398231E-2</v>
      </c>
      <c r="I27" s="133">
        <v>2.1000000000000001E-2</v>
      </c>
      <c r="J27" s="131">
        <f>I27</f>
        <v>2.1000000000000001E-2</v>
      </c>
      <c r="K27" s="131">
        <f t="shared" ref="K27:M27" si="11">J27</f>
        <v>2.1000000000000001E-2</v>
      </c>
      <c r="L27" s="131">
        <f t="shared" si="11"/>
        <v>2.1000000000000001E-2</v>
      </c>
      <c r="M27" s="132">
        <f t="shared" si="11"/>
        <v>2.1000000000000001E-2</v>
      </c>
    </row>
    <row r="28" spans="1:13" s="77" customFormat="1" x14ac:dyDescent="0.25">
      <c r="A28"/>
      <c r="B28" s="59"/>
      <c r="C28" s="79"/>
      <c r="D28" s="79"/>
      <c r="E28" s="79"/>
      <c r="F28" s="81"/>
      <c r="G28" s="81"/>
      <c r="H28" s="81"/>
      <c r="I28" s="54"/>
      <c r="J28" s="54"/>
      <c r="K28" s="54"/>
      <c r="L28" s="54"/>
      <c r="M28" s="55"/>
    </row>
    <row r="29" spans="1:13" s="77" customFormat="1" x14ac:dyDescent="0.25">
      <c r="A29"/>
      <c r="B29" s="59" t="s">
        <v>167</v>
      </c>
      <c r="C29" s="79"/>
      <c r="D29" s="79"/>
      <c r="E29" s="79"/>
      <c r="F29" s="69"/>
      <c r="G29" s="69"/>
      <c r="H29" s="131">
        <v>1</v>
      </c>
      <c r="I29" s="131">
        <v>1</v>
      </c>
      <c r="J29" s="131">
        <v>1</v>
      </c>
      <c r="K29" s="131">
        <v>1</v>
      </c>
      <c r="L29" s="131">
        <v>1</v>
      </c>
      <c r="M29" s="132">
        <v>1</v>
      </c>
    </row>
    <row r="30" spans="1:13" x14ac:dyDescent="0.25">
      <c r="B30" s="116" t="s">
        <v>168</v>
      </c>
      <c r="C30" s="18"/>
      <c r="D30" s="18"/>
      <c r="E30" s="18"/>
      <c r="F30" s="18"/>
      <c r="G30" s="18"/>
      <c r="H30" s="134">
        <f>1-H29</f>
        <v>0</v>
      </c>
      <c r="I30" s="134">
        <f t="shared" ref="I30:M30" si="12">1-I29</f>
        <v>0</v>
      </c>
      <c r="J30" s="134">
        <f t="shared" si="12"/>
        <v>0</v>
      </c>
      <c r="K30" s="134">
        <f t="shared" si="12"/>
        <v>0</v>
      </c>
      <c r="L30" s="134">
        <f t="shared" si="12"/>
        <v>0</v>
      </c>
      <c r="M30" s="135">
        <f t="shared" si="12"/>
        <v>0</v>
      </c>
    </row>
  </sheetData>
  <mergeCells count="1">
    <mergeCell ref="B2:M3"/>
  </mergeCells>
  <hyperlinks>
    <hyperlink ref="L1" location="'Valuation Summary'!A1" display="&lt;= back to the index" xr:uid="{A2D5277E-2876-493E-A3CB-84F61E53E61A}"/>
  </hyperlinks>
  <pageMargins left="0.7" right="0.7" top="0.75" bottom="0.75" header="0.3" footer="0.3"/>
  <pageSetup scale="58" fitToHeight="0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C86BE-EA2D-4685-A14E-D5E5749ED546}">
  <sheetPr>
    <pageSetUpPr fitToPage="1"/>
  </sheetPr>
  <dimension ref="A1:M36"/>
  <sheetViews>
    <sheetView showGridLines="0" zoomScale="85" zoomScaleNormal="85" zoomScaleSheetLayoutView="85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2.5703125" customWidth="1"/>
    <col min="6" max="13" width="12.7109375" customWidth="1"/>
    <col min="14" max="14" width="2.5703125" customWidth="1"/>
  </cols>
  <sheetData>
    <row r="1" spans="1:13" ht="15.75" thickBot="1" x14ac:dyDescent="0.3">
      <c r="L1" s="216" t="s">
        <v>252</v>
      </c>
    </row>
    <row r="2" spans="1:13" ht="15" customHeight="1" x14ac:dyDescent="0.25">
      <c r="B2" s="380" t="s">
        <v>169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2"/>
    </row>
    <row r="3" spans="1:13" ht="15" customHeight="1" thickBot="1" x14ac:dyDescent="0.3">
      <c r="B3" s="383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5"/>
    </row>
    <row r="4" spans="1:13" ht="15" customHeight="1" x14ac:dyDescent="0.5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3" x14ac:dyDescent="0.25">
      <c r="B5" s="92" t="s">
        <v>170</v>
      </c>
      <c r="C5" s="93"/>
      <c r="D5" s="93"/>
      <c r="E5" s="93"/>
      <c r="F5" s="94">
        <f>'Balance sheet'!I8</f>
        <v>2016</v>
      </c>
      <c r="G5" s="94">
        <f>'Balance sheet'!J8</f>
        <v>2017</v>
      </c>
      <c r="H5" s="94">
        <f>'Balance sheet'!K8</f>
        <v>2018</v>
      </c>
      <c r="I5" s="95">
        <f>'Balance sheet'!L8</f>
        <v>2019</v>
      </c>
      <c r="J5" s="95">
        <f>'Balance sheet'!M8</f>
        <v>2020</v>
      </c>
      <c r="K5" s="95">
        <f>'Balance sheet'!N8</f>
        <v>2021</v>
      </c>
      <c r="L5" s="95">
        <f>'Balance sheet'!O8</f>
        <v>2022</v>
      </c>
      <c r="M5" s="96">
        <f>'Balance sheet'!P8</f>
        <v>2023</v>
      </c>
    </row>
    <row r="6" spans="1:13" s="77" customFormat="1" x14ac:dyDescent="0.25">
      <c r="A6"/>
      <c r="B6" s="117" t="s">
        <v>171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9"/>
    </row>
    <row r="7" spans="1:13" s="77" customFormat="1" x14ac:dyDescent="0.25">
      <c r="A7"/>
      <c r="B7" s="59" t="s">
        <v>116</v>
      </c>
      <c r="C7" s="79"/>
      <c r="D7" s="79"/>
      <c r="E7" s="79"/>
      <c r="F7" s="79"/>
      <c r="G7" s="80"/>
      <c r="H7" s="80"/>
      <c r="I7" s="80">
        <f>H10</f>
        <v>2550</v>
      </c>
      <c r="J7" s="80">
        <f t="shared" ref="J7:M7" si="0">I10</f>
        <v>2550</v>
      </c>
      <c r="K7" s="80">
        <f t="shared" si="0"/>
        <v>2550</v>
      </c>
      <c r="L7" s="80">
        <f t="shared" si="0"/>
        <v>2550</v>
      </c>
      <c r="M7" s="78">
        <f t="shared" ca="1" si="0"/>
        <v>2550</v>
      </c>
    </row>
    <row r="8" spans="1:13" s="77" customFormat="1" x14ac:dyDescent="0.25">
      <c r="A8"/>
      <c r="B8" s="60" t="s">
        <v>172</v>
      </c>
      <c r="C8" s="79"/>
      <c r="D8" s="79"/>
      <c r="E8" s="79"/>
      <c r="F8" s="79"/>
      <c r="G8" s="80"/>
      <c r="H8" s="80"/>
      <c r="I8" s="80">
        <f>I12</f>
        <v>0</v>
      </c>
      <c r="J8" s="80">
        <f t="shared" ref="J8:M8" si="1">J12</f>
        <v>0</v>
      </c>
      <c r="K8" s="80">
        <f t="shared" si="1"/>
        <v>0</v>
      </c>
      <c r="L8" s="80">
        <f t="shared" si="1"/>
        <v>0</v>
      </c>
      <c r="M8" s="78">
        <f t="shared" si="1"/>
        <v>0</v>
      </c>
    </row>
    <row r="9" spans="1:13" s="77" customFormat="1" x14ac:dyDescent="0.25">
      <c r="A9"/>
      <c r="B9" s="60" t="s">
        <v>173</v>
      </c>
      <c r="C9" s="79"/>
      <c r="D9" s="79"/>
      <c r="E9" s="79"/>
      <c r="F9" s="80"/>
      <c r="G9" s="80"/>
      <c r="H9" s="80"/>
      <c r="I9" s="80">
        <f>I13</f>
        <v>0</v>
      </c>
      <c r="J9" s="80">
        <f t="shared" ref="J9:M9" si="2">J13</f>
        <v>0</v>
      </c>
      <c r="K9" s="80">
        <f t="shared" si="2"/>
        <v>0</v>
      </c>
      <c r="L9" s="80">
        <f t="shared" ca="1" si="2"/>
        <v>0</v>
      </c>
      <c r="M9" s="78">
        <f t="shared" ca="1" si="2"/>
        <v>0</v>
      </c>
    </row>
    <row r="10" spans="1:13" s="77" customFormat="1" x14ac:dyDescent="0.25">
      <c r="A10"/>
      <c r="B10" s="59" t="s">
        <v>118</v>
      </c>
      <c r="C10" s="79"/>
      <c r="D10" s="79"/>
      <c r="E10" s="79"/>
      <c r="F10" s="80">
        <f>'Balance sheet'!I49</f>
        <v>2550</v>
      </c>
      <c r="G10" s="80">
        <f>'Balance sheet'!J49</f>
        <v>2550</v>
      </c>
      <c r="H10" s="80">
        <f>'Balance sheet'!K49</f>
        <v>2550</v>
      </c>
      <c r="I10" s="80">
        <f>SUM(I7:I9)</f>
        <v>2550</v>
      </c>
      <c r="J10" s="80">
        <f t="shared" ref="J10:M10" si="3">SUM(J7:J9)</f>
        <v>2550</v>
      </c>
      <c r="K10" s="80">
        <f t="shared" si="3"/>
        <v>2550</v>
      </c>
      <c r="L10" s="80">
        <f t="shared" ca="1" si="3"/>
        <v>2550</v>
      </c>
      <c r="M10" s="78">
        <f t="shared" ca="1" si="3"/>
        <v>2550</v>
      </c>
    </row>
    <row r="11" spans="1:13" s="77" customFormat="1" x14ac:dyDescent="0.25">
      <c r="A11"/>
      <c r="B11" s="59"/>
      <c r="C11" s="79"/>
      <c r="D11" s="79"/>
      <c r="E11" s="79"/>
      <c r="F11" s="81"/>
      <c r="G11" s="81"/>
      <c r="H11" s="81"/>
      <c r="I11" s="82"/>
      <c r="J11" s="83"/>
      <c r="K11" s="83"/>
      <c r="L11" s="83"/>
      <c r="M11" s="84"/>
    </row>
    <row r="12" spans="1:13" s="77" customFormat="1" x14ac:dyDescent="0.25">
      <c r="A12"/>
      <c r="B12" s="59" t="s">
        <v>174</v>
      </c>
      <c r="C12" s="79"/>
      <c r="D12" s="79"/>
      <c r="E12" s="79"/>
      <c r="F12" s="142">
        <v>0</v>
      </c>
      <c r="G12" s="142">
        <v>0</v>
      </c>
      <c r="H12" s="142">
        <v>0</v>
      </c>
      <c r="I12" s="143">
        <v>0</v>
      </c>
      <c r="J12" s="144">
        <f>I12</f>
        <v>0</v>
      </c>
      <c r="K12" s="144">
        <f t="shared" ref="K12:M12" si="4">J12</f>
        <v>0</v>
      </c>
      <c r="L12" s="144">
        <f t="shared" si="4"/>
        <v>0</v>
      </c>
      <c r="M12" s="145">
        <f t="shared" si="4"/>
        <v>0</v>
      </c>
    </row>
    <row r="13" spans="1:13" s="77" customFormat="1" x14ac:dyDescent="0.25">
      <c r="A13"/>
      <c r="B13" s="59" t="s">
        <v>111</v>
      </c>
      <c r="C13" s="79"/>
      <c r="D13" s="79"/>
      <c r="E13" s="79"/>
      <c r="F13" s="137">
        <f>'Income Statement'!J55</f>
        <v>0</v>
      </c>
      <c r="G13" s="137">
        <f>'Income Statement'!K55</f>
        <v>0</v>
      </c>
      <c r="H13" s="137">
        <f>'Income Statement'!L55</f>
        <v>0</v>
      </c>
      <c r="I13" s="137">
        <f>-I14*('Income Statement'!J17+'Income Statement'!J18+'Income Statement'!J21)</f>
        <v>0</v>
      </c>
      <c r="J13" s="137">
        <f>-J14*('Income Statement'!K17+'Income Statement'!K18+'Income Statement'!K21)</f>
        <v>0</v>
      </c>
      <c r="K13" s="137">
        <f>-K14*('Income Statement'!L17+'Income Statement'!L18+'Income Statement'!L21)</f>
        <v>0</v>
      </c>
      <c r="L13" s="137">
        <f ca="1">-L14*('Income Statement'!M17+'Income Statement'!M18+'Income Statement'!M21)</f>
        <v>0</v>
      </c>
      <c r="M13" s="141">
        <f ca="1">-M14*('Income Statement'!N17+'Income Statement'!N18+'Income Statement'!N21)</f>
        <v>0</v>
      </c>
    </row>
    <row r="14" spans="1:13" s="77" customFormat="1" x14ac:dyDescent="0.25">
      <c r="A14"/>
      <c r="B14" s="59" t="s">
        <v>175</v>
      </c>
      <c r="C14" s="79"/>
      <c r="D14" s="79"/>
      <c r="E14" s="79"/>
      <c r="F14" s="131">
        <f>-F13/('Income Statement'!J17+'Income Statement'!J18+'Income Statement'!J21)</f>
        <v>0</v>
      </c>
      <c r="G14" s="131">
        <f>-G13/('Income Statement'!K17+'Income Statement'!K18+'Income Statement'!K21)</f>
        <v>0</v>
      </c>
      <c r="H14" s="131">
        <f>-H13/('Income Statement'!L17+'Income Statement'!L18+'Income Statement'!L21)</f>
        <v>0</v>
      </c>
      <c r="I14" s="139">
        <v>0</v>
      </c>
      <c r="J14" s="138">
        <f>I14</f>
        <v>0</v>
      </c>
      <c r="K14" s="138">
        <f t="shared" ref="K14:M14" si="5">J14</f>
        <v>0</v>
      </c>
      <c r="L14" s="138">
        <f t="shared" si="5"/>
        <v>0</v>
      </c>
      <c r="M14" s="140">
        <f t="shared" si="5"/>
        <v>0</v>
      </c>
    </row>
    <row r="15" spans="1:13" s="77" customFormat="1" x14ac:dyDescent="0.25">
      <c r="A15"/>
      <c r="B15" s="59"/>
      <c r="C15" s="79"/>
      <c r="D15" s="79"/>
      <c r="E15" s="79"/>
      <c r="F15" s="79"/>
      <c r="G15" s="80"/>
      <c r="H15" s="80"/>
      <c r="I15" s="80"/>
      <c r="J15" s="80"/>
      <c r="K15" s="80"/>
      <c r="L15" s="80"/>
      <c r="M15" s="78"/>
    </row>
    <row r="16" spans="1:13" s="77" customFormat="1" x14ac:dyDescent="0.25">
      <c r="A16"/>
      <c r="B16" s="110" t="s">
        <v>176</v>
      </c>
      <c r="C16" s="79"/>
      <c r="D16" s="79"/>
      <c r="E16" s="79"/>
      <c r="F16" s="79"/>
      <c r="G16" s="80"/>
      <c r="H16" s="80"/>
      <c r="I16" s="80"/>
      <c r="J16" s="80"/>
      <c r="K16" s="80"/>
      <c r="L16" s="80"/>
      <c r="M16" s="78"/>
    </row>
    <row r="17" spans="1:13" s="77" customFormat="1" x14ac:dyDescent="0.25">
      <c r="A17"/>
      <c r="B17" s="62" t="s">
        <v>116</v>
      </c>
      <c r="C17" s="79"/>
      <c r="D17" s="79"/>
      <c r="E17" s="79"/>
      <c r="F17" s="80"/>
      <c r="G17" s="80"/>
      <c r="H17" s="80"/>
      <c r="I17" s="80">
        <f>H19</f>
        <v>3922</v>
      </c>
      <c r="J17" s="80">
        <f t="shared" ref="J17:M17" si="6">I19</f>
        <v>3922</v>
      </c>
      <c r="K17" s="80">
        <f t="shared" si="6"/>
        <v>3922</v>
      </c>
      <c r="L17" s="80">
        <f t="shared" si="6"/>
        <v>3922</v>
      </c>
      <c r="M17" s="78">
        <f t="shared" si="6"/>
        <v>3922</v>
      </c>
    </row>
    <row r="18" spans="1:13" s="77" customFormat="1" x14ac:dyDescent="0.25">
      <c r="A18"/>
      <c r="B18" s="112" t="s">
        <v>177</v>
      </c>
      <c r="C18" s="79"/>
      <c r="D18" s="79"/>
      <c r="E18" s="79"/>
      <c r="F18" s="79"/>
      <c r="G18" s="80"/>
      <c r="H18" s="80"/>
      <c r="I18" s="142">
        <v>0</v>
      </c>
      <c r="J18" s="142">
        <v>0</v>
      </c>
      <c r="K18" s="142">
        <v>0</v>
      </c>
      <c r="L18" s="142">
        <v>0</v>
      </c>
      <c r="M18" s="146">
        <v>0</v>
      </c>
    </row>
    <row r="19" spans="1:13" s="77" customFormat="1" x14ac:dyDescent="0.25">
      <c r="A19"/>
      <c r="B19" s="62" t="s">
        <v>118</v>
      </c>
      <c r="C19" s="79"/>
      <c r="D19" s="79"/>
      <c r="E19" s="79"/>
      <c r="F19" s="80">
        <f>-'Balance sheet'!I53</f>
        <v>3605</v>
      </c>
      <c r="G19" s="80">
        <f>-'Balance sheet'!J53</f>
        <v>3196</v>
      </c>
      <c r="H19" s="80">
        <f>-'Balance sheet'!K53</f>
        <v>3922</v>
      </c>
      <c r="I19" s="80">
        <f>SUM(I17:I18)</f>
        <v>3922</v>
      </c>
      <c r="J19" s="80">
        <f t="shared" ref="J19:M19" si="7">SUM(J17:J18)</f>
        <v>3922</v>
      </c>
      <c r="K19" s="80">
        <f t="shared" si="7"/>
        <v>3922</v>
      </c>
      <c r="L19" s="80">
        <f t="shared" si="7"/>
        <v>3922</v>
      </c>
      <c r="M19" s="78">
        <f t="shared" si="7"/>
        <v>3922</v>
      </c>
    </row>
    <row r="20" spans="1:13" s="77" customFormat="1" x14ac:dyDescent="0.25">
      <c r="A20"/>
      <c r="B20" s="113"/>
      <c r="C20" s="79"/>
      <c r="D20" s="79"/>
      <c r="E20" s="79"/>
      <c r="F20" s="114"/>
      <c r="G20" s="114"/>
      <c r="H20" s="114"/>
      <c r="I20" s="114"/>
      <c r="J20" s="114"/>
      <c r="K20" s="114"/>
      <c r="L20" s="114"/>
      <c r="M20" s="115"/>
    </row>
    <row r="21" spans="1:13" s="77" customFormat="1" x14ac:dyDescent="0.25">
      <c r="A21"/>
      <c r="B21" s="112" t="s">
        <v>178</v>
      </c>
      <c r="C21" s="79"/>
      <c r="D21" s="79"/>
      <c r="E21" s="79"/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6">
        <v>0</v>
      </c>
    </row>
    <row r="22" spans="1:13" s="77" customFormat="1" x14ac:dyDescent="0.25">
      <c r="A22"/>
      <c r="B22" s="61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111"/>
    </row>
    <row r="23" spans="1:13" s="77" customFormat="1" x14ac:dyDescent="0.25">
      <c r="A23"/>
      <c r="B23" s="10" t="s">
        <v>82</v>
      </c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111"/>
    </row>
    <row r="24" spans="1:13" s="77" customFormat="1" x14ac:dyDescent="0.25">
      <c r="A24"/>
      <c r="B24" s="59" t="s">
        <v>116</v>
      </c>
      <c r="C24" s="79"/>
      <c r="D24" s="79"/>
      <c r="E24" s="79"/>
      <c r="F24" s="79"/>
      <c r="G24" s="80"/>
      <c r="H24" s="80"/>
      <c r="I24" s="80">
        <f>H27</f>
        <v>41014</v>
      </c>
      <c r="J24" s="80">
        <f t="shared" ref="J24:M24" ca="1" si="8">I27</f>
        <v>44136.473989252212</v>
      </c>
      <c r="K24" s="80">
        <f t="shared" ca="1" si="8"/>
        <v>47533.478229164677</v>
      </c>
      <c r="L24" s="80">
        <f t="shared" ca="1" si="8"/>
        <v>51476.486131636746</v>
      </c>
      <c r="M24" s="78">
        <f t="shared" ca="1" si="8"/>
        <v>56021.14787159118</v>
      </c>
    </row>
    <row r="25" spans="1:13" s="77" customFormat="1" x14ac:dyDescent="0.25">
      <c r="A25"/>
      <c r="B25" s="60" t="s">
        <v>179</v>
      </c>
      <c r="C25" s="79"/>
      <c r="D25" s="79"/>
      <c r="E25" s="79"/>
      <c r="F25" s="79"/>
      <c r="G25" s="80"/>
      <c r="H25" s="80"/>
      <c r="I25" s="80">
        <f ca="1">'Income Statement'!M31</f>
        <v>6148.6805714925194</v>
      </c>
      <c r="J25" s="80">
        <f ca="1">'Income Statement'!N31</f>
        <v>6689.2771704257084</v>
      </c>
      <c r="K25" s="80">
        <f ca="1">'Income Statement'!O31</f>
        <v>7764.4509331910358</v>
      </c>
      <c r="L25" s="80">
        <f ca="1">'Income Statement'!P31</f>
        <v>8949.209334745603</v>
      </c>
      <c r="M25" s="78">
        <f ca="1">'Income Statement'!Q31</f>
        <v>10278.750194563281</v>
      </c>
    </row>
    <row r="26" spans="1:13" s="77" customFormat="1" x14ac:dyDescent="0.25">
      <c r="A26"/>
      <c r="B26" s="60" t="s">
        <v>180</v>
      </c>
      <c r="C26" s="79"/>
      <c r="D26" s="79"/>
      <c r="E26" s="79"/>
      <c r="F26" s="80"/>
      <c r="G26" s="80"/>
      <c r="H26" s="80"/>
      <c r="I26" s="80">
        <f ca="1">I31</f>
        <v>-3026.2065822433442</v>
      </c>
      <c r="J26" s="80">
        <f t="shared" ref="J26:M26" ca="1" si="9">J31</f>
        <v>-3292.2729304514978</v>
      </c>
      <c r="K26" s="80">
        <f t="shared" ca="1" si="9"/>
        <v>-3821.4430313957905</v>
      </c>
      <c r="L26" s="80">
        <f t="shared" ca="1" si="9"/>
        <v>-4404.5475895133386</v>
      </c>
      <c r="M26" s="78">
        <f t="shared" ca="1" si="9"/>
        <v>-5058.9099825982839</v>
      </c>
    </row>
    <row r="27" spans="1:13" s="77" customFormat="1" x14ac:dyDescent="0.25">
      <c r="A27"/>
      <c r="B27" s="59" t="s">
        <v>118</v>
      </c>
      <c r="C27" s="79"/>
      <c r="D27" s="79"/>
      <c r="E27" s="79"/>
      <c r="F27" s="80">
        <f>'Balance sheet'!I51</f>
        <v>27454</v>
      </c>
      <c r="G27" s="80">
        <f>'Balance sheet'!J51</f>
        <v>35794</v>
      </c>
      <c r="H27" s="80">
        <f>'Balance sheet'!K51</f>
        <v>41014</v>
      </c>
      <c r="I27" s="80">
        <f ca="1">SUM(I24:I26)</f>
        <v>44136.473989249178</v>
      </c>
      <c r="J27" s="80">
        <f t="shared" ref="J27:M27" ca="1" si="10">SUM(J24:J26)</f>
        <v>47533.478229226428</v>
      </c>
      <c r="K27" s="80">
        <f t="shared" ca="1" si="10"/>
        <v>51476.486130959922</v>
      </c>
      <c r="L27" s="80">
        <f t="shared" ca="1" si="10"/>
        <v>56021.147876869014</v>
      </c>
      <c r="M27" s="78">
        <f t="shared" ca="1" si="10"/>
        <v>61240.988083556178</v>
      </c>
    </row>
    <row r="28" spans="1:13" s="77" customFormat="1" x14ac:dyDescent="0.25">
      <c r="A28"/>
      <c r="B28" s="61"/>
      <c r="C28" s="79"/>
      <c r="D28" s="79"/>
      <c r="E28" s="79"/>
      <c r="F28" s="81"/>
      <c r="G28" s="81"/>
      <c r="H28" s="81"/>
      <c r="I28" s="54"/>
      <c r="J28" s="54"/>
      <c r="K28" s="54"/>
      <c r="L28" s="54"/>
      <c r="M28" s="55"/>
    </row>
    <row r="29" spans="1:13" s="77" customFormat="1" x14ac:dyDescent="0.25">
      <c r="A29"/>
      <c r="B29" s="62" t="s">
        <v>30</v>
      </c>
      <c r="C29" s="79"/>
      <c r="D29" s="79"/>
      <c r="E29" s="79"/>
      <c r="F29" s="80">
        <f>'Income Statement'!J31</f>
        <v>5584</v>
      </c>
      <c r="G29" s="80">
        <f>'Income Statement'!K31</f>
        <v>6093</v>
      </c>
      <c r="H29" s="80">
        <f>'Income Statement'!L31</f>
        <v>6120</v>
      </c>
      <c r="I29" s="80">
        <f ca="1">'Income Statement'!M31</f>
        <v>6148.6805714925194</v>
      </c>
      <c r="J29" s="80">
        <f ca="1">'Income Statement'!N31</f>
        <v>6689.2771704257084</v>
      </c>
      <c r="K29" s="80">
        <f ca="1">'Income Statement'!O31</f>
        <v>7764.4509331910358</v>
      </c>
      <c r="L29" s="80">
        <f ca="1">'Income Statement'!P31</f>
        <v>8949.209334745603</v>
      </c>
      <c r="M29" s="78">
        <f ca="1">'Income Statement'!Q31</f>
        <v>10278.750194563281</v>
      </c>
    </row>
    <row r="30" spans="1:13" x14ac:dyDescent="0.25">
      <c r="B30" s="59" t="s">
        <v>181</v>
      </c>
      <c r="C30" s="5"/>
      <c r="D30" s="5"/>
      <c r="E30" s="5"/>
      <c r="F30" s="48">
        <f>IFERROR(-F31/F29,"")</f>
        <v>0.50626790830945556</v>
      </c>
      <c r="G30" s="48">
        <f t="shared" ref="G30:H30" si="11">IFERROR(-G31/G29,"")</f>
        <v>0.47825373379287706</v>
      </c>
      <c r="H30" s="48">
        <f t="shared" si="11"/>
        <v>0.49199346405228755</v>
      </c>
      <c r="I30" s="50">
        <f>AVERAGE($F$30:$H$30)</f>
        <v>0.49217170205154009</v>
      </c>
      <c r="J30" s="50">
        <f t="shared" ref="J30:M30" si="12">AVERAGE($F$30:$H$30)</f>
        <v>0.49217170205154009</v>
      </c>
      <c r="K30" s="50">
        <f t="shared" si="12"/>
        <v>0.49217170205154009</v>
      </c>
      <c r="L30" s="50">
        <f t="shared" si="12"/>
        <v>0.49217170205154009</v>
      </c>
      <c r="M30" s="72">
        <f t="shared" si="12"/>
        <v>0.49217170205154009</v>
      </c>
    </row>
    <row r="31" spans="1:13" x14ac:dyDescent="0.25">
      <c r="B31" s="62" t="s">
        <v>182</v>
      </c>
      <c r="C31" s="5"/>
      <c r="D31" s="5"/>
      <c r="E31" s="5"/>
      <c r="F31" s="127">
        <v>-2827</v>
      </c>
      <c r="G31" s="127">
        <v>-2914</v>
      </c>
      <c r="H31" s="127">
        <v>-3011</v>
      </c>
      <c r="I31" s="80">
        <f ca="1">-I29*I30</f>
        <v>-3026.2065822427094</v>
      </c>
      <c r="J31" s="80">
        <f t="shared" ref="J31:M31" ca="1" si="13">-J29*J30</f>
        <v>-3292.2729304629311</v>
      </c>
      <c r="K31" s="80">
        <f t="shared" ca="1" si="13"/>
        <v>-3821.443031284301</v>
      </c>
      <c r="L31" s="80">
        <f t="shared" ca="1" si="13"/>
        <v>-4404.5475902972739</v>
      </c>
      <c r="M31" s="78">
        <f t="shared" ca="1" si="13"/>
        <v>-5058.9099782208086</v>
      </c>
    </row>
    <row r="32" spans="1:13" x14ac:dyDescent="0.25">
      <c r="B32" s="61"/>
      <c r="C32" s="5"/>
      <c r="D32" s="5"/>
      <c r="E32" s="5"/>
      <c r="F32" s="5"/>
      <c r="G32" s="5"/>
      <c r="H32" s="5"/>
      <c r="I32" s="5"/>
      <c r="J32" s="5"/>
      <c r="K32" s="5"/>
      <c r="L32" s="5"/>
      <c r="M32" s="8"/>
    </row>
    <row r="33" spans="2:13" x14ac:dyDescent="0.25">
      <c r="B33" s="136" t="s">
        <v>183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8"/>
    </row>
    <row r="34" spans="2:13" x14ac:dyDescent="0.25">
      <c r="B34" s="59" t="s">
        <v>116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8"/>
    </row>
    <row r="35" spans="2:13" x14ac:dyDescent="0.25">
      <c r="B35" s="60" t="s">
        <v>184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8"/>
    </row>
    <row r="36" spans="2:13" x14ac:dyDescent="0.25">
      <c r="B36" s="63" t="s">
        <v>118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20"/>
    </row>
  </sheetData>
  <mergeCells count="1">
    <mergeCell ref="B2:M3"/>
  </mergeCells>
  <hyperlinks>
    <hyperlink ref="L1" location="'Valuation Summary'!A1" display="&lt;= back to the index" xr:uid="{9722B70D-2503-4B97-A919-9E395FF2A5B6}"/>
  </hyperlinks>
  <pageMargins left="0.7" right="0.7" top="0.75" bottom="0.75" header="0.3" footer="0.3"/>
  <pageSetup scale="62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A5CC6-EB7C-4F8D-889F-BE04912A1846}">
  <sheetPr>
    <pageSetUpPr fitToPage="1"/>
  </sheetPr>
  <dimension ref="B1:M30"/>
  <sheetViews>
    <sheetView showGridLines="0" tabSelected="1" zoomScale="85" zoomScaleNormal="85" zoomScaleSheetLayoutView="85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2.5703125" customWidth="1"/>
    <col min="6" max="13" width="12.7109375" customWidth="1"/>
    <col min="14" max="14" width="2.5703125" customWidth="1"/>
  </cols>
  <sheetData>
    <row r="1" spans="2:13" ht="15.75" thickBot="1" x14ac:dyDescent="0.3">
      <c r="L1" s="216" t="s">
        <v>252</v>
      </c>
    </row>
    <row r="2" spans="2:13" ht="15" customHeight="1" x14ac:dyDescent="0.25">
      <c r="B2" s="380" t="s">
        <v>216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2"/>
    </row>
    <row r="3" spans="2:13" ht="15" customHeight="1" thickBot="1" x14ac:dyDescent="0.3">
      <c r="B3" s="383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5"/>
    </row>
    <row r="4" spans="2:13" ht="15" customHeight="1" x14ac:dyDescent="0.5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2:13" x14ac:dyDescent="0.25">
      <c r="B5" s="92"/>
      <c r="C5" s="93"/>
      <c r="D5" s="93"/>
      <c r="E5" s="93"/>
      <c r="F5" s="94"/>
      <c r="G5" s="94">
        <f>'Balance sheet'!J8</f>
        <v>2017</v>
      </c>
      <c r="H5" s="94">
        <f>'Balance sheet'!K8</f>
        <v>2018</v>
      </c>
      <c r="I5" s="95">
        <f>'Balance sheet'!L8</f>
        <v>2019</v>
      </c>
      <c r="J5" s="95">
        <f>'Balance sheet'!M8</f>
        <v>2020</v>
      </c>
      <c r="K5" s="95">
        <f>'Balance sheet'!N8</f>
        <v>2021</v>
      </c>
      <c r="L5" s="95">
        <f>'Balance sheet'!O8</f>
        <v>2022</v>
      </c>
      <c r="M5" s="96">
        <f>'Balance sheet'!P8</f>
        <v>2023</v>
      </c>
    </row>
    <row r="6" spans="2:13" x14ac:dyDescent="0.25">
      <c r="B6" s="117" t="s">
        <v>217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68"/>
    </row>
    <row r="7" spans="2:13" x14ac:dyDescent="0.25">
      <c r="B7" s="61" t="s">
        <v>218</v>
      </c>
      <c r="C7" s="5"/>
      <c r="D7" s="5"/>
      <c r="E7" s="5"/>
      <c r="F7" s="114"/>
      <c r="G7" s="114">
        <f>SUM('Balance sheet'!J10:J18)/SUM('Balance sheet'!J30:J37)</f>
        <v>1.3184235084749441</v>
      </c>
      <c r="H7" s="114">
        <f>SUM('Balance sheet'!K10:K18)/SUM('Balance sheet'!K30:K37)</f>
        <v>1.3487696870952919</v>
      </c>
      <c r="I7" s="114">
        <f ca="1">SUM('Balance sheet'!L10:L18)/SUM('Balance sheet'!L30:L37)</f>
        <v>1.5888629760503183</v>
      </c>
      <c r="J7" s="114">
        <f ca="1">SUM('Balance sheet'!M10:M18)/SUM('Balance sheet'!M30:M37)</f>
        <v>1.7884160760247552</v>
      </c>
      <c r="K7" s="114">
        <f ca="1">SUM('Balance sheet'!N10:N18)/SUM('Balance sheet'!N30:N37)</f>
        <v>1.9997588002496192</v>
      </c>
      <c r="L7" s="114">
        <f ca="1">SUM('Balance sheet'!O10:O18)/SUM('Balance sheet'!O30:O37)</f>
        <v>2.2234946609610895</v>
      </c>
      <c r="M7" s="115">
        <f ca="1">SUM('Balance sheet'!P10:P18)/SUM('Balance sheet'!P30:P37)</f>
        <v>2.4572224811745151</v>
      </c>
    </row>
    <row r="8" spans="2:13" x14ac:dyDescent="0.25">
      <c r="B8" s="61" t="s">
        <v>219</v>
      </c>
      <c r="C8" s="5"/>
      <c r="D8" s="5"/>
      <c r="E8" s="5"/>
      <c r="F8" s="114"/>
      <c r="G8" s="114">
        <f>SUM('Balance sheet'!J10:J14,'Balance sheet'!J16:J18)/SUM('Balance sheet'!J30:J37)</f>
        <v>1.0170801050415608</v>
      </c>
      <c r="H8" s="114">
        <f>SUM('Balance sheet'!K10:K14,'Balance sheet'!K16:K18)/SUM('Balance sheet'!K30:K37)</f>
        <v>1.0587375193215525</v>
      </c>
      <c r="I8" s="114">
        <f ca="1">SUM('Balance sheet'!L10:L14,'Balance sheet'!L16:L18)/SUM('Balance sheet'!L30:L37)</f>
        <v>1.2059510772177255</v>
      </c>
      <c r="J8" s="114">
        <f ca="1">SUM('Balance sheet'!M10:M14,'Balance sheet'!M16:M18)/SUM('Balance sheet'!M30:M37)</f>
        <v>1.3950317623966328</v>
      </c>
      <c r="K8" s="114">
        <f ca="1">SUM('Balance sheet'!N10:N14,'Balance sheet'!N16:N18)/SUM('Balance sheet'!N30:N37)</f>
        <v>1.5912762908991975</v>
      </c>
      <c r="L8" s="114">
        <f ca="1">SUM('Balance sheet'!O10:O14,'Balance sheet'!O16:O18)/SUM('Balance sheet'!O30:O37)</f>
        <v>1.7973555776215191</v>
      </c>
      <c r="M8" s="115">
        <f ca="1">SUM('Balance sheet'!P10:P14,'Balance sheet'!P16:P18)/SUM('Balance sheet'!P30:P37)</f>
        <v>2.0096688625206007</v>
      </c>
    </row>
    <row r="9" spans="2:13" x14ac:dyDescent="0.25">
      <c r="B9" s="61" t="s">
        <v>220</v>
      </c>
      <c r="C9" s="5"/>
      <c r="D9" s="5"/>
      <c r="E9" s="5"/>
      <c r="F9" s="114"/>
      <c r="G9" s="114">
        <f>SUM('Balance sheet'!J10:J11)/SUM('Balance sheet'!J30:J37)</f>
        <v>0.20871584521561734</v>
      </c>
      <c r="H9" s="114">
        <f>SUM('Balance sheet'!K10:K11)/SUM('Balance sheet'!K30:K37)</f>
        <v>0.25801061118770102</v>
      </c>
      <c r="I9" s="114">
        <f ca="1">SUM('Balance sheet'!L10:L11)/SUM('Balance sheet'!L30:L37)</f>
        <v>0.29705482867351696</v>
      </c>
      <c r="J9" s="114">
        <f ca="1">SUM('Balance sheet'!M10:M11)/SUM('Balance sheet'!M30:M37)</f>
        <v>0.47867176119634808</v>
      </c>
      <c r="K9" s="114">
        <f ca="1">SUM('Balance sheet'!N10:N11)/SUM('Balance sheet'!N30:N37)</f>
        <v>0.66415571531139184</v>
      </c>
      <c r="L9" s="114">
        <f ca="1">SUM('Balance sheet'!O10:O11)/SUM('Balance sheet'!O30:O37)</f>
        <v>0.85765105615477677</v>
      </c>
      <c r="M9" s="115">
        <f ca="1">SUM('Balance sheet'!P10:P11)/SUM('Balance sheet'!P30:P37)</f>
        <v>1.0547020736635992</v>
      </c>
    </row>
    <row r="10" spans="2:13" x14ac:dyDescent="0.25">
      <c r="B10" s="61" t="s">
        <v>221</v>
      </c>
      <c r="C10" s="5"/>
      <c r="D10" s="5"/>
      <c r="E10" s="5"/>
      <c r="F10" s="69"/>
      <c r="G10" s="69">
        <f>IFERROR('Working Capital'!G12+'Working Capital'!G21-'Working Capital'!G29,"")</f>
        <v>99.86415766873256</v>
      </c>
      <c r="H10" s="69">
        <f>IFERROR('Working Capital'!H12+'Working Capital'!H21-'Working Capital'!H29,"")</f>
        <v>98.635077853544644</v>
      </c>
      <c r="I10" s="69">
        <f>IFERROR('Working Capital'!I12+'Working Capital'!I21-'Working Capital'!I29,"")</f>
        <v>113.08494172386338</v>
      </c>
      <c r="J10" s="69">
        <f>IFERROR('Working Capital'!J12+'Working Capital'!J21-'Working Capital'!J29,"")</f>
        <v>113.08494172386338</v>
      </c>
      <c r="K10" s="69">
        <f>IFERROR('Working Capital'!K12+'Working Capital'!K21-'Working Capital'!K29,"")</f>
        <v>113.08494172386338</v>
      </c>
      <c r="L10" s="69">
        <f>IFERROR('Working Capital'!L12+'Working Capital'!L21-'Working Capital'!L29,"")</f>
        <v>113.08494172386338</v>
      </c>
      <c r="M10" s="70">
        <f>IFERROR('Working Capital'!M12+'Working Capital'!M21-'Working Capital'!M29,"")</f>
        <v>113.08494172386338</v>
      </c>
    </row>
    <row r="11" spans="2:13" x14ac:dyDescent="0.25">
      <c r="B11" s="61"/>
      <c r="C11" s="5"/>
      <c r="D11" s="5"/>
      <c r="E11" s="5"/>
      <c r="F11" s="81"/>
      <c r="G11" s="81"/>
      <c r="H11" s="81"/>
      <c r="I11" s="178"/>
      <c r="J11" s="54"/>
      <c r="K11" s="54"/>
      <c r="L11" s="54"/>
      <c r="M11" s="55"/>
    </row>
    <row r="12" spans="2:13" x14ac:dyDescent="0.25">
      <c r="B12" s="10" t="s">
        <v>222</v>
      </c>
      <c r="C12" s="5"/>
      <c r="D12" s="5"/>
      <c r="E12" s="5"/>
      <c r="F12" s="69"/>
      <c r="G12" s="69"/>
      <c r="H12" s="69"/>
      <c r="I12" s="69"/>
      <c r="J12" s="69"/>
      <c r="K12" s="69"/>
      <c r="L12" s="69"/>
      <c r="M12" s="70"/>
    </row>
    <row r="13" spans="2:13" x14ac:dyDescent="0.25">
      <c r="B13" s="61" t="s">
        <v>223</v>
      </c>
      <c r="C13" s="5"/>
      <c r="D13" s="5"/>
      <c r="E13" s="5"/>
      <c r="F13" s="79"/>
      <c r="G13" s="81">
        <f>'Income Statement'!K15/'Income Statement'!K13</f>
        <v>0.30222173949772518</v>
      </c>
      <c r="H13" s="81">
        <f>'Income Statement'!L15/'Income Statement'!L13</f>
        <v>0.29939550118009728</v>
      </c>
      <c r="I13" s="81">
        <f ca="1">'Income Statement'!M15/'Income Statement'!M13</f>
        <v>0.30000000000000004</v>
      </c>
      <c r="J13" s="81">
        <f ca="1">'Income Statement'!N15/'Income Statement'!N13</f>
        <v>0.30000000000000004</v>
      </c>
      <c r="K13" s="81">
        <f ca="1">'Income Statement'!O15/'Income Statement'!O13</f>
        <v>0.30000000000000004</v>
      </c>
      <c r="L13" s="81">
        <f ca="1">'Income Statement'!P15/'Income Statement'!P13</f>
        <v>0.30000000000000004</v>
      </c>
      <c r="M13" s="88">
        <f ca="1">'Income Statement'!Q15/'Income Statement'!Q13</f>
        <v>0.30000000000000004</v>
      </c>
    </row>
    <row r="14" spans="2:13" x14ac:dyDescent="0.25">
      <c r="B14" s="61" t="s">
        <v>224</v>
      </c>
      <c r="C14" s="5"/>
      <c r="D14" s="5"/>
      <c r="E14" s="5"/>
      <c r="F14" s="79"/>
      <c r="G14" s="81">
        <f>'Income Statement'!K23/'Income Statement'!K13</f>
        <v>9.1886608015640275E-2</v>
      </c>
      <c r="H14" s="81">
        <f>'Income Statement'!L23/'Income Statement'!L13</f>
        <v>7.4454506044988197E-2</v>
      </c>
      <c r="I14" s="81">
        <f ca="1">'Income Statement'!M23/'Income Statement'!M13</f>
        <v>7.4499018352911256E-2</v>
      </c>
      <c r="J14" s="81">
        <f ca="1">'Income Statement'!N23/'Income Statement'!N13</f>
        <v>7.4516491145165092E-2</v>
      </c>
      <c r="K14" s="81">
        <f ca="1">'Income Statement'!O23/'Income Statement'!O13</f>
        <v>7.4540104947599523E-2</v>
      </c>
      <c r="L14" s="81">
        <f ca="1">'Income Statement'!P23/'Income Statement'!P13</f>
        <v>7.4565597480236639E-2</v>
      </c>
      <c r="M14" s="88">
        <f ca="1">'Income Statement'!Q23/'Income Statement'!Q13</f>
        <v>7.4593816608441221E-2</v>
      </c>
    </row>
    <row r="15" spans="2:13" x14ac:dyDescent="0.25">
      <c r="B15" s="61" t="s">
        <v>225</v>
      </c>
      <c r="C15" s="5"/>
      <c r="D15" s="5"/>
      <c r="E15" s="5"/>
      <c r="F15" s="79"/>
      <c r="G15" s="81">
        <f>'Income Statement'!K31/'Income Statement'!K13</f>
        <v>7.3531009014879981E-2</v>
      </c>
      <c r="H15" s="81">
        <f>'Income Statement'!L31/'Income Statement'!L13</f>
        <v>7.3695872067819468E-2</v>
      </c>
      <c r="I15" s="81">
        <f ca="1">'Income Statement'!M31/'Income Statement'!M13</f>
        <v>7.1636653956500665E-2</v>
      </c>
      <c r="J15" s="81">
        <f ca="1">'Income Statement'!N31/'Income Statement'!N13</f>
        <v>7.521685451957312E-2</v>
      </c>
      <c r="K15" s="81">
        <f ca="1">'Income Statement'!O31/'Income Statement'!O13</f>
        <v>8.3042617879582351E-2</v>
      </c>
      <c r="L15" s="81">
        <f ca="1">'Income Statement'!P31/'Income Statement'!P13</f>
        <v>9.0408350805264381E-2</v>
      </c>
      <c r="M15" s="88">
        <f ca="1">'Income Statement'!Q31/'Income Statement'!Q13</f>
        <v>9.7094363174698897E-2</v>
      </c>
    </row>
    <row r="16" spans="2:13" x14ac:dyDescent="0.25">
      <c r="B16" s="61" t="s">
        <v>226</v>
      </c>
      <c r="C16" s="5"/>
      <c r="D16" s="5"/>
      <c r="E16" s="5"/>
      <c r="F16" s="79"/>
      <c r="G16" s="81">
        <f>'Income Statement'!K31/AVERAGE('Balance sheet'!I27:J27)</f>
        <v>4.6542182433438876E-2</v>
      </c>
      <c r="H16" s="81">
        <f>'Income Statement'!L31/AVERAGE('Balance sheet'!J27:K27)</f>
        <v>4.4504721354630634E-2</v>
      </c>
      <c r="I16" s="81">
        <f ca="1">'Income Statement'!M31/AVERAGE('Balance sheet'!K27:L27)</f>
        <v>4.3898149051070347E-2</v>
      </c>
      <c r="J16" s="81">
        <f ca="1">'Income Statement'!N31/AVERAGE('Balance sheet'!L27:M27)</f>
        <v>4.5944422311133007E-2</v>
      </c>
      <c r="K16" s="81">
        <f ca="1">'Income Statement'!O31/AVERAGE('Balance sheet'!M27:N27)</f>
        <v>5.0188100761824193E-2</v>
      </c>
      <c r="L16" s="81">
        <f ca="1">'Income Statement'!P31/AVERAGE('Balance sheet'!N27:O27)</f>
        <v>5.4392174952330986E-2</v>
      </c>
      <c r="M16" s="88">
        <f ca="1">'Income Statement'!Q31/AVERAGE('Balance sheet'!O27:P27)</f>
        <v>5.8692857161703069E-2</v>
      </c>
    </row>
    <row r="17" spans="2:13" x14ac:dyDescent="0.25">
      <c r="B17" s="61" t="s">
        <v>227</v>
      </c>
      <c r="C17" s="5"/>
      <c r="D17" s="5"/>
      <c r="E17" s="5"/>
      <c r="F17" s="80"/>
      <c r="G17" s="81">
        <f>'Income Statement'!K31/AVERAGE('Balance sheet'!I56:J56)</f>
        <v>0.15341037842737368</v>
      </c>
      <c r="H17" s="81">
        <f>'Income Statement'!L31/AVERAGE('Balance sheet'!J56:K56)</f>
        <v>0.13208728120346189</v>
      </c>
      <c r="I17" s="81">
        <f ca="1">'Income Statement'!M31/AVERAGE('Balance sheet'!K56:L56)</f>
        <v>0.12394475079126586</v>
      </c>
      <c r="J17" s="81">
        <f ca="1">'Income Statement'!N31/AVERAGE('Balance sheet'!L56:M56)</f>
        <v>0.12652796007547237</v>
      </c>
      <c r="K17" s="81">
        <f ca="1">'Income Statement'!O31/AVERAGE('Balance sheet'!M56:N56)</f>
        <v>0.13733158902815396</v>
      </c>
      <c r="L17" s="81">
        <f ca="1">'Income Statement'!P31/AVERAGE('Balance sheet'!N56:O56)</f>
        <v>0.14723497545111583</v>
      </c>
      <c r="M17" s="88">
        <f ca="1">'Income Statement'!Q31/AVERAGE('Balance sheet'!O56:P56)</f>
        <v>0.15653538552066065</v>
      </c>
    </row>
    <row r="18" spans="2:13" x14ac:dyDescent="0.25">
      <c r="B18" s="10" t="s">
        <v>228</v>
      </c>
      <c r="C18" s="5"/>
      <c r="D18" s="5"/>
      <c r="E18" s="5"/>
      <c r="F18" s="79"/>
      <c r="G18" s="79"/>
      <c r="H18" s="79"/>
      <c r="I18" s="79"/>
      <c r="J18" s="79"/>
      <c r="K18" s="79"/>
      <c r="L18" s="79"/>
      <c r="M18" s="111"/>
    </row>
    <row r="19" spans="2:13" x14ac:dyDescent="0.25">
      <c r="B19" s="61" t="s">
        <v>229</v>
      </c>
      <c r="C19" s="5"/>
      <c r="D19" s="5"/>
      <c r="E19" s="5"/>
      <c r="F19" s="81"/>
      <c r="G19" s="81">
        <f>G15</f>
        <v>7.3531009014879981E-2</v>
      </c>
      <c r="H19" s="81">
        <f>H15</f>
        <v>7.3695872067819468E-2</v>
      </c>
      <c r="I19" s="81">
        <f t="shared" ref="I19:M19" ca="1" si="0">I15</f>
        <v>7.1636653956500665E-2</v>
      </c>
      <c r="J19" s="81">
        <f t="shared" ca="1" si="0"/>
        <v>7.521685451957312E-2</v>
      </c>
      <c r="K19" s="81">
        <f t="shared" ca="1" si="0"/>
        <v>8.3042617879582351E-2</v>
      </c>
      <c r="L19" s="81">
        <f t="shared" ca="1" si="0"/>
        <v>9.0408350805264381E-2</v>
      </c>
      <c r="M19" s="88">
        <f t="shared" ca="1" si="0"/>
        <v>9.7094363174698897E-2</v>
      </c>
    </row>
    <row r="20" spans="2:13" x14ac:dyDescent="0.25">
      <c r="B20" s="61" t="s">
        <v>230</v>
      </c>
      <c r="C20" s="5"/>
      <c r="D20" s="5"/>
      <c r="E20" s="5"/>
      <c r="F20" s="114"/>
      <c r="G20" s="81">
        <f>'Income Statement'!K13/'Balance sheet'!J27</f>
        <v>0.60878988472643647</v>
      </c>
      <c r="H20" s="81">
        <f>'Income Statement'!L13/'Balance sheet'!K27</f>
        <v>0.59780010941864148</v>
      </c>
      <c r="I20" s="81">
        <f ca="1">'Income Statement'!M13/'Balance sheet'!L27</f>
        <v>0.60779453250797655</v>
      </c>
      <c r="J20" s="81">
        <f ca="1">'Income Statement'!N13/'Balance sheet'!M27</f>
        <v>0.59299874160585642</v>
      </c>
      <c r="K20" s="81">
        <f ca="1">'Income Statement'!O13/'Balance sheet'!N27</f>
        <v>0.58641760886076377</v>
      </c>
      <c r="L20" s="81">
        <f ca="1">'Income Statement'!P13/'Balance sheet'!O27</f>
        <v>0.583576863113898</v>
      </c>
      <c r="M20" s="88">
        <f ca="1">'Income Statement'!Q13/'Balance sheet'!P27</f>
        <v>0.58606251531887987</v>
      </c>
    </row>
    <row r="21" spans="2:13" x14ac:dyDescent="0.25">
      <c r="B21" s="61" t="s">
        <v>231</v>
      </c>
      <c r="C21" s="5"/>
      <c r="D21" s="5"/>
      <c r="E21" s="5"/>
      <c r="F21" s="69"/>
      <c r="G21" s="81">
        <f>'Balance sheet'!J46/'Balance sheet'!J56</f>
        <v>2.0505165960689391</v>
      </c>
      <c r="H21" s="81">
        <f>'Balance sheet'!K46/'Balance sheet'!K56</f>
        <v>1.8912523154411305</v>
      </c>
      <c r="I21" s="81">
        <f ca="1">'Balance sheet'!L46/'Balance sheet'!L56</f>
        <v>1.7598081813696742</v>
      </c>
      <c r="J21" s="81">
        <f ca="1">'Balance sheet'!M46/'Balance sheet'!M56</f>
        <v>1.748427762970217</v>
      </c>
      <c r="K21" s="81">
        <f ca="1">'Balance sheet'!N46/'Balance sheet'!N56</f>
        <v>1.7250622750860793</v>
      </c>
      <c r="L21" s="81">
        <f ca="1">'Balance sheet'!O46/'Balance sheet'!O56</f>
        <v>1.6900750328429859</v>
      </c>
      <c r="M21" s="88">
        <f ca="1">'Balance sheet'!P46/'Balance sheet'!P56</f>
        <v>1.6457394748273539</v>
      </c>
    </row>
    <row r="22" spans="2:13" x14ac:dyDescent="0.25">
      <c r="B22" s="61"/>
      <c r="C22" s="5"/>
      <c r="D22" s="5"/>
      <c r="E22" s="5"/>
      <c r="F22" s="79"/>
      <c r="G22" s="81">
        <f>G19*G20*G21</f>
        <v>9.1791241118264102E-2</v>
      </c>
      <c r="H22" s="81">
        <f t="shared" ref="H22:M22" si="1">H19*H20*H21</f>
        <v>8.3319877987414831E-2</v>
      </c>
      <c r="I22" s="81">
        <f t="shared" ca="1" si="1"/>
        <v>7.6622693365906075E-2</v>
      </c>
      <c r="J22" s="81">
        <f t="shared" ca="1" si="1"/>
        <v>7.7985997861420839E-2</v>
      </c>
      <c r="K22" s="81">
        <f t="shared" ca="1" si="1"/>
        <v>8.4006484783640825E-2</v>
      </c>
      <c r="L22" s="81">
        <f t="shared" ca="1" si="1"/>
        <v>8.9168733527615979E-2</v>
      </c>
      <c r="M22" s="88">
        <f t="shared" ca="1" si="1"/>
        <v>9.3648116837733733E-2</v>
      </c>
    </row>
    <row r="23" spans="2:13" x14ac:dyDescent="0.25">
      <c r="B23" s="61"/>
      <c r="C23" s="5"/>
      <c r="D23" s="5"/>
      <c r="E23" s="5"/>
      <c r="F23" s="79"/>
      <c r="G23" s="81"/>
      <c r="H23" s="81"/>
      <c r="I23" s="81"/>
      <c r="J23" s="81"/>
      <c r="K23" s="81"/>
      <c r="L23" s="81"/>
      <c r="M23" s="88"/>
    </row>
    <row r="24" spans="2:13" x14ac:dyDescent="0.25">
      <c r="B24" s="10" t="s">
        <v>232</v>
      </c>
      <c r="C24" s="5"/>
      <c r="D24" s="5"/>
      <c r="E24" s="5"/>
      <c r="F24" s="79"/>
      <c r="G24" s="79"/>
      <c r="H24" s="79"/>
      <c r="I24" s="79"/>
      <c r="J24" s="79"/>
      <c r="K24" s="79"/>
      <c r="L24" s="79"/>
      <c r="M24" s="111"/>
    </row>
    <row r="25" spans="2:13" x14ac:dyDescent="0.25">
      <c r="B25" s="61" t="s">
        <v>233</v>
      </c>
      <c r="C25" s="5"/>
      <c r="D25" s="5"/>
      <c r="E25" s="5"/>
      <c r="F25" s="79"/>
      <c r="G25" s="80">
        <f>'Balance sheet'!J30+'Balance sheet'!J39-'Balance sheet'!J10</f>
        <v>23849</v>
      </c>
      <c r="H25" s="80">
        <f>'Balance sheet'!K30+'Balance sheet'!K39-'Balance sheet'!K10</f>
        <v>21111</v>
      </c>
      <c r="I25" s="80">
        <f ca="1">'Balance sheet'!L30+'Balance sheet'!L39-'Balance sheet'!L10</f>
        <v>20910.358139839183</v>
      </c>
      <c r="J25" s="80">
        <f ca="1">'Balance sheet'!M30+'Balance sheet'!M39-'Balance sheet'!M10</f>
        <v>18097.383260352366</v>
      </c>
      <c r="K25" s="80">
        <f ca="1">'Balance sheet'!N30+'Balance sheet'!N39-'Balance sheet'!N10</f>
        <v>14875.495906085907</v>
      </c>
      <c r="L25" s="80">
        <f ca="1">'Balance sheet'!O30+'Balance sheet'!O39-'Balance sheet'!O10</f>
        <v>11017.264163788124</v>
      </c>
      <c r="M25" s="78">
        <f ca="1">'Balance sheet'!P30+'Balance sheet'!P39-'Balance sheet'!P10</f>
        <v>6585.4836307741498</v>
      </c>
    </row>
    <row r="26" spans="2:13" x14ac:dyDescent="0.25">
      <c r="B26" s="61" t="s">
        <v>234</v>
      </c>
      <c r="C26" s="5"/>
      <c r="D26" s="5"/>
      <c r="E26" s="5"/>
      <c r="F26" s="79"/>
      <c r="G26" s="81">
        <f>('Balance sheet'!J30+'Balance sheet'!J39)/'Balance sheet'!J56</f>
        <v>0.72220354557475519</v>
      </c>
      <c r="H26" s="81">
        <f>('Balance sheet'!K30+'Balance sheet'!K39)/'Balance sheet'!K56</f>
        <v>0.66969842029679272</v>
      </c>
      <c r="I26" s="81">
        <f ca="1">('Balance sheet'!L30+'Balance sheet'!L39)/'Balance sheet'!L56</f>
        <v>0.62766588806598544</v>
      </c>
      <c r="J26" s="81">
        <f ca="1">('Balance sheet'!M30+'Balance sheet'!M39)/'Balance sheet'!M56</f>
        <v>0.68017339346686345</v>
      </c>
      <c r="K26" s="81">
        <f ca="1">('Balance sheet'!N30+'Balance sheet'!N39)/'Balance sheet'!N56</f>
        <v>0.71974653657451215</v>
      </c>
      <c r="L26" s="81">
        <f ca="1">('Balance sheet'!O30+'Balance sheet'!O39)/'Balance sheet'!O56</f>
        <v>0.74712504923975476</v>
      </c>
      <c r="M26" s="88">
        <f ca="1">('Balance sheet'!P30+'Balance sheet'!P39)/'Balance sheet'!P56</f>
        <v>0.7631993985504183</v>
      </c>
    </row>
    <row r="27" spans="2:13" x14ac:dyDescent="0.25">
      <c r="B27" s="61" t="s">
        <v>235</v>
      </c>
      <c r="C27" s="5"/>
      <c r="D27" s="5"/>
      <c r="E27" s="5"/>
      <c r="F27" s="80"/>
      <c r="G27" s="81">
        <f>('Balance sheet'!J30+'Balance sheet'!J39)/'Balance sheet'!J27</f>
        <v>0.23674794836567215</v>
      </c>
      <c r="H27" s="81">
        <f>('Balance sheet'!K30+'Balance sheet'!K39)/'Balance sheet'!K27</f>
        <v>0.23162918598289614</v>
      </c>
      <c r="I27" s="81">
        <f ca="1">('Balance sheet'!L30+'Balance sheet'!L39)/'Balance sheet'!L27</f>
        <v>0.2274309831759681</v>
      </c>
      <c r="J27" s="81">
        <f ca="1">('Balance sheet'!M30+'Balance sheet'!M39)/'Balance sheet'!M27</f>
        <v>0.24747726777865256</v>
      </c>
      <c r="K27" s="81">
        <f ca="1">('Balance sheet'!N30+'Balance sheet'!N39)/'Balance sheet'!N27</f>
        <v>0.26412113336080617</v>
      </c>
      <c r="L27" s="81">
        <f ca="1">('Balance sheet'!O30+'Balance sheet'!O39)/'Balance sheet'!O27</f>
        <v>0.27773390709111972</v>
      </c>
      <c r="M27" s="88">
        <f ca="1">('Balance sheet'!P30+'Balance sheet'!P39)/'Balance sheet'!P27</f>
        <v>0.28846354896686133</v>
      </c>
    </row>
    <row r="28" spans="2:13" x14ac:dyDescent="0.25">
      <c r="B28" s="61"/>
      <c r="C28" s="5"/>
      <c r="D28" s="5"/>
      <c r="E28" s="5"/>
      <c r="F28" s="79"/>
      <c r="G28" s="79"/>
      <c r="H28" s="79"/>
      <c r="I28" s="79"/>
      <c r="J28" s="79"/>
      <c r="K28" s="79"/>
      <c r="L28" s="79"/>
      <c r="M28" s="111"/>
    </row>
    <row r="29" spans="2:13" x14ac:dyDescent="0.25">
      <c r="B29" s="10" t="s">
        <v>236</v>
      </c>
      <c r="C29" s="5"/>
      <c r="D29" s="5"/>
      <c r="E29" s="5"/>
      <c r="F29" s="81"/>
      <c r="G29" s="81"/>
      <c r="H29" s="81"/>
      <c r="I29" s="54"/>
      <c r="J29" s="54"/>
      <c r="K29" s="54"/>
      <c r="L29" s="54"/>
      <c r="M29" s="55"/>
    </row>
    <row r="30" spans="2:13" x14ac:dyDescent="0.25">
      <c r="B30" s="180" t="s">
        <v>237</v>
      </c>
      <c r="C30" s="18"/>
      <c r="D30" s="18"/>
      <c r="E30" s="18"/>
      <c r="F30" s="179"/>
      <c r="G30" s="181">
        <f>'Income Statement'!K13/'Balance sheet'!J27</f>
        <v>0.60878988472643647</v>
      </c>
      <c r="H30" s="181">
        <f>'Income Statement'!L13/'Balance sheet'!K27</f>
        <v>0.59780010941864148</v>
      </c>
      <c r="I30" s="181">
        <f ca="1">'Income Statement'!M13/'Balance sheet'!L27</f>
        <v>0.60779453250797655</v>
      </c>
      <c r="J30" s="181">
        <f ca="1">'Income Statement'!N13/'Balance sheet'!M27</f>
        <v>0.59299874160585642</v>
      </c>
      <c r="K30" s="181">
        <f ca="1">'Income Statement'!O13/'Balance sheet'!N27</f>
        <v>0.58641760886076377</v>
      </c>
      <c r="L30" s="181">
        <f ca="1">'Income Statement'!P13/'Balance sheet'!O27</f>
        <v>0.583576863113898</v>
      </c>
      <c r="M30" s="182">
        <f ca="1">'Income Statement'!Q13/'Balance sheet'!P27</f>
        <v>0.58606251531887987</v>
      </c>
    </row>
  </sheetData>
  <mergeCells count="1">
    <mergeCell ref="B2:M3"/>
  </mergeCells>
  <hyperlinks>
    <hyperlink ref="L1" location="'Valuation Summary'!A1" display="&lt;= back to the index" xr:uid="{25CAA17A-0EDE-4C91-B0C1-A1979DDA4897}"/>
  </hyperlinks>
  <pageMargins left="0.7" right="0.7" top="0.75" bottom="0.75" header="0.3" footer="0.3"/>
  <pageSetup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Valuation Summary</vt:lpstr>
      <vt:lpstr>Income Statement</vt:lpstr>
      <vt:lpstr>Balance sheet</vt:lpstr>
      <vt:lpstr>Cash Flow Statement</vt:lpstr>
      <vt:lpstr>DCF</vt:lpstr>
      <vt:lpstr>Beta Calc</vt:lpstr>
      <vt:lpstr>Working Capital</vt:lpstr>
      <vt:lpstr>PPE &amp; Intangible Assets</vt:lpstr>
      <vt:lpstr>Other Assets,liabilities &amp; Tax</vt:lpstr>
      <vt:lpstr>Debt Schedule</vt:lpstr>
      <vt:lpstr>Equity Schedule</vt:lpstr>
      <vt:lpstr>Ratio Analysis</vt:lpstr>
      <vt:lpstr>'Balance sheet'!Print_Area</vt:lpstr>
      <vt:lpstr>'Cash Flow Statement'!Print_Area</vt:lpstr>
      <vt:lpstr>'Debt Schedule'!Print_Area</vt:lpstr>
      <vt:lpstr>'Equity Schedule'!Print_Area</vt:lpstr>
      <vt:lpstr>'Income Statement'!Print_Area</vt:lpstr>
      <vt:lpstr>'Other Assets,liabilities &amp; Tax'!Print_Area</vt:lpstr>
      <vt:lpstr>'PPE &amp; Intangible Assets'!Print_Area</vt:lpstr>
      <vt:lpstr>'Ratio Analysis'!Print_Area</vt:lpstr>
      <vt:lpstr>'Valuation Summary'!Print_Area</vt:lpstr>
      <vt:lpstr>'Working Capital'!Print_Area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welcome</cp:lastModifiedBy>
  <dcterms:created xsi:type="dcterms:W3CDTF">2019-08-25T16:57:44Z</dcterms:created>
  <dcterms:modified xsi:type="dcterms:W3CDTF">2019-09-24T01:21:43Z</dcterms:modified>
</cp:coreProperties>
</file>