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1576" windowHeight="8076" activeTab="2"/>
  </bookViews>
  <sheets>
    <sheet name="Sources and Uses" sheetId="8" r:id="rId1"/>
    <sheet name="Exit Analysis" sheetId="12" r:id="rId2"/>
    <sheet name="Financial Statements" sheetId="1" r:id="rId3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K39" i="1" s="1"/>
  <c r="L39" i="1" s="1"/>
  <c r="M39" i="1" s="1"/>
  <c r="L55" i="12"/>
  <c r="K55" i="12"/>
  <c r="I55" i="12"/>
  <c r="H55" i="12"/>
  <c r="K46" i="12"/>
  <c r="L46" i="12" s="1"/>
  <c r="D34" i="1"/>
  <c r="L24" i="12"/>
  <c r="K24" i="12"/>
  <c r="J24" i="12"/>
  <c r="I24" i="12"/>
  <c r="M18" i="12"/>
  <c r="H2" i="12"/>
  <c r="I2" i="12" s="1"/>
  <c r="J2" i="12" s="1"/>
  <c r="K2" i="12" s="1"/>
  <c r="L2" i="12" s="1"/>
  <c r="M2" i="12" s="1"/>
  <c r="J149" i="1"/>
  <c r="K149" i="1"/>
  <c r="L149" i="1"/>
  <c r="I149" i="1"/>
  <c r="J248" i="1"/>
  <c r="K248" i="1" s="1"/>
  <c r="L248" i="1" s="1"/>
  <c r="J232" i="1"/>
  <c r="K232" i="1" s="1"/>
  <c r="L232" i="1" s="1"/>
  <c r="K7" i="8"/>
  <c r="Q71" i="1"/>
  <c r="Q70" i="1"/>
  <c r="P85" i="1"/>
  <c r="I46" i="12" l="1"/>
  <c r="H46" i="12" s="1"/>
  <c r="M248" i="1"/>
  <c r="M232" i="1"/>
  <c r="W49" i="1" l="1"/>
  <c r="V49" i="1"/>
  <c r="U49" i="1"/>
  <c r="T49" i="1"/>
  <c r="S49" i="1"/>
  <c r="R49" i="1"/>
  <c r="Q49" i="1"/>
  <c r="O49" i="1"/>
  <c r="G49" i="1"/>
  <c r="X86" i="1"/>
  <c r="Y80" i="1"/>
  <c r="H80" i="1" s="1"/>
  <c r="Y76" i="1"/>
  <c r="H76" i="1" s="1"/>
  <c r="Y71" i="1"/>
  <c r="H71" i="1" s="1"/>
  <c r="Y70" i="1"/>
  <c r="H70" i="1" s="1"/>
  <c r="Y69" i="1"/>
  <c r="H69" i="1" s="1"/>
  <c r="Y68" i="1"/>
  <c r="H68" i="1" s="1"/>
  <c r="Y67" i="1"/>
  <c r="H67" i="1" s="1"/>
  <c r="Y66" i="1"/>
  <c r="H66" i="1" s="1"/>
  <c r="Y65" i="1"/>
  <c r="H65" i="1" s="1"/>
  <c r="Y64" i="1"/>
  <c r="H64" i="1" s="1"/>
  <c r="Y63" i="1"/>
  <c r="H63" i="1" s="1"/>
  <c r="Y62" i="1"/>
  <c r="H62" i="1" s="1"/>
  <c r="Y61" i="1"/>
  <c r="H61" i="1" s="1"/>
  <c r="Y57" i="1"/>
  <c r="H57" i="1" s="1"/>
  <c r="Y56" i="1"/>
  <c r="H56" i="1" s="1"/>
  <c r="Y55" i="1"/>
  <c r="H55" i="1" s="1"/>
  <c r="Y54" i="1"/>
  <c r="H54" i="1" s="1"/>
  <c r="Y53" i="1"/>
  <c r="H53" i="1" s="1"/>
  <c r="Y52" i="1"/>
  <c r="H52" i="1" s="1"/>
  <c r="Y51" i="1"/>
  <c r="H51" i="1" s="1"/>
  <c r="Y47" i="1"/>
  <c r="H47" i="1" s="1"/>
  <c r="W72" i="1"/>
  <c r="W81" i="1" s="1"/>
  <c r="X72" i="1"/>
  <c r="X81" i="1" s="1"/>
  <c r="Q75" i="1"/>
  <c r="Y75" i="1" s="1"/>
  <c r="H75" i="1" s="1"/>
  <c r="Q74" i="1"/>
  <c r="X88" i="1" l="1"/>
  <c r="Y74" i="1"/>
  <c r="H74" i="1" s="1"/>
  <c r="Q58" i="1"/>
  <c r="Y72" i="1"/>
  <c r="Y85" i="1" l="1"/>
  <c r="H85" i="1" s="1"/>
  <c r="P84" i="1"/>
  <c r="Y84" i="1" s="1"/>
  <c r="H84" i="1" s="1"/>
  <c r="P83" i="1"/>
  <c r="P86" i="1" s="1"/>
  <c r="S59" i="1"/>
  <c r="V72" i="1"/>
  <c r="U72" i="1"/>
  <c r="T72" i="1"/>
  <c r="S72" i="1"/>
  <c r="S81" i="1" s="1"/>
  <c r="R72" i="1"/>
  <c r="R81" i="1" s="1"/>
  <c r="Q72" i="1"/>
  <c r="Q81" i="1" s="1"/>
  <c r="P72" i="1"/>
  <c r="P81" i="1" s="1"/>
  <c r="O72" i="1"/>
  <c r="O81" i="1" s="1"/>
  <c r="Q86" i="1"/>
  <c r="S86" i="1"/>
  <c r="T86" i="1"/>
  <c r="U86" i="1"/>
  <c r="V86" i="1"/>
  <c r="O86" i="1"/>
  <c r="O59" i="1"/>
  <c r="Q59" i="1"/>
  <c r="O88" i="1" l="1"/>
  <c r="S88" i="1"/>
  <c r="S89" i="1" s="1"/>
  <c r="Q88" i="1"/>
  <c r="Q89" i="1" s="1"/>
  <c r="P88" i="1"/>
  <c r="O89" i="1"/>
  <c r="I117" i="1"/>
  <c r="B279" i="1" l="1"/>
  <c r="B280" i="1" s="1"/>
  <c r="B281" i="1" s="1"/>
  <c r="B282" i="1" s="1"/>
  <c r="J34" i="1"/>
  <c r="K34" i="1"/>
  <c r="L34" i="1"/>
  <c r="M34" i="1"/>
  <c r="I34" i="1"/>
  <c r="G290" i="1"/>
  <c r="H290" i="1"/>
  <c r="G291" i="1"/>
  <c r="H273" i="1"/>
  <c r="G272" i="1"/>
  <c r="G273" i="1" s="1"/>
  <c r="H267" i="1"/>
  <c r="G267" i="1"/>
  <c r="H268" i="1"/>
  <c r="I265" i="1" s="1"/>
  <c r="G268" i="1"/>
  <c r="H199" i="1"/>
  <c r="I196" i="1" s="1"/>
  <c r="I182" i="1"/>
  <c r="I80" i="1" s="1"/>
  <c r="I130" i="1" s="1"/>
  <c r="J183" i="1"/>
  <c r="K183" i="1" s="1"/>
  <c r="L183" i="1" s="1"/>
  <c r="M183" i="1" s="1"/>
  <c r="I167" i="1"/>
  <c r="I168" i="1" s="1"/>
  <c r="H176" i="1"/>
  <c r="G176" i="1"/>
  <c r="H105" i="1"/>
  <c r="I105" i="1" s="1"/>
  <c r="G105" i="1"/>
  <c r="H104" i="1"/>
  <c r="I104" i="1" s="1"/>
  <c r="J104" i="1" s="1"/>
  <c r="K104" i="1" s="1"/>
  <c r="L104" i="1" s="1"/>
  <c r="M104" i="1" s="1"/>
  <c r="G104" i="1"/>
  <c r="H103" i="1"/>
  <c r="I103" i="1" s="1"/>
  <c r="G103" i="1"/>
  <c r="H102" i="1"/>
  <c r="I102" i="1" s="1"/>
  <c r="J102" i="1" s="1"/>
  <c r="K102" i="1" s="1"/>
  <c r="L102" i="1" s="1"/>
  <c r="M102" i="1" s="1"/>
  <c r="G102" i="1"/>
  <c r="H101" i="1"/>
  <c r="I101" i="1" s="1"/>
  <c r="G101" i="1"/>
  <c r="G270" i="1" l="1"/>
  <c r="I176" i="1"/>
  <c r="J176" i="1" s="1"/>
  <c r="H270" i="1"/>
  <c r="C276" i="1"/>
  <c r="J182" i="1"/>
  <c r="J216" i="1"/>
  <c r="K216" i="1" s="1"/>
  <c r="L216" i="1" s="1"/>
  <c r="M216" i="1" s="1"/>
  <c r="J105" i="1"/>
  <c r="I67" i="1"/>
  <c r="I133" i="1" s="1"/>
  <c r="J103" i="1"/>
  <c r="I135" i="1"/>
  <c r="J101" i="1"/>
  <c r="H99" i="1"/>
  <c r="I99" i="1" s="1"/>
  <c r="G99" i="1"/>
  <c r="H98" i="1"/>
  <c r="G98" i="1"/>
  <c r="H97" i="1"/>
  <c r="G97" i="1"/>
  <c r="H96" i="1"/>
  <c r="G96" i="1"/>
  <c r="H95" i="1"/>
  <c r="I95" i="1" s="1"/>
  <c r="G95" i="1"/>
  <c r="H94" i="1"/>
  <c r="I94" i="1" s="1"/>
  <c r="G94" i="1"/>
  <c r="I8" i="1"/>
  <c r="G72" i="1"/>
  <c r="G81" i="1" s="1"/>
  <c r="H72" i="1"/>
  <c r="G86" i="1"/>
  <c r="G300" i="1" s="1"/>
  <c r="G59" i="1"/>
  <c r="H42" i="1"/>
  <c r="G42" i="1"/>
  <c r="H41" i="1"/>
  <c r="G41" i="1"/>
  <c r="H40" i="1"/>
  <c r="I40" i="1" s="1"/>
  <c r="J40" i="1" s="1"/>
  <c r="K40" i="1" s="1"/>
  <c r="L40" i="1" s="1"/>
  <c r="M40" i="1" s="1"/>
  <c r="G40" i="1"/>
  <c r="H39" i="1"/>
  <c r="G39" i="1"/>
  <c r="H34" i="1"/>
  <c r="G10" i="1"/>
  <c r="H10" i="1"/>
  <c r="H2" i="1"/>
  <c r="I2" i="1" s="1"/>
  <c r="J2" i="1" s="1"/>
  <c r="K2" i="1" s="1"/>
  <c r="L2" i="1" s="1"/>
  <c r="M2" i="1" s="1"/>
  <c r="H16" i="1" l="1"/>
  <c r="H27" i="1" s="1"/>
  <c r="H30" i="1" s="1"/>
  <c r="C5" i="8" s="1"/>
  <c r="C18" i="8" s="1"/>
  <c r="K9" i="8" s="1"/>
  <c r="H11" i="1"/>
  <c r="G16" i="1"/>
  <c r="G11" i="1"/>
  <c r="I276" i="1"/>
  <c r="J276" i="1" s="1"/>
  <c r="I62" i="1"/>
  <c r="I131" i="1" s="1"/>
  <c r="I66" i="1"/>
  <c r="I129" i="1" s="1"/>
  <c r="I272" i="1"/>
  <c r="K182" i="1"/>
  <c r="J80" i="1"/>
  <c r="J130" i="1" s="1"/>
  <c r="J8" i="1"/>
  <c r="J9" i="1" s="1"/>
  <c r="J10" i="1" s="1"/>
  <c r="J11" i="1" s="1"/>
  <c r="M97" i="1"/>
  <c r="G88" i="1"/>
  <c r="G89" i="1" s="1"/>
  <c r="M96" i="1"/>
  <c r="M98" i="1"/>
  <c r="J42" i="1"/>
  <c r="I65" i="1"/>
  <c r="I128" i="1" s="1"/>
  <c r="I9" i="1"/>
  <c r="I61" i="1" s="1"/>
  <c r="I126" i="1" s="1"/>
  <c r="J94" i="1"/>
  <c r="I52" i="1"/>
  <c r="J95" i="1"/>
  <c r="I56" i="1"/>
  <c r="J99" i="1"/>
  <c r="M42" i="1"/>
  <c r="L42" i="1"/>
  <c r="I13" i="1"/>
  <c r="K176" i="1"/>
  <c r="J62" i="1"/>
  <c r="K105" i="1"/>
  <c r="J67" i="1"/>
  <c r="J133" i="1" s="1"/>
  <c r="K101" i="1"/>
  <c r="K103" i="1"/>
  <c r="I97" i="1"/>
  <c r="I54" i="1" s="1"/>
  <c r="L98" i="1"/>
  <c r="L97" i="1"/>
  <c r="L96" i="1"/>
  <c r="I98" i="1"/>
  <c r="I55" i="1" s="1"/>
  <c r="K98" i="1"/>
  <c r="K97" i="1"/>
  <c r="K96" i="1"/>
  <c r="J98" i="1"/>
  <c r="J97" i="1"/>
  <c r="J96" i="1"/>
  <c r="I96" i="1"/>
  <c r="I53" i="1" s="1"/>
  <c r="I14" i="1"/>
  <c r="K42" i="1"/>
  <c r="I42" i="1"/>
  <c r="I15" i="1" s="1"/>
  <c r="X48" i="1" l="1"/>
  <c r="H205" i="1"/>
  <c r="Y48" i="1"/>
  <c r="H48" i="1" s="1"/>
  <c r="X58" i="1"/>
  <c r="X49" i="1"/>
  <c r="G9" i="8"/>
  <c r="G7" i="8"/>
  <c r="H212" i="1" s="1"/>
  <c r="G8" i="8"/>
  <c r="H228" i="1" s="1"/>
  <c r="C7" i="8"/>
  <c r="G21" i="1"/>
  <c r="G25" i="1" s="1"/>
  <c r="G17" i="1"/>
  <c r="G27" i="1"/>
  <c r="G30" i="1" s="1"/>
  <c r="H21" i="1"/>
  <c r="H25" i="1" s="1"/>
  <c r="H17" i="1"/>
  <c r="J131" i="1"/>
  <c r="J15" i="1"/>
  <c r="J53" i="1"/>
  <c r="J122" i="1" s="1"/>
  <c r="E278" i="1"/>
  <c r="I278" i="1" s="1"/>
  <c r="J278" i="1" s="1"/>
  <c r="K278" i="1" s="1"/>
  <c r="I266" i="1"/>
  <c r="I142" i="1" s="1"/>
  <c r="I143" i="1" s="1"/>
  <c r="J54" i="1"/>
  <c r="J123" i="1" s="1"/>
  <c r="J66" i="1"/>
  <c r="J129" i="1" s="1"/>
  <c r="J13" i="1"/>
  <c r="J272" i="1"/>
  <c r="J65" i="1"/>
  <c r="J128" i="1" s="1"/>
  <c r="K8" i="1"/>
  <c r="K13" i="1" s="1"/>
  <c r="K276" i="1"/>
  <c r="L276" i="1" s="1"/>
  <c r="J55" i="1"/>
  <c r="J14" i="1"/>
  <c r="J64" i="1" s="1"/>
  <c r="J61" i="1"/>
  <c r="J126" i="1" s="1"/>
  <c r="L182" i="1"/>
  <c r="K80" i="1"/>
  <c r="K130" i="1" s="1"/>
  <c r="I10" i="1"/>
  <c r="I51" i="1"/>
  <c r="I120" i="1" s="1"/>
  <c r="I64" i="1"/>
  <c r="I127" i="1" s="1"/>
  <c r="J52" i="1"/>
  <c r="J121" i="1" s="1"/>
  <c r="K95" i="1"/>
  <c r="L101" i="1"/>
  <c r="L105" i="1"/>
  <c r="K67" i="1"/>
  <c r="K133" i="1" s="1"/>
  <c r="I121" i="1"/>
  <c r="J56" i="1"/>
  <c r="J125" i="1" s="1"/>
  <c r="K99" i="1"/>
  <c r="J51" i="1"/>
  <c r="K94" i="1"/>
  <c r="L103" i="1"/>
  <c r="L176" i="1"/>
  <c r="K62" i="1"/>
  <c r="K131" i="1" s="1"/>
  <c r="I125" i="1"/>
  <c r="I122" i="1"/>
  <c r="I124" i="1"/>
  <c r="I123" i="1"/>
  <c r="H244" i="1" l="1"/>
  <c r="H32" i="12"/>
  <c r="J204" i="1"/>
  <c r="I204" i="1"/>
  <c r="K204" i="1"/>
  <c r="L204" i="1"/>
  <c r="M204" i="1"/>
  <c r="I241" i="1"/>
  <c r="I225" i="1"/>
  <c r="I209" i="1"/>
  <c r="I210" i="1" s="1"/>
  <c r="I145" i="1" s="1"/>
  <c r="X59" i="1"/>
  <c r="X89" i="1" s="1"/>
  <c r="C19" i="8"/>
  <c r="K10" i="8" s="1"/>
  <c r="C21" i="8"/>
  <c r="K12" i="8" s="1"/>
  <c r="C20" i="8"/>
  <c r="K11" i="8" s="1"/>
  <c r="G13" i="8"/>
  <c r="C15" i="8"/>
  <c r="K8" i="8" s="1"/>
  <c r="W58" i="1" s="1"/>
  <c r="I16" i="1"/>
  <c r="I17" i="1" s="1"/>
  <c r="I11" i="1"/>
  <c r="K53" i="1"/>
  <c r="K122" i="1" s="1"/>
  <c r="K65" i="1"/>
  <c r="K128" i="1" s="1"/>
  <c r="K15" i="1"/>
  <c r="J124" i="1"/>
  <c r="L8" i="1"/>
  <c r="L55" i="1" s="1"/>
  <c r="K9" i="1"/>
  <c r="K10" i="1" s="1"/>
  <c r="K11" i="1" s="1"/>
  <c r="K55" i="1"/>
  <c r="K124" i="1" s="1"/>
  <c r="I284" i="1"/>
  <c r="E279" i="1"/>
  <c r="J266" i="1"/>
  <c r="J142" i="1" s="1"/>
  <c r="J143" i="1" s="1"/>
  <c r="L278" i="1"/>
  <c r="M278" i="1" s="1"/>
  <c r="K66" i="1"/>
  <c r="K129" i="1" s="1"/>
  <c r="K272" i="1"/>
  <c r="K54" i="1"/>
  <c r="K123" i="1" s="1"/>
  <c r="K14" i="1"/>
  <c r="K64" i="1" s="1"/>
  <c r="K127" i="1" s="1"/>
  <c r="M276" i="1"/>
  <c r="J16" i="1"/>
  <c r="M182" i="1"/>
  <c r="M80" i="1" s="1"/>
  <c r="L80" i="1"/>
  <c r="L130" i="1" s="1"/>
  <c r="J127" i="1"/>
  <c r="M176" i="1"/>
  <c r="M62" i="1" s="1"/>
  <c r="L62" i="1"/>
  <c r="L131" i="1" s="1"/>
  <c r="I27" i="1"/>
  <c r="M103" i="1"/>
  <c r="K56" i="1"/>
  <c r="L99" i="1"/>
  <c r="M105" i="1"/>
  <c r="M67" i="1" s="1"/>
  <c r="L67" i="1"/>
  <c r="L133" i="1" s="1"/>
  <c r="K52" i="1"/>
  <c r="K121" i="1" s="1"/>
  <c r="L95" i="1"/>
  <c r="L94" i="1"/>
  <c r="M101" i="1"/>
  <c r="J120" i="1"/>
  <c r="H35" i="12" l="1"/>
  <c r="M34" i="12"/>
  <c r="V58" i="1"/>
  <c r="V79" i="1" s="1"/>
  <c r="Y79" i="1" s="1"/>
  <c r="H79" i="1" s="1"/>
  <c r="H252" i="1"/>
  <c r="U58" i="1"/>
  <c r="U78" i="1" s="1"/>
  <c r="Y78" i="1" s="1"/>
  <c r="H78" i="1" s="1"/>
  <c r="H236" i="1"/>
  <c r="T58" i="1"/>
  <c r="T77" i="1" s="1"/>
  <c r="Y77" i="1" s="1"/>
  <c r="H77" i="1" s="1"/>
  <c r="H220" i="1"/>
  <c r="K61" i="1"/>
  <c r="K126" i="1" s="1"/>
  <c r="W83" i="1"/>
  <c r="W86" i="1" s="1"/>
  <c r="W88" i="1" s="1"/>
  <c r="W59" i="1"/>
  <c r="K13" i="8"/>
  <c r="K6" i="8" s="1"/>
  <c r="P46" i="1" s="1"/>
  <c r="G6" i="8"/>
  <c r="J27" i="1"/>
  <c r="J17" i="1"/>
  <c r="K51" i="1"/>
  <c r="K120" i="1" s="1"/>
  <c r="L272" i="1"/>
  <c r="E281" i="1" s="1"/>
  <c r="L281" i="1" s="1"/>
  <c r="M281" i="1" s="1"/>
  <c r="M131" i="1"/>
  <c r="L53" i="1"/>
  <c r="L122" i="1" s="1"/>
  <c r="L66" i="1"/>
  <c r="L129" i="1" s="1"/>
  <c r="L65" i="1"/>
  <c r="L128" i="1" s="1"/>
  <c r="L14" i="1"/>
  <c r="L64" i="1" s="1"/>
  <c r="L127" i="1" s="1"/>
  <c r="I267" i="1"/>
  <c r="I268" i="1" s="1"/>
  <c r="I28" i="1"/>
  <c r="I115" i="1"/>
  <c r="L124" i="1"/>
  <c r="L54" i="1"/>
  <c r="L123" i="1" s="1"/>
  <c r="M8" i="1"/>
  <c r="L9" i="1"/>
  <c r="L13" i="1"/>
  <c r="L15" i="1"/>
  <c r="E280" i="1"/>
  <c r="K280" i="1" s="1"/>
  <c r="L280" i="1" s="1"/>
  <c r="M280" i="1" s="1"/>
  <c r="K266" i="1"/>
  <c r="K142" i="1" s="1"/>
  <c r="K143" i="1" s="1"/>
  <c r="J279" i="1"/>
  <c r="J284" i="1" s="1"/>
  <c r="K16" i="1"/>
  <c r="M130" i="1"/>
  <c r="M94" i="1"/>
  <c r="M133" i="1"/>
  <c r="L52" i="1"/>
  <c r="L121" i="1" s="1"/>
  <c r="M95" i="1"/>
  <c r="K125" i="1"/>
  <c r="L56" i="1"/>
  <c r="L125" i="1" s="1"/>
  <c r="M99" i="1"/>
  <c r="M56" i="1" s="1"/>
  <c r="H254" i="1" l="1"/>
  <c r="M251" i="1"/>
  <c r="J251" i="1"/>
  <c r="I251" i="1"/>
  <c r="I252" i="1" s="1"/>
  <c r="K251" i="1"/>
  <c r="L251" i="1"/>
  <c r="H238" i="1"/>
  <c r="J235" i="1"/>
  <c r="I235" i="1"/>
  <c r="K235" i="1"/>
  <c r="L235" i="1"/>
  <c r="M235" i="1"/>
  <c r="U59" i="1"/>
  <c r="R58" i="1"/>
  <c r="R83" i="1" s="1"/>
  <c r="Y83" i="1" s="1"/>
  <c r="H83" i="1" s="1"/>
  <c r="H86" i="1" s="1"/>
  <c r="H300" i="1" s="1"/>
  <c r="I296" i="1" s="1"/>
  <c r="H22" i="12"/>
  <c r="H24" i="12" s="1"/>
  <c r="I205" i="1"/>
  <c r="V59" i="1"/>
  <c r="T59" i="1"/>
  <c r="H222" i="1"/>
  <c r="I236" i="1"/>
  <c r="J219" i="1"/>
  <c r="I219" i="1"/>
  <c r="L219" i="1"/>
  <c r="M219" i="1"/>
  <c r="K219" i="1"/>
  <c r="H81" i="1"/>
  <c r="W89" i="1"/>
  <c r="P58" i="1"/>
  <c r="U81" i="1"/>
  <c r="U88" i="1" s="1"/>
  <c r="U89" i="1" s="1"/>
  <c r="T81" i="1"/>
  <c r="T88" i="1" s="1"/>
  <c r="V81" i="1"/>
  <c r="V88" i="1" s="1"/>
  <c r="K27" i="1"/>
  <c r="K17" i="1"/>
  <c r="L266" i="1"/>
  <c r="L142" i="1" s="1"/>
  <c r="L143" i="1" s="1"/>
  <c r="M52" i="1"/>
  <c r="M121" i="1" s="1"/>
  <c r="L10" i="1"/>
  <c r="L61" i="1"/>
  <c r="L126" i="1" s="1"/>
  <c r="J265" i="1"/>
  <c r="I47" i="1"/>
  <c r="L51" i="1"/>
  <c r="L120" i="1" s="1"/>
  <c r="J267" i="1"/>
  <c r="J28" i="1"/>
  <c r="J115" i="1"/>
  <c r="M272" i="1"/>
  <c r="M53" i="1"/>
  <c r="M122" i="1" s="1"/>
  <c r="M9" i="1"/>
  <c r="M66" i="1"/>
  <c r="M129" i="1" s="1"/>
  <c r="M13" i="1"/>
  <c r="M54" i="1"/>
  <c r="M123" i="1" s="1"/>
  <c r="M14" i="1"/>
  <c r="M64" i="1" s="1"/>
  <c r="M127" i="1" s="1"/>
  <c r="M55" i="1"/>
  <c r="M124" i="1" s="1"/>
  <c r="M15" i="1"/>
  <c r="M65" i="1"/>
  <c r="M128" i="1" s="1"/>
  <c r="K279" i="1"/>
  <c r="L279" i="1" s="1"/>
  <c r="L284" i="1" s="1"/>
  <c r="M125" i="1"/>
  <c r="R59" i="1" l="1"/>
  <c r="K257" i="1"/>
  <c r="J257" i="1"/>
  <c r="Y58" i="1"/>
  <c r="H58" i="1" s="1"/>
  <c r="H259" i="1" s="1"/>
  <c r="I220" i="1"/>
  <c r="J220" i="1" s="1"/>
  <c r="I257" i="1"/>
  <c r="J205" i="1"/>
  <c r="I48" i="1"/>
  <c r="M257" i="1"/>
  <c r="L257" i="1"/>
  <c r="V89" i="1"/>
  <c r="T89" i="1"/>
  <c r="J252" i="1"/>
  <c r="J236" i="1"/>
  <c r="H88" i="1"/>
  <c r="P49" i="1"/>
  <c r="P59" i="1" s="1"/>
  <c r="P89" i="1" s="1"/>
  <c r="Y46" i="1"/>
  <c r="H46" i="1" s="1"/>
  <c r="Y81" i="1"/>
  <c r="R86" i="1"/>
  <c r="R88" i="1" s="1"/>
  <c r="R89" i="1" s="1"/>
  <c r="Y86" i="1"/>
  <c r="L16" i="1"/>
  <c r="L27" i="1" s="1"/>
  <c r="L11" i="1"/>
  <c r="J268" i="1"/>
  <c r="J47" i="1" s="1"/>
  <c r="E282" i="1"/>
  <c r="M282" i="1" s="1"/>
  <c r="M266" i="1"/>
  <c r="M142" i="1" s="1"/>
  <c r="M143" i="1" s="1"/>
  <c r="L267" i="1"/>
  <c r="L28" i="1"/>
  <c r="L115" i="1"/>
  <c r="M10" i="1"/>
  <c r="M61" i="1"/>
  <c r="M126" i="1" s="1"/>
  <c r="M51" i="1"/>
  <c r="M120" i="1" s="1"/>
  <c r="K284" i="1"/>
  <c r="M279" i="1"/>
  <c r="I157" i="1" l="1"/>
  <c r="I188" i="1" s="1"/>
  <c r="K205" i="1"/>
  <c r="J48" i="1"/>
  <c r="K252" i="1"/>
  <c r="L17" i="1"/>
  <c r="K236" i="1"/>
  <c r="K220" i="1"/>
  <c r="L220" i="1" s="1"/>
  <c r="M220" i="1" s="1"/>
  <c r="H49" i="1"/>
  <c r="H59" i="1" s="1"/>
  <c r="H89" i="1" s="1"/>
  <c r="H291" i="1"/>
  <c r="I289" i="1" s="1"/>
  <c r="Y49" i="1"/>
  <c r="Y59" i="1" s="1"/>
  <c r="Y88" i="1"/>
  <c r="M16" i="1"/>
  <c r="M27" i="1" s="1"/>
  <c r="M11" i="1"/>
  <c r="K265" i="1"/>
  <c r="K267" i="1"/>
  <c r="K28" i="1"/>
  <c r="K115" i="1"/>
  <c r="M284" i="1"/>
  <c r="L205" i="1" l="1"/>
  <c r="K48" i="1"/>
  <c r="L252" i="1"/>
  <c r="M17" i="1"/>
  <c r="L236" i="1"/>
  <c r="K268" i="1"/>
  <c r="K47" i="1" s="1"/>
  <c r="I290" i="1"/>
  <c r="Y89" i="1"/>
  <c r="M267" i="1"/>
  <c r="M115" i="1"/>
  <c r="M28" i="1"/>
  <c r="L48" i="1" l="1"/>
  <c r="M205" i="1"/>
  <c r="M48" i="1" s="1"/>
  <c r="I291" i="1"/>
  <c r="J289" i="1" s="1"/>
  <c r="J290" i="1" s="1"/>
  <c r="I29" i="1"/>
  <c r="I30" i="1" s="1"/>
  <c r="I6" i="12" s="1"/>
  <c r="I8" i="12" s="1"/>
  <c r="I116" i="1"/>
  <c r="M252" i="1"/>
  <c r="L265" i="1"/>
  <c r="L268" i="1" s="1"/>
  <c r="M265" i="1" s="1"/>
  <c r="M268" i="1" s="1"/>
  <c r="M47" i="1" s="1"/>
  <c r="M236" i="1"/>
  <c r="I46" i="1" l="1"/>
  <c r="I49" i="1" s="1"/>
  <c r="J29" i="1"/>
  <c r="J30" i="1" s="1"/>
  <c r="J6" i="12" s="1"/>
  <c r="J8" i="12" s="1"/>
  <c r="J116" i="1"/>
  <c r="L47" i="1"/>
  <c r="J291" i="1"/>
  <c r="J46" i="1" l="1"/>
  <c r="J49" i="1" s="1"/>
  <c r="K289" i="1"/>
  <c r="I152" i="1"/>
  <c r="K290" i="1" l="1"/>
  <c r="J117" i="1"/>
  <c r="K117" i="1"/>
  <c r="L117" i="1"/>
  <c r="M117" i="1"/>
  <c r="J152" i="1"/>
  <c r="K116" i="1" l="1"/>
  <c r="K29" i="1"/>
  <c r="K30" i="1" s="1"/>
  <c r="K6" i="12" s="1"/>
  <c r="K8" i="12" s="1"/>
  <c r="K291" i="1"/>
  <c r="K152" i="1"/>
  <c r="K46" i="1" l="1"/>
  <c r="K49" i="1" s="1"/>
  <c r="L289" i="1"/>
  <c r="L290" i="1" s="1"/>
  <c r="L152" i="1"/>
  <c r="M152" i="1"/>
  <c r="L116" i="1" l="1"/>
  <c r="L29" i="1"/>
  <c r="L30" i="1" s="1"/>
  <c r="L6" i="12" s="1"/>
  <c r="L8" i="12" s="1"/>
  <c r="L291" i="1"/>
  <c r="M289" i="1" l="1"/>
  <c r="L46" i="1"/>
  <c r="L49" i="1" s="1"/>
  <c r="M290" i="1" l="1"/>
  <c r="M116" i="1" l="1"/>
  <c r="M29" i="1"/>
  <c r="M30" i="1" s="1"/>
  <c r="M6" i="12" s="1"/>
  <c r="M8" i="12" s="1"/>
  <c r="M291" i="1"/>
  <c r="M46" i="1" s="1"/>
  <c r="M49" i="1" s="1"/>
  <c r="I19" i="1"/>
  <c r="I147" i="1"/>
  <c r="J147" i="1"/>
  <c r="K147" i="1"/>
  <c r="L147" i="1"/>
  <c r="I211" i="1"/>
  <c r="I146" i="1" s="1"/>
  <c r="J211" i="1"/>
  <c r="J146" i="1" s="1"/>
  <c r="K211" i="1"/>
  <c r="K146" i="1" s="1"/>
  <c r="L211" i="1"/>
  <c r="L146" i="1" s="1"/>
  <c r="M211" i="1"/>
  <c r="M146" i="1" s="1"/>
  <c r="I212" i="1"/>
  <c r="I215" i="1" s="1"/>
  <c r="I222" i="1" l="1"/>
  <c r="I77" i="1" s="1"/>
  <c r="J209" i="1"/>
  <c r="J210" i="1" l="1"/>
  <c r="J145" i="1" s="1"/>
  <c r="J212" i="1" l="1"/>
  <c r="J222" i="1" l="1"/>
  <c r="J77" i="1" s="1"/>
  <c r="K209" i="1"/>
  <c r="J215" i="1"/>
  <c r="K210" i="1" l="1"/>
  <c r="K145" i="1" s="1"/>
  <c r="K212" i="1" l="1"/>
  <c r="L209" i="1" l="1"/>
  <c r="K222" i="1"/>
  <c r="K77" i="1" s="1"/>
  <c r="K215" i="1"/>
  <c r="L210" i="1" l="1"/>
  <c r="L145" i="1" s="1"/>
  <c r="L212" i="1" l="1"/>
  <c r="L222" i="1" l="1"/>
  <c r="L77" i="1" s="1"/>
  <c r="M209" i="1"/>
  <c r="L215" i="1"/>
  <c r="M210" i="1" l="1"/>
  <c r="M145" i="1" s="1"/>
  <c r="M212" i="1" l="1"/>
  <c r="M222" i="1" l="1"/>
  <c r="M77" i="1" s="1"/>
  <c r="M215" i="1"/>
  <c r="L150" i="1"/>
  <c r="I227" i="1"/>
  <c r="I148" i="1" s="1"/>
  <c r="J227" i="1"/>
  <c r="J148" i="1" s="1"/>
  <c r="K227" i="1"/>
  <c r="K148" i="1" s="1"/>
  <c r="L227" i="1"/>
  <c r="L148" i="1" s="1"/>
  <c r="M227" i="1"/>
  <c r="M148" i="1" s="1"/>
  <c r="I228" i="1"/>
  <c r="I243" i="1"/>
  <c r="J243" i="1"/>
  <c r="J150" i="1" s="1"/>
  <c r="K243" i="1"/>
  <c r="K150" i="1" s="1"/>
  <c r="L243" i="1"/>
  <c r="M243" i="1"/>
  <c r="M150" i="1" s="1"/>
  <c r="I231" i="1" l="1"/>
  <c r="J225" i="1"/>
  <c r="J228" i="1" s="1"/>
  <c r="I238" i="1"/>
  <c r="I78" i="1" s="1"/>
  <c r="I150" i="1"/>
  <c r="I244" i="1"/>
  <c r="J231" i="1" l="1"/>
  <c r="K225" i="1"/>
  <c r="K228" i="1" s="1"/>
  <c r="J238" i="1"/>
  <c r="J78" i="1" s="1"/>
  <c r="I247" i="1"/>
  <c r="I33" i="12" s="1"/>
  <c r="I35" i="12" s="1"/>
  <c r="J241" i="1"/>
  <c r="J244" i="1" s="1"/>
  <c r="I254" i="1"/>
  <c r="I79" i="1" s="1"/>
  <c r="K231" i="1" l="1"/>
  <c r="L225" i="1"/>
  <c r="L228" i="1" s="1"/>
  <c r="K238" i="1"/>
  <c r="K78" i="1" s="1"/>
  <c r="J247" i="1"/>
  <c r="J33" i="12" s="1"/>
  <c r="J35" i="12" s="1"/>
  <c r="J254" i="1"/>
  <c r="J79" i="1" s="1"/>
  <c r="K241" i="1"/>
  <c r="K244" i="1" s="1"/>
  <c r="L241" i="1" l="1"/>
  <c r="L244" i="1" s="1"/>
  <c r="K254" i="1"/>
  <c r="K79" i="1" s="1"/>
  <c r="K247" i="1"/>
  <c r="K33" i="12" s="1"/>
  <c r="K35" i="12" s="1"/>
  <c r="M225" i="1"/>
  <c r="L238" i="1"/>
  <c r="L78" i="1" s="1"/>
  <c r="L231" i="1"/>
  <c r="L247" i="1" l="1"/>
  <c r="L33" i="12" s="1"/>
  <c r="L35" i="12" s="1"/>
  <c r="M241" i="1"/>
  <c r="L254" i="1"/>
  <c r="L79" i="1" s="1"/>
  <c r="M226" i="1"/>
  <c r="M147" i="1" s="1"/>
  <c r="M228" i="1" l="1"/>
  <c r="M242" i="1"/>
  <c r="M149" i="1" s="1"/>
  <c r="M231" i="1" l="1"/>
  <c r="M238" i="1"/>
  <c r="M78" i="1" s="1"/>
  <c r="M244" i="1"/>
  <c r="M247" i="1" l="1"/>
  <c r="M33" i="12" s="1"/>
  <c r="M254" i="1"/>
  <c r="M79" i="1" s="1"/>
  <c r="I10" i="12"/>
  <c r="J10" i="12"/>
  <c r="K10" i="12"/>
  <c r="L10" i="12"/>
  <c r="M10" i="12"/>
  <c r="I11" i="12"/>
  <c r="J11" i="12"/>
  <c r="K11" i="12"/>
  <c r="L11" i="12"/>
  <c r="M11" i="12"/>
  <c r="I12" i="12"/>
  <c r="J12" i="12"/>
  <c r="K12" i="12"/>
  <c r="L12" i="12"/>
  <c r="M12" i="12"/>
  <c r="M22" i="12"/>
  <c r="M24" i="12"/>
  <c r="C26" i="12"/>
  <c r="C27" i="12"/>
  <c r="M32" i="12"/>
  <c r="M35" i="12"/>
  <c r="C37" i="12"/>
  <c r="C38" i="12"/>
  <c r="G46" i="12"/>
  <c r="G55" i="12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3" i="1"/>
  <c r="J23" i="1"/>
  <c r="K23" i="1"/>
  <c r="L23" i="1"/>
  <c r="M23" i="1"/>
  <c r="I25" i="1"/>
  <c r="J25" i="1"/>
  <c r="K25" i="1"/>
  <c r="L25" i="1"/>
  <c r="M25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3" i="1"/>
  <c r="J63" i="1"/>
  <c r="K63" i="1"/>
  <c r="L63" i="1"/>
  <c r="M63" i="1"/>
  <c r="I72" i="1"/>
  <c r="J72" i="1"/>
  <c r="K72" i="1"/>
  <c r="L72" i="1"/>
  <c r="M72" i="1"/>
  <c r="I76" i="1"/>
  <c r="J76" i="1"/>
  <c r="K76" i="1"/>
  <c r="L76" i="1"/>
  <c r="M76" i="1"/>
  <c r="I81" i="1"/>
  <c r="J81" i="1"/>
  <c r="K81" i="1"/>
  <c r="L81" i="1"/>
  <c r="M81" i="1"/>
  <c r="I86" i="1"/>
  <c r="J86" i="1"/>
  <c r="K86" i="1"/>
  <c r="L86" i="1"/>
  <c r="M86" i="1"/>
  <c r="I88" i="1"/>
  <c r="J88" i="1"/>
  <c r="K88" i="1"/>
  <c r="L88" i="1"/>
  <c r="M88" i="1"/>
  <c r="I89" i="1"/>
  <c r="J89" i="1"/>
  <c r="K89" i="1"/>
  <c r="L89" i="1"/>
  <c r="M89" i="1"/>
  <c r="I112" i="1"/>
  <c r="J112" i="1"/>
  <c r="K112" i="1"/>
  <c r="L112" i="1"/>
  <c r="M112" i="1"/>
  <c r="I134" i="1"/>
  <c r="J134" i="1"/>
  <c r="K134" i="1"/>
  <c r="L134" i="1"/>
  <c r="M134" i="1"/>
  <c r="J135" i="1"/>
  <c r="K135" i="1"/>
  <c r="L135" i="1"/>
  <c r="M135" i="1"/>
  <c r="I137" i="1"/>
  <c r="J137" i="1"/>
  <c r="K137" i="1"/>
  <c r="L137" i="1"/>
  <c r="M137" i="1"/>
  <c r="I138" i="1"/>
  <c r="J138" i="1"/>
  <c r="K138" i="1"/>
  <c r="L138" i="1"/>
  <c r="M138" i="1"/>
  <c r="I139" i="1"/>
  <c r="J139" i="1"/>
  <c r="K139" i="1"/>
  <c r="L139" i="1"/>
  <c r="M139" i="1"/>
  <c r="I151" i="1"/>
  <c r="J151" i="1"/>
  <c r="K151" i="1"/>
  <c r="L151" i="1"/>
  <c r="M151" i="1"/>
  <c r="I153" i="1"/>
  <c r="J153" i="1"/>
  <c r="K153" i="1"/>
  <c r="L153" i="1"/>
  <c r="M153" i="1"/>
  <c r="I155" i="1"/>
  <c r="J155" i="1"/>
  <c r="K155" i="1"/>
  <c r="L155" i="1"/>
  <c r="M155" i="1"/>
  <c r="J157" i="1"/>
  <c r="K157" i="1"/>
  <c r="L157" i="1"/>
  <c r="M157" i="1"/>
  <c r="I158" i="1"/>
  <c r="J158" i="1"/>
  <c r="K158" i="1"/>
  <c r="L158" i="1"/>
  <c r="M158" i="1"/>
  <c r="I163" i="1"/>
  <c r="J163" i="1"/>
  <c r="K163" i="1"/>
  <c r="L163" i="1"/>
  <c r="M163" i="1"/>
  <c r="I165" i="1"/>
  <c r="J165" i="1"/>
  <c r="K165" i="1"/>
  <c r="L165" i="1"/>
  <c r="M165" i="1"/>
  <c r="J167" i="1"/>
  <c r="K167" i="1"/>
  <c r="L167" i="1"/>
  <c r="M167" i="1"/>
  <c r="J168" i="1"/>
  <c r="K168" i="1"/>
  <c r="L168" i="1"/>
  <c r="M168" i="1"/>
  <c r="I169" i="1"/>
  <c r="J169" i="1"/>
  <c r="K169" i="1"/>
  <c r="L169" i="1"/>
  <c r="M169" i="1"/>
  <c r="I170" i="1"/>
  <c r="J170" i="1"/>
  <c r="K170" i="1"/>
  <c r="L170" i="1"/>
  <c r="M170" i="1"/>
  <c r="I172" i="1"/>
  <c r="J172" i="1"/>
  <c r="K172" i="1"/>
  <c r="L172" i="1"/>
  <c r="M172" i="1"/>
  <c r="I173" i="1"/>
  <c r="J173" i="1"/>
  <c r="K173" i="1"/>
  <c r="L173" i="1"/>
  <c r="M173" i="1"/>
  <c r="J188" i="1"/>
  <c r="K188" i="1"/>
  <c r="L188" i="1"/>
  <c r="M188" i="1"/>
  <c r="I189" i="1"/>
  <c r="J189" i="1"/>
  <c r="K189" i="1"/>
  <c r="L189" i="1"/>
  <c r="M189" i="1"/>
  <c r="I191" i="1"/>
  <c r="J191" i="1"/>
  <c r="K191" i="1"/>
  <c r="L191" i="1"/>
  <c r="M191" i="1"/>
  <c r="J196" i="1"/>
  <c r="K196" i="1"/>
  <c r="L196" i="1"/>
  <c r="M196" i="1"/>
  <c r="I197" i="1"/>
  <c r="J197" i="1"/>
  <c r="K197" i="1"/>
  <c r="L197" i="1"/>
  <c r="M197" i="1"/>
  <c r="I198" i="1"/>
  <c r="J198" i="1"/>
  <c r="K198" i="1"/>
  <c r="L198" i="1"/>
  <c r="M198" i="1"/>
  <c r="I199" i="1"/>
  <c r="J199" i="1"/>
  <c r="K199" i="1"/>
  <c r="L199" i="1"/>
  <c r="M199" i="1"/>
  <c r="I201" i="1"/>
  <c r="J201" i="1"/>
  <c r="K201" i="1"/>
  <c r="L201" i="1"/>
  <c r="M201" i="1"/>
  <c r="I256" i="1"/>
  <c r="J256" i="1"/>
  <c r="K256" i="1"/>
  <c r="L256" i="1"/>
  <c r="M256" i="1"/>
  <c r="I259" i="1"/>
  <c r="J259" i="1"/>
  <c r="K259" i="1"/>
  <c r="L259" i="1"/>
  <c r="M259" i="1"/>
  <c r="J260" i="1"/>
  <c r="K260" i="1"/>
  <c r="L260" i="1"/>
  <c r="M260" i="1"/>
  <c r="J296" i="1"/>
  <c r="K296" i="1"/>
  <c r="L296" i="1"/>
  <c r="M296" i="1"/>
  <c r="I297" i="1"/>
  <c r="J297" i="1"/>
  <c r="K297" i="1"/>
  <c r="L297" i="1"/>
  <c r="M297" i="1"/>
  <c r="I300" i="1"/>
  <c r="J300" i="1"/>
  <c r="K300" i="1"/>
  <c r="L300" i="1"/>
  <c r="M300" i="1"/>
</calcChain>
</file>

<file path=xl/sharedStrings.xml><?xml version="1.0" encoding="utf-8"?>
<sst xmlns="http://schemas.openxmlformats.org/spreadsheetml/2006/main" count="370" uniqueCount="196">
  <si>
    <t>Paperchase Worldwide Holdings Limited</t>
  </si>
  <si>
    <t>£000</t>
  </si>
  <si>
    <t>Year</t>
  </si>
  <si>
    <t>Actual</t>
  </si>
  <si>
    <t>Projection</t>
  </si>
  <si>
    <t>Group turnover</t>
  </si>
  <si>
    <t>Cost of sales</t>
  </si>
  <si>
    <t>Gross profit</t>
  </si>
  <si>
    <t>Distribution costs</t>
  </si>
  <si>
    <t>Administrative expenese</t>
  </si>
  <si>
    <t>Other opearing income</t>
  </si>
  <si>
    <t>Operating profit</t>
  </si>
  <si>
    <t>% Revenue</t>
  </si>
  <si>
    <t>Interest receivables</t>
  </si>
  <si>
    <t>Interest payables</t>
  </si>
  <si>
    <t>Profit before tax</t>
  </si>
  <si>
    <t>Tax</t>
  </si>
  <si>
    <t xml:space="preserve">Profit/(loss) </t>
  </si>
  <si>
    <t>INCOME STATEMENT</t>
  </si>
  <si>
    <t>x</t>
  </si>
  <si>
    <t>n/a</t>
  </si>
  <si>
    <t>Assumptions</t>
  </si>
  <si>
    <t>Revenue Growth</t>
  </si>
  <si>
    <t xml:space="preserve">Distribution costs </t>
  </si>
  <si>
    <t>Base</t>
  </si>
  <si>
    <t>Method</t>
  </si>
  <si>
    <t>Revenue</t>
  </si>
  <si>
    <t>%</t>
  </si>
  <si>
    <t>BALANCE SHEET</t>
  </si>
  <si>
    <t>Goodwill</t>
  </si>
  <si>
    <t>PPE</t>
  </si>
  <si>
    <t>Total fixed assets</t>
  </si>
  <si>
    <t>Inventories</t>
  </si>
  <si>
    <t>Cash</t>
  </si>
  <si>
    <t>Total assets</t>
  </si>
  <si>
    <t>Current liabilities</t>
  </si>
  <si>
    <t>Porivions for liabilities</t>
  </si>
  <si>
    <t>Total liabilities</t>
  </si>
  <si>
    <t>Called up share capital</t>
  </si>
  <si>
    <t>Share premium</t>
  </si>
  <si>
    <t>Earning reserves</t>
  </si>
  <si>
    <t>Total Equity</t>
  </si>
  <si>
    <t>Total liabilities and equity</t>
  </si>
  <si>
    <t>Check</t>
  </si>
  <si>
    <t>EBIT</t>
  </si>
  <si>
    <t>Depreciation</t>
  </si>
  <si>
    <t>Amortisation</t>
  </si>
  <si>
    <t>EBITDA</t>
  </si>
  <si>
    <t>Trade debtors</t>
  </si>
  <si>
    <t>Other debtors</t>
  </si>
  <si>
    <t>Prepayments and accrued income</t>
  </si>
  <si>
    <t>Payments on account</t>
  </si>
  <si>
    <t>Derivative financial instruments</t>
  </si>
  <si>
    <t>Corporate tax</t>
  </si>
  <si>
    <t>Trade creditors</t>
  </si>
  <si>
    <t>Other taxation and social security costs</t>
  </si>
  <si>
    <t>Other creditors</t>
  </si>
  <si>
    <t>Accruals and deferred income</t>
  </si>
  <si>
    <t>Pension accrual</t>
  </si>
  <si>
    <t>Loan notes</t>
  </si>
  <si>
    <t>Accrued interest on loan notes</t>
  </si>
  <si>
    <t>Bank facility</t>
  </si>
  <si>
    <t>Incrued interest on long term loan</t>
  </si>
  <si>
    <t>Deferred taxation</t>
  </si>
  <si>
    <t>Long term loan</t>
  </si>
  <si>
    <t>CASH FLOW STATEMENTS</t>
  </si>
  <si>
    <t>Profit/(Loss)</t>
  </si>
  <si>
    <t>Sharebased payment</t>
  </si>
  <si>
    <t>Working capital movements:</t>
  </si>
  <si>
    <t>Non-cash items</t>
  </si>
  <si>
    <t xml:space="preserve">Tax income/expense </t>
  </si>
  <si>
    <t>Interest paid</t>
  </si>
  <si>
    <t>CASH FLOW FROM OPERATING ACTIVITIES</t>
  </si>
  <si>
    <t>Purcahse of PPE</t>
  </si>
  <si>
    <t>CASH FLOW FROM INVESTING ACTIVITIES</t>
  </si>
  <si>
    <t>Dividends</t>
  </si>
  <si>
    <t>CASH FLOW FROM FINANCING ACTIVITIES</t>
  </si>
  <si>
    <t>Net cash flow</t>
  </si>
  <si>
    <t>Opening cash position</t>
  </si>
  <si>
    <t>Closing cash position</t>
  </si>
  <si>
    <t>COGS</t>
  </si>
  <si>
    <t>Days</t>
  </si>
  <si>
    <t>Straight</t>
  </si>
  <si>
    <t>Admin</t>
  </si>
  <si>
    <t>Pension payment</t>
  </si>
  <si>
    <t>On</t>
  </si>
  <si>
    <t>SUPPORTING SCHEDULES</t>
  </si>
  <si>
    <t>Taxation</t>
  </si>
  <si>
    <t>Tax rate %</t>
  </si>
  <si>
    <t>Tax expense</t>
  </si>
  <si>
    <t>Current period tax expense</t>
  </si>
  <si>
    <t>Deferred tax liabilities</t>
  </si>
  <si>
    <t>Closing tax assets</t>
  </si>
  <si>
    <t>Closing tax payables/assets</t>
  </si>
  <si>
    <t>Closing tax liabilities</t>
  </si>
  <si>
    <t>Opening tax paybles/(assets)</t>
  </si>
  <si>
    <t>Tax received/paid</t>
  </si>
  <si>
    <t>Tax received/paid - CF</t>
  </si>
  <si>
    <t>Provisions</t>
  </si>
  <si>
    <t>Utilisation of provisions (cash)</t>
  </si>
  <si>
    <t>Debt Schedule</t>
  </si>
  <si>
    <t>Minimum cash balance requried</t>
  </si>
  <si>
    <t>Opening balance</t>
  </si>
  <si>
    <t>Closing balance</t>
  </si>
  <si>
    <t>Interest rate</t>
  </si>
  <si>
    <t>Mandatory repayment</t>
  </si>
  <si>
    <t xml:space="preserve">Interest </t>
  </si>
  <si>
    <t>Total cash interest</t>
  </si>
  <si>
    <t>Interest</t>
  </si>
  <si>
    <t>Years</t>
  </si>
  <si>
    <t>Interest expense</t>
  </si>
  <si>
    <t>Closing PPE balance</t>
  </si>
  <si>
    <t>Depreciation % PPE</t>
  </si>
  <si>
    <t>Capex</t>
  </si>
  <si>
    <t>Capex % Revenue</t>
  </si>
  <si>
    <t>Base asset</t>
  </si>
  <si>
    <t>Total depreciation</t>
  </si>
  <si>
    <t>Opening PPE balance</t>
  </si>
  <si>
    <t>Amoritsation</t>
  </si>
  <si>
    <t>Goodwill ending balance</t>
  </si>
  <si>
    <t>Equity</t>
  </si>
  <si>
    <t>Net income</t>
  </si>
  <si>
    <t>Stock-based compensation</t>
  </si>
  <si>
    <t>Cash dividends</t>
  </si>
  <si>
    <t>Ending balance</t>
  </si>
  <si>
    <t>Opening Equity balance</t>
  </si>
  <si>
    <t>Net cash interest rate</t>
  </si>
  <si>
    <t>Cash balance</t>
  </si>
  <si>
    <t>Scenario 1</t>
  </si>
  <si>
    <t>Scenario 2</t>
  </si>
  <si>
    <t>Scenario 3</t>
  </si>
  <si>
    <t>Scenario</t>
  </si>
  <si>
    <t>Interest Circularity</t>
  </si>
  <si>
    <t>Life Cycle</t>
  </si>
  <si>
    <t>EBITDA Multiple</t>
  </si>
  <si>
    <t>EV</t>
  </si>
  <si>
    <t>Sources</t>
  </si>
  <si>
    <t>Investor equity</t>
  </si>
  <si>
    <t>Term loan</t>
  </si>
  <si>
    <t>Secure notes</t>
  </si>
  <si>
    <t>Senior secured notes</t>
  </si>
  <si>
    <t>Transaction fee</t>
  </si>
  <si>
    <t>Financing fee</t>
  </si>
  <si>
    <t>Uses</t>
  </si>
  <si>
    <t>Shareholder equity</t>
  </si>
  <si>
    <t>Current debt</t>
  </si>
  <si>
    <t>Term loan fee</t>
  </si>
  <si>
    <t>Senior secured notes fee</t>
  </si>
  <si>
    <t>Secure notes fee</t>
  </si>
  <si>
    <t>Total sources</t>
  </si>
  <si>
    <t>Total uses</t>
  </si>
  <si>
    <t>Transaction EBITDA</t>
  </si>
  <si>
    <t xml:space="preserve">Opening </t>
  </si>
  <si>
    <t>Transaction</t>
  </si>
  <si>
    <t>Old Equity</t>
  </si>
  <si>
    <t>Old Debt</t>
  </si>
  <si>
    <t>New Equity</t>
  </si>
  <si>
    <t>TL</t>
  </si>
  <si>
    <t>SSN</t>
  </si>
  <si>
    <t>SN</t>
  </si>
  <si>
    <t>RCF (untilised)</t>
  </si>
  <si>
    <t>RCF</t>
  </si>
  <si>
    <t>RCF fee</t>
  </si>
  <si>
    <t>Tra Fee</t>
  </si>
  <si>
    <t>Capitalised fee</t>
  </si>
  <si>
    <t>Capitalised financing fee</t>
  </si>
  <si>
    <t>Off</t>
  </si>
  <si>
    <t>Installment of TL</t>
  </si>
  <si>
    <t>Optional repayment of TL</t>
  </si>
  <si>
    <t>Installment of SSN</t>
  </si>
  <si>
    <t>Optional repayment of SSN</t>
  </si>
  <si>
    <t>Installment of SN</t>
  </si>
  <si>
    <t>Optional repayment of SN</t>
  </si>
  <si>
    <t>LT</t>
  </si>
  <si>
    <t>Closing principal</t>
  </si>
  <si>
    <t>Total Balance</t>
  </si>
  <si>
    <t>Total Amortisation</t>
  </si>
  <si>
    <t>IMPLIED EXIT VALUATION</t>
  </si>
  <si>
    <t>Exit Multiple</t>
  </si>
  <si>
    <t>Total Debt</t>
  </si>
  <si>
    <t>OWNERSHIP STRUCTURE</t>
  </si>
  <si>
    <t>Total</t>
  </si>
  <si>
    <t>Equity Return</t>
  </si>
  <si>
    <t xml:space="preserve">Investment </t>
  </si>
  <si>
    <t xml:space="preserve">Total cash </t>
  </si>
  <si>
    <t>IRR</t>
  </si>
  <si>
    <t>Money Multiple</t>
  </si>
  <si>
    <t>SN Return</t>
  </si>
  <si>
    <t>Principal</t>
  </si>
  <si>
    <t>SCENARIO ANALYSIS</t>
  </si>
  <si>
    <t>5-year Exit Multiple</t>
  </si>
  <si>
    <t>Cash sweep</t>
  </si>
  <si>
    <t>Draw</t>
  </si>
  <si>
    <t>Repayment</t>
  </si>
  <si>
    <t>Cash available before RCF</t>
  </si>
  <si>
    <t>Cash available/(required) for RCF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</si>
</sst>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;[Red]\-#,##0.0"/>
    <numFmt numFmtId="168" formatCode="0.0\x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b/>
      <sz val="14"/>
      <color theme="1"/>
      <name val="Arial"/>
      <family val="2"/>
    </font>
    <font>
      <b/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6" fontId="6" fillId="2" borderId="0" xfId="0" quotePrefix="1" applyNumberFormat="1" applyFont="1" applyFill="1"/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9" fillId="0" borderId="0" xfId="0" applyFont="1"/>
    <xf numFmtId="0" fontId="10" fillId="0" borderId="0" xfId="0" applyFont="1"/>
    <xf numFmtId="0" fontId="9" fillId="4" borderId="0" xfId="0" applyFont="1" applyFill="1"/>
    <xf numFmtId="0" fontId="3" fillId="4" borderId="0" xfId="0" applyFont="1" applyFill="1"/>
    <xf numFmtId="164" fontId="3" fillId="0" borderId="0" xfId="1" applyNumberFormat="1" applyFont="1"/>
    <xf numFmtId="38" fontId="3" fillId="3" borderId="0" xfId="1" applyNumberFormat="1" applyFont="1" applyFill="1"/>
    <xf numFmtId="38" fontId="3" fillId="0" borderId="0" xfId="1" applyNumberFormat="1" applyFont="1"/>
    <xf numFmtId="38" fontId="9" fillId="0" borderId="1" xfId="1" applyNumberFormat="1" applyFont="1" applyBorder="1"/>
    <xf numFmtId="0" fontId="11" fillId="5" borderId="0" xfId="0" applyFont="1" applyFill="1"/>
    <xf numFmtId="0" fontId="3" fillId="5" borderId="0" xfId="0" applyFont="1" applyFill="1"/>
    <xf numFmtId="0" fontId="9" fillId="5" borderId="0" xfId="0" applyFont="1" applyFill="1"/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right"/>
    </xf>
    <xf numFmtId="10" fontId="10" fillId="5" borderId="0" xfId="2" applyNumberFormat="1" applyFont="1" applyFill="1" applyAlignment="1">
      <alignment horizontal="right"/>
    </xf>
    <xf numFmtId="38" fontId="9" fillId="0" borderId="2" xfId="1" applyNumberFormat="1" applyFont="1" applyBorder="1"/>
    <xf numFmtId="0" fontId="3" fillId="0" borderId="0" xfId="0" applyFont="1" applyAlignment="1">
      <alignment wrapText="1"/>
    </xf>
    <xf numFmtId="166" fontId="10" fillId="0" borderId="0" xfId="0" applyNumberFormat="1" applyFont="1"/>
    <xf numFmtId="0" fontId="3" fillId="6" borderId="0" xfId="0" applyFont="1" applyFill="1"/>
    <xf numFmtId="0" fontId="9" fillId="6" borderId="0" xfId="0" applyFont="1" applyFill="1"/>
    <xf numFmtId="38" fontId="3" fillId="6" borderId="0" xfId="0" applyNumberFormat="1" applyFont="1" applyFill="1"/>
    <xf numFmtId="0" fontId="3" fillId="7" borderId="0" xfId="0" applyFont="1" applyFill="1"/>
    <xf numFmtId="0" fontId="3" fillId="7" borderId="1" xfId="0" applyFont="1" applyFill="1" applyBorder="1"/>
    <xf numFmtId="0" fontId="3" fillId="7" borderId="2" xfId="0" applyFont="1" applyFill="1" applyBorder="1"/>
    <xf numFmtId="0" fontId="10" fillId="7" borderId="0" xfId="0" applyFont="1" applyFill="1"/>
    <xf numFmtId="38" fontId="9" fillId="6" borderId="1" xfId="0" applyNumberFormat="1" applyFont="1" applyFill="1" applyBorder="1"/>
    <xf numFmtId="10" fontId="12" fillId="5" borderId="0" xfId="2" applyNumberFormat="1" applyFont="1" applyFill="1" applyAlignment="1">
      <alignment horizontal="right"/>
    </xf>
    <xf numFmtId="38" fontId="3" fillId="0" borderId="0" xfId="1" applyNumberFormat="1" applyFont="1" applyFill="1"/>
    <xf numFmtId="38" fontId="3" fillId="5" borderId="0" xfId="0" applyNumberFormat="1" applyFont="1" applyFill="1"/>
    <xf numFmtId="166" fontId="3" fillId="5" borderId="0" xfId="0" applyNumberFormat="1" applyFont="1" applyFill="1"/>
    <xf numFmtId="165" fontId="3" fillId="5" borderId="0" xfId="2" applyNumberFormat="1" applyFont="1" applyFill="1"/>
    <xf numFmtId="166" fontId="13" fillId="5" borderId="0" xfId="0" applyNumberFormat="1" applyFont="1" applyFill="1"/>
    <xf numFmtId="165" fontId="13" fillId="5" borderId="0" xfId="0" applyNumberFormat="1" applyFont="1" applyFill="1"/>
    <xf numFmtId="38" fontId="13" fillId="5" borderId="0" xfId="0" applyNumberFormat="1" applyFont="1" applyFill="1"/>
    <xf numFmtId="38" fontId="3" fillId="0" borderId="0" xfId="0" applyNumberFormat="1" applyFont="1"/>
    <xf numFmtId="38" fontId="9" fillId="0" borderId="0" xfId="0" applyNumberFormat="1" applyFont="1"/>
    <xf numFmtId="38" fontId="9" fillId="0" borderId="1" xfId="0" applyNumberFormat="1" applyFont="1" applyBorder="1"/>
    <xf numFmtId="38" fontId="3" fillId="0" borderId="2" xfId="0" applyNumberFormat="1" applyFont="1" applyBorder="1"/>
    <xf numFmtId="38" fontId="10" fillId="0" borderId="0" xfId="0" applyNumberFormat="1" applyFont="1"/>
    <xf numFmtId="0" fontId="10" fillId="8" borderId="0" xfId="0" applyFont="1" applyFill="1" applyAlignment="1">
      <alignment horizontal="right"/>
    </xf>
    <xf numFmtId="0" fontId="14" fillId="0" borderId="0" xfId="0" applyFont="1"/>
    <xf numFmtId="9" fontId="12" fillId="9" borderId="0" xfId="2" applyFont="1" applyFill="1"/>
    <xf numFmtId="0" fontId="11" fillId="0" borderId="0" xfId="0" applyFont="1"/>
    <xf numFmtId="38" fontId="13" fillId="9" borderId="0" xfId="0" applyNumberFormat="1" applyFont="1" applyFill="1"/>
    <xf numFmtId="165" fontId="3" fillId="0" borderId="0" xfId="2" applyNumberFormat="1" applyFont="1"/>
    <xf numFmtId="165" fontId="12" fillId="9" borderId="0" xfId="2" applyNumberFormat="1" applyFont="1" applyFill="1"/>
    <xf numFmtId="1" fontId="3" fillId="0" borderId="0" xfId="0" applyNumberFormat="1" applyFont="1"/>
    <xf numFmtId="38" fontId="9" fillId="0" borderId="2" xfId="0" applyNumberFormat="1" applyFont="1" applyBorder="1"/>
    <xf numFmtId="38" fontId="3" fillId="0" borderId="0" xfId="0" applyNumberFormat="1" applyFont="1" applyBorder="1"/>
    <xf numFmtId="0" fontId="3" fillId="0" borderId="0" xfId="0" applyFont="1" applyBorder="1"/>
    <xf numFmtId="0" fontId="11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3" fillId="10" borderId="0" xfId="0" applyFont="1" applyFill="1"/>
    <xf numFmtId="38" fontId="9" fillId="10" borderId="2" xfId="0" applyNumberFormat="1" applyFont="1" applyFill="1" applyBorder="1"/>
    <xf numFmtId="0" fontId="3" fillId="2" borderId="0" xfId="0" applyFont="1" applyFill="1"/>
    <xf numFmtId="38" fontId="3" fillId="2" borderId="0" xfId="1" applyNumberFormat="1" applyFont="1" applyFill="1"/>
    <xf numFmtId="0" fontId="9" fillId="0" borderId="2" xfId="0" applyFont="1" applyBorder="1"/>
    <xf numFmtId="0" fontId="10" fillId="0" borderId="0" xfId="0" applyFont="1" applyAlignment="1">
      <alignment horizontal="right"/>
    </xf>
    <xf numFmtId="6" fontId="6" fillId="11" borderId="0" xfId="0" quotePrefix="1" applyNumberFormat="1" applyFont="1" applyFill="1"/>
    <xf numFmtId="0" fontId="2" fillId="11" borderId="0" xfId="0" applyFont="1" applyFill="1"/>
    <xf numFmtId="0" fontId="8" fillId="11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165" fontId="10" fillId="0" borderId="0" xfId="2" applyNumberFormat="1" applyFont="1"/>
    <xf numFmtId="0" fontId="9" fillId="12" borderId="0" xfId="0" applyFont="1" applyFill="1"/>
    <xf numFmtId="0" fontId="3" fillId="12" borderId="0" xfId="0" applyFont="1" applyFill="1"/>
    <xf numFmtId="0" fontId="3" fillId="0" borderId="0" xfId="0" applyFont="1" applyAlignment="1">
      <alignment horizontal="left" indent="1"/>
    </xf>
    <xf numFmtId="0" fontId="3" fillId="0" borderId="2" xfId="0" applyFont="1" applyBorder="1"/>
    <xf numFmtId="9" fontId="10" fillId="8" borderId="0" xfId="0" applyNumberFormat="1" applyFont="1" applyFill="1" applyAlignment="1">
      <alignment horizontal="right"/>
    </xf>
    <xf numFmtId="168" fontId="10" fillId="8" borderId="0" xfId="0" applyNumberFormat="1" applyFont="1" applyFill="1" applyAlignment="1">
      <alignment horizontal="right"/>
    </xf>
    <xf numFmtId="38" fontId="3" fillId="13" borderId="0" xfId="0" applyNumberFormat="1" applyFont="1" applyFill="1"/>
    <xf numFmtId="0" fontId="8" fillId="2" borderId="0" xfId="0" applyFont="1" applyFill="1"/>
    <xf numFmtId="0" fontId="15" fillId="13" borderId="0" xfId="0" applyFont="1" applyFill="1" applyAlignment="1">
      <alignment horizontal="right"/>
    </xf>
    <xf numFmtId="38" fontId="9" fillId="0" borderId="1" xfId="1" applyNumberFormat="1" applyFont="1" applyFill="1" applyBorder="1"/>
    <xf numFmtId="0" fontId="3" fillId="0" borderId="0" xfId="0" applyFont="1" applyFill="1"/>
    <xf numFmtId="38" fontId="9" fillId="0" borderId="0" xfId="0" applyNumberFormat="1" applyFont="1" applyBorder="1"/>
    <xf numFmtId="9" fontId="9" fillId="0" borderId="0" xfId="0" applyNumberFormat="1" applyFont="1"/>
    <xf numFmtId="17" fontId="3" fillId="4" borderId="0" xfId="0" applyNumberFormat="1" applyFont="1" applyFill="1"/>
    <xf numFmtId="10" fontId="3" fillId="0" borderId="0" xfId="2" applyNumberFormat="1" applyFont="1"/>
    <xf numFmtId="168" fontId="10" fillId="0" borderId="0" xfId="0" applyNumberFormat="1" applyFont="1" applyFill="1" applyAlignment="1">
      <alignment horizontal="right"/>
    </xf>
    <xf numFmtId="0" fontId="9" fillId="14" borderId="0" xfId="0" applyFont="1" applyFill="1"/>
    <xf numFmtId="0" fontId="3" fillId="14" borderId="0" xfId="0" applyFont="1" applyFill="1"/>
    <xf numFmtId="168" fontId="3" fillId="0" borderId="4" xfId="0" applyNumberFormat="1" applyFont="1" applyBorder="1"/>
    <xf numFmtId="0" fontId="3" fillId="0" borderId="5" xfId="0" applyFont="1" applyBorder="1"/>
    <xf numFmtId="10" fontId="2" fillId="0" borderId="0" xfId="0" applyNumberFormat="1" applyFont="1"/>
    <xf numFmtId="0" fontId="9" fillId="0" borderId="0" xfId="0" applyFont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  <xf numFmtId="0" fontId="3" fillId="15" borderId="0" xfId="0" applyFont="1" applyFill="1"/>
    <xf numFmtId="38" fontId="3" fillId="15" borderId="0" xfId="0" applyNumberFormat="1" applyFont="1" applyFill="1" applyBorder="1"/>
    <xf numFmtId="38" fontId="13" fillId="9" borderId="0" xfId="0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="90" zoomScaleNormal="90" workbookViewId="0">
      <selection activeCell="C7" sqref="C7"/>
    </sheetView>
  </sheetViews>
  <sheetFormatPr defaultRowHeight="13.2" x14ac:dyDescent="0.25"/>
  <cols>
    <col min="1" max="1" width="2.77734375" style="2" customWidth="1"/>
    <col min="2" max="2" width="18.5546875" style="2" bestFit="1" customWidth="1"/>
    <col min="3" max="4" width="8.88671875" style="2"/>
    <col min="5" max="5" width="18.5546875" style="2" bestFit="1" customWidth="1"/>
    <col min="6" max="6" width="8.88671875" style="2"/>
    <col min="7" max="8" width="11.44140625" style="2" customWidth="1"/>
    <col min="9" max="9" width="20.6640625" style="2" customWidth="1"/>
    <col min="10" max="12" width="11.44140625" style="2" customWidth="1"/>
    <col min="13" max="16384" width="8.88671875" style="2"/>
  </cols>
  <sheetData>
    <row r="1" spans="1:12" s="1" customFormat="1" ht="17.399999999999999" x14ac:dyDescent="0.3">
      <c r="A1" s="4" t="s">
        <v>0</v>
      </c>
    </row>
    <row r="2" spans="1:12" s="1" customFormat="1" ht="15.6" x14ac:dyDescent="0.3">
      <c r="A2" s="3" t="s">
        <v>2</v>
      </c>
      <c r="G2" s="6"/>
      <c r="H2" s="6"/>
      <c r="I2" s="6"/>
      <c r="J2" s="6"/>
      <c r="K2" s="6"/>
      <c r="L2" s="6"/>
    </row>
    <row r="3" spans="1:12" s="1" customFormat="1" ht="15" x14ac:dyDescent="0.25">
      <c r="A3" s="5" t="s">
        <v>1</v>
      </c>
      <c r="G3" s="7"/>
      <c r="H3" s="7"/>
      <c r="I3" s="7"/>
      <c r="J3" s="7"/>
      <c r="K3" s="7"/>
      <c r="L3" s="7"/>
    </row>
    <row r="5" spans="1:12" x14ac:dyDescent="0.25">
      <c r="B5" s="2" t="s">
        <v>151</v>
      </c>
      <c r="C5" s="42">
        <f>'Financial Statements'!H30</f>
        <v>8276</v>
      </c>
      <c r="E5" s="72" t="s">
        <v>136</v>
      </c>
      <c r="F5" s="73"/>
      <c r="G5" s="73"/>
      <c r="I5" s="72" t="s">
        <v>143</v>
      </c>
      <c r="J5" s="73"/>
      <c r="K5" s="73"/>
    </row>
    <row r="6" spans="1:12" x14ac:dyDescent="0.25">
      <c r="B6" s="2" t="s">
        <v>134</v>
      </c>
      <c r="C6" s="77">
        <v>9</v>
      </c>
      <c r="E6" s="2" t="s">
        <v>137</v>
      </c>
      <c r="G6" s="42">
        <f>G13-SUM(G7:G9)</f>
        <v>33104</v>
      </c>
      <c r="I6" s="2" t="s">
        <v>144</v>
      </c>
      <c r="K6" s="42">
        <f>K13-SUM(K7:K12)</f>
        <v>38450.6</v>
      </c>
    </row>
    <row r="7" spans="1:12" x14ac:dyDescent="0.25">
      <c r="B7" s="8" t="s">
        <v>135</v>
      </c>
      <c r="C7" s="43">
        <f>C5*C6</f>
        <v>74484</v>
      </c>
      <c r="E7" s="2" t="s">
        <v>138</v>
      </c>
      <c r="G7" s="78">
        <f>$C$5*C10</f>
        <v>20690</v>
      </c>
      <c r="I7" s="2" t="s">
        <v>145</v>
      </c>
      <c r="K7" s="78">
        <f>'Financial Statements'!O70+'Financial Statements'!O75+'Financial Statements'!O74+'Financial Statements'!O71</f>
        <v>34792</v>
      </c>
    </row>
    <row r="8" spans="1:12" x14ac:dyDescent="0.25">
      <c r="E8" s="2" t="s">
        <v>140</v>
      </c>
      <c r="G8" s="78">
        <f>$C$5*C11</f>
        <v>12414</v>
      </c>
      <c r="I8" s="2" t="s">
        <v>141</v>
      </c>
      <c r="K8" s="78">
        <f>C15</f>
        <v>744.84</v>
      </c>
    </row>
    <row r="9" spans="1:12" x14ac:dyDescent="0.25">
      <c r="B9" s="2" t="s">
        <v>160</v>
      </c>
      <c r="C9" s="77">
        <v>1</v>
      </c>
      <c r="E9" s="2" t="s">
        <v>139</v>
      </c>
      <c r="G9" s="78">
        <f>$C$5*C12</f>
        <v>8276</v>
      </c>
      <c r="I9" s="2" t="s">
        <v>162</v>
      </c>
      <c r="K9" s="78">
        <f>C18</f>
        <v>82.76</v>
      </c>
    </row>
    <row r="10" spans="1:12" x14ac:dyDescent="0.25">
      <c r="B10" s="2" t="s">
        <v>138</v>
      </c>
      <c r="C10" s="77">
        <v>2.5</v>
      </c>
      <c r="I10" s="2" t="s">
        <v>146</v>
      </c>
      <c r="K10" s="78">
        <f>C19</f>
        <v>206.9</v>
      </c>
    </row>
    <row r="11" spans="1:12" x14ac:dyDescent="0.25">
      <c r="B11" s="2" t="s">
        <v>140</v>
      </c>
      <c r="C11" s="77">
        <v>1.5</v>
      </c>
      <c r="I11" s="2" t="s">
        <v>147</v>
      </c>
      <c r="K11" s="78">
        <f>C20</f>
        <v>124.14</v>
      </c>
    </row>
    <row r="12" spans="1:12" x14ac:dyDescent="0.25">
      <c r="B12" s="2" t="s">
        <v>139</v>
      </c>
      <c r="C12" s="77">
        <v>1</v>
      </c>
      <c r="I12" s="2" t="s">
        <v>148</v>
      </c>
      <c r="K12" s="78">
        <f>C21</f>
        <v>82.76</v>
      </c>
    </row>
    <row r="13" spans="1:12" ht="13.8" thickBot="1" x14ac:dyDescent="0.3">
      <c r="E13" s="65" t="s">
        <v>149</v>
      </c>
      <c r="F13" s="75"/>
      <c r="G13" s="55">
        <f>C7</f>
        <v>74484</v>
      </c>
      <c r="I13" s="65" t="s">
        <v>150</v>
      </c>
      <c r="J13" s="75"/>
      <c r="K13" s="55">
        <f>G13</f>
        <v>74484</v>
      </c>
    </row>
    <row r="14" spans="1:12" ht="13.8" thickTop="1" x14ac:dyDescent="0.25">
      <c r="B14" s="8" t="s">
        <v>141</v>
      </c>
      <c r="C14" s="76">
        <v>0.01</v>
      </c>
    </row>
    <row r="15" spans="1:12" x14ac:dyDescent="0.25">
      <c r="B15" s="74" t="s">
        <v>141</v>
      </c>
      <c r="C15" s="42">
        <f>C14*C7</f>
        <v>744.84</v>
      </c>
    </row>
    <row r="17" spans="2:3" x14ac:dyDescent="0.25">
      <c r="B17" s="8" t="s">
        <v>142</v>
      </c>
      <c r="C17" s="76">
        <v>0.01</v>
      </c>
    </row>
    <row r="18" spans="2:3" x14ac:dyDescent="0.25">
      <c r="B18" s="74" t="s">
        <v>161</v>
      </c>
      <c r="C18" s="42">
        <f>C5*C9*C17</f>
        <v>82.76</v>
      </c>
    </row>
    <row r="19" spans="2:3" x14ac:dyDescent="0.25">
      <c r="B19" s="74" t="s">
        <v>138</v>
      </c>
      <c r="C19" s="42">
        <f>$C$17*G7</f>
        <v>206.9</v>
      </c>
    </row>
    <row r="20" spans="2:3" x14ac:dyDescent="0.25">
      <c r="B20" s="74" t="s">
        <v>140</v>
      </c>
      <c r="C20" s="42">
        <f>$C$17*G8</f>
        <v>124.14</v>
      </c>
    </row>
    <row r="21" spans="2:3" x14ac:dyDescent="0.25">
      <c r="B21" s="74" t="s">
        <v>139</v>
      </c>
      <c r="C21" s="42">
        <f>$C$17*G9</f>
        <v>82.76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showGridLines="0" topLeftCell="A25" zoomScale="80" zoomScaleNormal="80" workbookViewId="0">
      <selection activeCell="R15" sqref="R15"/>
    </sheetView>
  </sheetViews>
  <sheetFormatPr defaultRowHeight="13.2" x14ac:dyDescent="0.25"/>
  <cols>
    <col min="1" max="1" width="2.77734375" style="2" customWidth="1"/>
    <col min="2" max="2" width="18.5546875" style="2" bestFit="1" customWidth="1"/>
    <col min="3" max="4" width="8.88671875" style="2"/>
    <col min="5" max="5" width="18.5546875" style="2" bestFit="1" customWidth="1"/>
    <col min="6" max="6" width="8.88671875" style="2"/>
    <col min="7" max="8" width="11.44140625" style="2" customWidth="1"/>
    <col min="9" max="9" width="12.77734375" style="2" customWidth="1"/>
    <col min="10" max="12" width="11.44140625" style="2" customWidth="1"/>
    <col min="13" max="13" width="10.88671875" style="2" customWidth="1"/>
    <col min="14" max="16384" width="8.88671875" style="2"/>
  </cols>
  <sheetData>
    <row r="1" spans="1:25" s="1" customFormat="1" ht="17.399999999999999" x14ac:dyDescent="0.3">
      <c r="A1" s="4" t="s">
        <v>0</v>
      </c>
    </row>
    <row r="2" spans="1:25" s="1" customFormat="1" ht="15.6" x14ac:dyDescent="0.3">
      <c r="A2" s="3" t="s">
        <v>2</v>
      </c>
      <c r="G2" s="6">
        <v>2016</v>
      </c>
      <c r="H2" s="6">
        <f t="shared" ref="H2:M2" si="0">G2+1</f>
        <v>2017</v>
      </c>
      <c r="I2" s="6">
        <f t="shared" si="0"/>
        <v>2018</v>
      </c>
      <c r="J2" s="6">
        <f t="shared" si="0"/>
        <v>2019</v>
      </c>
      <c r="K2" s="6">
        <f t="shared" si="0"/>
        <v>2020</v>
      </c>
      <c r="L2" s="6">
        <f t="shared" si="0"/>
        <v>2021</v>
      </c>
      <c r="M2" s="6">
        <f t="shared" si="0"/>
        <v>2022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1" customFormat="1" ht="15" x14ac:dyDescent="0.25">
      <c r="A3" s="5" t="s">
        <v>1</v>
      </c>
      <c r="G3" s="7" t="s">
        <v>3</v>
      </c>
      <c r="H3" s="7" t="s">
        <v>153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5" spans="1:25" x14ac:dyDescent="0.25">
      <c r="A5" s="2" t="s">
        <v>19</v>
      </c>
      <c r="B5" s="10" t="s">
        <v>177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25" x14ac:dyDescent="0.25">
      <c r="B6" s="2" t="s">
        <v>47</v>
      </c>
      <c r="I6" s="42">
        <f>'Financial Statements'!I30</f>
        <v>6522.4882546787749</v>
      </c>
      <c r="J6" s="42">
        <f>'Financial Statements'!J30</f>
        <v>8338.629385702201</v>
      </c>
      <c r="K6" s="42">
        <f>'Financial Statements'!K30</f>
        <v>10411.724674827967</v>
      </c>
      <c r="L6" s="42">
        <f>'Financial Statements'!L30</f>
        <v>12468.145742208288</v>
      </c>
      <c r="M6" s="42">
        <f>'Financial Statements'!M30</f>
        <v>14524.612912483688</v>
      </c>
    </row>
    <row r="7" spans="1:25" x14ac:dyDescent="0.25">
      <c r="B7" s="2" t="s">
        <v>178</v>
      </c>
      <c r="I7" s="77">
        <v>10</v>
      </c>
      <c r="J7" s="77">
        <v>10</v>
      </c>
      <c r="K7" s="77">
        <v>10</v>
      </c>
      <c r="L7" s="77">
        <v>10</v>
      </c>
      <c r="M7" s="77">
        <v>10</v>
      </c>
    </row>
    <row r="8" spans="1:25" x14ac:dyDescent="0.25">
      <c r="B8" s="8" t="s">
        <v>135</v>
      </c>
      <c r="I8" s="43">
        <f>I6*I7</f>
        <v>65224.882546787747</v>
      </c>
      <c r="J8" s="43">
        <f t="shared" ref="J8:M8" si="1">J6*J7</f>
        <v>83386.293857022014</v>
      </c>
      <c r="K8" s="43">
        <f t="shared" si="1"/>
        <v>104117.24674827966</v>
      </c>
      <c r="L8" s="43">
        <f t="shared" si="1"/>
        <v>124681.45742208288</v>
      </c>
      <c r="M8" s="43">
        <f t="shared" si="1"/>
        <v>145246.12912483688</v>
      </c>
    </row>
    <row r="10" spans="1:25" x14ac:dyDescent="0.25">
      <c r="B10" s="2" t="s">
        <v>179</v>
      </c>
      <c r="I10" s="42">
        <f ca="1">SUM('Financial Statements'!I76:I79)</f>
        <v>36910.959999999999</v>
      </c>
      <c r="J10" s="42">
        <f ca="1">SUM('Financial Statements'!J76:J79)</f>
        <v>39040.402478190786</v>
      </c>
      <c r="K10" s="42">
        <f ca="1">SUM('Financial Statements'!K76:K79)</f>
        <v>40068.690169281908</v>
      </c>
      <c r="L10" s="42">
        <f ca="1">SUM('Financial Statements'!L76:L79)</f>
        <v>39905.58036067248</v>
      </c>
      <c r="M10" s="42">
        <f ca="1">SUM('Financial Statements'!M76:M79)</f>
        <v>36607.420325708954</v>
      </c>
    </row>
    <row r="11" spans="1:25" x14ac:dyDescent="0.25">
      <c r="B11" s="2" t="s">
        <v>33</v>
      </c>
      <c r="I11" s="42">
        <f ca="1">'Financial Statements'!I58</f>
        <v>1053.6151458052163</v>
      </c>
      <c r="J11" s="42">
        <f ca="1">'Financial Statements'!J58</f>
        <v>1000</v>
      </c>
      <c r="K11" s="42">
        <f ca="1">'Financial Statements'!K58</f>
        <v>1000.0000000000009</v>
      </c>
      <c r="L11" s="42">
        <f ca="1">'Financial Statements'!L58</f>
        <v>999.99999999937154</v>
      </c>
      <c r="M11" s="42">
        <f ca="1">'Financial Statements'!M58</f>
        <v>999.999999665838</v>
      </c>
    </row>
    <row r="12" spans="1:25" x14ac:dyDescent="0.25">
      <c r="B12" s="8" t="s">
        <v>120</v>
      </c>
      <c r="I12" s="43">
        <f ca="1">I8-I10+I11</f>
        <v>29367.537692592963</v>
      </c>
      <c r="J12" s="43">
        <f t="shared" ref="J12:M12" ca="1" si="2">J8-J10+J11</f>
        <v>45345.891378831227</v>
      </c>
      <c r="K12" s="43">
        <f t="shared" ca="1" si="2"/>
        <v>65048.556578997755</v>
      </c>
      <c r="L12" s="43">
        <f t="shared" ca="1" si="2"/>
        <v>85775.877061409774</v>
      </c>
      <c r="M12" s="43">
        <f t="shared" ca="1" si="2"/>
        <v>109638.70879879377</v>
      </c>
    </row>
    <row r="15" spans="1:25" x14ac:dyDescent="0.25">
      <c r="A15" s="2" t="s">
        <v>19</v>
      </c>
      <c r="B15" s="10" t="s">
        <v>180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25" x14ac:dyDescent="0.25">
      <c r="B16" s="2" t="s">
        <v>120</v>
      </c>
      <c r="H16" s="42"/>
      <c r="M16" s="76">
        <v>0.95</v>
      </c>
    </row>
    <row r="17" spans="1:13" x14ac:dyDescent="0.25">
      <c r="B17" s="2" t="s">
        <v>159</v>
      </c>
      <c r="H17" s="42"/>
      <c r="M17" s="76">
        <v>0.05</v>
      </c>
    </row>
    <row r="18" spans="1:13" x14ac:dyDescent="0.25">
      <c r="B18" s="8" t="s">
        <v>181</v>
      </c>
      <c r="H18" s="43"/>
      <c r="M18" s="84">
        <f>SUM(M16:M17)</f>
        <v>1</v>
      </c>
    </row>
    <row r="20" spans="1:13" x14ac:dyDescent="0.25">
      <c r="A20" s="2" t="s">
        <v>19</v>
      </c>
      <c r="B20" s="10" t="s">
        <v>182</v>
      </c>
      <c r="C20" s="11"/>
      <c r="D20" s="11"/>
      <c r="E20" s="11"/>
      <c r="F20" s="11"/>
      <c r="G20" s="11"/>
      <c r="H20" s="85">
        <v>42736</v>
      </c>
      <c r="I20" s="85">
        <v>43101</v>
      </c>
      <c r="J20" s="85">
        <v>43466</v>
      </c>
      <c r="K20" s="85">
        <v>43831</v>
      </c>
      <c r="L20" s="85">
        <v>44197</v>
      </c>
      <c r="M20" s="85">
        <v>44562</v>
      </c>
    </row>
    <row r="22" spans="1:13" x14ac:dyDescent="0.25">
      <c r="B22" s="2" t="s">
        <v>183</v>
      </c>
      <c r="H22" s="42">
        <f>-'Sources and Uses'!G6</f>
        <v>-33104</v>
      </c>
      <c r="I22" s="42"/>
      <c r="J22" s="42"/>
      <c r="K22" s="42"/>
      <c r="L22" s="42"/>
      <c r="M22" s="42">
        <f ca="1">M16*M12</f>
        <v>104156.77335885407</v>
      </c>
    </row>
    <row r="23" spans="1:13" x14ac:dyDescent="0.25">
      <c r="B23" s="2" t="s">
        <v>108</v>
      </c>
    </row>
    <row r="24" spans="1:13" ht="13.8" thickBot="1" x14ac:dyDescent="0.3">
      <c r="B24" s="65" t="s">
        <v>184</v>
      </c>
      <c r="C24" s="65"/>
      <c r="D24" s="65"/>
      <c r="E24" s="65"/>
      <c r="F24" s="65"/>
      <c r="G24" s="65"/>
      <c r="H24" s="55">
        <f>SUM(H22:H23)</f>
        <v>-33104</v>
      </c>
      <c r="I24" s="55">
        <f t="shared" ref="I24:M24" si="3">SUM(I22:I23)</f>
        <v>0</v>
      </c>
      <c r="J24" s="55">
        <f t="shared" si="3"/>
        <v>0</v>
      </c>
      <c r="K24" s="55">
        <f t="shared" si="3"/>
        <v>0</v>
      </c>
      <c r="L24" s="55">
        <f t="shared" si="3"/>
        <v>0</v>
      </c>
      <c r="M24" s="55">
        <f t="shared" ca="1" si="3"/>
        <v>104156.77335885407</v>
      </c>
    </row>
    <row r="25" spans="1:13" ht="13.8" thickTop="1" x14ac:dyDescent="0.25"/>
    <row r="26" spans="1:13" x14ac:dyDescent="0.25">
      <c r="B26" s="8" t="s">
        <v>185</v>
      </c>
      <c r="C26" s="86">
        <f ca="1">XIRR(H24:M24,H20:M20)</f>
        <v>0.25749679207801823</v>
      </c>
    </row>
    <row r="27" spans="1:13" x14ac:dyDescent="0.25">
      <c r="B27" s="8" t="s">
        <v>186</v>
      </c>
      <c r="C27" s="87">
        <f ca="1">SUM(I24:M24)/ABS(H24)</f>
        <v>3.1463500893805603</v>
      </c>
    </row>
    <row r="30" spans="1:13" x14ac:dyDescent="0.25">
      <c r="A30" s="2" t="s">
        <v>19</v>
      </c>
      <c r="B30" s="10" t="s">
        <v>187</v>
      </c>
      <c r="C30" s="11"/>
      <c r="D30" s="11"/>
      <c r="E30" s="11"/>
      <c r="F30" s="11"/>
      <c r="G30" s="11"/>
      <c r="H30" s="85">
        <v>42736</v>
      </c>
      <c r="I30" s="85">
        <v>43101</v>
      </c>
      <c r="J30" s="85">
        <v>43466</v>
      </c>
      <c r="K30" s="85">
        <v>43831</v>
      </c>
      <c r="L30" s="85">
        <v>44197</v>
      </c>
      <c r="M30" s="85">
        <v>44562</v>
      </c>
    </row>
    <row r="32" spans="1:13" x14ac:dyDescent="0.25">
      <c r="B32" s="2" t="s">
        <v>183</v>
      </c>
      <c r="H32" s="42">
        <f>-'Sources and Uses'!G9</f>
        <v>-8276</v>
      </c>
      <c r="I32" s="42"/>
      <c r="J32" s="42"/>
      <c r="K32" s="42"/>
      <c r="L32" s="42"/>
      <c r="M32" s="42">
        <f ca="1">M12*M17</f>
        <v>5481.9354399396889</v>
      </c>
    </row>
    <row r="33" spans="1:13" x14ac:dyDescent="0.25">
      <c r="B33" s="2" t="s">
        <v>108</v>
      </c>
      <c r="I33" s="54">
        <f>'Financial Statements'!I247</f>
        <v>827.6</v>
      </c>
      <c r="J33" s="54">
        <f>'Financial Statements'!J247</f>
        <v>827.6</v>
      </c>
      <c r="K33" s="54">
        <f>'Financial Statements'!K247</f>
        <v>827.6</v>
      </c>
      <c r="L33" s="54">
        <f>'Financial Statements'!L247</f>
        <v>827.6</v>
      </c>
      <c r="M33" s="54">
        <f>'Financial Statements'!M247</f>
        <v>0</v>
      </c>
    </row>
    <row r="34" spans="1:13" x14ac:dyDescent="0.25">
      <c r="B34" s="2" t="s">
        <v>188</v>
      </c>
      <c r="I34" s="54"/>
      <c r="J34" s="54"/>
      <c r="K34" s="54"/>
      <c r="L34" s="54"/>
      <c r="M34" s="42">
        <f>-H32</f>
        <v>8276</v>
      </c>
    </row>
    <row r="35" spans="1:13" ht="13.8" thickBot="1" x14ac:dyDescent="0.3">
      <c r="B35" s="65" t="s">
        <v>184</v>
      </c>
      <c r="C35" s="65"/>
      <c r="D35" s="65"/>
      <c r="E35" s="65"/>
      <c r="F35" s="65"/>
      <c r="G35" s="65"/>
      <c r="H35" s="55">
        <f t="shared" ref="H35" si="4">H32+H33+H34</f>
        <v>-8276</v>
      </c>
      <c r="I35" s="55">
        <f>I32+I33+I34</f>
        <v>827.6</v>
      </c>
      <c r="J35" s="55">
        <f t="shared" ref="J35:M35" si="5">J32+J33+J34</f>
        <v>827.6</v>
      </c>
      <c r="K35" s="55">
        <f t="shared" si="5"/>
        <v>827.6</v>
      </c>
      <c r="L35" s="55">
        <f>L32+L33+L34</f>
        <v>827.6</v>
      </c>
      <c r="M35" s="55">
        <f ca="1">M32+M33+M34</f>
        <v>13757.935439939689</v>
      </c>
    </row>
    <row r="36" spans="1:13" ht="13.8" thickTop="1" x14ac:dyDescent="0.25"/>
    <row r="37" spans="1:13" x14ac:dyDescent="0.25">
      <c r="B37" s="8" t="s">
        <v>185</v>
      </c>
      <c r="C37" s="86">
        <f ca="1">XIRR(H35:M35,H30:M30)</f>
        <v>0.17869918942451485</v>
      </c>
    </row>
    <row r="38" spans="1:13" x14ac:dyDescent="0.25">
      <c r="B38" s="8" t="s">
        <v>186</v>
      </c>
      <c r="C38" s="87">
        <f ca="1">SUM(I35:M35)/ABS(H35)</f>
        <v>2.0623894925011705</v>
      </c>
    </row>
    <row r="40" spans="1:13" ht="13.8" thickBot="1" x14ac:dyDescent="0.3"/>
    <row r="41" spans="1:13" ht="13.8" thickBot="1" x14ac:dyDescent="0.3">
      <c r="B41" s="88" t="s">
        <v>189</v>
      </c>
      <c r="C41" s="89"/>
      <c r="D41" s="94">
        <v>1</v>
      </c>
      <c r="E41" s="89"/>
      <c r="F41" s="89"/>
      <c r="G41" s="89"/>
      <c r="H41" s="89"/>
      <c r="I41" s="89"/>
      <c r="J41" s="89"/>
      <c r="K41" s="89"/>
      <c r="L41" s="89"/>
      <c r="M41" s="89"/>
    </row>
    <row r="43" spans="1:13" x14ac:dyDescent="0.25">
      <c r="A43" s="2" t="s">
        <v>19</v>
      </c>
      <c r="B43" s="10" t="s">
        <v>182</v>
      </c>
      <c r="C43" s="11"/>
      <c r="D43" s="11"/>
      <c r="E43" s="11"/>
      <c r="F43" s="11"/>
      <c r="G43" s="11"/>
      <c r="H43" s="85"/>
      <c r="I43" s="85"/>
      <c r="J43" s="85"/>
      <c r="K43" s="85"/>
      <c r="L43" s="85"/>
      <c r="M43" s="85"/>
    </row>
    <row r="45" spans="1:13" x14ac:dyDescent="0.25">
      <c r="H45" s="93" t="s">
        <v>190</v>
      </c>
      <c r="I45" s="93"/>
      <c r="J45" s="93"/>
      <c r="K45" s="93"/>
      <c r="L45" s="93"/>
    </row>
    <row r="46" spans="1:13" x14ac:dyDescent="0.25">
      <c r="G46" s="92">
        <f ca="1">C26</f>
        <v>0.25749679207801823</v>
      </c>
      <c r="H46" s="90">
        <f>I46-0.5</f>
        <v>9</v>
      </c>
      <c r="I46" s="90">
        <f>J46-0.5</f>
        <v>9.5</v>
      </c>
      <c r="J46" s="90">
        <v>10</v>
      </c>
      <c r="K46" s="90">
        <f>J46+0.5</f>
        <v>10.5</v>
      </c>
      <c r="L46" s="90">
        <f>K46+0.5</f>
        <v>11</v>
      </c>
    </row>
    <row r="47" spans="1:13" x14ac:dyDescent="0.25">
      <c r="F47" s="2" t="s">
        <v>131</v>
      </c>
      <c r="G47" s="91">
        <v>1</v>
      </c>
      <c r="H47" s="71">
        <f t="dataTable" ref="H47:L49" dt2D="1" dtr="1" r1="M7" r2="D41" ca="1"/>
        <v>0.22227756381034852</v>
      </c>
      <c r="I47" s="71">
        <v>0.24038737416267392</v>
      </c>
      <c r="J47" s="71">
        <v>0.25749679207801823</v>
      </c>
      <c r="K47" s="71">
        <v>0.27372216582298281</v>
      </c>
      <c r="L47" s="71">
        <v>0.28916007876396188</v>
      </c>
    </row>
    <row r="48" spans="1:13" x14ac:dyDescent="0.25">
      <c r="F48" s="2" t="s">
        <v>131</v>
      </c>
      <c r="G48" s="91">
        <v>2</v>
      </c>
      <c r="H48" s="71">
        <v>0.17911133170127866</v>
      </c>
      <c r="I48" s="71">
        <v>0.1974727809429169</v>
      </c>
      <c r="J48" s="71">
        <v>0.21477189660072329</v>
      </c>
      <c r="K48" s="71">
        <v>0.2311376869678497</v>
      </c>
      <c r="L48" s="71">
        <v>0.24667633175849918</v>
      </c>
    </row>
    <row r="49" spans="1:13" x14ac:dyDescent="0.25">
      <c r="F49" s="2" t="s">
        <v>131</v>
      </c>
      <c r="G49" s="91">
        <v>3</v>
      </c>
      <c r="H49" s="71">
        <v>0.16457824110984806</v>
      </c>
      <c r="I49" s="71">
        <v>0.18305050730705266</v>
      </c>
      <c r="J49" s="71">
        <v>0.20043559670448305</v>
      </c>
      <c r="K49" s="71">
        <v>0.21686765551567072</v>
      </c>
      <c r="L49" s="71">
        <v>0.23245674967765811</v>
      </c>
    </row>
    <row r="52" spans="1:13" x14ac:dyDescent="0.25">
      <c r="A52" s="2" t="s">
        <v>19</v>
      </c>
      <c r="B52" s="10" t="s">
        <v>159</v>
      </c>
      <c r="C52" s="11"/>
      <c r="D52" s="11"/>
      <c r="E52" s="11"/>
      <c r="F52" s="11"/>
      <c r="G52" s="11"/>
      <c r="H52" s="85"/>
      <c r="I52" s="85"/>
      <c r="J52" s="85"/>
      <c r="K52" s="85"/>
      <c r="L52" s="85"/>
      <c r="M52" s="85"/>
    </row>
    <row r="54" spans="1:13" x14ac:dyDescent="0.25">
      <c r="H54" s="93" t="s">
        <v>190</v>
      </c>
      <c r="I54" s="93"/>
      <c r="J54" s="93"/>
      <c r="K54" s="93"/>
      <c r="L54" s="93"/>
    </row>
    <row r="55" spans="1:13" x14ac:dyDescent="0.25">
      <c r="G55" s="92">
        <f ca="1">C37</f>
        <v>0.17869918942451485</v>
      </c>
      <c r="H55" s="90">
        <f>I55-0.5</f>
        <v>9</v>
      </c>
      <c r="I55" s="90">
        <f>J55-0.5</f>
        <v>9.5</v>
      </c>
      <c r="J55" s="90">
        <v>10</v>
      </c>
      <c r="K55" s="90">
        <f>J55+0.5</f>
        <v>10.5</v>
      </c>
      <c r="L55" s="90">
        <f>K55+0.5</f>
        <v>11</v>
      </c>
    </row>
    <row r="56" spans="1:13" x14ac:dyDescent="0.25">
      <c r="F56" s="2" t="s">
        <v>131</v>
      </c>
      <c r="G56" s="91">
        <v>1</v>
      </c>
      <c r="H56" s="71">
        <f t="dataTable" ref="H56:L58" dt2D="1" dtr="1" r1="M7" r2="D41" ca="1"/>
        <v>0.16785114407539367</v>
      </c>
      <c r="I56" s="71">
        <v>0.17332933545112611</v>
      </c>
      <c r="J56" s="71">
        <v>0.17869918942451485</v>
      </c>
      <c r="K56" s="71">
        <v>0.18396542668342589</v>
      </c>
      <c r="L56" s="71">
        <v>0.1891325294971466</v>
      </c>
    </row>
    <row r="57" spans="1:13" x14ac:dyDescent="0.25">
      <c r="F57" s="2" t="s">
        <v>131</v>
      </c>
      <c r="G57" s="91">
        <v>2</v>
      </c>
      <c r="H57" s="71">
        <v>0.15564647316932681</v>
      </c>
      <c r="I57" s="71">
        <v>0.16069120764732361</v>
      </c>
      <c r="J57" s="71">
        <v>0.16564273238182073</v>
      </c>
      <c r="K57" s="71">
        <v>0.17050487399101258</v>
      </c>
      <c r="L57" s="71">
        <v>0.17528123259544373</v>
      </c>
    </row>
    <row r="58" spans="1:13" x14ac:dyDescent="0.25">
      <c r="F58" s="2" t="s">
        <v>131</v>
      </c>
      <c r="G58" s="91">
        <v>3</v>
      </c>
      <c r="H58" s="71">
        <v>0.15180694460868838</v>
      </c>
      <c r="I58" s="71">
        <v>0.15671048760414127</v>
      </c>
      <c r="J58" s="71">
        <v>0.16152555346488956</v>
      </c>
      <c r="K58" s="71">
        <v>0.16625570654869085</v>
      </c>
      <c r="L58" s="71">
        <v>0.17090428471565247</v>
      </c>
    </row>
  </sheetData>
  <mergeCells count="2">
    <mergeCell ref="H45:L45"/>
    <mergeCell ref="H54:L5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1"/>
  <sheetViews>
    <sheetView showGridLines="0" tabSelected="1" zoomScale="85" zoomScaleNormal="85" workbookViewId="0">
      <pane ySplit="5" topLeftCell="A222" activePane="bottomLeft" state="frozen"/>
      <selection pane="bottomLeft" activeCell="G247" sqref="G247"/>
    </sheetView>
  </sheetViews>
  <sheetFormatPr defaultRowHeight="13.2" x14ac:dyDescent="0.25"/>
  <cols>
    <col min="1" max="1" width="2.77734375" style="2" customWidth="1"/>
    <col min="2" max="2" width="23.6640625" style="2" customWidth="1"/>
    <col min="3" max="6" width="8.88671875" style="2"/>
    <col min="7" max="7" width="11.44140625" style="2" customWidth="1"/>
    <col min="8" max="8" width="12.21875" style="2" customWidth="1"/>
    <col min="9" max="13" width="11.44140625" style="2" customWidth="1"/>
    <col min="14" max="15" width="8.88671875" style="2"/>
    <col min="16" max="16" width="11.109375" style="2" customWidth="1"/>
    <col min="17" max="17" width="8.88671875" style="2"/>
    <col min="18" max="18" width="11.33203125" style="2" bestFit="1" customWidth="1"/>
    <col min="19" max="23" width="8.88671875" style="2"/>
    <col min="24" max="24" width="15.109375" style="2" customWidth="1"/>
    <col min="25" max="25" width="11.44140625" style="2" bestFit="1" customWidth="1"/>
    <col min="26" max="16384" width="8.88671875" style="2"/>
  </cols>
  <sheetData>
    <row r="1" spans="1:25" s="1" customFormat="1" ht="17.399999999999999" x14ac:dyDescent="0.3">
      <c r="A1" s="4" t="s">
        <v>0</v>
      </c>
    </row>
    <row r="2" spans="1:25" s="1" customFormat="1" ht="15.6" x14ac:dyDescent="0.3">
      <c r="A2" s="3" t="s">
        <v>2</v>
      </c>
      <c r="G2" s="6">
        <v>2016</v>
      </c>
      <c r="H2" s="6">
        <f t="shared" ref="H2:M2" si="0">G2+1</f>
        <v>2017</v>
      </c>
      <c r="I2" s="6">
        <f t="shared" si="0"/>
        <v>2018</v>
      </c>
      <c r="J2" s="6">
        <f t="shared" si="0"/>
        <v>2019</v>
      </c>
      <c r="K2" s="6">
        <f t="shared" si="0"/>
        <v>2020</v>
      </c>
      <c r="L2" s="6">
        <f t="shared" si="0"/>
        <v>2021</v>
      </c>
      <c r="M2" s="6">
        <f t="shared" si="0"/>
        <v>2022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1" customFormat="1" ht="15" x14ac:dyDescent="0.25">
      <c r="A3" s="5" t="s">
        <v>1</v>
      </c>
      <c r="G3" s="7" t="s">
        <v>3</v>
      </c>
      <c r="H3" s="7" t="s">
        <v>153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68" customFormat="1" ht="15" x14ac:dyDescent="0.25">
      <c r="A4" s="67"/>
      <c r="B4" s="9"/>
      <c r="G4" s="69"/>
      <c r="H4" s="69"/>
      <c r="I4" s="69"/>
      <c r="J4" s="69"/>
      <c r="K4" s="69"/>
      <c r="L4" s="69"/>
      <c r="M4" s="69"/>
    </row>
    <row r="5" spans="1:25" x14ac:dyDescent="0.25">
      <c r="A5" s="24"/>
      <c r="B5" s="9" t="s">
        <v>132</v>
      </c>
      <c r="C5" s="47" t="s">
        <v>85</v>
      </c>
    </row>
    <row r="6" spans="1:25" x14ac:dyDescent="0.25">
      <c r="A6" s="24"/>
      <c r="B6" s="9"/>
      <c r="C6" s="9"/>
    </row>
    <row r="7" spans="1:25" x14ac:dyDescent="0.25">
      <c r="A7" s="2" t="s">
        <v>19</v>
      </c>
      <c r="B7" s="10" t="s">
        <v>18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25" x14ac:dyDescent="0.25">
      <c r="B8" s="2" t="s">
        <v>5</v>
      </c>
      <c r="G8" s="13">
        <v>119185</v>
      </c>
      <c r="H8" s="13">
        <v>124529</v>
      </c>
      <c r="I8" s="35">
        <f>H8*(1+I34)</f>
        <v>136981.90000000002</v>
      </c>
      <c r="J8" s="35">
        <f t="shared" ref="J8:M8" si="1">I8*(1+J34)</f>
        <v>150680.09000000003</v>
      </c>
      <c r="K8" s="35">
        <f t="shared" si="1"/>
        <v>165748.09900000005</v>
      </c>
      <c r="L8" s="35">
        <f t="shared" si="1"/>
        <v>174035.50395000004</v>
      </c>
      <c r="M8" s="35">
        <f t="shared" si="1"/>
        <v>179256.56906850004</v>
      </c>
    </row>
    <row r="9" spans="1:25" x14ac:dyDescent="0.25">
      <c r="B9" s="2" t="s">
        <v>6</v>
      </c>
      <c r="G9" s="13">
        <v>-95222</v>
      </c>
      <c r="H9" s="13">
        <v>-101825</v>
      </c>
      <c r="I9" s="35">
        <f>-I8*I39</f>
        <v>-112325.15800000001</v>
      </c>
      <c r="J9" s="35">
        <f t="shared" ref="J9:M9" si="2">-J8*J39</f>
        <v>-122804.27335000002</v>
      </c>
      <c r="K9" s="35">
        <f t="shared" si="2"/>
        <v>-134255.96019000004</v>
      </c>
      <c r="L9" s="35">
        <f t="shared" si="2"/>
        <v>-140098.58067975001</v>
      </c>
      <c r="M9" s="35">
        <f t="shared" si="2"/>
        <v>-143405.25525480002</v>
      </c>
    </row>
    <row r="10" spans="1:25" x14ac:dyDescent="0.25">
      <c r="B10" s="8" t="s">
        <v>7</v>
      </c>
      <c r="G10" s="15">
        <f>SUM(G8:G9)</f>
        <v>23963</v>
      </c>
      <c r="H10" s="15">
        <f>SUM(H8:H9)</f>
        <v>22704</v>
      </c>
      <c r="I10" s="15">
        <f>SUM(I8:I9)</f>
        <v>24656.742000000013</v>
      </c>
      <c r="J10" s="15">
        <f t="shared" ref="J10:M10" si="3">SUM(J8:J9)</f>
        <v>27875.816650000008</v>
      </c>
      <c r="K10" s="15">
        <f t="shared" si="3"/>
        <v>31492.138810000004</v>
      </c>
      <c r="L10" s="15">
        <f t="shared" si="3"/>
        <v>33936.92327025003</v>
      </c>
      <c r="M10" s="15">
        <f t="shared" si="3"/>
        <v>35851.313813700021</v>
      </c>
    </row>
    <row r="11" spans="1:25" x14ac:dyDescent="0.25">
      <c r="B11" s="9" t="s">
        <v>12</v>
      </c>
      <c r="G11" s="71">
        <f>G10/G8</f>
        <v>0.20105718001426354</v>
      </c>
      <c r="H11" s="71">
        <f t="shared" ref="H11:M11" si="4">H10/H8</f>
        <v>0.1823189779087602</v>
      </c>
      <c r="I11" s="71">
        <f t="shared" si="4"/>
        <v>0.18000000000000008</v>
      </c>
      <c r="J11" s="71">
        <f t="shared" si="4"/>
        <v>0.18500000000000003</v>
      </c>
      <c r="K11" s="71">
        <f t="shared" si="4"/>
        <v>0.18999999999999997</v>
      </c>
      <c r="L11" s="71">
        <f t="shared" si="4"/>
        <v>0.19500000000000012</v>
      </c>
      <c r="M11" s="71">
        <f t="shared" si="4"/>
        <v>0.20000000000000007</v>
      </c>
    </row>
    <row r="12" spans="1:25" x14ac:dyDescent="0.25">
      <c r="G12" s="14"/>
      <c r="H12" s="14"/>
      <c r="I12" s="12"/>
      <c r="J12" s="12"/>
      <c r="K12" s="12"/>
      <c r="L12" s="12"/>
      <c r="M12" s="12"/>
    </row>
    <row r="13" spans="1:25" x14ac:dyDescent="0.25">
      <c r="B13" s="2" t="s">
        <v>8</v>
      </c>
      <c r="G13" s="13">
        <v>-4877</v>
      </c>
      <c r="H13" s="13">
        <v>-5297</v>
      </c>
      <c r="I13" s="35">
        <f>-I$8*I40</f>
        <v>-5826.7000000000016</v>
      </c>
      <c r="J13" s="35">
        <f t="shared" ref="J13:M13" si="5">-J$8*J40</f>
        <v>-6409.3700000000017</v>
      </c>
      <c r="K13" s="35">
        <f t="shared" si="5"/>
        <v>-7050.3070000000025</v>
      </c>
      <c r="L13" s="35">
        <f t="shared" si="5"/>
        <v>-7402.8223500000022</v>
      </c>
      <c r="M13" s="35">
        <f t="shared" si="5"/>
        <v>-7624.9070205000025</v>
      </c>
    </row>
    <row r="14" spans="1:25" x14ac:dyDescent="0.25">
      <c r="B14" s="2" t="s">
        <v>9</v>
      </c>
      <c r="G14" s="13">
        <v>-16479</v>
      </c>
      <c r="H14" s="13">
        <v>-16311</v>
      </c>
      <c r="I14" s="35">
        <f t="shared" ref="I14:M14" si="6">-I$8*I41</f>
        <v>-17807.647000000004</v>
      </c>
      <c r="J14" s="35">
        <f t="shared" si="6"/>
        <v>-19588.411700000004</v>
      </c>
      <c r="K14" s="35">
        <f t="shared" si="6"/>
        <v>-21547.252870000008</v>
      </c>
      <c r="L14" s="35">
        <f t="shared" si="6"/>
        <v>-22624.615513500004</v>
      </c>
      <c r="M14" s="35">
        <f t="shared" si="6"/>
        <v>-23303.353978905008</v>
      </c>
    </row>
    <row r="15" spans="1:25" x14ac:dyDescent="0.25">
      <c r="B15" s="2" t="s">
        <v>10</v>
      </c>
      <c r="G15" s="13">
        <v>1192</v>
      </c>
      <c r="H15" s="13">
        <v>998</v>
      </c>
      <c r="I15" s="35">
        <f>I$8*I42</f>
        <v>1233.8956991232119</v>
      </c>
      <c r="J15" s="35">
        <f t="shared" ref="J15:M15" si="7">J$8*J42</f>
        <v>1357.2852690355332</v>
      </c>
      <c r="K15" s="35">
        <f t="shared" si="7"/>
        <v>1493.0137959390868</v>
      </c>
      <c r="L15" s="35">
        <f t="shared" si="7"/>
        <v>1567.6644857360409</v>
      </c>
      <c r="M15" s="35">
        <f t="shared" si="7"/>
        <v>1614.6944203081223</v>
      </c>
    </row>
    <row r="16" spans="1:25" x14ac:dyDescent="0.25">
      <c r="B16" s="8" t="s">
        <v>11</v>
      </c>
      <c r="G16" s="15">
        <f>G10+SUM(G13:G15)</f>
        <v>3799</v>
      </c>
      <c r="H16" s="15">
        <f>H10+SUM(H13:H15)</f>
        <v>2094</v>
      </c>
      <c r="I16" s="15">
        <f>I10+SUM(I13:I15)</f>
        <v>2256.2906991232194</v>
      </c>
      <c r="J16" s="15">
        <f t="shared" ref="J16:M16" si="8">J10+SUM(J13:J15)</f>
        <v>3235.3202190355332</v>
      </c>
      <c r="K16" s="15">
        <f t="shared" si="8"/>
        <v>4387.5927359390771</v>
      </c>
      <c r="L16" s="15">
        <f t="shared" si="8"/>
        <v>5477.1498924860643</v>
      </c>
      <c r="M16" s="15">
        <f t="shared" si="8"/>
        <v>6537.7472346031318</v>
      </c>
    </row>
    <row r="17" spans="2:13" x14ac:dyDescent="0.25">
      <c r="B17" s="9" t="s">
        <v>12</v>
      </c>
      <c r="G17" s="71">
        <f>G16/G8</f>
        <v>3.1874816461803082E-2</v>
      </c>
      <c r="H17" s="71">
        <f t="shared" ref="H17:M17" si="9">H16/H8</f>
        <v>1.6815360277525716E-2</v>
      </c>
      <c r="I17" s="71">
        <f t="shared" si="9"/>
        <v>1.6471451331330773E-2</v>
      </c>
      <c r="J17" s="71">
        <f t="shared" si="9"/>
        <v>2.1471451331330719E-2</v>
      </c>
      <c r="K17" s="71">
        <f t="shared" si="9"/>
        <v>2.6471451331330661E-2</v>
      </c>
      <c r="L17" s="71">
        <f t="shared" si="9"/>
        <v>3.1471451331330849E-2</v>
      </c>
      <c r="M17" s="71">
        <f t="shared" si="9"/>
        <v>3.647145133133077E-2</v>
      </c>
    </row>
    <row r="18" spans="2:13" x14ac:dyDescent="0.25">
      <c r="G18" s="14"/>
      <c r="H18" s="14"/>
      <c r="I18" s="12"/>
      <c r="J18" s="12"/>
      <c r="K18" s="12"/>
      <c r="L18" s="12"/>
      <c r="M18" s="12"/>
    </row>
    <row r="19" spans="2:13" x14ac:dyDescent="0.25">
      <c r="B19" s="2" t="s">
        <v>13</v>
      </c>
      <c r="G19" s="13">
        <v>429</v>
      </c>
      <c r="H19" s="13">
        <v>22</v>
      </c>
      <c r="I19" s="35">
        <f>IF($C$5="On",I260,0)</f>
        <v>0</v>
      </c>
      <c r="J19" s="35">
        <f ca="1">IF($C$5="On",J260,0)</f>
        <v>10.268075729026082</v>
      </c>
      <c r="K19" s="35">
        <f ca="1">IF($C$5="On",K260,0)</f>
        <v>10.000000000000005</v>
      </c>
      <c r="L19" s="35">
        <f ca="1">IF($C$5="On",L260,0)</f>
        <v>10.000000000001329</v>
      </c>
      <c r="M19" s="35">
        <f ca="1">IF($C$5="On",M260,0)</f>
        <v>10.000000000511964</v>
      </c>
    </row>
    <row r="20" spans="2:13" x14ac:dyDescent="0.25">
      <c r="B20" s="2" t="s">
        <v>14</v>
      </c>
      <c r="G20" s="13">
        <v>-3063</v>
      </c>
      <c r="H20" s="13">
        <v>-4497</v>
      </c>
      <c r="I20" s="35">
        <f ca="1">IF($C$5="On",-I256,0)</f>
        <v>-2565.56</v>
      </c>
      <c r="J20" s="35">
        <f ca="1">IF($C$5="On",-J256,0)</f>
        <v>-2461.8868247819078</v>
      </c>
      <c r="K20" s="35">
        <f ca="1">IF($C$5="On",-K256,0)</f>
        <v>-2409.0489264747271</v>
      </c>
      <c r="L20" s="35">
        <f ca="1">IF($C$5="On",-L256,0)</f>
        <v>-2333.2855052995415</v>
      </c>
      <c r="M20" s="35">
        <f ca="1">IF($C$5="On",-M256,0)</f>
        <v>-600.4376068627904</v>
      </c>
    </row>
    <row r="21" spans="2:13" x14ac:dyDescent="0.25">
      <c r="B21" s="8" t="s">
        <v>15</v>
      </c>
      <c r="G21" s="15">
        <f>G16+SUM(G19:G20)</f>
        <v>1165</v>
      </c>
      <c r="H21" s="15">
        <f>H16+SUM(H19:H20)</f>
        <v>-2381</v>
      </c>
      <c r="I21" s="15">
        <f ca="1">I16+SUM(I19:I20)</f>
        <v>-309.26930087678056</v>
      </c>
      <c r="J21" s="15">
        <f t="shared" ref="J21:M21" ca="1" si="10">J16+SUM(J19:J20)</f>
        <v>783.70146998265136</v>
      </c>
      <c r="K21" s="15">
        <f t="shared" ca="1" si="10"/>
        <v>1988.54380946435</v>
      </c>
      <c r="L21" s="15">
        <f t="shared" ca="1" si="10"/>
        <v>3153.8643871865243</v>
      </c>
      <c r="M21" s="15">
        <f t="shared" ca="1" si="10"/>
        <v>5947.3096277408531</v>
      </c>
    </row>
    <row r="22" spans="2:13" x14ac:dyDescent="0.25">
      <c r="G22" s="14"/>
      <c r="H22" s="14"/>
      <c r="I22" s="12"/>
      <c r="J22" s="12"/>
      <c r="K22" s="12"/>
      <c r="L22" s="12"/>
      <c r="M22" s="12"/>
    </row>
    <row r="23" spans="2:13" x14ac:dyDescent="0.25">
      <c r="B23" s="2" t="s">
        <v>16</v>
      </c>
      <c r="G23" s="13">
        <v>-947</v>
      </c>
      <c r="H23" s="13">
        <v>63</v>
      </c>
      <c r="I23" s="35">
        <f ca="1">-I165</f>
        <v>77.317325219195141</v>
      </c>
      <c r="J23" s="35">
        <f t="shared" ref="J23:M23" ca="1" si="11">-J165</f>
        <v>-195.92536749566284</v>
      </c>
      <c r="K23" s="35">
        <f t="shared" ca="1" si="11"/>
        <v>-497.13595236608751</v>
      </c>
      <c r="L23" s="35">
        <f t="shared" ca="1" si="11"/>
        <v>-788.46609679662936</v>
      </c>
      <c r="M23" s="35">
        <f t="shared" ca="1" si="11"/>
        <v>-1486.8274069344109</v>
      </c>
    </row>
    <row r="24" spans="2:13" x14ac:dyDescent="0.25">
      <c r="G24" s="14"/>
      <c r="H24" s="14"/>
      <c r="I24" s="12"/>
      <c r="J24" s="12"/>
      <c r="K24" s="12"/>
      <c r="L24" s="12"/>
      <c r="M24" s="12"/>
    </row>
    <row r="25" spans="2:13" ht="13.8" thickBot="1" x14ac:dyDescent="0.3">
      <c r="B25" s="8" t="s">
        <v>17</v>
      </c>
      <c r="G25" s="23">
        <f>G21+G23</f>
        <v>218</v>
      </c>
      <c r="H25" s="23">
        <f>H21+H23</f>
        <v>-2318</v>
      </c>
      <c r="I25" s="23">
        <f ca="1">I21+I23</f>
        <v>-231.95197565758542</v>
      </c>
      <c r="J25" s="23">
        <f t="shared" ref="J25:M25" ca="1" si="12">J21+J23</f>
        <v>587.77610248698852</v>
      </c>
      <c r="K25" s="23">
        <f t="shared" ca="1" si="12"/>
        <v>1491.4078570982624</v>
      </c>
      <c r="L25" s="23">
        <f t="shared" ca="1" si="12"/>
        <v>2365.398290389895</v>
      </c>
      <c r="M25" s="23">
        <f t="shared" ca="1" si="12"/>
        <v>4460.4822208064425</v>
      </c>
    </row>
    <row r="26" spans="2:13" ht="13.8" thickTop="1" x14ac:dyDescent="0.25"/>
    <row r="27" spans="2:13" x14ac:dyDescent="0.25">
      <c r="B27" s="26" t="s">
        <v>44</v>
      </c>
      <c r="C27" s="26"/>
      <c r="D27" s="26"/>
      <c r="E27" s="26"/>
      <c r="F27" s="26"/>
      <c r="G27" s="28">
        <f>G16</f>
        <v>3799</v>
      </c>
      <c r="H27" s="28">
        <f>H16</f>
        <v>2094</v>
      </c>
      <c r="I27" s="28">
        <f t="shared" ref="I27:M27" si="13">I16</f>
        <v>2256.2906991232194</v>
      </c>
      <c r="J27" s="28">
        <f t="shared" si="13"/>
        <v>3235.3202190355332</v>
      </c>
      <c r="K27" s="28">
        <f t="shared" si="13"/>
        <v>4387.5927359390771</v>
      </c>
      <c r="L27" s="28">
        <f t="shared" si="13"/>
        <v>5477.1498924860643</v>
      </c>
      <c r="M27" s="28">
        <f t="shared" si="13"/>
        <v>6537.7472346031318</v>
      </c>
    </row>
    <row r="28" spans="2:13" x14ac:dyDescent="0.25">
      <c r="B28" s="26" t="s">
        <v>45</v>
      </c>
      <c r="C28" s="26"/>
      <c r="D28" s="26"/>
      <c r="E28" s="26"/>
      <c r="F28" s="26"/>
      <c r="G28" s="28">
        <v>5440</v>
      </c>
      <c r="H28" s="28">
        <v>5768</v>
      </c>
      <c r="I28" s="28">
        <f>I284</f>
        <v>3752.8855555555556</v>
      </c>
      <c r="J28" s="28">
        <f t="shared" ref="J28:M28" si="14">J284</f>
        <v>4589.997166666667</v>
      </c>
      <c r="K28" s="28">
        <f t="shared" si="14"/>
        <v>5510.8199388888897</v>
      </c>
      <c r="L28" s="28">
        <f t="shared" si="14"/>
        <v>6477.6838497222234</v>
      </c>
      <c r="M28" s="28">
        <f t="shared" si="14"/>
        <v>7473.5536778805563</v>
      </c>
    </row>
    <row r="29" spans="2:13" x14ac:dyDescent="0.25">
      <c r="B29" s="26" t="s">
        <v>46</v>
      </c>
      <c r="C29" s="26"/>
      <c r="D29" s="26"/>
      <c r="E29" s="26"/>
      <c r="F29" s="26"/>
      <c r="G29" s="28">
        <v>414</v>
      </c>
      <c r="H29" s="28">
        <v>414</v>
      </c>
      <c r="I29" s="28">
        <f>I290+I257</f>
        <v>513.31200000000001</v>
      </c>
      <c r="J29" s="28">
        <f t="shared" ref="J29:M29" si="15">J290+J257</f>
        <v>513.31200000000001</v>
      </c>
      <c r="K29" s="28">
        <f t="shared" si="15"/>
        <v>513.31200000000001</v>
      </c>
      <c r="L29" s="28">
        <f t="shared" si="15"/>
        <v>513.31200000000001</v>
      </c>
      <c r="M29" s="28">
        <f t="shared" si="15"/>
        <v>513.31200000000001</v>
      </c>
    </row>
    <row r="30" spans="2:13" x14ac:dyDescent="0.25">
      <c r="B30" s="27" t="s">
        <v>47</v>
      </c>
      <c r="C30" s="26"/>
      <c r="D30" s="26"/>
      <c r="E30" s="26"/>
      <c r="F30" s="26"/>
      <c r="G30" s="33">
        <f>SUM(G27:G29)</f>
        <v>9653</v>
      </c>
      <c r="H30" s="33">
        <f>SUM(H27:H29)</f>
        <v>8276</v>
      </c>
      <c r="I30" s="33">
        <f t="shared" ref="I30:M30" si="16">SUM(I27:I29)</f>
        <v>6522.4882546787749</v>
      </c>
      <c r="J30" s="33">
        <f t="shared" si="16"/>
        <v>8338.629385702201</v>
      </c>
      <c r="K30" s="33">
        <f t="shared" si="16"/>
        <v>10411.724674827967</v>
      </c>
      <c r="L30" s="33">
        <f t="shared" si="16"/>
        <v>12468.145742208288</v>
      </c>
      <c r="M30" s="33">
        <f t="shared" si="16"/>
        <v>14524.612912483688</v>
      </c>
    </row>
    <row r="32" spans="2:13" x14ac:dyDescent="0.25">
      <c r="B32" s="16" t="s">
        <v>21</v>
      </c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</row>
    <row r="33" spans="1:25" x14ac:dyDescent="0.25">
      <c r="B33" s="16"/>
      <c r="C33" s="17"/>
      <c r="D33" s="21"/>
      <c r="E33" s="21"/>
      <c r="F33" s="17"/>
      <c r="G33" s="17"/>
      <c r="H33" s="17"/>
      <c r="I33" s="17"/>
      <c r="J33" s="17"/>
      <c r="K33" s="17"/>
      <c r="L33" s="17"/>
      <c r="M33" s="17"/>
    </row>
    <row r="34" spans="1:25" x14ac:dyDescent="0.25">
      <c r="B34" s="17" t="s">
        <v>22</v>
      </c>
      <c r="C34" s="17" t="s">
        <v>131</v>
      </c>
      <c r="D34" s="95">
        <f>'Exit Analysis'!D41</f>
        <v>1</v>
      </c>
      <c r="E34" s="19"/>
      <c r="F34" s="17"/>
      <c r="G34" s="22" t="s">
        <v>20</v>
      </c>
      <c r="H34" s="22">
        <f>H8/G8-1</f>
        <v>4.4837857112891788E-2</v>
      </c>
      <c r="I34" s="22">
        <f>CHOOSE($D$34,I35,I36,I37)</f>
        <v>0.1</v>
      </c>
      <c r="J34" s="22">
        <f t="shared" ref="J34:M34" si="17">CHOOSE($D$34,J35,J36,J37)</f>
        <v>0.1</v>
      </c>
      <c r="K34" s="22">
        <f t="shared" si="17"/>
        <v>0.1</v>
      </c>
      <c r="L34" s="22">
        <f t="shared" si="17"/>
        <v>0.05</v>
      </c>
      <c r="M34" s="22">
        <f t="shared" si="17"/>
        <v>0.03</v>
      </c>
    </row>
    <row r="35" spans="1:25" x14ac:dyDescent="0.25">
      <c r="B35" s="17"/>
      <c r="C35" s="17"/>
      <c r="D35" s="19"/>
      <c r="E35" s="19"/>
      <c r="F35" s="17"/>
      <c r="G35" s="22"/>
      <c r="H35" s="22" t="s">
        <v>128</v>
      </c>
      <c r="I35" s="34">
        <v>0.1</v>
      </c>
      <c r="J35" s="34">
        <v>0.1</v>
      </c>
      <c r="K35" s="34">
        <v>0.1</v>
      </c>
      <c r="L35" s="34">
        <v>0.05</v>
      </c>
      <c r="M35" s="34">
        <v>0.03</v>
      </c>
    </row>
    <row r="36" spans="1:25" x14ac:dyDescent="0.25">
      <c r="B36" s="17"/>
      <c r="C36" s="17"/>
      <c r="D36" s="19"/>
      <c r="E36" s="19"/>
      <c r="F36" s="17"/>
      <c r="G36" s="22"/>
      <c r="H36" s="22" t="s">
        <v>129</v>
      </c>
      <c r="I36" s="34">
        <v>0.05</v>
      </c>
      <c r="J36" s="34">
        <v>0.05</v>
      </c>
      <c r="K36" s="34">
        <v>0.03</v>
      </c>
      <c r="L36" s="34">
        <v>0.03</v>
      </c>
      <c r="M36" s="34">
        <v>0.01</v>
      </c>
    </row>
    <row r="37" spans="1:25" x14ac:dyDescent="0.25">
      <c r="B37" s="17"/>
      <c r="C37" s="17"/>
      <c r="D37" s="19"/>
      <c r="E37" s="19"/>
      <c r="F37" s="17"/>
      <c r="G37" s="22"/>
      <c r="H37" s="22" t="s">
        <v>130</v>
      </c>
      <c r="I37" s="34">
        <v>0.03</v>
      </c>
      <c r="J37" s="34">
        <v>0.03</v>
      </c>
      <c r="K37" s="34">
        <v>0.02</v>
      </c>
      <c r="L37" s="34">
        <v>0.01</v>
      </c>
      <c r="M37" s="34">
        <v>0.01</v>
      </c>
    </row>
    <row r="38" spans="1:25" x14ac:dyDescent="0.25">
      <c r="B38" s="17"/>
      <c r="C38" s="17"/>
      <c r="D38" s="19"/>
      <c r="E38" s="19"/>
      <c r="F38" s="17"/>
      <c r="G38" s="22"/>
      <c r="H38" s="22"/>
      <c r="I38" s="34"/>
      <c r="J38" s="34"/>
      <c r="K38" s="34"/>
      <c r="L38" s="34"/>
      <c r="M38" s="34"/>
    </row>
    <row r="39" spans="1:25" x14ac:dyDescent="0.25">
      <c r="B39" s="17" t="s">
        <v>6</v>
      </c>
      <c r="C39" s="17"/>
      <c r="D39" s="19" t="s">
        <v>26</v>
      </c>
      <c r="E39" s="20" t="s">
        <v>27</v>
      </c>
      <c r="F39" s="17"/>
      <c r="G39" s="22">
        <f>-G9/G8</f>
        <v>0.79894281998573646</v>
      </c>
      <c r="H39" s="22">
        <f>-H9/H8</f>
        <v>0.81768102209123983</v>
      </c>
      <c r="I39" s="34">
        <v>0.82</v>
      </c>
      <c r="J39" s="34">
        <f>I39-0.005</f>
        <v>0.81499999999999995</v>
      </c>
      <c r="K39" s="34">
        <f t="shared" ref="K39:M39" si="18">J39-0.005</f>
        <v>0.80999999999999994</v>
      </c>
      <c r="L39" s="34">
        <f t="shared" si="18"/>
        <v>0.80499999999999994</v>
      </c>
      <c r="M39" s="34">
        <f t="shared" si="18"/>
        <v>0.79999999999999993</v>
      </c>
    </row>
    <row r="40" spans="1:25" x14ac:dyDescent="0.25">
      <c r="B40" s="17" t="s">
        <v>23</v>
      </c>
      <c r="C40" s="17"/>
      <c r="D40" s="19" t="s">
        <v>26</v>
      </c>
      <c r="E40" s="20" t="s">
        <v>27</v>
      </c>
      <c r="F40" s="17"/>
      <c r="G40" s="22">
        <f>-G13/G$8</f>
        <v>4.0919578806057809E-2</v>
      </c>
      <c r="H40" s="22">
        <f>-H13/H$8</f>
        <v>4.2536276690570071E-2</v>
      </c>
      <c r="I40" s="34">
        <f>H40</f>
        <v>4.2536276690570071E-2</v>
      </c>
      <c r="J40" s="34">
        <f t="shared" ref="J40:M40" si="19">I40</f>
        <v>4.2536276690570071E-2</v>
      </c>
      <c r="K40" s="34">
        <f t="shared" si="19"/>
        <v>4.2536276690570071E-2</v>
      </c>
      <c r="L40" s="34">
        <f t="shared" si="19"/>
        <v>4.2536276690570071E-2</v>
      </c>
      <c r="M40" s="34">
        <f t="shared" si="19"/>
        <v>4.2536276690570071E-2</v>
      </c>
    </row>
    <row r="41" spans="1:25" x14ac:dyDescent="0.25">
      <c r="B41" s="17" t="s">
        <v>9</v>
      </c>
      <c r="C41" s="17"/>
      <c r="D41" s="19" t="s">
        <v>26</v>
      </c>
      <c r="E41" s="20" t="s">
        <v>27</v>
      </c>
      <c r="F41" s="17"/>
      <c r="G41" s="22">
        <f>-G14/G$8</f>
        <v>0.13826404329403869</v>
      </c>
      <c r="H41" s="22">
        <f>-H14/H$8</f>
        <v>0.13098153843682997</v>
      </c>
      <c r="I41" s="34">
        <v>0.13</v>
      </c>
      <c r="J41" s="34">
        <v>0.13</v>
      </c>
      <c r="K41" s="34">
        <v>0.13</v>
      </c>
      <c r="L41" s="34">
        <v>0.13</v>
      </c>
      <c r="M41" s="34">
        <v>0.13</v>
      </c>
    </row>
    <row r="42" spans="1:25" x14ac:dyDescent="0.25">
      <c r="B42" s="17" t="s">
        <v>10</v>
      </c>
      <c r="C42" s="17"/>
      <c r="D42" s="19" t="s">
        <v>26</v>
      </c>
      <c r="E42" s="20" t="s">
        <v>27</v>
      </c>
      <c r="F42" s="17"/>
      <c r="G42" s="22">
        <f>G15/G$8</f>
        <v>1.0001258547636028E-2</v>
      </c>
      <c r="H42" s="22">
        <f>H15/H$8</f>
        <v>8.014197496165552E-3</v>
      </c>
      <c r="I42" s="34">
        <f>AVERAGE($G$42:$H$42)</f>
        <v>9.0077280219007898E-3</v>
      </c>
      <c r="J42" s="34">
        <f t="shared" ref="J42:M42" si="20">AVERAGE($G$42:$H$42)</f>
        <v>9.0077280219007898E-3</v>
      </c>
      <c r="K42" s="34">
        <f t="shared" si="20"/>
        <v>9.0077280219007898E-3</v>
      </c>
      <c r="L42" s="34">
        <f t="shared" si="20"/>
        <v>9.0077280219007898E-3</v>
      </c>
      <c r="M42" s="34">
        <f t="shared" si="20"/>
        <v>9.0077280219007898E-3</v>
      </c>
    </row>
    <row r="43" spans="1:25" ht="15.6" x14ac:dyDescent="0.3">
      <c r="O43" s="6">
        <v>2017</v>
      </c>
      <c r="P43" s="1"/>
      <c r="Q43" s="1"/>
      <c r="R43" s="1"/>
      <c r="S43" s="1"/>
      <c r="T43" s="1"/>
      <c r="U43" s="1"/>
      <c r="V43" s="1"/>
      <c r="W43" s="1"/>
      <c r="X43" s="1"/>
      <c r="Y43" s="6">
        <v>2017</v>
      </c>
    </row>
    <row r="44" spans="1:25" x14ac:dyDescent="0.25">
      <c r="A44" s="2" t="s">
        <v>19</v>
      </c>
      <c r="B44" s="10" t="s">
        <v>28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7" t="s">
        <v>152</v>
      </c>
      <c r="P44" s="80" t="s">
        <v>154</v>
      </c>
      <c r="Q44" s="80" t="s">
        <v>155</v>
      </c>
      <c r="R44" s="80" t="s">
        <v>156</v>
      </c>
      <c r="S44" s="80" t="s">
        <v>161</v>
      </c>
      <c r="T44" s="80" t="s">
        <v>157</v>
      </c>
      <c r="U44" s="80" t="s">
        <v>158</v>
      </c>
      <c r="V44" s="80" t="s">
        <v>159</v>
      </c>
      <c r="W44" s="80" t="s">
        <v>163</v>
      </c>
      <c r="X44" s="80" t="s">
        <v>164</v>
      </c>
      <c r="Y44" s="79" t="s">
        <v>153</v>
      </c>
    </row>
    <row r="46" spans="1:25" x14ac:dyDescent="0.25">
      <c r="B46" s="2" t="s">
        <v>29</v>
      </c>
      <c r="G46" s="13">
        <v>1849</v>
      </c>
      <c r="H46" s="35">
        <f>Y46</f>
        <v>43905.599999999999</v>
      </c>
      <c r="I46" s="42">
        <f>I291</f>
        <v>43491.6</v>
      </c>
      <c r="J46" s="42">
        <f t="shared" ref="J46:M46" si="21">J291</f>
        <v>43077.599999999999</v>
      </c>
      <c r="K46" s="42">
        <f t="shared" si="21"/>
        <v>42663.6</v>
      </c>
      <c r="L46" s="42">
        <f t="shared" si="21"/>
        <v>42249.599999999999</v>
      </c>
      <c r="M46" s="42">
        <f t="shared" si="21"/>
        <v>41835.599999999999</v>
      </c>
      <c r="O46" s="13">
        <v>1435</v>
      </c>
      <c r="P46" s="42">
        <f>-O46+'Sources and Uses'!K6-O86</f>
        <v>42470.6</v>
      </c>
      <c r="Q46" s="42"/>
      <c r="R46" s="42"/>
      <c r="S46" s="42"/>
      <c r="T46" s="42"/>
      <c r="U46" s="42"/>
      <c r="V46" s="42"/>
      <c r="W46" s="42"/>
      <c r="X46" s="42"/>
      <c r="Y46" s="42">
        <f>SUM(O46:X46)</f>
        <v>43905.599999999999</v>
      </c>
    </row>
    <row r="47" spans="1:25" x14ac:dyDescent="0.25">
      <c r="B47" s="2" t="s">
        <v>30</v>
      </c>
      <c r="G47" s="13">
        <v>24656</v>
      </c>
      <c r="H47" s="35">
        <f t="shared" ref="H47:H48" si="22">Y47</f>
        <v>23935</v>
      </c>
      <c r="I47" s="42">
        <f>I268</f>
        <v>27031.209444444445</v>
      </c>
      <c r="J47" s="42">
        <f t="shared" ref="J47:M47" si="23">J268</f>
        <v>29975.216777777779</v>
      </c>
      <c r="K47" s="42">
        <f t="shared" si="23"/>
        <v>32751.801788888893</v>
      </c>
      <c r="L47" s="42">
        <f t="shared" si="23"/>
        <v>34975.89313666668</v>
      </c>
      <c r="M47" s="42">
        <f t="shared" si="23"/>
        <v>36465.167912211131</v>
      </c>
      <c r="O47" s="13">
        <v>23935</v>
      </c>
      <c r="P47" s="42"/>
      <c r="Q47" s="42"/>
      <c r="R47" s="42"/>
      <c r="S47" s="42"/>
      <c r="T47" s="42"/>
      <c r="U47" s="42"/>
      <c r="V47" s="42"/>
      <c r="W47" s="42"/>
      <c r="X47" s="42"/>
      <c r="Y47" s="42">
        <f>SUM(O47:X47)</f>
        <v>23935</v>
      </c>
    </row>
    <row r="48" spans="1:25" x14ac:dyDescent="0.25">
      <c r="B48" s="2" t="s">
        <v>165</v>
      </c>
      <c r="G48" s="13">
        <v>0</v>
      </c>
      <c r="H48" s="35">
        <f t="shared" si="22"/>
        <v>82.76</v>
      </c>
      <c r="I48" s="42">
        <f>I205</f>
        <v>66.207999999999998</v>
      </c>
      <c r="J48" s="42">
        <f t="shared" ref="J48:M48" si="24">J205</f>
        <v>49.655999999999999</v>
      </c>
      <c r="K48" s="42">
        <f t="shared" si="24"/>
        <v>33.103999999999999</v>
      </c>
      <c r="L48" s="42">
        <f t="shared" si="24"/>
        <v>16.552</v>
      </c>
      <c r="M48" s="42">
        <f t="shared" si="24"/>
        <v>0</v>
      </c>
      <c r="O48" s="13">
        <v>0</v>
      </c>
      <c r="P48" s="42"/>
      <c r="Q48" s="42"/>
      <c r="R48" s="42"/>
      <c r="S48" s="42"/>
      <c r="T48" s="42"/>
      <c r="U48" s="42"/>
      <c r="V48" s="42"/>
      <c r="W48" s="42"/>
      <c r="X48" s="42">
        <f>'Sources and Uses'!K9</f>
        <v>82.76</v>
      </c>
      <c r="Y48" s="42">
        <f>SUM(O48:X48)</f>
        <v>82.76</v>
      </c>
    </row>
    <row r="49" spans="2:25" x14ac:dyDescent="0.25">
      <c r="B49" s="8" t="s">
        <v>31</v>
      </c>
      <c r="G49" s="15">
        <f>SUM(G46:G48)</f>
        <v>26505</v>
      </c>
      <c r="H49" s="81">
        <f t="shared" ref="H49:M49" si="25">SUM(H46:H48)</f>
        <v>67923.360000000001</v>
      </c>
      <c r="I49" s="15">
        <f t="shared" si="25"/>
        <v>70589.017444444442</v>
      </c>
      <c r="J49" s="15">
        <f t="shared" si="25"/>
        <v>73102.472777777773</v>
      </c>
      <c r="K49" s="15">
        <f t="shared" si="25"/>
        <v>75448.505788888899</v>
      </c>
      <c r="L49" s="15">
        <f t="shared" si="25"/>
        <v>77242.045136666682</v>
      </c>
      <c r="M49" s="15">
        <f t="shared" si="25"/>
        <v>78300.767912211129</v>
      </c>
      <c r="O49" s="15">
        <f>SUM(O46:O48)</f>
        <v>25370</v>
      </c>
      <c r="P49" s="15">
        <f t="shared" ref="P49:Y49" si="26">SUM(P46:P48)</f>
        <v>42470.6</v>
      </c>
      <c r="Q49" s="15">
        <f t="shared" si="26"/>
        <v>0</v>
      </c>
      <c r="R49" s="15">
        <f t="shared" si="26"/>
        <v>0</v>
      </c>
      <c r="S49" s="15">
        <f t="shared" si="26"/>
        <v>0</v>
      </c>
      <c r="T49" s="15">
        <f t="shared" si="26"/>
        <v>0</v>
      </c>
      <c r="U49" s="15">
        <f t="shared" si="26"/>
        <v>0</v>
      </c>
      <c r="V49" s="15">
        <f t="shared" si="26"/>
        <v>0</v>
      </c>
      <c r="W49" s="15">
        <f t="shared" si="26"/>
        <v>0</v>
      </c>
      <c r="X49" s="15">
        <f t="shared" si="26"/>
        <v>82.76</v>
      </c>
      <c r="Y49" s="15">
        <f t="shared" si="26"/>
        <v>67923.360000000001</v>
      </c>
    </row>
    <row r="50" spans="2:25" x14ac:dyDescent="0.25">
      <c r="H50" s="82"/>
    </row>
    <row r="51" spans="2:25" x14ac:dyDescent="0.25">
      <c r="B51" s="2" t="s">
        <v>32</v>
      </c>
      <c r="G51" s="13">
        <v>16390</v>
      </c>
      <c r="H51" s="35">
        <f t="shared" ref="H51:H58" si="27">Y51</f>
        <v>17738</v>
      </c>
      <c r="I51" s="35">
        <f>-I94*I9/365</f>
        <v>19567.136288769951</v>
      </c>
      <c r="J51" s="35">
        <f>-J94*J9/365</f>
        <v>21392.60693034422</v>
      </c>
      <c r="K51" s="35">
        <f>-K94*K9/365</f>
        <v>23387.500337345649</v>
      </c>
      <c r="L51" s="35">
        <f>-L94*L9/365</f>
        <v>24405.289703878276</v>
      </c>
      <c r="M51" s="35">
        <f>-M94*M9/365</f>
        <v>24981.315175149943</v>
      </c>
      <c r="O51" s="13">
        <v>17738</v>
      </c>
      <c r="P51" s="35"/>
      <c r="Q51" s="35"/>
      <c r="R51" s="35"/>
      <c r="S51" s="35"/>
      <c r="T51" s="35"/>
      <c r="U51" s="35"/>
      <c r="V51" s="35"/>
      <c r="W51" s="35"/>
      <c r="X51" s="35"/>
      <c r="Y51" s="42">
        <f>SUM(O51:X51)</f>
        <v>17738</v>
      </c>
    </row>
    <row r="52" spans="2:25" x14ac:dyDescent="0.25">
      <c r="B52" s="2" t="s">
        <v>48</v>
      </c>
      <c r="G52" s="13">
        <v>1232</v>
      </c>
      <c r="H52" s="35">
        <f t="shared" si="27"/>
        <v>1086</v>
      </c>
      <c r="I52" s="35">
        <f>I95*I$8/365</f>
        <v>1194.6000000000004</v>
      </c>
      <c r="J52" s="35">
        <f>J95*J$8/365</f>
        <v>1314.0600000000002</v>
      </c>
      <c r="K52" s="35">
        <f>K95*K$8/365</f>
        <v>1445.4660000000006</v>
      </c>
      <c r="L52" s="35">
        <f>L95*L$8/365</f>
        <v>1517.7393000000004</v>
      </c>
      <c r="M52" s="35">
        <f>M95*M$8/365</f>
        <v>1563.2714790000002</v>
      </c>
      <c r="O52" s="13">
        <v>1086</v>
      </c>
      <c r="P52" s="35"/>
      <c r="Q52" s="35"/>
      <c r="R52" s="35"/>
      <c r="S52" s="35"/>
      <c r="T52" s="35"/>
      <c r="U52" s="35"/>
      <c r="V52" s="35"/>
      <c r="W52" s="35"/>
      <c r="X52" s="35"/>
      <c r="Y52" s="42">
        <f>SUM(O52:X52)</f>
        <v>1086</v>
      </c>
    </row>
    <row r="53" spans="2:25" x14ac:dyDescent="0.25">
      <c r="B53" s="2" t="s">
        <v>49</v>
      </c>
      <c r="G53" s="13">
        <v>65</v>
      </c>
      <c r="H53" s="35">
        <f t="shared" si="27"/>
        <v>80</v>
      </c>
      <c r="I53" s="35">
        <f>I96*I$8</f>
        <v>81.352953391785888</v>
      </c>
      <c r="J53" s="35">
        <f>J96*J$8</f>
        <v>89.488248730964486</v>
      </c>
      <c r="K53" s="35">
        <f>K96*K$8</f>
        <v>98.437073604060942</v>
      </c>
      <c r="L53" s="35">
        <f>L96*L$8</f>
        <v>103.35892728426398</v>
      </c>
      <c r="M53" s="35">
        <f>M96*M$8</f>
        <v>106.4596951027919</v>
      </c>
      <c r="O53" s="13">
        <v>80</v>
      </c>
      <c r="P53" s="35"/>
      <c r="Q53" s="35"/>
      <c r="R53" s="35"/>
      <c r="S53" s="35"/>
      <c r="T53" s="35"/>
      <c r="U53" s="35"/>
      <c r="V53" s="35"/>
      <c r="W53" s="35"/>
      <c r="X53" s="35"/>
      <c r="Y53" s="42">
        <f>SUM(O53:X53)</f>
        <v>80</v>
      </c>
    </row>
    <row r="54" spans="2:25" x14ac:dyDescent="0.25">
      <c r="B54" s="2" t="s">
        <v>50</v>
      </c>
      <c r="G54" s="13">
        <v>4360</v>
      </c>
      <c r="H54" s="35">
        <f t="shared" si="27"/>
        <v>5299</v>
      </c>
      <c r="I54" s="35">
        <f>I97*I$8</f>
        <v>5419.9711813567146</v>
      </c>
      <c r="J54" s="35">
        <f>J97*J$8</f>
        <v>5961.968299492386</v>
      </c>
      <c r="K54" s="35">
        <f>K97*K$8</f>
        <v>6558.1651294416251</v>
      </c>
      <c r="L54" s="35">
        <f>L97*L$8</f>
        <v>6886.0733859137063</v>
      </c>
      <c r="M54" s="35">
        <f>M97*M$8</f>
        <v>7092.6555874911182</v>
      </c>
      <c r="O54" s="13">
        <v>5299</v>
      </c>
      <c r="P54" s="35"/>
      <c r="Q54" s="35"/>
      <c r="R54" s="35"/>
      <c r="S54" s="35"/>
      <c r="T54" s="35"/>
      <c r="U54" s="35"/>
      <c r="V54" s="35"/>
      <c r="W54" s="35"/>
      <c r="X54" s="35"/>
      <c r="Y54" s="42">
        <f>SUM(O54:X54)</f>
        <v>5299</v>
      </c>
    </row>
    <row r="55" spans="2:25" x14ac:dyDescent="0.25">
      <c r="B55" s="2" t="s">
        <v>51</v>
      </c>
      <c r="G55" s="13">
        <v>70</v>
      </c>
      <c r="H55" s="35">
        <f t="shared" si="27"/>
        <v>39</v>
      </c>
      <c r="I55" s="35">
        <f>I98*I$8</f>
        <v>61.67625749884634</v>
      </c>
      <c r="J55" s="35">
        <f>J98*J$8</f>
        <v>67.843883248730975</v>
      </c>
      <c r="K55" s="35">
        <f>K98*K$8</f>
        <v>74.628271573604081</v>
      </c>
      <c r="L55" s="35">
        <f>L98*L$8</f>
        <v>78.359685152284285</v>
      </c>
      <c r="M55" s="35">
        <f>M98*M$8</f>
        <v>80.710475706852804</v>
      </c>
      <c r="O55" s="13">
        <v>39</v>
      </c>
      <c r="P55" s="35"/>
      <c r="Q55" s="35"/>
      <c r="R55" s="35"/>
      <c r="S55" s="35"/>
      <c r="T55" s="35"/>
      <c r="U55" s="35"/>
      <c r="V55" s="35"/>
      <c r="W55" s="35"/>
      <c r="X55" s="35"/>
      <c r="Y55" s="42">
        <f>SUM(O55:X55)</f>
        <v>39</v>
      </c>
    </row>
    <row r="56" spans="2:25" x14ac:dyDescent="0.25">
      <c r="B56" s="2" t="s">
        <v>52</v>
      </c>
      <c r="G56" s="13">
        <v>1489</v>
      </c>
      <c r="H56" s="35">
        <f t="shared" si="27"/>
        <v>103</v>
      </c>
      <c r="I56" s="35">
        <f>I99</f>
        <v>103</v>
      </c>
      <c r="J56" s="35">
        <f t="shared" ref="J56:M56" si="28">J99</f>
        <v>103</v>
      </c>
      <c r="K56" s="35">
        <f t="shared" si="28"/>
        <v>103</v>
      </c>
      <c r="L56" s="35">
        <f t="shared" si="28"/>
        <v>103</v>
      </c>
      <c r="M56" s="35">
        <f t="shared" si="28"/>
        <v>103</v>
      </c>
      <c r="O56" s="13">
        <v>103</v>
      </c>
      <c r="P56" s="35"/>
      <c r="Q56" s="35"/>
      <c r="R56" s="35"/>
      <c r="S56" s="35"/>
      <c r="T56" s="35"/>
      <c r="U56" s="35"/>
      <c r="V56" s="35"/>
      <c r="W56" s="35"/>
      <c r="X56" s="35"/>
      <c r="Y56" s="42">
        <f>SUM(O56:X56)</f>
        <v>103</v>
      </c>
    </row>
    <row r="57" spans="2:25" x14ac:dyDescent="0.25">
      <c r="B57" s="2" t="s">
        <v>53</v>
      </c>
      <c r="G57" s="13">
        <v>406</v>
      </c>
      <c r="H57" s="35">
        <f t="shared" si="27"/>
        <v>449</v>
      </c>
      <c r="I57" s="35">
        <f ca="1">I173</f>
        <v>77.317325219195141</v>
      </c>
      <c r="J57" s="35">
        <f t="shared" ref="J57:M57" ca="1" si="29">J173</f>
        <v>0</v>
      </c>
      <c r="K57" s="35">
        <f t="shared" ca="1" si="29"/>
        <v>0</v>
      </c>
      <c r="L57" s="35">
        <f t="shared" ca="1" si="29"/>
        <v>0</v>
      </c>
      <c r="M57" s="35">
        <f t="shared" ca="1" si="29"/>
        <v>0</v>
      </c>
      <c r="O57" s="13">
        <v>449</v>
      </c>
      <c r="P57" s="35"/>
      <c r="Q57" s="35"/>
      <c r="R57" s="35"/>
      <c r="S57" s="35"/>
      <c r="T57" s="35"/>
      <c r="U57" s="35"/>
      <c r="V57" s="35"/>
      <c r="W57" s="35"/>
      <c r="X57" s="35"/>
      <c r="Y57" s="42">
        <f>SUM(O57:X57)</f>
        <v>449</v>
      </c>
    </row>
    <row r="58" spans="2:25" x14ac:dyDescent="0.25">
      <c r="B58" s="2" t="s">
        <v>33</v>
      </c>
      <c r="G58" s="13">
        <v>7160</v>
      </c>
      <c r="H58" s="35">
        <f t="shared" si="27"/>
        <v>7926</v>
      </c>
      <c r="I58" s="35">
        <f ca="1">I158</f>
        <v>1053.6151458052163</v>
      </c>
      <c r="J58" s="35">
        <f t="shared" ref="J58:M58" ca="1" si="30">J158</f>
        <v>1000</v>
      </c>
      <c r="K58" s="35">
        <f t="shared" ca="1" si="30"/>
        <v>1000.0000000000009</v>
      </c>
      <c r="L58" s="35">
        <f t="shared" ca="1" si="30"/>
        <v>1000.0000000002647</v>
      </c>
      <c r="M58" s="35">
        <f t="shared" ca="1" si="30"/>
        <v>1000.0000001021281</v>
      </c>
      <c r="O58" s="13">
        <v>7926</v>
      </c>
      <c r="P58" s="35">
        <f>-'Sources and Uses'!K6</f>
        <v>-38450.6</v>
      </c>
      <c r="Q58" s="35">
        <f>Q74+Q75+Q70+Q71</f>
        <v>-34792</v>
      </c>
      <c r="R58" s="35">
        <f>'Sources and Uses'!G6</f>
        <v>33104</v>
      </c>
      <c r="S58" s="35">
        <v>0</v>
      </c>
      <c r="T58" s="35">
        <f>'Sources and Uses'!G7-'Sources and Uses'!K10</f>
        <v>20483.099999999999</v>
      </c>
      <c r="U58" s="35">
        <f>'Sources and Uses'!G8-'Sources and Uses'!K11</f>
        <v>12289.86</v>
      </c>
      <c r="V58" s="35">
        <f>'Sources and Uses'!G9-'Sources and Uses'!K12</f>
        <v>8193.24</v>
      </c>
      <c r="W58" s="35">
        <f>-'Sources and Uses'!K8</f>
        <v>-744.84</v>
      </c>
      <c r="X58" s="35">
        <f>-X48</f>
        <v>-82.76</v>
      </c>
      <c r="Y58" s="42">
        <f>SUM(O58:X58)</f>
        <v>7926</v>
      </c>
    </row>
    <row r="59" spans="2:25" x14ac:dyDescent="0.25">
      <c r="B59" s="8" t="s">
        <v>34</v>
      </c>
      <c r="G59" s="15">
        <f>SUM(G51:G58)+G49</f>
        <v>57677</v>
      </c>
      <c r="H59" s="81">
        <f>SUM(H51:H58)+H49</f>
        <v>100643.36</v>
      </c>
      <c r="I59" s="15">
        <f ca="1">SUM(I51:I58)+I49</f>
        <v>98147.68659648615</v>
      </c>
      <c r="J59" s="15">
        <f ca="1">SUM(J51:J58)+J49</f>
        <v>103031.44013959408</v>
      </c>
      <c r="K59" s="15">
        <f ca="1">SUM(K51:K58)+K49</f>
        <v>108115.70260085384</v>
      </c>
      <c r="L59" s="15">
        <f ca="1">SUM(L51:L58)+L49</f>
        <v>111335.86613889548</v>
      </c>
      <c r="M59" s="15">
        <f ca="1">SUM(M51:M58)+M49</f>
        <v>113228.18032476396</v>
      </c>
      <c r="O59" s="15">
        <f>SUM(O51:O58)+O49</f>
        <v>58090</v>
      </c>
      <c r="P59" s="15">
        <f>SUM(P51:P58)+P49</f>
        <v>4020</v>
      </c>
      <c r="Q59" s="15">
        <f>SUM(Q51:Q58)+Q49</f>
        <v>-34792</v>
      </c>
      <c r="R59" s="15">
        <f>SUM(R51:R58)+R49</f>
        <v>33104</v>
      </c>
      <c r="S59" s="15">
        <f>SUM(S51:S58)+S49</f>
        <v>0</v>
      </c>
      <c r="T59" s="15">
        <f>SUM(T51:T58)+T49</f>
        <v>20483.099999999999</v>
      </c>
      <c r="U59" s="15">
        <f>SUM(U51:U58)+U49</f>
        <v>12289.86</v>
      </c>
      <c r="V59" s="15">
        <f>SUM(V51:V58)+V49</f>
        <v>8193.24</v>
      </c>
      <c r="W59" s="15">
        <f>SUM(W51:W58)+W49</f>
        <v>-744.84</v>
      </c>
      <c r="X59" s="15">
        <f>SUM(X51:X58)+X49</f>
        <v>0</v>
      </c>
      <c r="Y59" s="15">
        <f>SUM(Y51:Y58)+Y49</f>
        <v>100643.36</v>
      </c>
    </row>
    <row r="60" spans="2:25" x14ac:dyDescent="0.25">
      <c r="H60" s="82"/>
    </row>
    <row r="61" spans="2:25" x14ac:dyDescent="0.25">
      <c r="B61" s="2" t="s">
        <v>54</v>
      </c>
      <c r="G61" s="13">
        <v>10525</v>
      </c>
      <c r="H61" s="35">
        <f t="shared" ref="H61:H71" si="31">Y61</f>
        <v>11237</v>
      </c>
      <c r="I61" s="35">
        <f>-I101*I9/365</f>
        <v>12395.755467183895</v>
      </c>
      <c r="J61" s="35">
        <f>-J101*J9/365</f>
        <v>13552.188751622394</v>
      </c>
      <c r="K61" s="35">
        <f>-K101*K9/365</f>
        <v>14815.951138276754</v>
      </c>
      <c r="L61" s="35">
        <f>-L101*L9/365</f>
        <v>15460.719382257314</v>
      </c>
      <c r="M61" s="35">
        <f>-M101*M9/365</f>
        <v>15825.630771403759</v>
      </c>
      <c r="O61" s="13">
        <v>11237</v>
      </c>
      <c r="P61" s="35"/>
      <c r="Q61" s="35"/>
      <c r="R61" s="35"/>
      <c r="S61" s="35"/>
      <c r="T61" s="35"/>
      <c r="U61" s="35"/>
      <c r="V61" s="35"/>
      <c r="W61" s="35"/>
      <c r="X61" s="35"/>
      <c r="Y61" s="42">
        <f>SUM(O61:X61)</f>
        <v>11237</v>
      </c>
    </row>
    <row r="62" spans="2:25" x14ac:dyDescent="0.25">
      <c r="B62" s="2" t="s">
        <v>63</v>
      </c>
      <c r="G62" s="13">
        <v>223</v>
      </c>
      <c r="H62" s="35">
        <f t="shared" si="31"/>
        <v>36</v>
      </c>
      <c r="I62" s="35">
        <f>I176</f>
        <v>36</v>
      </c>
      <c r="J62" s="35">
        <f t="shared" ref="J62:M62" si="32">J176</f>
        <v>36</v>
      </c>
      <c r="K62" s="35">
        <f t="shared" si="32"/>
        <v>36</v>
      </c>
      <c r="L62" s="35">
        <f t="shared" si="32"/>
        <v>36</v>
      </c>
      <c r="M62" s="35">
        <f t="shared" si="32"/>
        <v>36</v>
      </c>
      <c r="O62" s="13">
        <v>36</v>
      </c>
      <c r="P62" s="35"/>
      <c r="Q62" s="35"/>
      <c r="R62" s="35"/>
      <c r="S62" s="35"/>
      <c r="T62" s="35"/>
      <c r="U62" s="35"/>
      <c r="V62" s="35"/>
      <c r="W62" s="35"/>
      <c r="X62" s="35"/>
      <c r="Y62" s="42">
        <f>SUM(O62:X62)</f>
        <v>36</v>
      </c>
    </row>
    <row r="63" spans="2:25" x14ac:dyDescent="0.25">
      <c r="B63" s="2" t="s">
        <v>53</v>
      </c>
      <c r="G63" s="13">
        <v>0</v>
      </c>
      <c r="H63" s="35">
        <f t="shared" si="31"/>
        <v>0</v>
      </c>
      <c r="I63" s="35">
        <f ca="1">I172</f>
        <v>0</v>
      </c>
      <c r="J63" s="35">
        <f t="shared" ref="J63:M63" ca="1" si="33">J172</f>
        <v>195.92536749566284</v>
      </c>
      <c r="K63" s="35">
        <f t="shared" ca="1" si="33"/>
        <v>497.13595236608751</v>
      </c>
      <c r="L63" s="35">
        <f t="shared" ca="1" si="33"/>
        <v>788.46609679662936</v>
      </c>
      <c r="M63" s="35">
        <f t="shared" ca="1" si="33"/>
        <v>1486.8274069344109</v>
      </c>
      <c r="O63" s="13">
        <v>0</v>
      </c>
      <c r="P63" s="35"/>
      <c r="Q63" s="35"/>
      <c r="R63" s="35"/>
      <c r="S63" s="35"/>
      <c r="T63" s="35"/>
      <c r="U63" s="35"/>
      <c r="V63" s="35"/>
      <c r="W63" s="35"/>
      <c r="X63" s="35"/>
      <c r="Y63" s="42">
        <f>SUM(O63:X63)</f>
        <v>0</v>
      </c>
    </row>
    <row r="64" spans="2:25" x14ac:dyDescent="0.25">
      <c r="B64" s="2" t="s">
        <v>55</v>
      </c>
      <c r="G64" s="13">
        <v>1296</v>
      </c>
      <c r="H64" s="35">
        <f t="shared" si="31"/>
        <v>1715</v>
      </c>
      <c r="I64" s="35">
        <f>-I14*I102</f>
        <v>1872.3631049598434</v>
      </c>
      <c r="J64" s="35">
        <f>-J14*J102</f>
        <v>2059.599415455828</v>
      </c>
      <c r="K64" s="35">
        <f>-K14*K102</f>
        <v>2265.5593570014107</v>
      </c>
      <c r="L64" s="35">
        <f>-L14*L102</f>
        <v>2378.8373248514808</v>
      </c>
      <c r="M64" s="35">
        <f>-M14*M102</f>
        <v>2450.202444597026</v>
      </c>
      <c r="O64" s="13">
        <v>1715</v>
      </c>
      <c r="P64" s="35"/>
      <c r="Q64" s="35"/>
      <c r="R64" s="35"/>
      <c r="S64" s="35"/>
      <c r="T64" s="35"/>
      <c r="U64" s="35"/>
      <c r="V64" s="35"/>
      <c r="W64" s="35"/>
      <c r="X64" s="35"/>
      <c r="Y64" s="42">
        <f>SUM(O64:X64)</f>
        <v>1715</v>
      </c>
    </row>
    <row r="65" spans="2:25" x14ac:dyDescent="0.25">
      <c r="B65" s="2" t="s">
        <v>56</v>
      </c>
      <c r="G65" s="13">
        <v>382</v>
      </c>
      <c r="H65" s="35">
        <f t="shared" si="31"/>
        <v>438</v>
      </c>
      <c r="I65" s="35">
        <f>I103*I8</f>
        <v>481.80000000000007</v>
      </c>
      <c r="J65" s="35">
        <f>J103*J8</f>
        <v>529.98000000000013</v>
      </c>
      <c r="K65" s="35">
        <f>K103*K8</f>
        <v>582.97800000000018</v>
      </c>
      <c r="L65" s="35">
        <f>L103*L8</f>
        <v>612.12690000000021</v>
      </c>
      <c r="M65" s="35">
        <f>M103*M8</f>
        <v>630.49070700000016</v>
      </c>
      <c r="O65" s="13">
        <v>438</v>
      </c>
      <c r="P65" s="35"/>
      <c r="Q65" s="35"/>
      <c r="R65" s="35"/>
      <c r="S65" s="35"/>
      <c r="T65" s="35"/>
      <c r="U65" s="35"/>
      <c r="V65" s="35"/>
      <c r="W65" s="35"/>
      <c r="X65" s="35"/>
      <c r="Y65" s="42">
        <f>SUM(O65:X65)</f>
        <v>438</v>
      </c>
    </row>
    <row r="66" spans="2:25" x14ac:dyDescent="0.25">
      <c r="B66" s="2" t="s">
        <v>57</v>
      </c>
      <c r="G66" s="13">
        <v>13214</v>
      </c>
      <c r="H66" s="35">
        <f t="shared" si="31"/>
        <v>14716</v>
      </c>
      <c r="I66" s="35">
        <f>I8*I104</f>
        <v>16187.600000000002</v>
      </c>
      <c r="J66" s="35">
        <f>J8*J104</f>
        <v>17806.360000000004</v>
      </c>
      <c r="K66" s="35">
        <f>K8*K104</f>
        <v>19586.996000000006</v>
      </c>
      <c r="L66" s="35">
        <f>L8*L104</f>
        <v>20566.345800000006</v>
      </c>
      <c r="M66" s="35">
        <f>M8*M104</f>
        <v>21183.336174000004</v>
      </c>
      <c r="O66" s="13">
        <v>14716</v>
      </c>
      <c r="P66" s="35"/>
      <c r="Q66" s="35"/>
      <c r="R66" s="35"/>
      <c r="S66" s="35"/>
      <c r="T66" s="35"/>
      <c r="U66" s="35"/>
      <c r="V66" s="35"/>
      <c r="W66" s="35"/>
      <c r="X66" s="35"/>
      <c r="Y66" s="42">
        <f>SUM(O66:X66)</f>
        <v>14716</v>
      </c>
    </row>
    <row r="67" spans="2:25" x14ac:dyDescent="0.25">
      <c r="B67" s="2" t="s">
        <v>58</v>
      </c>
      <c r="G67" s="13">
        <v>44</v>
      </c>
      <c r="H67" s="35">
        <f t="shared" si="31"/>
        <v>35</v>
      </c>
      <c r="I67" s="35">
        <f>I105</f>
        <v>35</v>
      </c>
      <c r="J67" s="35">
        <f t="shared" ref="J67:M67" si="34">J105</f>
        <v>35</v>
      </c>
      <c r="K67" s="35">
        <f t="shared" si="34"/>
        <v>35</v>
      </c>
      <c r="L67" s="35">
        <f t="shared" si="34"/>
        <v>35</v>
      </c>
      <c r="M67" s="35">
        <f t="shared" si="34"/>
        <v>35</v>
      </c>
      <c r="O67" s="13">
        <v>35</v>
      </c>
      <c r="P67" s="35"/>
      <c r="Q67" s="35"/>
      <c r="R67" s="35"/>
      <c r="S67" s="35"/>
      <c r="T67" s="35"/>
      <c r="U67" s="35"/>
      <c r="V67" s="35"/>
      <c r="W67" s="35"/>
      <c r="X67" s="35"/>
      <c r="Y67" s="42">
        <f>SUM(O67:X67)</f>
        <v>35</v>
      </c>
    </row>
    <row r="68" spans="2:25" x14ac:dyDescent="0.25">
      <c r="B68" s="2" t="s">
        <v>59</v>
      </c>
      <c r="G68" s="13">
        <v>899</v>
      </c>
      <c r="H68" s="35">
        <f t="shared" si="31"/>
        <v>0</v>
      </c>
      <c r="I68" s="64"/>
      <c r="J68" s="64"/>
      <c r="K68" s="64"/>
      <c r="L68" s="64"/>
      <c r="M68" s="64"/>
      <c r="O68" s="13">
        <v>0</v>
      </c>
      <c r="P68" s="35"/>
      <c r="Q68" s="35"/>
      <c r="R68" s="35"/>
      <c r="S68" s="35"/>
      <c r="T68" s="35"/>
      <c r="U68" s="35"/>
      <c r="V68" s="35"/>
      <c r="W68" s="35"/>
      <c r="X68" s="35"/>
      <c r="Y68" s="42">
        <f>SUM(O68:X68)</f>
        <v>0</v>
      </c>
    </row>
    <row r="69" spans="2:25" x14ac:dyDescent="0.25">
      <c r="B69" s="2" t="s">
        <v>60</v>
      </c>
      <c r="G69" s="13">
        <v>21</v>
      </c>
      <c r="H69" s="35">
        <f t="shared" si="31"/>
        <v>0</v>
      </c>
      <c r="I69" s="64"/>
      <c r="J69" s="64"/>
      <c r="K69" s="64"/>
      <c r="L69" s="64"/>
      <c r="M69" s="64"/>
      <c r="O69" s="13">
        <v>0</v>
      </c>
      <c r="P69" s="35"/>
      <c r="Q69" s="35"/>
      <c r="R69" s="35"/>
      <c r="S69" s="35"/>
      <c r="T69" s="35"/>
      <c r="U69" s="35"/>
      <c r="V69" s="35"/>
      <c r="W69" s="35"/>
      <c r="X69" s="35"/>
      <c r="Y69" s="42">
        <f>SUM(O69:X69)</f>
        <v>0</v>
      </c>
    </row>
    <row r="70" spans="2:25" x14ac:dyDescent="0.25">
      <c r="B70" s="2" t="s">
        <v>61</v>
      </c>
      <c r="G70" s="13">
        <v>0</v>
      </c>
      <c r="H70" s="35">
        <f t="shared" si="31"/>
        <v>0</v>
      </c>
      <c r="I70" s="64"/>
      <c r="J70" s="64"/>
      <c r="K70" s="64"/>
      <c r="L70" s="64"/>
      <c r="M70" s="64"/>
      <c r="O70" s="13">
        <v>500</v>
      </c>
      <c r="P70" s="35"/>
      <c r="Q70" s="35">
        <f>-O70</f>
        <v>-500</v>
      </c>
      <c r="R70" s="35"/>
      <c r="S70" s="35"/>
      <c r="T70" s="35"/>
      <c r="U70" s="35"/>
      <c r="V70" s="35"/>
      <c r="W70" s="35"/>
      <c r="X70" s="35"/>
      <c r="Y70" s="42">
        <f>SUM(O70:X70)</f>
        <v>0</v>
      </c>
    </row>
    <row r="71" spans="2:25" x14ac:dyDescent="0.25">
      <c r="B71" s="2" t="s">
        <v>62</v>
      </c>
      <c r="G71" s="13">
        <v>62</v>
      </c>
      <c r="H71" s="35">
        <f t="shared" si="31"/>
        <v>0</v>
      </c>
      <c r="I71" s="64"/>
      <c r="J71" s="64"/>
      <c r="K71" s="64"/>
      <c r="L71" s="64"/>
      <c r="M71" s="64"/>
      <c r="O71" s="13">
        <v>52</v>
      </c>
      <c r="P71" s="35"/>
      <c r="Q71" s="35">
        <f>-O71</f>
        <v>-52</v>
      </c>
      <c r="R71" s="35"/>
      <c r="S71" s="35"/>
      <c r="T71" s="35"/>
      <c r="U71" s="35"/>
      <c r="V71" s="35"/>
      <c r="W71" s="35"/>
      <c r="X71" s="35"/>
      <c r="Y71" s="42">
        <f>SUM(O71:X71)</f>
        <v>0</v>
      </c>
    </row>
    <row r="72" spans="2:25" x14ac:dyDescent="0.25">
      <c r="B72" s="8" t="s">
        <v>35</v>
      </c>
      <c r="G72" s="15">
        <f>SUM(G61:G71)</f>
        <v>26666</v>
      </c>
      <c r="H72" s="81">
        <f>SUM(H61:H71)</f>
        <v>28177</v>
      </c>
      <c r="I72" s="15">
        <f t="shared" ref="I72:M72" ca="1" si="35">SUM(I61:I71)</f>
        <v>31008.518572143741</v>
      </c>
      <c r="J72" s="15">
        <f t="shared" ca="1" si="35"/>
        <v>34215.05353457389</v>
      </c>
      <c r="K72" s="15">
        <f t="shared" ca="1" si="35"/>
        <v>37819.620447644258</v>
      </c>
      <c r="L72" s="15">
        <f t="shared" ca="1" si="35"/>
        <v>39877.495503905433</v>
      </c>
      <c r="M72" s="15">
        <f t="shared" ca="1" si="35"/>
        <v>41647.487503935205</v>
      </c>
      <c r="O72" s="15">
        <f t="shared" ref="O72:V72" si="36">SUM(O61:O71)</f>
        <v>28729</v>
      </c>
      <c r="P72" s="15">
        <f t="shared" si="36"/>
        <v>0</v>
      </c>
      <c r="Q72" s="15">
        <f t="shared" si="36"/>
        <v>-552</v>
      </c>
      <c r="R72" s="15">
        <f t="shared" si="36"/>
        <v>0</v>
      </c>
      <c r="S72" s="15">
        <f t="shared" si="36"/>
        <v>0</v>
      </c>
      <c r="T72" s="15">
        <f t="shared" si="36"/>
        <v>0</v>
      </c>
      <c r="U72" s="15">
        <f t="shared" si="36"/>
        <v>0</v>
      </c>
      <c r="V72" s="15">
        <f t="shared" si="36"/>
        <v>0</v>
      </c>
      <c r="W72" s="15">
        <f t="shared" ref="W72" si="37">SUM(W61:W71)</f>
        <v>0</v>
      </c>
      <c r="X72" s="15">
        <f t="shared" ref="X72" si="38">SUM(X61:X71)</f>
        <v>0</v>
      </c>
      <c r="Y72" s="15">
        <f>SUM(Y61:Y71)</f>
        <v>28177</v>
      </c>
    </row>
    <row r="73" spans="2:25" x14ac:dyDescent="0.25">
      <c r="H73" s="82"/>
    </row>
    <row r="74" spans="2:25" x14ac:dyDescent="0.25">
      <c r="B74" s="2" t="s">
        <v>64</v>
      </c>
      <c r="G74" s="13">
        <v>30475</v>
      </c>
      <c r="H74" s="35">
        <f t="shared" ref="H74:H80" si="39">Y74</f>
        <v>0</v>
      </c>
      <c r="I74" s="64"/>
      <c r="J74" s="64"/>
      <c r="K74" s="64"/>
      <c r="L74" s="64"/>
      <c r="M74" s="64"/>
      <c r="O74" s="13">
        <v>31740</v>
      </c>
      <c r="P74" s="42"/>
      <c r="Q74" s="42">
        <f>-O74</f>
        <v>-31740</v>
      </c>
      <c r="R74" s="42"/>
      <c r="S74" s="42"/>
      <c r="T74" s="42"/>
      <c r="U74" s="42"/>
      <c r="V74" s="42"/>
      <c r="W74" s="42"/>
      <c r="X74" s="42"/>
      <c r="Y74" s="42">
        <f>SUM(O74:X74)</f>
        <v>0</v>
      </c>
    </row>
    <row r="75" spans="2:25" x14ac:dyDescent="0.25">
      <c r="B75" s="2" t="s">
        <v>61</v>
      </c>
      <c r="G75" s="13">
        <v>3000</v>
      </c>
      <c r="H75" s="35">
        <f t="shared" si="39"/>
        <v>0</v>
      </c>
      <c r="I75" s="64"/>
      <c r="J75" s="64"/>
      <c r="K75" s="64"/>
      <c r="L75" s="64"/>
      <c r="M75" s="64"/>
      <c r="O75" s="13">
        <v>2500</v>
      </c>
      <c r="P75" s="42"/>
      <c r="Q75" s="42">
        <f>-O75</f>
        <v>-2500</v>
      </c>
      <c r="R75" s="42"/>
      <c r="S75" s="42"/>
      <c r="T75" s="42"/>
      <c r="U75" s="42"/>
      <c r="V75" s="42"/>
      <c r="W75" s="42"/>
      <c r="X75" s="42"/>
      <c r="Y75" s="42">
        <f>SUM(O75:X75)</f>
        <v>0</v>
      </c>
    </row>
    <row r="76" spans="2:25" x14ac:dyDescent="0.25">
      <c r="B76" s="2" t="s">
        <v>161</v>
      </c>
      <c r="G76" s="13">
        <v>0</v>
      </c>
      <c r="H76" s="35">
        <f t="shared" si="39"/>
        <v>0</v>
      </c>
      <c r="I76" s="42">
        <f ca="1">I199</f>
        <v>0</v>
      </c>
      <c r="J76" s="42">
        <f ca="1">J199</f>
        <v>6184.6824781907899</v>
      </c>
      <c r="K76" s="42">
        <f ca="1">K199</f>
        <v>11268.210169281909</v>
      </c>
      <c r="L76" s="42">
        <f ca="1">L199</f>
        <v>15160.340360672217</v>
      </c>
      <c r="M76" s="42">
        <f ca="1">M199</f>
        <v>36607.420325606829</v>
      </c>
      <c r="O76" s="13">
        <v>0</v>
      </c>
      <c r="P76" s="42"/>
      <c r="Q76" s="42"/>
      <c r="R76" s="42"/>
      <c r="S76" s="42">
        <v>0</v>
      </c>
      <c r="T76" s="42"/>
      <c r="U76" s="42"/>
      <c r="V76" s="42"/>
      <c r="W76" s="42"/>
      <c r="X76" s="42"/>
      <c r="Y76" s="42">
        <f>SUM(O76:X76)</f>
        <v>0</v>
      </c>
    </row>
    <row r="77" spans="2:25" x14ac:dyDescent="0.25">
      <c r="B77" s="2" t="s">
        <v>138</v>
      </c>
      <c r="G77" s="13">
        <v>0</v>
      </c>
      <c r="H77" s="35">
        <f t="shared" si="39"/>
        <v>20483.099999999999</v>
      </c>
      <c r="I77" s="42">
        <f>I222</f>
        <v>16386.48</v>
      </c>
      <c r="J77" s="42">
        <f t="shared" ref="J77:M77" si="40">J222</f>
        <v>12289.86</v>
      </c>
      <c r="K77" s="42">
        <f t="shared" si="40"/>
        <v>8193.24</v>
      </c>
      <c r="L77" s="42">
        <f t="shared" si="40"/>
        <v>4096.62</v>
      </c>
      <c r="M77" s="42">
        <f t="shared" si="40"/>
        <v>0</v>
      </c>
      <c r="O77" s="13">
        <v>0</v>
      </c>
      <c r="P77" s="42"/>
      <c r="Q77" s="42"/>
      <c r="R77" s="42"/>
      <c r="S77" s="42"/>
      <c r="T77" s="42">
        <f>T58</f>
        <v>20483.099999999999</v>
      </c>
      <c r="U77" s="42"/>
      <c r="V77" s="42"/>
      <c r="W77" s="42"/>
      <c r="X77" s="42"/>
      <c r="Y77" s="42">
        <f>SUM(O77:X77)</f>
        <v>20483.099999999999</v>
      </c>
    </row>
    <row r="78" spans="2:25" x14ac:dyDescent="0.25">
      <c r="B78" s="2" t="s">
        <v>158</v>
      </c>
      <c r="G78" s="13">
        <v>0</v>
      </c>
      <c r="H78" s="35">
        <f t="shared" si="39"/>
        <v>12289.86</v>
      </c>
      <c r="I78" s="42">
        <f>I238</f>
        <v>12314.688</v>
      </c>
      <c r="J78" s="42">
        <f t="shared" ref="J78:M78" si="41">J238</f>
        <v>12339.516</v>
      </c>
      <c r="K78" s="42">
        <f t="shared" si="41"/>
        <v>12364.343999999999</v>
      </c>
      <c r="L78" s="42">
        <f t="shared" si="41"/>
        <v>12389.172</v>
      </c>
      <c r="M78" s="42">
        <f t="shared" si="41"/>
        <v>0</v>
      </c>
      <c r="O78" s="13">
        <v>0</v>
      </c>
      <c r="P78" s="42"/>
      <c r="Q78" s="42"/>
      <c r="R78" s="42"/>
      <c r="S78" s="42"/>
      <c r="T78" s="42"/>
      <c r="U78" s="42">
        <f>U58</f>
        <v>12289.86</v>
      </c>
      <c r="V78" s="42"/>
      <c r="W78" s="42"/>
      <c r="X78" s="42"/>
      <c r="Y78" s="42">
        <f>SUM(O78:X78)</f>
        <v>12289.86</v>
      </c>
    </row>
    <row r="79" spans="2:25" x14ac:dyDescent="0.25">
      <c r="B79" s="2" t="s">
        <v>159</v>
      </c>
      <c r="G79" s="13">
        <v>0</v>
      </c>
      <c r="H79" s="35">
        <f t="shared" si="39"/>
        <v>8193.24</v>
      </c>
      <c r="I79" s="42">
        <f>I254</f>
        <v>8209.7919999999995</v>
      </c>
      <c r="J79" s="42">
        <f t="shared" ref="J79:M79" si="42">J254</f>
        <v>8226.3439999999991</v>
      </c>
      <c r="K79" s="42">
        <f t="shared" si="42"/>
        <v>8242.8960000000006</v>
      </c>
      <c r="L79" s="42">
        <f t="shared" si="42"/>
        <v>8259.4480000000003</v>
      </c>
      <c r="M79" s="42">
        <f t="shared" si="42"/>
        <v>0</v>
      </c>
      <c r="O79" s="13">
        <v>0</v>
      </c>
      <c r="P79" s="42"/>
      <c r="Q79" s="42"/>
      <c r="R79" s="42"/>
      <c r="S79" s="42"/>
      <c r="T79" s="42"/>
      <c r="U79" s="42"/>
      <c r="V79" s="42">
        <f>V58</f>
        <v>8193.24</v>
      </c>
      <c r="W79" s="42"/>
      <c r="X79" s="42"/>
      <c r="Y79" s="42">
        <f>SUM(O79:X79)</f>
        <v>8193.24</v>
      </c>
    </row>
    <row r="80" spans="2:25" x14ac:dyDescent="0.25">
      <c r="B80" s="2" t="s">
        <v>36</v>
      </c>
      <c r="G80" s="13">
        <v>636</v>
      </c>
      <c r="H80" s="35">
        <f t="shared" si="39"/>
        <v>576</v>
      </c>
      <c r="I80" s="42">
        <f>I182</f>
        <v>526</v>
      </c>
      <c r="J80" s="42">
        <f t="shared" ref="J80:M80" si="43">J182</f>
        <v>476</v>
      </c>
      <c r="K80" s="42">
        <f t="shared" si="43"/>
        <v>426</v>
      </c>
      <c r="L80" s="42">
        <f t="shared" si="43"/>
        <v>376</v>
      </c>
      <c r="M80" s="42">
        <f t="shared" si="43"/>
        <v>326</v>
      </c>
      <c r="O80" s="13">
        <v>576</v>
      </c>
      <c r="P80" s="42"/>
      <c r="Q80" s="42"/>
      <c r="R80" s="42"/>
      <c r="S80" s="42"/>
      <c r="T80" s="42"/>
      <c r="U80" s="42"/>
      <c r="V80" s="42"/>
      <c r="W80" s="42"/>
      <c r="X80" s="42"/>
      <c r="Y80" s="42">
        <f>SUM(O80:X80)</f>
        <v>576</v>
      </c>
    </row>
    <row r="81" spans="2:25" x14ac:dyDescent="0.25">
      <c r="B81" s="8" t="s">
        <v>37</v>
      </c>
      <c r="G81" s="15">
        <f>SUM(G74:G80)+G72</f>
        <v>60777</v>
      </c>
      <c r="H81" s="81">
        <f>SUM(H74:H80)+H72</f>
        <v>69719.199999999997</v>
      </c>
      <c r="I81" s="15">
        <f t="shared" ref="I81:M81" ca="1" si="44">SUM(I74:I80)+I72</f>
        <v>68445.478572143737</v>
      </c>
      <c r="J81" s="15">
        <f t="shared" ca="1" si="44"/>
        <v>73731.456012764684</v>
      </c>
      <c r="K81" s="15">
        <f t="shared" ca="1" si="44"/>
        <v>78314.310616926174</v>
      </c>
      <c r="L81" s="15">
        <f t="shared" ca="1" si="44"/>
        <v>80159.075864577651</v>
      </c>
      <c r="M81" s="15">
        <f t="shared" ca="1" si="44"/>
        <v>78580.907829542033</v>
      </c>
      <c r="O81" s="15">
        <f>SUM(O74:O80)+O72</f>
        <v>63545</v>
      </c>
      <c r="P81" s="15">
        <f t="shared" ref="P81:Y81" si="45">SUM(P74:P80)+P72</f>
        <v>0</v>
      </c>
      <c r="Q81" s="15">
        <f t="shared" si="45"/>
        <v>-34792</v>
      </c>
      <c r="R81" s="15">
        <f t="shared" si="45"/>
        <v>0</v>
      </c>
      <c r="S81" s="15">
        <f t="shared" si="45"/>
        <v>0</v>
      </c>
      <c r="T81" s="15">
        <f t="shared" si="45"/>
        <v>20483.099999999999</v>
      </c>
      <c r="U81" s="15">
        <f t="shared" si="45"/>
        <v>12289.86</v>
      </c>
      <c r="V81" s="15">
        <f t="shared" si="45"/>
        <v>8193.24</v>
      </c>
      <c r="W81" s="15">
        <f t="shared" ref="W81" si="46">SUM(W74:W80)+W72</f>
        <v>0</v>
      </c>
      <c r="X81" s="15">
        <f t="shared" ref="X81" si="47">SUM(X74:X80)+X72</f>
        <v>0</v>
      </c>
      <c r="Y81" s="15">
        <f t="shared" si="45"/>
        <v>69719.199999999997</v>
      </c>
    </row>
    <row r="82" spans="2:25" x14ac:dyDescent="0.25">
      <c r="H82" s="82"/>
    </row>
    <row r="83" spans="2:25" x14ac:dyDescent="0.25">
      <c r="B83" s="2" t="s">
        <v>38</v>
      </c>
      <c r="G83" s="13">
        <v>40</v>
      </c>
      <c r="H83" s="35">
        <f t="shared" ref="H83:H85" si="48">Y83</f>
        <v>32359.16</v>
      </c>
      <c r="I83" s="63"/>
      <c r="J83" s="63"/>
      <c r="K83" s="63"/>
      <c r="L83" s="63"/>
      <c r="M83" s="63"/>
      <c r="O83" s="13">
        <v>39</v>
      </c>
      <c r="P83" s="42">
        <f>-O83</f>
        <v>-39</v>
      </c>
      <c r="R83" s="42">
        <f>R58</f>
        <v>33104</v>
      </c>
      <c r="W83" s="42">
        <f>W58</f>
        <v>-744.84</v>
      </c>
      <c r="Y83" s="42">
        <f>SUM(O83:X83)</f>
        <v>32359.16</v>
      </c>
    </row>
    <row r="84" spans="2:25" x14ac:dyDescent="0.25">
      <c r="B84" s="2" t="s">
        <v>39</v>
      </c>
      <c r="G84" s="13">
        <v>2800</v>
      </c>
      <c r="H84" s="35">
        <f t="shared" si="48"/>
        <v>0</v>
      </c>
      <c r="I84" s="63"/>
      <c r="J84" s="63"/>
      <c r="K84" s="63"/>
      <c r="L84" s="63"/>
      <c r="M84" s="63"/>
      <c r="O84" s="13">
        <v>2800</v>
      </c>
      <c r="P84" s="42">
        <f>-O84</f>
        <v>-2800</v>
      </c>
      <c r="Y84" s="42">
        <f>SUM(O84:X84)</f>
        <v>0</v>
      </c>
    </row>
    <row r="85" spans="2:25" x14ac:dyDescent="0.25">
      <c r="B85" s="2" t="s">
        <v>40</v>
      </c>
      <c r="G85" s="13">
        <v>-5940</v>
      </c>
      <c r="H85" s="35">
        <f t="shared" si="48"/>
        <v>-1435</v>
      </c>
      <c r="I85" s="63"/>
      <c r="J85" s="63"/>
      <c r="K85" s="63"/>
      <c r="L85" s="63"/>
      <c r="M85" s="63"/>
      <c r="O85" s="13">
        <v>-8294</v>
      </c>
      <c r="P85" s="42">
        <f>-O85-O46</f>
        <v>6859</v>
      </c>
      <c r="Y85" s="42">
        <f>SUM(O85:X85)</f>
        <v>-1435</v>
      </c>
    </row>
    <row r="86" spans="2:25" x14ac:dyDescent="0.25">
      <c r="B86" s="8" t="s">
        <v>41</v>
      </c>
      <c r="G86" s="15">
        <f>SUM(G83:G85)</f>
        <v>-3100</v>
      </c>
      <c r="H86" s="15">
        <f>SUM(H83:H85)</f>
        <v>30924.16</v>
      </c>
      <c r="I86" s="15">
        <f ca="1">I300</f>
        <v>29702.208024342413</v>
      </c>
      <c r="J86" s="15">
        <f t="shared" ref="J86:M86" ca="1" si="49">J300</f>
        <v>29299.9841268294</v>
      </c>
      <c r="K86" s="15">
        <f t="shared" ca="1" si="49"/>
        <v>29801.391983927664</v>
      </c>
      <c r="L86" s="15">
        <f t="shared" ca="1" si="49"/>
        <v>31176.790274317598</v>
      </c>
      <c r="M86" s="15">
        <f t="shared" ca="1" si="49"/>
        <v>34647.272495134872</v>
      </c>
      <c r="O86" s="15">
        <f>SUM(O83:O85)</f>
        <v>-5455</v>
      </c>
      <c r="P86" s="15">
        <f>SUM(P83:P85)</f>
        <v>4020</v>
      </c>
      <c r="Q86" s="15">
        <f t="shared" ref="Q86:Y86" si="50">SUM(Q83:Q85)</f>
        <v>0</v>
      </c>
      <c r="R86" s="15">
        <f t="shared" si="50"/>
        <v>33104</v>
      </c>
      <c r="S86" s="15">
        <f t="shared" si="50"/>
        <v>0</v>
      </c>
      <c r="T86" s="15">
        <f t="shared" si="50"/>
        <v>0</v>
      </c>
      <c r="U86" s="15">
        <f t="shared" si="50"/>
        <v>0</v>
      </c>
      <c r="V86" s="15">
        <f t="shared" si="50"/>
        <v>0</v>
      </c>
      <c r="W86" s="15">
        <f t="shared" ref="W86" si="51">SUM(W83:W85)</f>
        <v>-744.84</v>
      </c>
      <c r="X86" s="15">
        <f t="shared" ref="X86" si="52">SUM(X83:X85)</f>
        <v>0</v>
      </c>
      <c r="Y86" s="15">
        <f t="shared" si="50"/>
        <v>30924.16</v>
      </c>
    </row>
    <row r="88" spans="2:25" ht="13.8" thickBot="1" x14ac:dyDescent="0.3">
      <c r="B88" s="8" t="s">
        <v>42</v>
      </c>
      <c r="G88" s="23">
        <f>G81+G86</f>
        <v>57677</v>
      </c>
      <c r="H88" s="23">
        <f>H81+H86</f>
        <v>100643.36</v>
      </c>
      <c r="I88" s="23">
        <f t="shared" ref="I88:M88" ca="1" si="53">I81+I86</f>
        <v>98147.68659648615</v>
      </c>
      <c r="J88" s="23">
        <f t="shared" ca="1" si="53"/>
        <v>103031.44013959408</v>
      </c>
      <c r="K88" s="23">
        <f t="shared" ca="1" si="53"/>
        <v>108115.70260085384</v>
      </c>
      <c r="L88" s="23">
        <f t="shared" ca="1" si="53"/>
        <v>111335.86613889525</v>
      </c>
      <c r="M88" s="23">
        <f t="shared" ca="1" si="53"/>
        <v>113228.18032467691</v>
      </c>
      <c r="O88" s="23">
        <f>O81+O86</f>
        <v>58090</v>
      </c>
      <c r="P88" s="23">
        <f t="shared" ref="P88:Y88" si="54">P81+P86</f>
        <v>4020</v>
      </c>
      <c r="Q88" s="23">
        <f t="shared" si="54"/>
        <v>-34792</v>
      </c>
      <c r="R88" s="23">
        <f t="shared" si="54"/>
        <v>33104</v>
      </c>
      <c r="S88" s="23">
        <f t="shared" si="54"/>
        <v>0</v>
      </c>
      <c r="T88" s="23">
        <f t="shared" si="54"/>
        <v>20483.099999999999</v>
      </c>
      <c r="U88" s="23">
        <f t="shared" si="54"/>
        <v>12289.86</v>
      </c>
      <c r="V88" s="23">
        <f t="shared" si="54"/>
        <v>8193.24</v>
      </c>
      <c r="W88" s="23">
        <f t="shared" si="54"/>
        <v>-744.84</v>
      </c>
      <c r="X88" s="23">
        <f t="shared" si="54"/>
        <v>0</v>
      </c>
      <c r="Y88" s="23">
        <f t="shared" si="54"/>
        <v>100643.36</v>
      </c>
    </row>
    <row r="89" spans="2:25" ht="13.8" thickTop="1" x14ac:dyDescent="0.25">
      <c r="B89" s="9" t="s">
        <v>43</v>
      </c>
      <c r="G89" s="25">
        <f>G59-G88</f>
        <v>0</v>
      </c>
      <c r="H89" s="25">
        <f>H59-H88</f>
        <v>0</v>
      </c>
      <c r="I89" s="25">
        <f t="shared" ref="I89:M89" ca="1" si="55">I59-I88</f>
        <v>0</v>
      </c>
      <c r="J89" s="25">
        <f t="shared" ca="1" si="55"/>
        <v>0</v>
      </c>
      <c r="K89" s="25">
        <f t="shared" ca="1" si="55"/>
        <v>0</v>
      </c>
      <c r="L89" s="25">
        <f t="shared" ca="1" si="55"/>
        <v>2.3283064365386963E-10</v>
      </c>
      <c r="M89" s="25">
        <f t="shared" ca="1" si="55"/>
        <v>8.7049556896090508E-8</v>
      </c>
      <c r="O89" s="25">
        <f>O59-O88</f>
        <v>0</v>
      </c>
      <c r="P89" s="25">
        <f t="shared" ref="P89:V89" si="56">P59-P88</f>
        <v>0</v>
      </c>
      <c r="Q89" s="25">
        <f t="shared" si="56"/>
        <v>0</v>
      </c>
      <c r="R89" s="25">
        <f t="shared" si="56"/>
        <v>0</v>
      </c>
      <c r="S89" s="25">
        <f t="shared" si="56"/>
        <v>0</v>
      </c>
      <c r="T89" s="25">
        <f t="shared" si="56"/>
        <v>0</v>
      </c>
      <c r="U89" s="25">
        <f t="shared" si="56"/>
        <v>0</v>
      </c>
      <c r="V89" s="25">
        <f t="shared" si="56"/>
        <v>0</v>
      </c>
      <c r="W89" s="25">
        <f t="shared" ref="W89" si="57">W59-W88</f>
        <v>0</v>
      </c>
      <c r="X89" s="25">
        <f t="shared" ref="X89" si="58">X59-X88</f>
        <v>0</v>
      </c>
      <c r="Y89" s="25">
        <f t="shared" ref="Y89" si="59">Y59-Y88</f>
        <v>0</v>
      </c>
    </row>
    <row r="92" spans="2:25" x14ac:dyDescent="0.25">
      <c r="B92" s="16" t="s">
        <v>21</v>
      </c>
      <c r="C92" s="17"/>
      <c r="D92" s="18"/>
      <c r="E92" s="18"/>
      <c r="F92" s="17"/>
      <c r="G92" s="17"/>
      <c r="H92" s="17"/>
      <c r="I92" s="17"/>
      <c r="J92" s="17"/>
      <c r="K92" s="17"/>
      <c r="L92" s="17"/>
      <c r="M92" s="17"/>
    </row>
    <row r="93" spans="2:25" x14ac:dyDescent="0.25">
      <c r="B93" s="16"/>
      <c r="C93" s="17"/>
      <c r="D93" s="21" t="s">
        <v>24</v>
      </c>
      <c r="E93" s="21" t="s">
        <v>25</v>
      </c>
      <c r="F93" s="17"/>
      <c r="G93" s="17"/>
      <c r="H93" s="17"/>
      <c r="I93" s="17"/>
      <c r="J93" s="17"/>
      <c r="K93" s="17"/>
      <c r="L93" s="17"/>
      <c r="M93" s="17"/>
    </row>
    <row r="94" spans="2:25" x14ac:dyDescent="0.25">
      <c r="B94" s="17" t="s">
        <v>32</v>
      </c>
      <c r="C94" s="17"/>
      <c r="D94" s="19" t="s">
        <v>80</v>
      </c>
      <c r="E94" s="20" t="s">
        <v>81</v>
      </c>
      <c r="F94" s="17"/>
      <c r="G94" s="37">
        <f>-G51/G9*365</f>
        <v>62.825292474428174</v>
      </c>
      <c r="H94" s="37">
        <f>-H51/H9*365</f>
        <v>63.583304689418114</v>
      </c>
      <c r="I94" s="39">
        <f>H94</f>
        <v>63.583304689418114</v>
      </c>
      <c r="J94" s="39">
        <f>I94</f>
        <v>63.583304689418114</v>
      </c>
      <c r="K94" s="39">
        <f t="shared" ref="K94:M94" si="60">J94</f>
        <v>63.583304689418114</v>
      </c>
      <c r="L94" s="39">
        <f t="shared" si="60"/>
        <v>63.583304689418114</v>
      </c>
      <c r="M94" s="39">
        <f t="shared" si="60"/>
        <v>63.583304689418114</v>
      </c>
    </row>
    <row r="95" spans="2:25" x14ac:dyDescent="0.25">
      <c r="B95" s="17" t="s">
        <v>48</v>
      </c>
      <c r="C95" s="17"/>
      <c r="D95" s="19" t="s">
        <v>26</v>
      </c>
      <c r="E95" s="20" t="s">
        <v>81</v>
      </c>
      <c r="F95" s="17"/>
      <c r="G95" s="37">
        <f>G52/G8*365</f>
        <v>3.7729580064605446</v>
      </c>
      <c r="H95" s="37">
        <f>H52/H8*365</f>
        <v>3.1831139734519671</v>
      </c>
      <c r="I95" s="39">
        <f>H95</f>
        <v>3.1831139734519671</v>
      </c>
      <c r="J95" s="39">
        <f t="shared" ref="J95:M95" si="61">I95</f>
        <v>3.1831139734519671</v>
      </c>
      <c r="K95" s="39">
        <f t="shared" si="61"/>
        <v>3.1831139734519671</v>
      </c>
      <c r="L95" s="39">
        <f t="shared" si="61"/>
        <v>3.1831139734519671</v>
      </c>
      <c r="M95" s="39">
        <f t="shared" si="61"/>
        <v>3.1831139734519671</v>
      </c>
    </row>
    <row r="96" spans="2:25" x14ac:dyDescent="0.25">
      <c r="B96" s="17" t="s">
        <v>49</v>
      </c>
      <c r="C96" s="17"/>
      <c r="D96" s="19" t="s">
        <v>26</v>
      </c>
      <c r="E96" s="20" t="s">
        <v>27</v>
      </c>
      <c r="F96" s="17"/>
      <c r="G96" s="38">
        <f>G53/G$8</f>
        <v>5.4537064227881021E-4</v>
      </c>
      <c r="H96" s="38">
        <f>H53/H$8</f>
        <v>6.4242064097519457E-4</v>
      </c>
      <c r="I96" s="40">
        <f>AVERAGE($G$96:$H$96)</f>
        <v>5.9389564162700239E-4</v>
      </c>
      <c r="J96" s="40">
        <f t="shared" ref="J96:M96" si="62">AVERAGE($G$96:$H$96)</f>
        <v>5.9389564162700239E-4</v>
      </c>
      <c r="K96" s="40">
        <f t="shared" si="62"/>
        <v>5.9389564162700239E-4</v>
      </c>
      <c r="L96" s="40">
        <f t="shared" si="62"/>
        <v>5.9389564162700239E-4</v>
      </c>
      <c r="M96" s="40">
        <f t="shared" si="62"/>
        <v>5.9389564162700239E-4</v>
      </c>
    </row>
    <row r="97" spans="1:13" x14ac:dyDescent="0.25">
      <c r="B97" s="17" t="s">
        <v>50</v>
      </c>
      <c r="C97" s="17"/>
      <c r="D97" s="19" t="s">
        <v>26</v>
      </c>
      <c r="E97" s="20" t="s">
        <v>27</v>
      </c>
      <c r="F97" s="17"/>
      <c r="G97" s="38">
        <f>G54/G$8</f>
        <v>3.658178462054789E-2</v>
      </c>
      <c r="H97" s="38">
        <f>H54/H$8</f>
        <v>4.2552337206594446E-2</v>
      </c>
      <c r="I97" s="40">
        <f>AVERAGE($G$97:$H$97)</f>
        <v>3.9567060913571164E-2</v>
      </c>
      <c r="J97" s="40">
        <f t="shared" ref="J97:M97" si="63">AVERAGE($G$97:$H$97)</f>
        <v>3.9567060913571164E-2</v>
      </c>
      <c r="K97" s="40">
        <f t="shared" si="63"/>
        <v>3.9567060913571164E-2</v>
      </c>
      <c r="L97" s="40">
        <f t="shared" si="63"/>
        <v>3.9567060913571164E-2</v>
      </c>
      <c r="M97" s="40">
        <f t="shared" si="63"/>
        <v>3.9567060913571164E-2</v>
      </c>
    </row>
    <row r="98" spans="1:13" x14ac:dyDescent="0.25">
      <c r="B98" s="17" t="s">
        <v>51</v>
      </c>
      <c r="C98" s="17"/>
      <c r="D98" s="19" t="s">
        <v>26</v>
      </c>
      <c r="E98" s="20" t="s">
        <v>27</v>
      </c>
      <c r="F98" s="17"/>
      <c r="G98" s="38">
        <f>G55/G$8</f>
        <v>5.8732223014641108E-4</v>
      </c>
      <c r="H98" s="38">
        <f>H55/H$8</f>
        <v>3.1318006247540731E-4</v>
      </c>
      <c r="I98" s="40">
        <f>AVERAGE($G$98:$H$98)</f>
        <v>4.5025114631090917E-4</v>
      </c>
      <c r="J98" s="40">
        <f t="shared" ref="J98:M98" si="64">AVERAGE($G$98:$H$98)</f>
        <v>4.5025114631090917E-4</v>
      </c>
      <c r="K98" s="40">
        <f t="shared" si="64"/>
        <v>4.5025114631090917E-4</v>
      </c>
      <c r="L98" s="40">
        <f t="shared" si="64"/>
        <v>4.5025114631090917E-4</v>
      </c>
      <c r="M98" s="40">
        <f t="shared" si="64"/>
        <v>4.5025114631090917E-4</v>
      </c>
    </row>
    <row r="99" spans="1:13" x14ac:dyDescent="0.25">
      <c r="B99" s="17" t="s">
        <v>52</v>
      </c>
      <c r="C99" s="17"/>
      <c r="D99" s="19" t="s">
        <v>20</v>
      </c>
      <c r="E99" s="20" t="s">
        <v>82</v>
      </c>
      <c r="F99" s="17"/>
      <c r="G99" s="36">
        <f>G56</f>
        <v>1489</v>
      </c>
      <c r="H99" s="36">
        <f>H56</f>
        <v>103</v>
      </c>
      <c r="I99" s="41">
        <f>H99</f>
        <v>103</v>
      </c>
      <c r="J99" s="41">
        <f t="shared" ref="J99:M99" si="65">I99</f>
        <v>103</v>
      </c>
      <c r="K99" s="41">
        <f t="shared" si="65"/>
        <v>103</v>
      </c>
      <c r="L99" s="41">
        <f t="shared" si="65"/>
        <v>103</v>
      </c>
      <c r="M99" s="41">
        <f t="shared" si="65"/>
        <v>103</v>
      </c>
    </row>
    <row r="100" spans="1:13" x14ac:dyDescent="0.25">
      <c r="B100" s="17"/>
      <c r="C100" s="17"/>
      <c r="D100" s="19"/>
      <c r="E100" s="20"/>
      <c r="F100" s="17"/>
      <c r="G100" s="17"/>
      <c r="H100" s="17"/>
      <c r="I100" s="17"/>
      <c r="J100" s="17"/>
      <c r="K100" s="17"/>
      <c r="L100" s="17"/>
      <c r="M100" s="17"/>
    </row>
    <row r="101" spans="1:13" x14ac:dyDescent="0.25">
      <c r="B101" s="17" t="s">
        <v>54</v>
      </c>
      <c r="C101" s="17"/>
      <c r="D101" s="19" t="s">
        <v>80</v>
      </c>
      <c r="E101" s="20" t="s">
        <v>81</v>
      </c>
      <c r="F101" s="17"/>
      <c r="G101" s="37">
        <f>-G61/G9*365</f>
        <v>40.343880615824077</v>
      </c>
      <c r="H101" s="37">
        <f>-H61/H9*365</f>
        <v>40.279941075374417</v>
      </c>
      <c r="I101" s="39">
        <f>H101</f>
        <v>40.279941075374417</v>
      </c>
      <c r="J101" s="39">
        <f t="shared" ref="J101:M101" si="66">I101</f>
        <v>40.279941075374417</v>
      </c>
      <c r="K101" s="39">
        <f t="shared" si="66"/>
        <v>40.279941075374417</v>
      </c>
      <c r="L101" s="39">
        <f t="shared" si="66"/>
        <v>40.279941075374417</v>
      </c>
      <c r="M101" s="39">
        <f t="shared" si="66"/>
        <v>40.279941075374417</v>
      </c>
    </row>
    <row r="102" spans="1:13" x14ac:dyDescent="0.25">
      <c r="B102" s="17" t="s">
        <v>55</v>
      </c>
      <c r="C102" s="17"/>
      <c r="D102" s="19" t="s">
        <v>83</v>
      </c>
      <c r="E102" s="20" t="s">
        <v>27</v>
      </c>
      <c r="F102" s="17"/>
      <c r="G102" s="38">
        <f>-G64/G14</f>
        <v>7.8645548880393226E-2</v>
      </c>
      <c r="H102" s="38">
        <f>-H64/H14</f>
        <v>0.10514376800931886</v>
      </c>
      <c r="I102" s="40">
        <f>H102</f>
        <v>0.10514376800931886</v>
      </c>
      <c r="J102" s="40">
        <f t="shared" ref="J102:M102" si="67">I102</f>
        <v>0.10514376800931886</v>
      </c>
      <c r="K102" s="40">
        <f t="shared" si="67"/>
        <v>0.10514376800931886</v>
      </c>
      <c r="L102" s="40">
        <f t="shared" si="67"/>
        <v>0.10514376800931886</v>
      </c>
      <c r="M102" s="40">
        <f t="shared" si="67"/>
        <v>0.10514376800931886</v>
      </c>
    </row>
    <row r="103" spans="1:13" x14ac:dyDescent="0.25">
      <c r="B103" s="17" t="s">
        <v>56</v>
      </c>
      <c r="C103" s="17"/>
      <c r="D103" s="19" t="s">
        <v>26</v>
      </c>
      <c r="E103" s="20" t="s">
        <v>27</v>
      </c>
      <c r="F103" s="17"/>
      <c r="G103" s="38">
        <f>G65/G$8</f>
        <v>3.2051013130847002E-3</v>
      </c>
      <c r="H103" s="38">
        <f>H65/H$8</f>
        <v>3.5172530093391901E-3</v>
      </c>
      <c r="I103" s="40">
        <f>H103</f>
        <v>3.5172530093391901E-3</v>
      </c>
      <c r="J103" s="40">
        <f t="shared" ref="J103:M103" si="68">I103</f>
        <v>3.5172530093391901E-3</v>
      </c>
      <c r="K103" s="40">
        <f t="shared" si="68"/>
        <v>3.5172530093391901E-3</v>
      </c>
      <c r="L103" s="40">
        <f t="shared" si="68"/>
        <v>3.5172530093391901E-3</v>
      </c>
      <c r="M103" s="40">
        <f t="shared" si="68"/>
        <v>3.5172530093391901E-3</v>
      </c>
    </row>
    <row r="104" spans="1:13" x14ac:dyDescent="0.25">
      <c r="B104" s="17" t="s">
        <v>57</v>
      </c>
      <c r="C104" s="17"/>
      <c r="D104" s="19" t="s">
        <v>26</v>
      </c>
      <c r="E104" s="20" t="s">
        <v>27</v>
      </c>
      <c r="F104" s="17"/>
      <c r="G104" s="38">
        <f>G66/G$8</f>
        <v>0.11086965641649536</v>
      </c>
      <c r="H104" s="38">
        <f>H66/H$8</f>
        <v>0.11817327690738703</v>
      </c>
      <c r="I104" s="40">
        <f>H104</f>
        <v>0.11817327690738703</v>
      </c>
      <c r="J104" s="40">
        <f t="shared" ref="J104:M104" si="69">I104</f>
        <v>0.11817327690738703</v>
      </c>
      <c r="K104" s="40">
        <f t="shared" si="69"/>
        <v>0.11817327690738703</v>
      </c>
      <c r="L104" s="40">
        <f t="shared" si="69"/>
        <v>0.11817327690738703</v>
      </c>
      <c r="M104" s="40">
        <f t="shared" si="69"/>
        <v>0.11817327690738703</v>
      </c>
    </row>
    <row r="105" spans="1:13" x14ac:dyDescent="0.25">
      <c r="B105" s="17" t="s">
        <v>58</v>
      </c>
      <c r="C105" s="17"/>
      <c r="D105" s="19" t="s">
        <v>20</v>
      </c>
      <c r="E105" s="20" t="s">
        <v>82</v>
      </c>
      <c r="F105" s="17"/>
      <c r="G105" s="36">
        <f>G67</f>
        <v>44</v>
      </c>
      <c r="H105" s="36">
        <f>H67</f>
        <v>35</v>
      </c>
      <c r="I105" s="41">
        <f>H105</f>
        <v>35</v>
      </c>
      <c r="J105" s="41">
        <f t="shared" ref="J105:M105" si="70">I105</f>
        <v>35</v>
      </c>
      <c r="K105" s="41">
        <f t="shared" si="70"/>
        <v>35</v>
      </c>
      <c r="L105" s="41">
        <f t="shared" si="70"/>
        <v>35</v>
      </c>
      <c r="M105" s="41">
        <f t="shared" si="70"/>
        <v>35</v>
      </c>
    </row>
    <row r="110" spans="1:13" x14ac:dyDescent="0.25">
      <c r="A110" s="2" t="s">
        <v>19</v>
      </c>
      <c r="B110" s="10" t="s">
        <v>65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2" spans="1:13" x14ac:dyDescent="0.25">
      <c r="B112" s="8" t="s">
        <v>66</v>
      </c>
      <c r="G112" s="29"/>
      <c r="H112" s="29"/>
      <c r="I112" s="42">
        <f ca="1">I25</f>
        <v>-231.95197565758542</v>
      </c>
      <c r="J112" s="42">
        <f ca="1">J25</f>
        <v>587.77610248698852</v>
      </c>
      <c r="K112" s="42">
        <f ca="1">K25</f>
        <v>1491.4078570982624</v>
      </c>
      <c r="L112" s="42">
        <f ca="1">L25</f>
        <v>2365.398290389895</v>
      </c>
      <c r="M112" s="42">
        <f ca="1">M25</f>
        <v>4460.4822208064425</v>
      </c>
    </row>
    <row r="114" spans="2:13" x14ac:dyDescent="0.25">
      <c r="B114" s="8" t="s">
        <v>69</v>
      </c>
      <c r="G114" s="29"/>
      <c r="H114" s="29"/>
    </row>
    <row r="115" spans="2:13" x14ac:dyDescent="0.25">
      <c r="B115" s="2" t="s">
        <v>45</v>
      </c>
      <c r="G115" s="29"/>
      <c r="H115" s="29"/>
      <c r="I115" s="42">
        <f>I284</f>
        <v>3752.8855555555556</v>
      </c>
      <c r="J115" s="42">
        <f t="shared" ref="J115:M115" si="71">J284</f>
        <v>4589.997166666667</v>
      </c>
      <c r="K115" s="42">
        <f t="shared" si="71"/>
        <v>5510.8199388888897</v>
      </c>
      <c r="L115" s="42">
        <f t="shared" si="71"/>
        <v>6477.6838497222234</v>
      </c>
      <c r="M115" s="42">
        <f t="shared" si="71"/>
        <v>7473.5536778805563</v>
      </c>
    </row>
    <row r="116" spans="2:13" x14ac:dyDescent="0.25">
      <c r="B116" s="2" t="s">
        <v>46</v>
      </c>
      <c r="G116" s="29"/>
      <c r="H116" s="29"/>
      <c r="I116" s="42">
        <f>I290+I257</f>
        <v>513.31200000000001</v>
      </c>
      <c r="J116" s="42">
        <f t="shared" ref="J116:M116" si="72">J290+J257</f>
        <v>513.31200000000001</v>
      </c>
      <c r="K116" s="42">
        <f t="shared" si="72"/>
        <v>513.31200000000001</v>
      </c>
      <c r="L116" s="42">
        <f t="shared" si="72"/>
        <v>513.31200000000001</v>
      </c>
      <c r="M116" s="42">
        <f t="shared" si="72"/>
        <v>513.31200000000001</v>
      </c>
    </row>
    <row r="117" spans="2:13" x14ac:dyDescent="0.25">
      <c r="B117" s="2" t="s">
        <v>67</v>
      </c>
      <c r="G117" s="29"/>
      <c r="H117" s="29"/>
      <c r="I117" s="42">
        <f>I298</f>
        <v>10</v>
      </c>
      <c r="J117" s="42">
        <f t="shared" ref="J117:M117" si="73">J298</f>
        <v>10</v>
      </c>
      <c r="K117" s="42">
        <f t="shared" si="73"/>
        <v>10</v>
      </c>
      <c r="L117" s="42">
        <f t="shared" si="73"/>
        <v>10</v>
      </c>
      <c r="M117" s="42">
        <f t="shared" si="73"/>
        <v>10</v>
      </c>
    </row>
    <row r="119" spans="2:13" x14ac:dyDescent="0.25">
      <c r="B119" s="8" t="s">
        <v>68</v>
      </c>
      <c r="G119" s="29"/>
      <c r="H119" s="29"/>
    </row>
    <row r="120" spans="2:13" x14ac:dyDescent="0.25">
      <c r="B120" s="2" t="s">
        <v>32</v>
      </c>
      <c r="G120" s="29"/>
      <c r="H120" s="29"/>
      <c r="I120" s="42">
        <f>H51-I51</f>
        <v>-1829.1362887699506</v>
      </c>
      <c r="J120" s="42">
        <f>I51-J51</f>
        <v>-1825.4706415742694</v>
      </c>
      <c r="K120" s="42">
        <f>J51-K51</f>
        <v>-1994.8934070014293</v>
      </c>
      <c r="L120" s="42">
        <f>K51-L51</f>
        <v>-1017.7893665326264</v>
      </c>
      <c r="M120" s="42">
        <f>L51-M51</f>
        <v>-576.0254712716669</v>
      </c>
    </row>
    <row r="121" spans="2:13" x14ac:dyDescent="0.25">
      <c r="B121" s="2" t="s">
        <v>48</v>
      </c>
      <c r="G121" s="29"/>
      <c r="H121" s="29"/>
      <c r="I121" s="42">
        <f>H52-I52</f>
        <v>-108.60000000000036</v>
      </c>
      <c r="J121" s="42">
        <f>I52-J52</f>
        <v>-119.45999999999981</v>
      </c>
      <c r="K121" s="42">
        <f>J52-K52</f>
        <v>-131.4060000000004</v>
      </c>
      <c r="L121" s="42">
        <f>K52-L52</f>
        <v>-72.273299999999836</v>
      </c>
      <c r="M121" s="42">
        <f>L52-M52</f>
        <v>-45.532178999999815</v>
      </c>
    </row>
    <row r="122" spans="2:13" x14ac:dyDescent="0.25">
      <c r="B122" s="2" t="s">
        <v>49</v>
      </c>
      <c r="G122" s="29"/>
      <c r="H122" s="29"/>
      <c r="I122" s="42">
        <f>H53-I53</f>
        <v>-1.3529533917858885</v>
      </c>
      <c r="J122" s="42">
        <f>I53-J53</f>
        <v>-8.1352953391785974</v>
      </c>
      <c r="K122" s="42">
        <f>J53-K53</f>
        <v>-8.9488248730964557</v>
      </c>
      <c r="L122" s="42">
        <f>K53-L53</f>
        <v>-4.9218536802030428</v>
      </c>
      <c r="M122" s="42">
        <f>L53-M53</f>
        <v>-3.1007678185279133</v>
      </c>
    </row>
    <row r="123" spans="2:13" x14ac:dyDescent="0.25">
      <c r="B123" s="2" t="s">
        <v>50</v>
      </c>
      <c r="G123" s="29"/>
      <c r="H123" s="29"/>
      <c r="I123" s="42">
        <f>H54-I54</f>
        <v>-120.97118135671462</v>
      </c>
      <c r="J123" s="42">
        <f>I54-J54</f>
        <v>-541.99711813567137</v>
      </c>
      <c r="K123" s="42">
        <f>J54-K54</f>
        <v>-596.19682994923915</v>
      </c>
      <c r="L123" s="42">
        <f>K54-L54</f>
        <v>-327.90825647208112</v>
      </c>
      <c r="M123" s="42">
        <f>L54-M54</f>
        <v>-206.58220157741198</v>
      </c>
    </row>
    <row r="124" spans="2:13" x14ac:dyDescent="0.25">
      <c r="B124" s="2" t="s">
        <v>51</v>
      </c>
      <c r="G124" s="29"/>
      <c r="H124" s="29"/>
      <c r="I124" s="42">
        <f>H55-I55</f>
        <v>-22.67625749884634</v>
      </c>
      <c r="J124" s="42">
        <f>I55-J55</f>
        <v>-6.1676257498846354</v>
      </c>
      <c r="K124" s="42">
        <f>J55-K55</f>
        <v>-6.7843883248731061</v>
      </c>
      <c r="L124" s="42">
        <f>K55-L55</f>
        <v>-3.7314135786802041</v>
      </c>
      <c r="M124" s="42">
        <f>L55-M55</f>
        <v>-2.350790554568519</v>
      </c>
    </row>
    <row r="125" spans="2:13" x14ac:dyDescent="0.25">
      <c r="B125" s="2" t="s">
        <v>52</v>
      </c>
      <c r="G125" s="29"/>
      <c r="H125" s="29"/>
      <c r="I125" s="42">
        <f>H56-I56</f>
        <v>0</v>
      </c>
      <c r="J125" s="42">
        <f>I56-J56</f>
        <v>0</v>
      </c>
      <c r="K125" s="42">
        <f>J56-K56</f>
        <v>0</v>
      </c>
      <c r="L125" s="42">
        <f>K56-L56</f>
        <v>0</v>
      </c>
      <c r="M125" s="42">
        <f>L56-M56</f>
        <v>0</v>
      </c>
    </row>
    <row r="126" spans="2:13" x14ac:dyDescent="0.25">
      <c r="B126" s="2" t="s">
        <v>54</v>
      </c>
      <c r="G126" s="29"/>
      <c r="H126" s="29"/>
      <c r="I126" s="42">
        <f>I61-H61</f>
        <v>1158.7554671838952</v>
      </c>
      <c r="J126" s="42">
        <f t="shared" ref="J126:M126" si="74">J61-I61</f>
        <v>1156.433284438499</v>
      </c>
      <c r="K126" s="42">
        <f t="shared" si="74"/>
        <v>1263.7623866543599</v>
      </c>
      <c r="L126" s="42">
        <f t="shared" si="74"/>
        <v>644.76824398055942</v>
      </c>
      <c r="M126" s="42">
        <f t="shared" si="74"/>
        <v>364.9113891464458</v>
      </c>
    </row>
    <row r="127" spans="2:13" x14ac:dyDescent="0.25">
      <c r="B127" s="2" t="s">
        <v>55</v>
      </c>
      <c r="G127" s="29"/>
      <c r="H127" s="29"/>
      <c r="I127" s="42">
        <f>I64-H64</f>
        <v>157.36310495984344</v>
      </c>
      <c r="J127" s="42">
        <f t="shared" ref="J127:M127" si="75">J64-I64</f>
        <v>187.23631049598453</v>
      </c>
      <c r="K127" s="42">
        <f t="shared" si="75"/>
        <v>205.95994154558275</v>
      </c>
      <c r="L127" s="42">
        <f t="shared" si="75"/>
        <v>113.27796785007013</v>
      </c>
      <c r="M127" s="42">
        <f t="shared" si="75"/>
        <v>71.365119745545144</v>
      </c>
    </row>
    <row r="128" spans="2:13" x14ac:dyDescent="0.25">
      <c r="B128" s="2" t="s">
        <v>56</v>
      </c>
      <c r="G128" s="29"/>
      <c r="H128" s="29"/>
      <c r="I128" s="42">
        <f>I65-H65</f>
        <v>43.800000000000068</v>
      </c>
      <c r="J128" s="42">
        <f>J65-I65</f>
        <v>48.180000000000064</v>
      </c>
      <c r="K128" s="42">
        <f>K65-J65</f>
        <v>52.998000000000047</v>
      </c>
      <c r="L128" s="42">
        <f>L65-K65</f>
        <v>29.148900000000026</v>
      </c>
      <c r="M128" s="42">
        <f>M65-L65</f>
        <v>18.363806999999952</v>
      </c>
    </row>
    <row r="129" spans="2:13" x14ac:dyDescent="0.25">
      <c r="B129" s="2" t="s">
        <v>57</v>
      </c>
      <c r="G129" s="29"/>
      <c r="H129" s="29"/>
      <c r="I129" s="42">
        <f>I66-H66</f>
        <v>1471.6000000000022</v>
      </c>
      <c r="J129" s="42">
        <f>J66-I66</f>
        <v>1618.760000000002</v>
      </c>
      <c r="K129" s="42">
        <f>K66-J66</f>
        <v>1780.6360000000022</v>
      </c>
      <c r="L129" s="42">
        <f>L66-K66</f>
        <v>979.34979999999996</v>
      </c>
      <c r="M129" s="42">
        <f>M66-L66</f>
        <v>616.99037399999725</v>
      </c>
    </row>
    <row r="130" spans="2:13" x14ac:dyDescent="0.25">
      <c r="B130" s="2" t="s">
        <v>36</v>
      </c>
      <c r="G130" s="29"/>
      <c r="H130" s="29"/>
      <c r="I130" s="42">
        <f>I80-H80</f>
        <v>-50</v>
      </c>
      <c r="J130" s="42">
        <f t="shared" ref="J130:M130" si="76">J80-I80</f>
        <v>-50</v>
      </c>
      <c r="K130" s="42">
        <f t="shared" si="76"/>
        <v>-50</v>
      </c>
      <c r="L130" s="42">
        <f t="shared" si="76"/>
        <v>-50</v>
      </c>
      <c r="M130" s="42">
        <f t="shared" si="76"/>
        <v>-50</v>
      </c>
    </row>
    <row r="131" spans="2:13" x14ac:dyDescent="0.25">
      <c r="B131" s="2" t="s">
        <v>91</v>
      </c>
      <c r="G131" s="29"/>
      <c r="H131" s="29"/>
      <c r="I131" s="42">
        <f>I62-H62</f>
        <v>0</v>
      </c>
      <c r="J131" s="42">
        <f t="shared" ref="J131:M131" si="77">J62-I62</f>
        <v>0</v>
      </c>
      <c r="K131" s="42">
        <f t="shared" si="77"/>
        <v>0</v>
      </c>
      <c r="L131" s="42">
        <f t="shared" si="77"/>
        <v>0</v>
      </c>
      <c r="M131" s="42">
        <f t="shared" si="77"/>
        <v>0</v>
      </c>
    </row>
    <row r="133" spans="2:13" x14ac:dyDescent="0.25">
      <c r="B133" s="2" t="s">
        <v>84</v>
      </c>
      <c r="G133" s="29"/>
      <c r="H133" s="29"/>
      <c r="I133" s="42">
        <f>I67-H67</f>
        <v>0</v>
      </c>
      <c r="J133" s="42">
        <f t="shared" ref="J133:M133" si="78">J67-I67</f>
        <v>0</v>
      </c>
      <c r="K133" s="42">
        <f t="shared" si="78"/>
        <v>0</v>
      </c>
      <c r="L133" s="42">
        <f t="shared" si="78"/>
        <v>0</v>
      </c>
      <c r="M133" s="42">
        <f t="shared" si="78"/>
        <v>0</v>
      </c>
    </row>
    <row r="134" spans="2:13" x14ac:dyDescent="0.25">
      <c r="B134" s="2" t="s">
        <v>70</v>
      </c>
      <c r="G134" s="29"/>
      <c r="H134" s="29"/>
      <c r="I134" s="42">
        <f ca="1">-I23</f>
        <v>-77.317325219195141</v>
      </c>
      <c r="J134" s="42">
        <f ca="1">-J23</f>
        <v>195.92536749566284</v>
      </c>
      <c r="K134" s="42">
        <f ca="1">-K23</f>
        <v>497.13595236608751</v>
      </c>
      <c r="L134" s="42">
        <f ca="1">-L23</f>
        <v>788.46609679662936</v>
      </c>
      <c r="M134" s="42">
        <f ca="1">-M23</f>
        <v>1486.8274069344109</v>
      </c>
    </row>
    <row r="135" spans="2:13" x14ac:dyDescent="0.25">
      <c r="B135" s="2" t="s">
        <v>96</v>
      </c>
      <c r="G135" s="29"/>
      <c r="H135" s="29"/>
      <c r="I135" s="42">
        <f>I168</f>
        <v>449</v>
      </c>
      <c r="J135" s="42">
        <f t="shared" ref="J135:M135" ca="1" si="79">J168</f>
        <v>77.317325219195141</v>
      </c>
      <c r="K135" s="42">
        <f t="shared" ca="1" si="79"/>
        <v>-195.92536749566284</v>
      </c>
      <c r="L135" s="42">
        <f t="shared" ca="1" si="79"/>
        <v>-497.13595236608739</v>
      </c>
      <c r="M135" s="42">
        <f t="shared" ca="1" si="79"/>
        <v>-788.46609679658252</v>
      </c>
    </row>
    <row r="137" spans="2:13" x14ac:dyDescent="0.25">
      <c r="B137" s="2" t="s">
        <v>110</v>
      </c>
      <c r="G137" s="29"/>
      <c r="H137" s="29"/>
      <c r="I137" s="42">
        <f ca="1">-I20</f>
        <v>2565.56</v>
      </c>
      <c r="J137" s="42">
        <f ca="1">-J20</f>
        <v>2461.8868247819078</v>
      </c>
      <c r="K137" s="42">
        <f ca="1">-K20</f>
        <v>2409.0489264747271</v>
      </c>
      <c r="L137" s="42">
        <f ca="1">-L20</f>
        <v>2333.2855052995415</v>
      </c>
      <c r="M137" s="42">
        <f ca="1">-M20</f>
        <v>600.4376068627904</v>
      </c>
    </row>
    <row r="138" spans="2:13" x14ac:dyDescent="0.25">
      <c r="B138" s="2" t="s">
        <v>71</v>
      </c>
      <c r="G138" s="29"/>
      <c r="H138" s="29"/>
      <c r="I138" s="42">
        <f ca="1">IF($C$5="On",-I256,0)</f>
        <v>-2565.56</v>
      </c>
      <c r="J138" s="42">
        <f ca="1">IF($C$5="On",-J256,0)</f>
        <v>-2461.8868247819078</v>
      </c>
      <c r="K138" s="42">
        <f ca="1">IF($C$5="On",-K256,0)</f>
        <v>-2409.0489264747271</v>
      </c>
      <c r="L138" s="42">
        <f ca="1">IF($C$5="On",-L256,0)</f>
        <v>-2333.2855052995415</v>
      </c>
      <c r="M138" s="42">
        <f ca="1">IF($C$5="On",-M256,0)</f>
        <v>-600.4376068627904</v>
      </c>
    </row>
    <row r="139" spans="2:13" x14ac:dyDescent="0.25">
      <c r="B139" s="8" t="s">
        <v>72</v>
      </c>
      <c r="G139" s="30"/>
      <c r="H139" s="30"/>
      <c r="I139" s="44">
        <f ca="1">I112+SUM(I115:I117)+SUM(I120:I131)+SUM(I133:I135)+SUM(I137:I138)</f>
        <v>5114.7101458052175</v>
      </c>
      <c r="J139" s="44">
        <f t="shared" ref="J139:M139" ca="1" si="80">J112+SUM(J115:J117)+SUM(J120:J131)+SUM(J133:J135)+SUM(J137:J138)</f>
        <v>6433.7068760039956</v>
      </c>
      <c r="K139" s="44">
        <f t="shared" ca="1" si="80"/>
        <v>8341.877258908884</v>
      </c>
      <c r="L139" s="44">
        <f t="shared" ca="1" si="80"/>
        <v>9947.6450061097003</v>
      </c>
      <c r="M139" s="44">
        <f t="shared" ca="1" si="80"/>
        <v>13343.748488494641</v>
      </c>
    </row>
    <row r="142" spans="2:13" x14ac:dyDescent="0.25">
      <c r="B142" s="2" t="s">
        <v>73</v>
      </c>
      <c r="G142" s="29"/>
      <c r="H142" s="29"/>
      <c r="I142" s="42">
        <f>-I266</f>
        <v>-6849.0950000000012</v>
      </c>
      <c r="J142" s="42">
        <f t="shared" ref="J142:M142" si="81">-J266</f>
        <v>-7534.0045000000018</v>
      </c>
      <c r="K142" s="42">
        <f t="shared" si="81"/>
        <v>-8287.4049500000019</v>
      </c>
      <c r="L142" s="42">
        <f t="shared" si="81"/>
        <v>-8701.7751975000028</v>
      </c>
      <c r="M142" s="42">
        <f t="shared" si="81"/>
        <v>-8962.8284534250033</v>
      </c>
    </row>
    <row r="143" spans="2:13" x14ac:dyDescent="0.25">
      <c r="B143" s="8" t="s">
        <v>74</v>
      </c>
      <c r="G143" s="30"/>
      <c r="H143" s="30"/>
      <c r="I143" s="44">
        <f>I142</f>
        <v>-6849.0950000000012</v>
      </c>
      <c r="J143" s="44">
        <f t="shared" ref="J143:M143" si="82">J142</f>
        <v>-7534.0045000000018</v>
      </c>
      <c r="K143" s="44">
        <f t="shared" si="82"/>
        <v>-8287.4049500000019</v>
      </c>
      <c r="L143" s="44">
        <f t="shared" si="82"/>
        <v>-8701.7751975000028</v>
      </c>
      <c r="M143" s="44">
        <f t="shared" si="82"/>
        <v>-8962.8284534250033</v>
      </c>
    </row>
    <row r="145" spans="2:13" x14ac:dyDescent="0.25">
      <c r="B145" s="2" t="s">
        <v>167</v>
      </c>
      <c r="G145" s="29"/>
      <c r="H145" s="29"/>
      <c r="I145" s="42">
        <f>-I210</f>
        <v>-4138</v>
      </c>
      <c r="J145" s="42">
        <f t="shared" ref="J145:M145" si="83">-J210</f>
        <v>-4138</v>
      </c>
      <c r="K145" s="42">
        <f t="shared" si="83"/>
        <v>-4138</v>
      </c>
      <c r="L145" s="42">
        <f t="shared" si="83"/>
        <v>-4138</v>
      </c>
      <c r="M145" s="42">
        <f t="shared" si="83"/>
        <v>-4138</v>
      </c>
    </row>
    <row r="146" spans="2:13" x14ac:dyDescent="0.25">
      <c r="B146" s="2" t="s">
        <v>168</v>
      </c>
      <c r="G146" s="29"/>
      <c r="H146" s="29"/>
      <c r="I146" s="42">
        <f>-I211</f>
        <v>0</v>
      </c>
      <c r="J146" s="42">
        <f>-J211</f>
        <v>0</v>
      </c>
      <c r="K146" s="42">
        <f>-K211</f>
        <v>0</v>
      </c>
      <c r="L146" s="42">
        <f>-L211</f>
        <v>0</v>
      </c>
      <c r="M146" s="42">
        <f>-M211</f>
        <v>0</v>
      </c>
    </row>
    <row r="147" spans="2:13" x14ac:dyDescent="0.25">
      <c r="B147" s="2" t="s">
        <v>169</v>
      </c>
      <c r="G147" s="29"/>
      <c r="H147" s="29"/>
      <c r="I147" s="42">
        <f>-I226</f>
        <v>0</v>
      </c>
      <c r="J147" s="42">
        <f t="shared" ref="J147:M147" si="84">-J226</f>
        <v>0</v>
      </c>
      <c r="K147" s="42">
        <f t="shared" si="84"/>
        <v>0</v>
      </c>
      <c r="L147" s="42">
        <f t="shared" si="84"/>
        <v>0</v>
      </c>
      <c r="M147" s="42">
        <f t="shared" si="84"/>
        <v>-12414</v>
      </c>
    </row>
    <row r="148" spans="2:13" x14ac:dyDescent="0.25">
      <c r="B148" s="2" t="s">
        <v>170</v>
      </c>
      <c r="G148" s="29"/>
      <c r="H148" s="29"/>
      <c r="I148" s="42">
        <f>-I227</f>
        <v>0</v>
      </c>
      <c r="J148" s="42">
        <f t="shared" ref="J148:M148" si="85">-J227</f>
        <v>0</v>
      </c>
      <c r="K148" s="42">
        <f t="shared" si="85"/>
        <v>0</v>
      </c>
      <c r="L148" s="42">
        <f t="shared" si="85"/>
        <v>0</v>
      </c>
      <c r="M148" s="42">
        <f t="shared" si="85"/>
        <v>0</v>
      </c>
    </row>
    <row r="149" spans="2:13" x14ac:dyDescent="0.25">
      <c r="B149" s="2" t="s">
        <v>171</v>
      </c>
      <c r="G149" s="29"/>
      <c r="H149" s="29"/>
      <c r="I149" s="42">
        <f>-I242</f>
        <v>0</v>
      </c>
      <c r="J149" s="42">
        <f t="shared" ref="J149:M149" si="86">-J242</f>
        <v>0</v>
      </c>
      <c r="K149" s="42">
        <f t="shared" si="86"/>
        <v>0</v>
      </c>
      <c r="L149" s="42">
        <f t="shared" si="86"/>
        <v>0</v>
      </c>
      <c r="M149" s="42">
        <f t="shared" si="86"/>
        <v>-8276</v>
      </c>
    </row>
    <row r="150" spans="2:13" x14ac:dyDescent="0.25">
      <c r="B150" s="2" t="s">
        <v>172</v>
      </c>
      <c r="G150" s="29"/>
      <c r="H150" s="29"/>
      <c r="I150" s="42">
        <f>-I243</f>
        <v>0</v>
      </c>
      <c r="J150" s="42">
        <f t="shared" ref="J150:M150" si="87">-J243</f>
        <v>0</v>
      </c>
      <c r="K150" s="42">
        <f t="shared" si="87"/>
        <v>0</v>
      </c>
      <c r="L150" s="42">
        <f t="shared" si="87"/>
        <v>0</v>
      </c>
      <c r="M150" s="42">
        <f t="shared" si="87"/>
        <v>0</v>
      </c>
    </row>
    <row r="151" spans="2:13" x14ac:dyDescent="0.25">
      <c r="B151" s="2" t="s">
        <v>161</v>
      </c>
      <c r="G151" s="29"/>
      <c r="H151" s="29"/>
      <c r="I151" s="42">
        <f ca="1">I199-H199</f>
        <v>0</v>
      </c>
      <c r="J151" s="42">
        <f ca="1">J199-I199</f>
        <v>6184.6824781907899</v>
      </c>
      <c r="K151" s="42">
        <f ca="1">K199-J199</f>
        <v>5083.5276910911189</v>
      </c>
      <c r="L151" s="42">
        <f ca="1">L199-K199</f>
        <v>3892.130191390308</v>
      </c>
      <c r="M151" s="42">
        <f ca="1">M199-L199</f>
        <v>21447.079964934612</v>
      </c>
    </row>
    <row r="152" spans="2:13" x14ac:dyDescent="0.25">
      <c r="B152" s="2" t="s">
        <v>75</v>
      </c>
      <c r="G152" s="29"/>
      <c r="H152" s="29"/>
      <c r="I152" s="42">
        <f>I299</f>
        <v>-1000</v>
      </c>
      <c r="J152" s="42">
        <f t="shared" ref="J152:M152" si="88">J299</f>
        <v>-1000</v>
      </c>
      <c r="K152" s="42">
        <f t="shared" si="88"/>
        <v>-1000</v>
      </c>
      <c r="L152" s="42">
        <f t="shared" si="88"/>
        <v>-1000</v>
      </c>
      <c r="M152" s="42">
        <f t="shared" si="88"/>
        <v>-1000</v>
      </c>
    </row>
    <row r="153" spans="2:13" x14ac:dyDescent="0.25">
      <c r="B153" s="8" t="s">
        <v>76</v>
      </c>
      <c r="G153" s="30"/>
      <c r="H153" s="30"/>
      <c r="I153" s="44">
        <f ca="1">SUM(I145:I152)</f>
        <v>-5138</v>
      </c>
      <c r="J153" s="44">
        <f ca="1">SUM(J145:J152)</f>
        <v>1046.6824781907899</v>
      </c>
      <c r="K153" s="44">
        <f ca="1">SUM(K145:K152)</f>
        <v>-54.472308908881132</v>
      </c>
      <c r="L153" s="44">
        <f ca="1">SUM(L145:L152)</f>
        <v>-1245.869808609692</v>
      </c>
      <c r="M153" s="44">
        <f ca="1">SUM(M145:M152)</f>
        <v>-4380.9200350653882</v>
      </c>
    </row>
    <row r="155" spans="2:13" ht="13.8" thickBot="1" x14ac:dyDescent="0.3">
      <c r="B155" s="8" t="s">
        <v>77</v>
      </c>
      <c r="G155" s="31"/>
      <c r="H155" s="31"/>
      <c r="I155" s="45">
        <f ca="1">I139+I143+I153</f>
        <v>-6872.3848541947837</v>
      </c>
      <c r="J155" s="45">
        <f ca="1">J139+J143+J153</f>
        <v>-53.615145805216343</v>
      </c>
      <c r="K155" s="45">
        <f ca="1">K139+K143+K153</f>
        <v>9.0949470177292824E-13</v>
      </c>
      <c r="L155" s="45">
        <f ca="1">L139+L143+L153</f>
        <v>5.4569682106375694E-12</v>
      </c>
      <c r="M155" s="45">
        <f ca="1">M139+M143+M153</f>
        <v>4.2491592466831207E-9</v>
      </c>
    </row>
    <row r="156" spans="2:13" ht="13.8" thickTop="1" x14ac:dyDescent="0.25"/>
    <row r="157" spans="2:13" x14ac:dyDescent="0.25">
      <c r="B157" s="9" t="s">
        <v>78</v>
      </c>
      <c r="C157" s="9"/>
      <c r="D157" s="9"/>
      <c r="E157" s="9"/>
      <c r="G157" s="32"/>
      <c r="H157" s="32"/>
      <c r="I157" s="42">
        <f>H58</f>
        <v>7926</v>
      </c>
      <c r="J157" s="42">
        <f ca="1">I58</f>
        <v>1053.6151458052163</v>
      </c>
      <c r="K157" s="42">
        <f ca="1">J58</f>
        <v>1000</v>
      </c>
      <c r="L157" s="42">
        <f ca="1">K58</f>
        <v>1000.0000000000009</v>
      </c>
      <c r="M157" s="42">
        <f ca="1">L58</f>
        <v>1000.0000000002647</v>
      </c>
    </row>
    <row r="158" spans="2:13" x14ac:dyDescent="0.25">
      <c r="B158" s="9" t="s">
        <v>79</v>
      </c>
      <c r="C158" s="9"/>
      <c r="D158" s="9"/>
      <c r="E158" s="9"/>
      <c r="F158" s="9"/>
      <c r="G158" s="32"/>
      <c r="H158" s="32"/>
      <c r="I158" s="46">
        <f ca="1">I155+I157</f>
        <v>1053.6151458052163</v>
      </c>
      <c r="J158" s="46">
        <f t="shared" ref="J158:M158" ca="1" si="89">J155+J157</f>
        <v>1000</v>
      </c>
      <c r="K158" s="46">
        <f t="shared" ca="1" si="89"/>
        <v>1000.0000000000009</v>
      </c>
      <c r="L158" s="46">
        <f t="shared" ca="1" si="89"/>
        <v>1000.0000000000064</v>
      </c>
      <c r="M158" s="46">
        <f t="shared" ca="1" si="89"/>
        <v>1000.0000000045138</v>
      </c>
    </row>
    <row r="161" spans="1:13" ht="17.399999999999999" x14ac:dyDescent="0.3">
      <c r="B161" s="48" t="s">
        <v>86</v>
      </c>
    </row>
    <row r="162" spans="1:13" x14ac:dyDescent="0.25">
      <c r="A162" s="2" t="s">
        <v>19</v>
      </c>
      <c r="B162" s="10" t="s">
        <v>87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x14ac:dyDescent="0.25">
      <c r="B163" s="2" t="s">
        <v>44</v>
      </c>
      <c r="I163" s="42">
        <f ca="1">I21</f>
        <v>-309.26930087678056</v>
      </c>
      <c r="J163" s="42">
        <f ca="1">J21</f>
        <v>783.70146998265136</v>
      </c>
      <c r="K163" s="42">
        <f ca="1">K21</f>
        <v>1988.54380946435</v>
      </c>
      <c r="L163" s="42">
        <f ca="1">L21</f>
        <v>3153.8643871865243</v>
      </c>
      <c r="M163" s="42">
        <f ca="1">M21</f>
        <v>5947.3096277408531</v>
      </c>
    </row>
    <row r="164" spans="1:13" x14ac:dyDescent="0.25">
      <c r="B164" s="2" t="s">
        <v>88</v>
      </c>
      <c r="I164" s="49">
        <v>0.25</v>
      </c>
      <c r="J164" s="49">
        <v>0.25</v>
      </c>
      <c r="K164" s="49">
        <v>0.25</v>
      </c>
      <c r="L164" s="49">
        <v>0.25</v>
      </c>
      <c r="M164" s="49">
        <v>0.25</v>
      </c>
    </row>
    <row r="165" spans="1:13" x14ac:dyDescent="0.25">
      <c r="B165" s="8" t="s">
        <v>89</v>
      </c>
      <c r="I165" s="44">
        <f ca="1">I163*I164</f>
        <v>-77.317325219195141</v>
      </c>
      <c r="J165" s="44">
        <f t="shared" ref="J165:M165" ca="1" si="90">J163*J164</f>
        <v>195.92536749566284</v>
      </c>
      <c r="K165" s="44">
        <f t="shared" ca="1" si="90"/>
        <v>497.13595236608751</v>
      </c>
      <c r="L165" s="44">
        <f t="shared" ca="1" si="90"/>
        <v>788.46609679663106</v>
      </c>
      <c r="M165" s="44">
        <f t="shared" ca="1" si="90"/>
        <v>1486.8274069352133</v>
      </c>
    </row>
    <row r="167" spans="1:13" x14ac:dyDescent="0.25">
      <c r="B167" s="2" t="s">
        <v>95</v>
      </c>
      <c r="I167" s="42">
        <f>-H57</f>
        <v>-449</v>
      </c>
      <c r="J167" s="42">
        <f ca="1">I170</f>
        <v>-77.317325219195141</v>
      </c>
      <c r="K167" s="42">
        <f t="shared" ref="K167:M167" ca="1" si="91">J170</f>
        <v>195.92536749566284</v>
      </c>
      <c r="L167" s="42">
        <f t="shared" ca="1" si="91"/>
        <v>497.13595236608751</v>
      </c>
      <c r="M167" s="42">
        <f t="shared" ca="1" si="91"/>
        <v>788.46609679662936</v>
      </c>
    </row>
    <row r="168" spans="1:13" x14ac:dyDescent="0.25">
      <c r="B168" s="2" t="s">
        <v>97</v>
      </c>
      <c r="I168" s="42">
        <f>-I167</f>
        <v>449</v>
      </c>
      <c r="J168" s="42">
        <f t="shared" ref="J168:M168" ca="1" si="92">-J167</f>
        <v>77.317325219195141</v>
      </c>
      <c r="K168" s="42">
        <f t="shared" ca="1" si="92"/>
        <v>-195.92536749566284</v>
      </c>
      <c r="L168" s="42">
        <f t="shared" ca="1" si="92"/>
        <v>-497.13595236608751</v>
      </c>
      <c r="M168" s="42">
        <f t="shared" ca="1" si="92"/>
        <v>-788.46609679662936</v>
      </c>
    </row>
    <row r="169" spans="1:13" x14ac:dyDescent="0.25">
      <c r="B169" s="2" t="s">
        <v>90</v>
      </c>
      <c r="I169" s="42">
        <f ca="1">I165</f>
        <v>-77.317325219195141</v>
      </c>
      <c r="J169" s="42">
        <f t="shared" ref="J169:M169" ca="1" si="93">J165</f>
        <v>195.92536749566284</v>
      </c>
      <c r="K169" s="42">
        <f t="shared" ca="1" si="93"/>
        <v>497.13595236608751</v>
      </c>
      <c r="L169" s="42">
        <f t="shared" ca="1" si="93"/>
        <v>788.46609679663106</v>
      </c>
      <c r="M169" s="42">
        <f t="shared" ca="1" si="93"/>
        <v>1486.8274069352133</v>
      </c>
    </row>
    <row r="170" spans="1:13" x14ac:dyDescent="0.25">
      <c r="B170" s="8" t="s">
        <v>93</v>
      </c>
      <c r="I170" s="44">
        <f ca="1">SUM(I167:I169)</f>
        <v>-77.317325219195141</v>
      </c>
      <c r="J170" s="44">
        <f t="shared" ref="J170:M170" ca="1" si="94">SUM(J167:J169)</f>
        <v>195.92536749566284</v>
      </c>
      <c r="K170" s="44">
        <f t="shared" ca="1" si="94"/>
        <v>497.13595236608751</v>
      </c>
      <c r="L170" s="44">
        <f t="shared" ca="1" si="94"/>
        <v>788.46609679663106</v>
      </c>
      <c r="M170" s="44">
        <f t="shared" ca="1" si="94"/>
        <v>1486.8274069352133</v>
      </c>
    </row>
    <row r="172" spans="1:13" x14ac:dyDescent="0.25">
      <c r="B172" s="50" t="s">
        <v>94</v>
      </c>
      <c r="I172" s="42">
        <f ca="1">IF(I170&gt;=0,I170,0)</f>
        <v>0</v>
      </c>
      <c r="J172" s="42">
        <f t="shared" ref="J172:M172" ca="1" si="95">IF(J170&gt;=0,J170,0)</f>
        <v>195.92536749566284</v>
      </c>
      <c r="K172" s="42">
        <f t="shared" ca="1" si="95"/>
        <v>497.13595236608751</v>
      </c>
      <c r="L172" s="42">
        <f t="shared" ca="1" si="95"/>
        <v>788.46609679663106</v>
      </c>
      <c r="M172" s="42">
        <f t="shared" ca="1" si="95"/>
        <v>1486.8274069352133</v>
      </c>
    </row>
    <row r="173" spans="1:13" x14ac:dyDescent="0.25">
      <c r="B173" s="50" t="s">
        <v>92</v>
      </c>
      <c r="I173" s="42">
        <f ca="1">IF(I170&lt;0,-I170,0)</f>
        <v>77.317325219195141</v>
      </c>
      <c r="J173" s="42">
        <f t="shared" ref="J173:M173" ca="1" si="96">IF(J170&lt;0,-J170,0)</f>
        <v>0</v>
      </c>
      <c r="K173" s="42">
        <f t="shared" ca="1" si="96"/>
        <v>0</v>
      </c>
      <c r="L173" s="42">
        <f t="shared" ca="1" si="96"/>
        <v>0</v>
      </c>
      <c r="M173" s="42">
        <f t="shared" ca="1" si="96"/>
        <v>0</v>
      </c>
    </row>
    <row r="175" spans="1:13" x14ac:dyDescent="0.25">
      <c r="D175" s="21" t="s">
        <v>24</v>
      </c>
      <c r="E175" s="21" t="s">
        <v>25</v>
      </c>
    </row>
    <row r="176" spans="1:13" x14ac:dyDescent="0.25">
      <c r="B176" s="2" t="s">
        <v>91</v>
      </c>
      <c r="D176" s="19" t="s">
        <v>20</v>
      </c>
      <c r="E176" s="20" t="s">
        <v>82</v>
      </c>
      <c r="G176" s="42">
        <f>G62</f>
        <v>223</v>
      </c>
      <c r="H176" s="42">
        <f>H62</f>
        <v>36</v>
      </c>
      <c r="I176" s="51">
        <f>H176</f>
        <v>36</v>
      </c>
      <c r="J176" s="51">
        <f t="shared" ref="J176:M176" si="97">I176</f>
        <v>36</v>
      </c>
      <c r="K176" s="51">
        <f t="shared" si="97"/>
        <v>36</v>
      </c>
      <c r="L176" s="51">
        <f t="shared" si="97"/>
        <v>36</v>
      </c>
      <c r="M176" s="51">
        <f t="shared" si="97"/>
        <v>36</v>
      </c>
    </row>
    <row r="180" spans="1:13" x14ac:dyDescent="0.25">
      <c r="A180" s="2" t="s">
        <v>19</v>
      </c>
      <c r="B180" s="10" t="s">
        <v>98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2" spans="1:13" x14ac:dyDescent="0.25">
      <c r="B182" s="2" t="s">
        <v>98</v>
      </c>
      <c r="G182" s="2">
        <v>636</v>
      </c>
      <c r="H182" s="2">
        <v>576</v>
      </c>
      <c r="I182" s="42">
        <f>H182-I183</f>
        <v>526</v>
      </c>
      <c r="J182" s="42">
        <f t="shared" ref="J182:M182" si="98">I182-J183</f>
        <v>476</v>
      </c>
      <c r="K182" s="42">
        <f t="shared" si="98"/>
        <v>426</v>
      </c>
      <c r="L182" s="42">
        <f t="shared" si="98"/>
        <v>376</v>
      </c>
      <c r="M182" s="42">
        <f t="shared" si="98"/>
        <v>326</v>
      </c>
    </row>
    <row r="183" spans="1:13" x14ac:dyDescent="0.25">
      <c r="B183" s="2" t="s">
        <v>99</v>
      </c>
      <c r="I183" s="51">
        <v>50</v>
      </c>
      <c r="J183" s="51">
        <f t="shared" ref="J183:M183" si="99">I183</f>
        <v>50</v>
      </c>
      <c r="K183" s="51">
        <f t="shared" si="99"/>
        <v>50</v>
      </c>
      <c r="L183" s="51">
        <f t="shared" si="99"/>
        <v>50</v>
      </c>
      <c r="M183" s="51">
        <f t="shared" si="99"/>
        <v>50</v>
      </c>
    </row>
    <row r="186" spans="1:13" x14ac:dyDescent="0.25">
      <c r="A186" s="2" t="s">
        <v>19</v>
      </c>
      <c r="B186" s="10" t="s">
        <v>100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8" spans="1:13" x14ac:dyDescent="0.25">
      <c r="B188" s="2" t="s">
        <v>78</v>
      </c>
      <c r="I188" s="42">
        <f>I157</f>
        <v>7926</v>
      </c>
      <c r="J188" s="42">
        <f t="shared" ref="J188:M188" ca="1" si="100">J157</f>
        <v>1053.6151458052163</v>
      </c>
      <c r="K188" s="42">
        <f t="shared" ca="1" si="100"/>
        <v>1000</v>
      </c>
      <c r="L188" s="42">
        <f t="shared" ca="1" si="100"/>
        <v>1000.0000000000009</v>
      </c>
      <c r="M188" s="42">
        <f t="shared" ca="1" si="100"/>
        <v>1000.0000000002647</v>
      </c>
    </row>
    <row r="189" spans="1:13" x14ac:dyDescent="0.25">
      <c r="B189" s="2" t="s">
        <v>194</v>
      </c>
      <c r="I189" s="42">
        <f ca="1">I139+I143+SUM(I145,I147,I149)+I152</f>
        <v>-6872.3848541947837</v>
      </c>
      <c r="J189" s="42">
        <f t="shared" ref="J189:M189" ca="1" si="101">J139+J143+SUM(J145,J147,J149)+J152</f>
        <v>-6238.2976239960062</v>
      </c>
      <c r="K189" s="42">
        <f t="shared" ca="1" si="101"/>
        <v>-5083.527691091118</v>
      </c>
      <c r="L189" s="42">
        <f t="shared" ca="1" si="101"/>
        <v>-3892.1301913903026</v>
      </c>
      <c r="M189" s="42">
        <f t="shared" ca="1" si="101"/>
        <v>-21447.079964930363</v>
      </c>
    </row>
    <row r="190" spans="1:13" x14ac:dyDescent="0.25">
      <c r="B190" s="2" t="s">
        <v>101</v>
      </c>
      <c r="I190" s="51">
        <v>1000</v>
      </c>
      <c r="J190" s="51">
        <v>1000</v>
      </c>
      <c r="K190" s="51">
        <v>1000</v>
      </c>
      <c r="L190" s="51">
        <v>1000</v>
      </c>
      <c r="M190" s="51">
        <v>1000</v>
      </c>
    </row>
    <row r="191" spans="1:13" ht="13.8" thickBot="1" x14ac:dyDescent="0.3">
      <c r="B191" s="8" t="s">
        <v>195</v>
      </c>
      <c r="I191" s="45">
        <f ca="1">I188+I189-I190</f>
        <v>53.615145805216343</v>
      </c>
      <c r="J191" s="45">
        <f t="shared" ref="J191:M191" ca="1" si="102">J188+J189-J190</f>
        <v>-6184.6824781907899</v>
      </c>
      <c r="K191" s="45">
        <f t="shared" ca="1" si="102"/>
        <v>-5083.527691091118</v>
      </c>
      <c r="L191" s="45">
        <f t="shared" ca="1" si="102"/>
        <v>-3892.1301913903017</v>
      </c>
      <c r="M191" s="45">
        <f t="shared" ca="1" si="102"/>
        <v>-21447.079964930097</v>
      </c>
    </row>
    <row r="192" spans="1:13" ht="13.8" thickTop="1" x14ac:dyDescent="0.25">
      <c r="B192" s="8"/>
      <c r="I192" s="56"/>
      <c r="J192" s="56"/>
      <c r="K192" s="56"/>
      <c r="L192" s="56"/>
      <c r="M192" s="56"/>
    </row>
    <row r="193" spans="2:13" x14ac:dyDescent="0.25">
      <c r="B193" s="8"/>
      <c r="I193" s="56"/>
      <c r="J193" s="56"/>
      <c r="K193" s="56"/>
      <c r="L193" s="56"/>
      <c r="M193" s="56"/>
    </row>
    <row r="194" spans="2:13" x14ac:dyDescent="0.25">
      <c r="B194" s="8"/>
      <c r="I194" s="56"/>
      <c r="J194" s="57"/>
      <c r="K194" s="57"/>
      <c r="L194" s="57"/>
      <c r="M194" s="57"/>
    </row>
    <row r="195" spans="2:13" x14ac:dyDescent="0.25">
      <c r="B195" s="58" t="s">
        <v>161</v>
      </c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</row>
    <row r="196" spans="2:13" x14ac:dyDescent="0.25">
      <c r="B196" s="2" t="s">
        <v>102</v>
      </c>
      <c r="C196" s="8"/>
      <c r="D196" s="8"/>
      <c r="E196" s="8"/>
      <c r="F196" s="8"/>
      <c r="I196" s="42">
        <f>H199</f>
        <v>0</v>
      </c>
      <c r="J196" s="42">
        <f t="shared" ref="J196:L196" ca="1" si="103">I199</f>
        <v>0</v>
      </c>
      <c r="K196" s="42">
        <f t="shared" ca="1" si="103"/>
        <v>6184.6824781907899</v>
      </c>
      <c r="L196" s="42">
        <f t="shared" ca="1" si="103"/>
        <v>11268.210169281909</v>
      </c>
      <c r="M196" s="42">
        <f ca="1">L199</f>
        <v>15160.340360672217</v>
      </c>
    </row>
    <row r="197" spans="2:13" x14ac:dyDescent="0.25">
      <c r="B197" s="2" t="s">
        <v>192</v>
      </c>
      <c r="C197" s="8"/>
      <c r="D197" s="8"/>
      <c r="E197" s="8"/>
      <c r="F197" s="8"/>
      <c r="G197" s="43"/>
      <c r="H197" s="43"/>
      <c r="I197" s="42">
        <f ca="1">IF(I191&lt;0,-I191,0)</f>
        <v>0</v>
      </c>
      <c r="J197" s="42">
        <f ca="1">IF(J191&lt;0,-J191,0)</f>
        <v>6184.6824781907899</v>
      </c>
      <c r="K197" s="42">
        <f ca="1">IF(K191&lt;0,-K191,0)</f>
        <v>5083.527691091118</v>
      </c>
      <c r="L197" s="42">
        <f ca="1">IF(L191&lt;0,-L191,0)</f>
        <v>3892.1301913903017</v>
      </c>
      <c r="M197" s="42">
        <f ca="1">IF(M191&lt;0,-M191,0)</f>
        <v>21447.079964930097</v>
      </c>
    </row>
    <row r="198" spans="2:13" x14ac:dyDescent="0.25">
      <c r="B198" s="2" t="s">
        <v>193</v>
      </c>
      <c r="C198" s="8"/>
      <c r="D198" s="8"/>
      <c r="E198" s="8"/>
      <c r="F198" s="8"/>
      <c r="G198" s="43"/>
      <c r="I198" s="42">
        <f ca="1">IF(I191&gt;0,MIN(I196,I91),0)</f>
        <v>0</v>
      </c>
      <c r="J198" s="42">
        <f ca="1">IF(J191&gt;0,MIN(J196,J91),0)</f>
        <v>0</v>
      </c>
      <c r="K198" s="42">
        <f ca="1">IF(K191&gt;0,MIN(K196,K91),0)</f>
        <v>0</v>
      </c>
      <c r="L198" s="42">
        <f ca="1">IF(L191&gt;0,MIN(L196,L91),0)</f>
        <v>0</v>
      </c>
      <c r="M198" s="42">
        <f ca="1">IF(M191&gt;0,MIN(M196,M91),0)</f>
        <v>0</v>
      </c>
    </row>
    <row r="199" spans="2:13" x14ac:dyDescent="0.25">
      <c r="B199" s="8" t="s">
        <v>103</v>
      </c>
      <c r="C199" s="8"/>
      <c r="D199" s="8"/>
      <c r="E199" s="8"/>
      <c r="F199" s="8"/>
      <c r="G199" s="43"/>
      <c r="H199" s="44">
        <f>H76</f>
        <v>0</v>
      </c>
      <c r="I199" s="44">
        <f ca="1">I196+I197-I198</f>
        <v>0</v>
      </c>
      <c r="J199" s="44">
        <f t="shared" ref="J199:M199" ca="1" si="104">J196+J197-J198</f>
        <v>6184.6824781907899</v>
      </c>
      <c r="K199" s="44">
        <f t="shared" ca="1" si="104"/>
        <v>11268.210169281909</v>
      </c>
      <c r="L199" s="44">
        <f ca="1">L196+L197-L198</f>
        <v>15160.340360672209</v>
      </c>
      <c r="M199" s="44">
        <f t="shared" ca="1" si="104"/>
        <v>36607.420325602317</v>
      </c>
    </row>
    <row r="200" spans="2:13" x14ac:dyDescent="0.25">
      <c r="B200" s="8"/>
      <c r="C200" s="8"/>
      <c r="D200" s="8"/>
      <c r="E200" s="8"/>
      <c r="F200" s="8"/>
      <c r="G200" s="43"/>
      <c r="H200" s="43"/>
      <c r="I200" s="43"/>
      <c r="J200" s="43"/>
      <c r="K200" s="43"/>
      <c r="L200" s="43"/>
      <c r="M200" s="43"/>
    </row>
    <row r="201" spans="2:13" x14ac:dyDescent="0.25">
      <c r="B201" s="2" t="s">
        <v>108</v>
      </c>
      <c r="I201" s="42">
        <f ca="1">AVERAGE(H199:I199)*I202</f>
        <v>0</v>
      </c>
      <c r="J201" s="42">
        <f t="shared" ref="J201:M201" ca="1" si="105">AVERAGE(I199:J199)*J202</f>
        <v>61.846824781907898</v>
      </c>
      <c r="K201" s="42">
        <f t="shared" ca="1" si="105"/>
        <v>174.52892647472697</v>
      </c>
      <c r="L201" s="42">
        <f t="shared" ca="1" si="105"/>
        <v>264.28550529954117</v>
      </c>
      <c r="M201" s="42">
        <f t="shared" ca="1" si="105"/>
        <v>517.67760686274528</v>
      </c>
    </row>
    <row r="202" spans="2:13" x14ac:dyDescent="0.25">
      <c r="B202" s="2" t="s">
        <v>104</v>
      </c>
      <c r="I202" s="53">
        <v>0.02</v>
      </c>
      <c r="J202" s="53">
        <v>0.02</v>
      </c>
      <c r="K202" s="53">
        <v>0.02</v>
      </c>
      <c r="L202" s="53">
        <v>0.02</v>
      </c>
      <c r="M202" s="53">
        <v>0.02</v>
      </c>
    </row>
    <row r="204" spans="2:13" x14ac:dyDescent="0.25">
      <c r="B204" s="2" t="s">
        <v>118</v>
      </c>
      <c r="F204" s="51">
        <v>5</v>
      </c>
      <c r="I204" s="42">
        <f>$H$205/$F$204</f>
        <v>16.552</v>
      </c>
      <c r="J204" s="42">
        <f t="shared" ref="J204:M204" si="106">$H$205/$F$204</f>
        <v>16.552</v>
      </c>
      <c r="K204" s="42">
        <f t="shared" si="106"/>
        <v>16.552</v>
      </c>
      <c r="L204" s="42">
        <f t="shared" si="106"/>
        <v>16.552</v>
      </c>
      <c r="M204" s="42">
        <f t="shared" si="106"/>
        <v>16.552</v>
      </c>
    </row>
    <row r="205" spans="2:13" x14ac:dyDescent="0.25">
      <c r="B205" s="8" t="s">
        <v>165</v>
      </c>
      <c r="H205" s="44">
        <f>'Sources and Uses'!K9</f>
        <v>82.76</v>
      </c>
      <c r="I205" s="44">
        <f>H205-I204</f>
        <v>66.207999999999998</v>
      </c>
      <c r="J205" s="44">
        <f t="shared" ref="J205" si="107">I205-J204</f>
        <v>49.655999999999999</v>
      </c>
      <c r="K205" s="44">
        <f t="shared" ref="K205" si="108">J205-K204</f>
        <v>33.103999999999999</v>
      </c>
      <c r="L205" s="44">
        <f t="shared" ref="L205" si="109">K205-L204</f>
        <v>16.552</v>
      </c>
      <c r="M205" s="44">
        <f t="shared" ref="M205" si="110">L205-M204</f>
        <v>0</v>
      </c>
    </row>
    <row r="208" spans="2:13" x14ac:dyDescent="0.25">
      <c r="B208" s="58" t="s">
        <v>173</v>
      </c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</row>
    <row r="209" spans="2:13" x14ac:dyDescent="0.25">
      <c r="B209" s="2" t="s">
        <v>102</v>
      </c>
      <c r="I209" s="42">
        <f>H212</f>
        <v>20690</v>
      </c>
      <c r="J209" s="42">
        <f>I212</f>
        <v>16552</v>
      </c>
      <c r="K209" s="42">
        <f>J212</f>
        <v>12414</v>
      </c>
      <c r="L209" s="42">
        <f>K212</f>
        <v>8276</v>
      </c>
      <c r="M209" s="42">
        <f>L212</f>
        <v>4138</v>
      </c>
    </row>
    <row r="210" spans="2:13" x14ac:dyDescent="0.25">
      <c r="B210" s="2" t="s">
        <v>105</v>
      </c>
      <c r="E210" s="9" t="s">
        <v>109</v>
      </c>
      <c r="F210" s="51">
        <v>5</v>
      </c>
      <c r="I210" s="42">
        <f>MAX(0,MIN($H$212/$F$210,I209))</f>
        <v>4138</v>
      </c>
      <c r="J210" s="42">
        <f>MAX(0,MIN($H$212/$F$210,J209))</f>
        <v>4138</v>
      </c>
      <c r="K210" s="42">
        <f>MAX(0,MIN($H$212/$F$210,K209))</f>
        <v>4138</v>
      </c>
      <c r="L210" s="42">
        <f>MAX(0,MIN($H$212/$F$210,L209))</f>
        <v>4138</v>
      </c>
      <c r="M210" s="42">
        <f>MAX(0,MIN($H$212/$F$210,M209))</f>
        <v>4138</v>
      </c>
    </row>
    <row r="211" spans="2:13" x14ac:dyDescent="0.25">
      <c r="B211" s="96" t="s">
        <v>191</v>
      </c>
      <c r="F211" s="47" t="s">
        <v>166</v>
      </c>
      <c r="I211" s="97">
        <f>IF($F$211="On",MAX(0,MIN(I191-I198,I209-I210)),0)</f>
        <v>0</v>
      </c>
      <c r="J211" s="97">
        <f t="shared" ref="J211:M211" si="111">IF($F$211="On",MAX(0,MIN(J191-J198,J209-J210)),0)</f>
        <v>0</v>
      </c>
      <c r="K211" s="97">
        <f t="shared" si="111"/>
        <v>0</v>
      </c>
      <c r="L211" s="97">
        <f t="shared" si="111"/>
        <v>0</v>
      </c>
      <c r="M211" s="97">
        <f t="shared" si="111"/>
        <v>0</v>
      </c>
    </row>
    <row r="212" spans="2:13" x14ac:dyDescent="0.25">
      <c r="B212" s="8" t="s">
        <v>174</v>
      </c>
      <c r="H212" s="44">
        <f>'Sources and Uses'!G7</f>
        <v>20690</v>
      </c>
      <c r="I212" s="44">
        <f>I209-I210-I211</f>
        <v>16552</v>
      </c>
      <c r="J212" s="44">
        <f t="shared" ref="J212:M212" si="112">J209-J210-J211</f>
        <v>12414</v>
      </c>
      <c r="K212" s="44">
        <f t="shared" si="112"/>
        <v>8276</v>
      </c>
      <c r="L212" s="44">
        <f t="shared" si="112"/>
        <v>4138</v>
      </c>
      <c r="M212" s="44">
        <f t="shared" si="112"/>
        <v>0</v>
      </c>
    </row>
    <row r="215" spans="2:13" x14ac:dyDescent="0.25">
      <c r="B215" s="2" t="s">
        <v>106</v>
      </c>
      <c r="I215" s="54">
        <f>AVERAGE(I209,I212)*I216</f>
        <v>744.84</v>
      </c>
      <c r="J215" s="54">
        <f>AVERAGE(J209,J212)*J216</f>
        <v>579.32000000000005</v>
      </c>
      <c r="K215" s="54">
        <f>AVERAGE(K209,K212)*K216</f>
        <v>413.8</v>
      </c>
      <c r="L215" s="54">
        <f>AVERAGE(L209,L212)*L216</f>
        <v>248.28</v>
      </c>
      <c r="M215" s="54">
        <f>AVERAGE(M209,M212)*M216</f>
        <v>82.76</v>
      </c>
    </row>
    <row r="216" spans="2:13" x14ac:dyDescent="0.25">
      <c r="B216" s="2" t="s">
        <v>104</v>
      </c>
      <c r="G216" s="52"/>
      <c r="H216" s="52"/>
      <c r="I216" s="53">
        <v>0.04</v>
      </c>
      <c r="J216" s="53">
        <f t="shared" ref="J216:M216" si="113">I216</f>
        <v>0.04</v>
      </c>
      <c r="K216" s="53">
        <f t="shared" si="113"/>
        <v>0.04</v>
      </c>
      <c r="L216" s="53">
        <f t="shared" si="113"/>
        <v>0.04</v>
      </c>
      <c r="M216" s="53">
        <f t="shared" si="113"/>
        <v>0.04</v>
      </c>
    </row>
    <row r="219" spans="2:13" x14ac:dyDescent="0.25">
      <c r="B219" s="2" t="s">
        <v>118</v>
      </c>
      <c r="F219" s="51">
        <v>5</v>
      </c>
      <c r="I219" s="42">
        <f>$H$220/$F$219</f>
        <v>41.38</v>
      </c>
      <c r="J219" s="42">
        <f t="shared" ref="J219:M219" si="114">$H$220/$F$219</f>
        <v>41.38</v>
      </c>
      <c r="K219" s="42">
        <f t="shared" si="114"/>
        <v>41.38</v>
      </c>
      <c r="L219" s="42">
        <f t="shared" si="114"/>
        <v>41.38</v>
      </c>
      <c r="M219" s="42">
        <f t="shared" si="114"/>
        <v>41.38</v>
      </c>
    </row>
    <row r="220" spans="2:13" x14ac:dyDescent="0.25">
      <c r="B220" s="8" t="s">
        <v>165</v>
      </c>
      <c r="H220" s="44">
        <f>'Sources and Uses'!K10</f>
        <v>206.9</v>
      </c>
      <c r="I220" s="44">
        <f>H220-I219</f>
        <v>165.52</v>
      </c>
      <c r="J220" s="44">
        <f t="shared" ref="J220:M220" si="115">I220-J219</f>
        <v>124.14000000000001</v>
      </c>
      <c r="K220" s="44">
        <f t="shared" si="115"/>
        <v>82.760000000000019</v>
      </c>
      <c r="L220" s="44">
        <f t="shared" si="115"/>
        <v>41.380000000000017</v>
      </c>
      <c r="M220" s="44">
        <f t="shared" si="115"/>
        <v>0</v>
      </c>
    </row>
    <row r="221" spans="2:13" x14ac:dyDescent="0.25">
      <c r="B221" s="8"/>
      <c r="H221" s="83"/>
      <c r="I221" s="83"/>
      <c r="J221" s="83"/>
      <c r="K221" s="83"/>
      <c r="L221" s="83"/>
      <c r="M221" s="83"/>
    </row>
    <row r="222" spans="2:13" x14ac:dyDescent="0.25">
      <c r="B222" s="8" t="s">
        <v>175</v>
      </c>
      <c r="H222" s="43">
        <f>H212-H220</f>
        <v>20483.099999999999</v>
      </c>
      <c r="I222" s="43">
        <f t="shared" ref="I222:M222" si="116">I212-I220</f>
        <v>16386.48</v>
      </c>
      <c r="J222" s="43">
        <f t="shared" si="116"/>
        <v>12289.86</v>
      </c>
      <c r="K222" s="43">
        <f t="shared" si="116"/>
        <v>8193.24</v>
      </c>
      <c r="L222" s="43">
        <f t="shared" si="116"/>
        <v>4096.62</v>
      </c>
      <c r="M222" s="43">
        <f t="shared" si="116"/>
        <v>0</v>
      </c>
    </row>
    <row r="224" spans="2:13" x14ac:dyDescent="0.25">
      <c r="B224" s="58" t="s">
        <v>158</v>
      </c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</row>
    <row r="225" spans="2:13" x14ac:dyDescent="0.25">
      <c r="B225" s="2" t="s">
        <v>102</v>
      </c>
      <c r="I225" s="42">
        <f>H228</f>
        <v>12414</v>
      </c>
      <c r="J225" s="42">
        <f>I228</f>
        <v>12414</v>
      </c>
      <c r="K225" s="42">
        <f t="shared" ref="K225:M225" si="117">J228</f>
        <v>12414</v>
      </c>
      <c r="L225" s="42">
        <f t="shared" si="117"/>
        <v>12414</v>
      </c>
      <c r="M225" s="42">
        <f t="shared" si="117"/>
        <v>12414</v>
      </c>
    </row>
    <row r="226" spans="2:13" x14ac:dyDescent="0.25">
      <c r="B226" s="2" t="s">
        <v>105</v>
      </c>
      <c r="E226" s="9" t="s">
        <v>109</v>
      </c>
      <c r="F226" s="98" t="s">
        <v>20</v>
      </c>
      <c r="I226" s="51">
        <v>0</v>
      </c>
      <c r="J226" s="51">
        <v>0</v>
      </c>
      <c r="K226" s="51">
        <v>0</v>
      </c>
      <c r="L226" s="51">
        <v>0</v>
      </c>
      <c r="M226" s="42">
        <f>MAX(0,MIN($H$228,M225))</f>
        <v>12414</v>
      </c>
    </row>
    <row r="227" spans="2:13" x14ac:dyDescent="0.25">
      <c r="B227" s="96" t="s">
        <v>191</v>
      </c>
      <c r="F227" s="47" t="s">
        <v>166</v>
      </c>
      <c r="I227" s="97">
        <f>IF($F$227="On",MAX(0,MIN(I191-I198-I211,I225-I226)),0)</f>
        <v>0</v>
      </c>
      <c r="J227" s="97">
        <f t="shared" ref="J227:M227" si="118">IF($F$227="On",MAX(0,MIN(J191-J198-J211,J225-J226)),0)</f>
        <v>0</v>
      </c>
      <c r="K227" s="97">
        <f t="shared" si="118"/>
        <v>0</v>
      </c>
      <c r="L227" s="97">
        <f t="shared" si="118"/>
        <v>0</v>
      </c>
      <c r="M227" s="97">
        <f t="shared" si="118"/>
        <v>0</v>
      </c>
    </row>
    <row r="228" spans="2:13" x14ac:dyDescent="0.25">
      <c r="B228" s="8" t="s">
        <v>103</v>
      </c>
      <c r="H228" s="44">
        <f>'Sources and Uses'!G8</f>
        <v>12414</v>
      </c>
      <c r="I228" s="44">
        <f>I225-I226-I227</f>
        <v>12414</v>
      </c>
      <c r="J228" s="44">
        <f t="shared" ref="J228:M228" si="119">J225-J226-J227</f>
        <v>12414</v>
      </c>
      <c r="K228" s="44">
        <f t="shared" si="119"/>
        <v>12414</v>
      </c>
      <c r="L228" s="44">
        <f t="shared" si="119"/>
        <v>12414</v>
      </c>
      <c r="M228" s="44">
        <f t="shared" si="119"/>
        <v>0</v>
      </c>
    </row>
    <row r="231" spans="2:13" x14ac:dyDescent="0.25">
      <c r="B231" s="2" t="s">
        <v>106</v>
      </c>
      <c r="I231" s="54">
        <f>AVERAGE(I224,I228)*I232</f>
        <v>993.12</v>
      </c>
      <c r="J231" s="54">
        <f>AVERAGE(J224,J228)*J232</f>
        <v>993.12</v>
      </c>
      <c r="K231" s="54">
        <f>AVERAGE(K224,K228)*K232</f>
        <v>993.12</v>
      </c>
      <c r="L231" s="54">
        <f>AVERAGE(L224,L228)*L232</f>
        <v>993.12</v>
      </c>
      <c r="M231" s="54">
        <f>AVERAGE(M224,M228)*M232</f>
        <v>0</v>
      </c>
    </row>
    <row r="232" spans="2:13" x14ac:dyDescent="0.25">
      <c r="B232" s="2" t="s">
        <v>104</v>
      </c>
      <c r="G232" s="52"/>
      <c r="H232" s="52"/>
      <c r="I232" s="53">
        <v>0.08</v>
      </c>
      <c r="J232" s="53">
        <f t="shared" ref="J232" si="120">I232</f>
        <v>0.08</v>
      </c>
      <c r="K232" s="53">
        <f t="shared" ref="K232" si="121">J232</f>
        <v>0.08</v>
      </c>
      <c r="L232" s="53">
        <f t="shared" ref="L232" si="122">K232</f>
        <v>0.08</v>
      </c>
      <c r="M232" s="53">
        <f t="shared" ref="M232" si="123">L232</f>
        <v>0.08</v>
      </c>
    </row>
    <row r="235" spans="2:13" x14ac:dyDescent="0.25">
      <c r="B235" s="2" t="s">
        <v>118</v>
      </c>
      <c r="F235" s="51">
        <v>5</v>
      </c>
      <c r="I235" s="42">
        <f>$H$236/$F$219</f>
        <v>24.827999999999999</v>
      </c>
      <c r="J235" s="42">
        <f t="shared" ref="J235:M235" si="124">$H$236/$F$219</f>
        <v>24.827999999999999</v>
      </c>
      <c r="K235" s="42">
        <f t="shared" si="124"/>
        <v>24.827999999999999</v>
      </c>
      <c r="L235" s="42">
        <f t="shared" si="124"/>
        <v>24.827999999999999</v>
      </c>
      <c r="M235" s="42">
        <f t="shared" si="124"/>
        <v>24.827999999999999</v>
      </c>
    </row>
    <row r="236" spans="2:13" x14ac:dyDescent="0.25">
      <c r="B236" s="8" t="s">
        <v>165</v>
      </c>
      <c r="H236" s="44">
        <f>'Sources and Uses'!K11</f>
        <v>124.14</v>
      </c>
      <c r="I236" s="44">
        <f>H236-I235</f>
        <v>99.311999999999998</v>
      </c>
      <c r="J236" s="44">
        <f t="shared" ref="J236" si="125">I236-J235</f>
        <v>74.483999999999995</v>
      </c>
      <c r="K236" s="44">
        <f t="shared" ref="K236" si="126">J236-K235</f>
        <v>49.655999999999992</v>
      </c>
      <c r="L236" s="44">
        <f t="shared" ref="L236" si="127">K236-L235</f>
        <v>24.827999999999992</v>
      </c>
      <c r="M236" s="44">
        <f t="shared" ref="M236" si="128">L236-M235</f>
        <v>0</v>
      </c>
    </row>
    <row r="237" spans="2:13" x14ac:dyDescent="0.25">
      <c r="B237" s="8"/>
      <c r="H237" s="83"/>
      <c r="I237" s="83"/>
      <c r="J237" s="83"/>
      <c r="K237" s="83"/>
      <c r="L237" s="83"/>
      <c r="M237" s="83"/>
    </row>
    <row r="238" spans="2:13" x14ac:dyDescent="0.25">
      <c r="B238" s="8" t="s">
        <v>175</v>
      </c>
      <c r="H238" s="43">
        <f>H228-H236</f>
        <v>12289.86</v>
      </c>
      <c r="I238" s="43">
        <f t="shared" ref="I238:M238" si="129">I228-I236</f>
        <v>12314.688</v>
      </c>
      <c r="J238" s="43">
        <f t="shared" si="129"/>
        <v>12339.516</v>
      </c>
      <c r="K238" s="43">
        <f t="shared" si="129"/>
        <v>12364.343999999999</v>
      </c>
      <c r="L238" s="43">
        <f t="shared" si="129"/>
        <v>12389.172</v>
      </c>
      <c r="M238" s="43">
        <f t="shared" si="129"/>
        <v>0</v>
      </c>
    </row>
    <row r="240" spans="2:13" x14ac:dyDescent="0.25">
      <c r="B240" s="58" t="s">
        <v>159</v>
      </c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</row>
    <row r="241" spans="2:13" x14ac:dyDescent="0.25">
      <c r="B241" s="2" t="s">
        <v>102</v>
      </c>
      <c r="I241" s="42">
        <f>H244</f>
        <v>8276</v>
      </c>
      <c r="J241" s="42">
        <f>I244</f>
        <v>8276</v>
      </c>
      <c r="K241" s="42">
        <f t="shared" ref="K241" si="130">J244</f>
        <v>8276</v>
      </c>
      <c r="L241" s="42">
        <f t="shared" ref="L241" si="131">K244</f>
        <v>8276</v>
      </c>
      <c r="M241" s="42">
        <f t="shared" ref="M241" si="132">L244</f>
        <v>8276</v>
      </c>
    </row>
    <row r="242" spans="2:13" x14ac:dyDescent="0.25">
      <c r="B242" s="2" t="s">
        <v>105</v>
      </c>
      <c r="E242" s="9" t="s">
        <v>109</v>
      </c>
      <c r="F242" s="98" t="s">
        <v>20</v>
      </c>
      <c r="I242" s="51">
        <v>0</v>
      </c>
      <c r="J242" s="51">
        <v>0</v>
      </c>
      <c r="K242" s="51">
        <v>0</v>
      </c>
      <c r="L242" s="51">
        <v>0</v>
      </c>
      <c r="M242" s="42">
        <f>MAX(0,MIN($H$244,M241))</f>
        <v>8276</v>
      </c>
    </row>
    <row r="243" spans="2:13" x14ac:dyDescent="0.25">
      <c r="B243" s="96" t="s">
        <v>191</v>
      </c>
      <c r="F243" s="47" t="s">
        <v>166</v>
      </c>
      <c r="I243" s="97">
        <f>IF($F$243="On",MAX(0,MIN(I191-I198-I211-I227,I241-I242)),0)</f>
        <v>0</v>
      </c>
      <c r="J243" s="97">
        <f t="shared" ref="J243:M243" si="133">IF($F$243="On",MAX(0,MIN(J191-J198-J211-J227,J241-J242)),0)</f>
        <v>0</v>
      </c>
      <c r="K243" s="97">
        <f t="shared" si="133"/>
        <v>0</v>
      </c>
      <c r="L243" s="97">
        <f t="shared" si="133"/>
        <v>0</v>
      </c>
      <c r="M243" s="97">
        <f t="shared" si="133"/>
        <v>0</v>
      </c>
    </row>
    <row r="244" spans="2:13" x14ac:dyDescent="0.25">
      <c r="B244" s="8" t="s">
        <v>103</v>
      </c>
      <c r="H244" s="44">
        <f>'Sources and Uses'!G9</f>
        <v>8276</v>
      </c>
      <c r="I244" s="44">
        <f>I241-I242-I243</f>
        <v>8276</v>
      </c>
      <c r="J244" s="44">
        <f t="shared" ref="J244" si="134">J241-J242-J243</f>
        <v>8276</v>
      </c>
      <c r="K244" s="44">
        <f t="shared" ref="K244" si="135">K241-K242-K243</f>
        <v>8276</v>
      </c>
      <c r="L244" s="44">
        <f t="shared" ref="L244" si="136">L241-L242-L243</f>
        <v>8276</v>
      </c>
      <c r="M244" s="44">
        <f t="shared" ref="M244" si="137">M241-M242-M243</f>
        <v>0</v>
      </c>
    </row>
    <row r="247" spans="2:13" x14ac:dyDescent="0.25">
      <c r="B247" s="2" t="s">
        <v>106</v>
      </c>
      <c r="I247" s="54">
        <f>AVERAGE(I240,I244)*I248</f>
        <v>827.6</v>
      </c>
      <c r="J247" s="54">
        <f>AVERAGE(J240,J244)*J248</f>
        <v>827.6</v>
      </c>
      <c r="K247" s="54">
        <f>AVERAGE(K240,K244)*K248</f>
        <v>827.6</v>
      </c>
      <c r="L247" s="54">
        <f>AVERAGE(L240,L244)*L248</f>
        <v>827.6</v>
      </c>
      <c r="M247" s="54">
        <f>AVERAGE(M240,M244)*M248</f>
        <v>0</v>
      </c>
    </row>
    <row r="248" spans="2:13" x14ac:dyDescent="0.25">
      <c r="B248" s="2" t="s">
        <v>104</v>
      </c>
      <c r="G248" s="52"/>
      <c r="H248" s="52"/>
      <c r="I248" s="53">
        <v>0.1</v>
      </c>
      <c r="J248" s="53">
        <f t="shared" ref="J248" si="138">I248</f>
        <v>0.1</v>
      </c>
      <c r="K248" s="53">
        <f t="shared" ref="K248" si="139">J248</f>
        <v>0.1</v>
      </c>
      <c r="L248" s="53">
        <f t="shared" ref="L248" si="140">K248</f>
        <v>0.1</v>
      </c>
      <c r="M248" s="53">
        <f t="shared" ref="M248" si="141">L248</f>
        <v>0.1</v>
      </c>
    </row>
    <row r="251" spans="2:13" x14ac:dyDescent="0.25">
      <c r="B251" s="2" t="s">
        <v>118</v>
      </c>
      <c r="F251" s="51">
        <v>5</v>
      </c>
      <c r="I251" s="42">
        <f>$H$252/$F$219</f>
        <v>16.552</v>
      </c>
      <c r="J251" s="42">
        <f t="shared" ref="J251:M251" si="142">$H$252/$F$219</f>
        <v>16.552</v>
      </c>
      <c r="K251" s="42">
        <f t="shared" si="142"/>
        <v>16.552</v>
      </c>
      <c r="L251" s="42">
        <f t="shared" si="142"/>
        <v>16.552</v>
      </c>
      <c r="M251" s="42">
        <f t="shared" si="142"/>
        <v>16.552</v>
      </c>
    </row>
    <row r="252" spans="2:13" x14ac:dyDescent="0.25">
      <c r="B252" s="8" t="s">
        <v>165</v>
      </c>
      <c r="H252" s="44">
        <f>'Sources and Uses'!K12</f>
        <v>82.76</v>
      </c>
      <c r="I252" s="44">
        <f>H252-I251</f>
        <v>66.207999999999998</v>
      </c>
      <c r="J252" s="44">
        <f t="shared" ref="J252" si="143">I252-J251</f>
        <v>49.655999999999999</v>
      </c>
      <c r="K252" s="44">
        <f t="shared" ref="K252" si="144">J252-K251</f>
        <v>33.103999999999999</v>
      </c>
      <c r="L252" s="44">
        <f t="shared" ref="L252" si="145">K252-L251</f>
        <v>16.552</v>
      </c>
      <c r="M252" s="44">
        <f t="shared" ref="M252" si="146">L252-M251</f>
        <v>0</v>
      </c>
    </row>
    <row r="253" spans="2:13" x14ac:dyDescent="0.25">
      <c r="B253" s="8"/>
      <c r="H253" s="83"/>
      <c r="I253" s="83"/>
      <c r="J253" s="83"/>
      <c r="K253" s="83"/>
      <c r="L253" s="83"/>
      <c r="M253" s="83"/>
    </row>
    <row r="254" spans="2:13" x14ac:dyDescent="0.25">
      <c r="B254" s="8" t="s">
        <v>175</v>
      </c>
      <c r="H254" s="43">
        <f>H244-H252</f>
        <v>8193.24</v>
      </c>
      <c r="I254" s="43">
        <f t="shared" ref="I254:M254" si="147">I244-I252</f>
        <v>8209.7919999999995</v>
      </c>
      <c r="J254" s="43">
        <f t="shared" si="147"/>
        <v>8226.3439999999991</v>
      </c>
      <c r="K254" s="43">
        <f t="shared" si="147"/>
        <v>8242.8960000000006</v>
      </c>
      <c r="L254" s="43">
        <f t="shared" si="147"/>
        <v>8259.4480000000003</v>
      </c>
      <c r="M254" s="43">
        <f t="shared" si="147"/>
        <v>0</v>
      </c>
    </row>
    <row r="255" spans="2:13" x14ac:dyDescent="0.25">
      <c r="B255" s="8"/>
      <c r="H255" s="43"/>
      <c r="I255" s="43"/>
      <c r="J255" s="43"/>
      <c r="K255" s="43"/>
      <c r="L255" s="43"/>
      <c r="M255" s="43"/>
    </row>
    <row r="256" spans="2:13" ht="13.8" thickBot="1" x14ac:dyDescent="0.3">
      <c r="B256" s="60" t="s">
        <v>107</v>
      </c>
      <c r="C256" s="61"/>
      <c r="D256" s="61"/>
      <c r="E256" s="61"/>
      <c r="F256" s="61"/>
      <c r="G256" s="61"/>
      <c r="H256" s="61"/>
      <c r="I256" s="62">
        <f ca="1">I201+I215+I231+I247</f>
        <v>2565.56</v>
      </c>
      <c r="J256" s="62">
        <f ca="1">J201+J215+J231+J247</f>
        <v>2461.8868247819078</v>
      </c>
      <c r="K256" s="62">
        <f ca="1">K201+K215+K231+K247</f>
        <v>2409.0489264747271</v>
      </c>
      <c r="L256" s="62">
        <f ca="1">L201+L215+L231+L247</f>
        <v>2333.285505299541</v>
      </c>
      <c r="M256" s="62">
        <f ca="1">M201+M215+M231+M247</f>
        <v>600.43760686274527</v>
      </c>
    </row>
    <row r="257" spans="1:13" ht="14.4" thickTop="1" thickBot="1" x14ac:dyDescent="0.3">
      <c r="B257" s="60" t="s">
        <v>176</v>
      </c>
      <c r="C257" s="61"/>
      <c r="D257" s="61"/>
      <c r="E257" s="61"/>
      <c r="F257" s="61"/>
      <c r="G257" s="61"/>
      <c r="H257" s="61"/>
      <c r="I257" s="62">
        <f>I204+I219+I235+I251</f>
        <v>99.312000000000012</v>
      </c>
      <c r="J257" s="62">
        <f t="shared" ref="J257:M257" si="148">J204+J219+J235+J251</f>
        <v>99.312000000000012</v>
      </c>
      <c r="K257" s="62">
        <f t="shared" si="148"/>
        <v>99.312000000000012</v>
      </c>
      <c r="L257" s="62">
        <f t="shared" si="148"/>
        <v>99.312000000000012</v>
      </c>
      <c r="M257" s="62">
        <f t="shared" si="148"/>
        <v>99.312000000000012</v>
      </c>
    </row>
    <row r="258" spans="1:13" ht="13.8" thickTop="1" x14ac:dyDescent="0.25"/>
    <row r="259" spans="1:13" x14ac:dyDescent="0.25">
      <c r="B259" s="2" t="s">
        <v>127</v>
      </c>
      <c r="H259" s="42">
        <f>H58</f>
        <v>7926</v>
      </c>
      <c r="I259" s="42">
        <f ca="1">I158</f>
        <v>1053.6151458052163</v>
      </c>
      <c r="J259" s="42">
        <f ca="1">J158</f>
        <v>1000</v>
      </c>
      <c r="K259" s="42">
        <f ca="1">K158</f>
        <v>1000.0000000000009</v>
      </c>
      <c r="L259" s="42">
        <f ca="1">L158</f>
        <v>1000.0000000000064</v>
      </c>
      <c r="M259" s="42">
        <f ca="1">M158</f>
        <v>1000.0000000045138</v>
      </c>
    </row>
    <row r="260" spans="1:13" x14ac:dyDescent="0.25">
      <c r="B260" s="2" t="s">
        <v>126</v>
      </c>
      <c r="F260" s="53">
        <v>0.01</v>
      </c>
      <c r="I260" s="42">
        <v>0</v>
      </c>
      <c r="J260" s="42">
        <f t="shared" ref="J260:M260" ca="1" si="149">AVERAGE(I259:J259)*$F$260</f>
        <v>10.268075729026082</v>
      </c>
      <c r="K260" s="42">
        <f t="shared" ca="1" si="149"/>
        <v>10.000000000000005</v>
      </c>
      <c r="L260" s="42">
        <f t="shared" ca="1" si="149"/>
        <v>10.000000000000037</v>
      </c>
      <c r="M260" s="42">
        <f t="shared" ca="1" si="149"/>
        <v>10.000000000022601</v>
      </c>
    </row>
    <row r="263" spans="1:13" x14ac:dyDescent="0.25">
      <c r="A263" s="2" t="s">
        <v>19</v>
      </c>
      <c r="B263" s="10" t="s">
        <v>30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5" spans="1:13" x14ac:dyDescent="0.25">
      <c r="B265" s="2" t="s">
        <v>117</v>
      </c>
      <c r="I265" s="42">
        <f>H268</f>
        <v>23935</v>
      </c>
      <c r="J265" s="42">
        <f t="shared" ref="J265:M265" si="150">I268</f>
        <v>27031.209444444445</v>
      </c>
      <c r="K265" s="42">
        <f t="shared" si="150"/>
        <v>29975.216777777779</v>
      </c>
      <c r="L265" s="42">
        <f t="shared" si="150"/>
        <v>32751.801788888893</v>
      </c>
      <c r="M265" s="42">
        <f t="shared" si="150"/>
        <v>34975.89313666668</v>
      </c>
    </row>
    <row r="266" spans="1:13" x14ac:dyDescent="0.25">
      <c r="B266" s="2" t="s">
        <v>113</v>
      </c>
      <c r="I266" s="42">
        <f>I272</f>
        <v>6849.0950000000012</v>
      </c>
      <c r="J266" s="42">
        <f t="shared" ref="J266:M266" si="151">J272</f>
        <v>7534.0045000000018</v>
      </c>
      <c r="K266" s="42">
        <f t="shared" si="151"/>
        <v>8287.4049500000019</v>
      </c>
      <c r="L266" s="42">
        <f t="shared" si="151"/>
        <v>8701.7751975000028</v>
      </c>
      <c r="M266" s="42">
        <f t="shared" si="151"/>
        <v>8962.8284534250033</v>
      </c>
    </row>
    <row r="267" spans="1:13" x14ac:dyDescent="0.25">
      <c r="B267" s="2" t="s">
        <v>45</v>
      </c>
      <c r="G267" s="42">
        <f>G28</f>
        <v>5440</v>
      </c>
      <c r="H267" s="42">
        <f>H28</f>
        <v>5768</v>
      </c>
      <c r="I267" s="42">
        <f>I284</f>
        <v>3752.8855555555556</v>
      </c>
      <c r="J267" s="42">
        <f t="shared" ref="J267:M267" si="152">J284</f>
        <v>4589.997166666667</v>
      </c>
      <c r="K267" s="42">
        <f t="shared" si="152"/>
        <v>5510.8199388888897</v>
      </c>
      <c r="L267" s="42">
        <f t="shared" si="152"/>
        <v>6477.6838497222234</v>
      </c>
      <c r="M267" s="42">
        <f t="shared" si="152"/>
        <v>7473.5536778805563</v>
      </c>
    </row>
    <row r="268" spans="1:13" ht="13.8" thickBot="1" x14ac:dyDescent="0.3">
      <c r="B268" s="65" t="s">
        <v>111</v>
      </c>
      <c r="C268" s="65"/>
      <c r="D268" s="65"/>
      <c r="E268" s="65"/>
      <c r="F268" s="65"/>
      <c r="G268" s="55">
        <f>G47</f>
        <v>24656</v>
      </c>
      <c r="H268" s="55">
        <f>H47</f>
        <v>23935</v>
      </c>
      <c r="I268" s="55">
        <f>I265+I266-I267</f>
        <v>27031.209444444445</v>
      </c>
      <c r="J268" s="55">
        <f t="shared" ref="J268:M268" si="153">J265+J266-J267</f>
        <v>29975.216777777779</v>
      </c>
      <c r="K268" s="55">
        <f t="shared" si="153"/>
        <v>32751.801788888893</v>
      </c>
      <c r="L268" s="55">
        <f t="shared" si="153"/>
        <v>34975.89313666668</v>
      </c>
      <c r="M268" s="55">
        <f t="shared" si="153"/>
        <v>36465.167912211131</v>
      </c>
    </row>
    <row r="269" spans="1:13" ht="13.8" thickTop="1" x14ac:dyDescent="0.25"/>
    <row r="270" spans="1:13" x14ac:dyDescent="0.25">
      <c r="B270" s="9" t="s">
        <v>112</v>
      </c>
      <c r="G270" s="52">
        <f>G267/G268</f>
        <v>0.22063595068137573</v>
      </c>
      <c r="H270" s="52">
        <f>H267/H268</f>
        <v>0.24098600376018384</v>
      </c>
    </row>
    <row r="271" spans="1:13" x14ac:dyDescent="0.25">
      <c r="G271" s="42"/>
      <c r="H271" s="42"/>
    </row>
    <row r="272" spans="1:13" x14ac:dyDescent="0.25">
      <c r="B272" s="2" t="s">
        <v>113</v>
      </c>
      <c r="G272" s="42">
        <f>6663</f>
        <v>6663</v>
      </c>
      <c r="H272" s="42">
        <v>5399</v>
      </c>
      <c r="I272" s="42">
        <f>I273*I8</f>
        <v>6849.0950000000012</v>
      </c>
      <c r="J272" s="42">
        <f>J273*J8</f>
        <v>7534.0045000000018</v>
      </c>
      <c r="K272" s="42">
        <f>K273*K8</f>
        <v>8287.4049500000019</v>
      </c>
      <c r="L272" s="42">
        <f>L273*L8</f>
        <v>8701.7751975000028</v>
      </c>
      <c r="M272" s="42">
        <f>M273*M8</f>
        <v>8962.8284534250033</v>
      </c>
    </row>
    <row r="273" spans="1:13" x14ac:dyDescent="0.25">
      <c r="B273" s="2" t="s">
        <v>114</v>
      </c>
      <c r="G273" s="52">
        <f>G272/G8</f>
        <v>5.5904685992364811E-2</v>
      </c>
      <c r="H273" s="52">
        <f>H272/H8</f>
        <v>4.3355363007813438E-2</v>
      </c>
      <c r="I273" s="53">
        <v>0.05</v>
      </c>
      <c r="J273" s="53">
        <v>0.05</v>
      </c>
      <c r="K273" s="53">
        <v>0.05</v>
      </c>
      <c r="L273" s="53">
        <v>0.05</v>
      </c>
      <c r="M273" s="53">
        <v>0.05</v>
      </c>
    </row>
    <row r="275" spans="1:13" x14ac:dyDescent="0.25">
      <c r="B275" s="27" t="s">
        <v>45</v>
      </c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</row>
    <row r="276" spans="1:13" x14ac:dyDescent="0.25">
      <c r="B276" s="2" t="s">
        <v>115</v>
      </c>
      <c r="C276" s="42">
        <f>H268</f>
        <v>23935</v>
      </c>
      <c r="D276" s="51">
        <v>8</v>
      </c>
      <c r="I276" s="42">
        <f>MAX(0,MIN($C$276/$D$276,$C$276-SUM($H$276:H276)))</f>
        <v>2991.875</v>
      </c>
      <c r="J276" s="42">
        <f>MAX(0,MIN($C$276/$D$276,$C$276-SUM($H$276:I276)))</f>
        <v>2991.875</v>
      </c>
      <c r="K276" s="42">
        <f>MAX(0,MIN($C$276/$D$276,$C$276-SUM($H$276:J276)))</f>
        <v>2991.875</v>
      </c>
      <c r="L276" s="42">
        <f>MAX(0,MIN($C$276/$D$276,$C$276-SUM($H$276:K276)))</f>
        <v>2991.875</v>
      </c>
      <c r="M276" s="42">
        <f>MAX(0,MIN($C$276/$D$276,$C$276-SUM($H$276:L276)))</f>
        <v>2991.875</v>
      </c>
    </row>
    <row r="277" spans="1:13" x14ac:dyDescent="0.25">
      <c r="F277" s="66" t="s">
        <v>133</v>
      </c>
    </row>
    <row r="278" spans="1:13" x14ac:dyDescent="0.25">
      <c r="B278" s="70">
        <v>2018</v>
      </c>
      <c r="C278" s="2" t="s">
        <v>113</v>
      </c>
      <c r="D278" s="9"/>
      <c r="E278" s="42">
        <f>I272</f>
        <v>6849.0950000000012</v>
      </c>
      <c r="F278" s="51">
        <v>9</v>
      </c>
      <c r="I278" s="42">
        <f>MAX(0,MIN($E$278/$F$278,$C$276-SUM($H$278:H278)))</f>
        <v>761.0105555555557</v>
      </c>
      <c r="J278" s="42">
        <f>MAX(0,MIN($E$278/$F$278,$C$276-SUM($H$278:I278)))</f>
        <v>761.0105555555557</v>
      </c>
      <c r="K278" s="42">
        <f>MAX(0,MIN($E$278/$F$278,$C$276-SUM($H$278:J278)))</f>
        <v>761.0105555555557</v>
      </c>
      <c r="L278" s="42">
        <f>MAX(0,MIN($E$278/$F$278,$C$276-SUM($H$278:K278)))</f>
        <v>761.0105555555557</v>
      </c>
      <c r="M278" s="42">
        <f>MAX(0,MIN($E$278/$F$278,$C$276-SUM($H$278:L278)))</f>
        <v>761.0105555555557</v>
      </c>
    </row>
    <row r="279" spans="1:13" x14ac:dyDescent="0.25">
      <c r="B279" s="70">
        <f>B278+1</f>
        <v>2019</v>
      </c>
      <c r="C279" s="2" t="s">
        <v>113</v>
      </c>
      <c r="D279" s="9"/>
      <c r="E279" s="42">
        <f>J272</f>
        <v>7534.0045000000018</v>
      </c>
      <c r="F279" s="51">
        <v>9</v>
      </c>
      <c r="J279" s="42">
        <f>MAX(0,MIN($E$279/$F$279,$E$279-SUM($I$279:I279)))</f>
        <v>837.1116111111113</v>
      </c>
      <c r="K279" s="42">
        <f>MAX(0,MIN($E$279/$F$279,$E$279-SUM($I$279:J279)))</f>
        <v>837.1116111111113</v>
      </c>
      <c r="L279" s="42">
        <f>MAX(0,MIN($E$279/$F$279,$E$279-SUM($I$279:K279)))</f>
        <v>837.1116111111113</v>
      </c>
      <c r="M279" s="42">
        <f>MAX(0,MIN($E$279/$F$279,$E$279-SUM($I$279:L279)))</f>
        <v>837.1116111111113</v>
      </c>
    </row>
    <row r="280" spans="1:13" x14ac:dyDescent="0.25">
      <c r="B280" s="70">
        <f t="shared" ref="B280:B282" si="154">B279+1</f>
        <v>2020</v>
      </c>
      <c r="C280" s="2" t="s">
        <v>113</v>
      </c>
      <c r="D280" s="9"/>
      <c r="E280" s="42">
        <f>K272</f>
        <v>8287.4049500000019</v>
      </c>
      <c r="F280" s="51">
        <v>9</v>
      </c>
      <c r="K280" s="42">
        <f>MAX(0,MIN($E$280/$F$280,$E$280-SUM($J$280:J280)))</f>
        <v>920.8227722222224</v>
      </c>
      <c r="L280" s="42">
        <f>MAX(0,MIN($E$280/$F$280,$E$280-SUM($J$280:K280)))</f>
        <v>920.8227722222224</v>
      </c>
      <c r="M280" s="42">
        <f>MAX(0,MIN($E$280/$F$280,$E$280-SUM($J$280:L280)))</f>
        <v>920.8227722222224</v>
      </c>
    </row>
    <row r="281" spans="1:13" x14ac:dyDescent="0.25">
      <c r="B281" s="70">
        <f t="shared" si="154"/>
        <v>2021</v>
      </c>
      <c r="C281" s="2" t="s">
        <v>113</v>
      </c>
      <c r="D281" s="9"/>
      <c r="E281" s="42">
        <f>L272</f>
        <v>8701.7751975000028</v>
      </c>
      <c r="F281" s="51">
        <v>9</v>
      </c>
      <c r="L281" s="42">
        <f>MAX(0,MIN($E$281/$F$281,$E$281-SUM($K$281:K281)))</f>
        <v>966.86391083333365</v>
      </c>
      <c r="M281" s="42">
        <f>MAX(0,MIN($E$281/$F$281,$E$281-SUM($K$281:L281)))</f>
        <v>966.86391083333365</v>
      </c>
    </row>
    <row r="282" spans="1:13" x14ac:dyDescent="0.25">
      <c r="B282" s="70">
        <f t="shared" si="154"/>
        <v>2022</v>
      </c>
      <c r="C282" s="2" t="s">
        <v>113</v>
      </c>
      <c r="D282" s="9"/>
      <c r="E282" s="42">
        <f>M272</f>
        <v>8962.8284534250033</v>
      </c>
      <c r="F282" s="51">
        <v>9</v>
      </c>
      <c r="M282" s="42">
        <f>MAX(0,MIN($E$282/$F$282,$E$282-SUM($L$282:L282)))</f>
        <v>995.86982815833369</v>
      </c>
    </row>
    <row r="284" spans="1:13" ht="13.8" thickBot="1" x14ac:dyDescent="0.3">
      <c r="B284" s="60" t="s">
        <v>116</v>
      </c>
      <c r="C284" s="61"/>
      <c r="D284" s="61"/>
      <c r="E284" s="61"/>
      <c r="F284" s="61"/>
      <c r="G284" s="61"/>
      <c r="H284" s="61"/>
      <c r="I284" s="62">
        <f>I276+SUM(I278:I282)</f>
        <v>3752.8855555555556</v>
      </c>
      <c r="J284" s="62">
        <f t="shared" ref="J284:M284" si="155">J276+SUM(J278:J282)</f>
        <v>4589.997166666667</v>
      </c>
      <c r="K284" s="62">
        <f t="shared" si="155"/>
        <v>5510.8199388888897</v>
      </c>
      <c r="L284" s="62">
        <f t="shared" si="155"/>
        <v>6477.6838497222234</v>
      </c>
      <c r="M284" s="62">
        <f t="shared" si="155"/>
        <v>7473.5536778805563</v>
      </c>
    </row>
    <row r="285" spans="1:13" ht="13.8" thickTop="1" x14ac:dyDescent="0.25"/>
    <row r="287" spans="1:13" x14ac:dyDescent="0.25">
      <c r="A287" s="2" t="s">
        <v>19</v>
      </c>
      <c r="B287" s="10" t="s">
        <v>29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9" spans="1:13" x14ac:dyDescent="0.25">
      <c r="B289" s="2" t="s">
        <v>102</v>
      </c>
      <c r="I289" s="42">
        <f>H291</f>
        <v>43905.599999999999</v>
      </c>
      <c r="J289" s="42">
        <f t="shared" ref="J289:M289" si="156">I291</f>
        <v>43491.6</v>
      </c>
      <c r="K289" s="42">
        <f t="shared" si="156"/>
        <v>43077.599999999999</v>
      </c>
      <c r="L289" s="42">
        <f t="shared" si="156"/>
        <v>42663.6</v>
      </c>
      <c r="M289" s="42">
        <f t="shared" si="156"/>
        <v>42249.599999999999</v>
      </c>
    </row>
    <row r="290" spans="1:13" x14ac:dyDescent="0.25">
      <c r="B290" s="2" t="s">
        <v>118</v>
      </c>
      <c r="G290" s="42">
        <f>G29</f>
        <v>414</v>
      </c>
      <c r="H290" s="42">
        <f>H29</f>
        <v>414</v>
      </c>
      <c r="I290" s="51">
        <f>MAX(0,MIN(H290,I289))</f>
        <v>414</v>
      </c>
      <c r="J290" s="51">
        <f t="shared" ref="J290:M290" si="157">MAX(0,MIN(I290,J289))</f>
        <v>414</v>
      </c>
      <c r="K290" s="51">
        <f t="shared" si="157"/>
        <v>414</v>
      </c>
      <c r="L290" s="51">
        <f t="shared" si="157"/>
        <v>414</v>
      </c>
      <c r="M290" s="51">
        <f t="shared" si="157"/>
        <v>414</v>
      </c>
    </row>
    <row r="291" spans="1:13" ht="13.8" thickBot="1" x14ac:dyDescent="0.3">
      <c r="B291" s="8" t="s">
        <v>119</v>
      </c>
      <c r="C291" s="8"/>
      <c r="D291" s="8"/>
      <c r="E291" s="8"/>
      <c r="F291" s="8"/>
      <c r="G291" s="55">
        <f>G46</f>
        <v>1849</v>
      </c>
      <c r="H291" s="55">
        <f>H46</f>
        <v>43905.599999999999</v>
      </c>
      <c r="I291" s="55">
        <f>I289-I290</f>
        <v>43491.6</v>
      </c>
      <c r="J291" s="55">
        <f t="shared" ref="J291:M291" si="158">J289-J290</f>
        <v>43077.599999999999</v>
      </c>
      <c r="K291" s="55">
        <f t="shared" si="158"/>
        <v>42663.6</v>
      </c>
      <c r="L291" s="55">
        <f t="shared" si="158"/>
        <v>42249.599999999999</v>
      </c>
      <c r="M291" s="55">
        <f t="shared" si="158"/>
        <v>41835.599999999999</v>
      </c>
    </row>
    <row r="292" spans="1:13" ht="13.8" thickTop="1" x14ac:dyDescent="0.25"/>
    <row r="294" spans="1:13" x14ac:dyDescent="0.25">
      <c r="A294" s="2" t="s">
        <v>19</v>
      </c>
      <c r="B294" s="10" t="s">
        <v>120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</row>
    <row r="296" spans="1:13" x14ac:dyDescent="0.25">
      <c r="B296" s="2" t="s">
        <v>125</v>
      </c>
      <c r="I296" s="42">
        <f>H300</f>
        <v>30924.16</v>
      </c>
      <c r="J296" s="42">
        <f t="shared" ref="J296:M296" ca="1" si="159">I300</f>
        <v>29702.208024342413</v>
      </c>
      <c r="K296" s="42">
        <f t="shared" ca="1" si="159"/>
        <v>29299.9841268294</v>
      </c>
      <c r="L296" s="42">
        <f t="shared" ca="1" si="159"/>
        <v>29801.391983927664</v>
      </c>
      <c r="M296" s="42">
        <f t="shared" ca="1" si="159"/>
        <v>31176.790274317598</v>
      </c>
    </row>
    <row r="297" spans="1:13" x14ac:dyDescent="0.25">
      <c r="B297" s="2" t="s">
        <v>121</v>
      </c>
      <c r="I297" s="42">
        <f ca="1">I25</f>
        <v>-231.95197565758542</v>
      </c>
      <c r="J297" s="42">
        <f ca="1">J25</f>
        <v>587.77610248698852</v>
      </c>
      <c r="K297" s="42">
        <f ca="1">K25</f>
        <v>1491.4078570982624</v>
      </c>
      <c r="L297" s="42">
        <f ca="1">L25</f>
        <v>2365.398290389895</v>
      </c>
      <c r="M297" s="42">
        <f ca="1">M25</f>
        <v>4460.4822208064425</v>
      </c>
    </row>
    <row r="298" spans="1:13" x14ac:dyDescent="0.25">
      <c r="B298" s="2" t="s">
        <v>122</v>
      </c>
      <c r="G298" s="42">
        <v>415</v>
      </c>
      <c r="H298" s="42">
        <v>-17</v>
      </c>
      <c r="I298" s="51">
        <v>10</v>
      </c>
      <c r="J298" s="51">
        <v>10</v>
      </c>
      <c r="K298" s="51">
        <v>10</v>
      </c>
      <c r="L298" s="51">
        <v>10</v>
      </c>
      <c r="M298" s="51">
        <v>10</v>
      </c>
    </row>
    <row r="299" spans="1:13" x14ac:dyDescent="0.25">
      <c r="B299" s="2" t="s">
        <v>123</v>
      </c>
      <c r="G299" s="42">
        <v>-2995</v>
      </c>
      <c r="H299" s="42">
        <v>0</v>
      </c>
      <c r="I299" s="51">
        <v>-1000</v>
      </c>
      <c r="J299" s="51">
        <v>-1000</v>
      </c>
      <c r="K299" s="51">
        <v>-1000</v>
      </c>
      <c r="L299" s="51">
        <v>-1000</v>
      </c>
      <c r="M299" s="51">
        <v>-1000</v>
      </c>
    </row>
    <row r="300" spans="1:13" ht="13.8" thickBot="1" x14ac:dyDescent="0.3">
      <c r="B300" s="8" t="s">
        <v>124</v>
      </c>
      <c r="G300" s="55">
        <f>G86</f>
        <v>-3100</v>
      </c>
      <c r="H300" s="55">
        <f>H86</f>
        <v>30924.16</v>
      </c>
      <c r="I300" s="55">
        <f ca="1">I296+I297+I298+I299</f>
        <v>29702.208024342413</v>
      </c>
      <c r="J300" s="55">
        <f t="shared" ref="J300:M300" ca="1" si="160">J296+J297+J298+J299</f>
        <v>29299.9841268294</v>
      </c>
      <c r="K300" s="55">
        <f t="shared" ca="1" si="160"/>
        <v>29801.391983927664</v>
      </c>
      <c r="L300" s="55">
        <f t="shared" ca="1" si="160"/>
        <v>31176.790274317558</v>
      </c>
      <c r="M300" s="55">
        <f t="shared" ca="1" si="160"/>
        <v>34647.272495124038</v>
      </c>
    </row>
    <row r="301" spans="1:13" ht="13.8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Sources and Uses</vt:lpstr>
      <vt:lpstr>Exit Analysis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2019-04-10T12:25:51Z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