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Peter Lynch\Dropbox\Peter\ASM Website\Topics\Template Page\"/>
    </mc:Choice>
  </mc:AlternateContent>
  <bookViews>
    <workbookView xWindow="0" yWindow="0" windowWidth="28800" windowHeight="14310" tabRatio="783" activeTab="7"/>
  </bookViews>
  <sheets>
    <sheet name="IFS" sheetId="26" r:id="rId1"/>
    <sheet name="FCF" sheetId="31" r:id="rId2"/>
    <sheet name="WACC" sheetId="30" r:id="rId3"/>
    <sheet name="PV of CF" sheetId="29" r:id="rId4"/>
    <sheet name="FV Perpetuity" sheetId="28" r:id="rId5"/>
    <sheet name="FV EBITDA" sheetId="27" r:id="rId6"/>
    <sheet name="NPV Formula" sheetId="32" r:id="rId7"/>
    <sheet name="DCF" sheetId="6" r:id="rId8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40218.8268634259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_xlnm.Print_Area" localSheetId="7">DCF!$A$2:$H$55</definedName>
    <definedName name="_xlnm.Print_Area" localSheetId="1">FCF!$A$2:$H$55</definedName>
    <definedName name="_xlnm.Print_Area" localSheetId="5">'FV EBITDA'!$A$2:$H$55</definedName>
    <definedName name="_xlnm.Print_Area" localSheetId="4">'FV Perpetuity'!$A$2:$H$55</definedName>
    <definedName name="_xlnm.Print_Area" localSheetId="0">IFS!$A$1:$H$138</definedName>
    <definedName name="_xlnm.Print_Area" localSheetId="6">'NPV Formula'!$A$2:$H$49</definedName>
    <definedName name="_xlnm.Print_Area" localSheetId="3">'PV of CF'!$A$2:$H$55</definedName>
    <definedName name="_xlnm.Print_Area" localSheetId="2">WACC!$A$2:$H$55</definedName>
  </definedNames>
  <calcPr calcId="171027" iterate="1"/>
</workbook>
</file>

<file path=xl/calcChain.xml><?xml version="1.0" encoding="utf-8"?>
<calcChain xmlns="http://schemas.openxmlformats.org/spreadsheetml/2006/main">
  <c r="D7" i="26" l="1"/>
  <c r="E7" i="26" s="1"/>
  <c r="B11" i="26"/>
  <c r="C11" i="26"/>
  <c r="H11" i="26" s="1"/>
  <c r="B17" i="26"/>
  <c r="E17" i="26" s="1"/>
  <c r="C17" i="26"/>
  <c r="H17" i="26" s="1"/>
  <c r="E9" i="31"/>
  <c r="B136" i="26"/>
  <c r="E136" i="26" s="1"/>
  <c r="E135" i="26" s="1"/>
  <c r="C136" i="26"/>
  <c r="D32" i="26"/>
  <c r="E32" i="26"/>
  <c r="E14" i="31"/>
  <c r="E133" i="26"/>
  <c r="E17" i="31"/>
  <c r="B69" i="26"/>
  <c r="E69" i="26" s="1"/>
  <c r="C69" i="26"/>
  <c r="D69" i="26"/>
  <c r="B70" i="26"/>
  <c r="D70" i="26" s="1"/>
  <c r="C70" i="26"/>
  <c r="E70" i="26" s="1"/>
  <c r="B71" i="26"/>
  <c r="H71" i="26" s="1"/>
  <c r="C71" i="26"/>
  <c r="E71" i="26"/>
  <c r="F11" i="26"/>
  <c r="F17" i="26"/>
  <c r="F9" i="31"/>
  <c r="F32" i="26"/>
  <c r="G32" i="26" s="1"/>
  <c r="F133" i="26"/>
  <c r="G133" i="26" s="1"/>
  <c r="F70" i="26"/>
  <c r="F71" i="26"/>
  <c r="G11" i="26"/>
  <c r="G9" i="31"/>
  <c r="G136" i="26"/>
  <c r="G69" i="26"/>
  <c r="G70" i="26"/>
  <c r="G71" i="26"/>
  <c r="H9" i="31"/>
  <c r="H136" i="26"/>
  <c r="H69" i="26"/>
  <c r="D9" i="31"/>
  <c r="D14" i="31"/>
  <c r="D17" i="31"/>
  <c r="B34" i="32"/>
  <c r="B32" i="32"/>
  <c r="G30" i="32"/>
  <c r="G17" i="32"/>
  <c r="E17" i="32"/>
  <c r="D17" i="32"/>
  <c r="F14" i="32"/>
  <c r="E14" i="32"/>
  <c r="D14" i="32"/>
  <c r="H9" i="32"/>
  <c r="G9" i="32"/>
  <c r="F9" i="32"/>
  <c r="E9" i="32"/>
  <c r="D9" i="32"/>
  <c r="H5" i="32"/>
  <c r="G5" i="32"/>
  <c r="F5" i="32"/>
  <c r="E5" i="32"/>
  <c r="D5" i="32"/>
  <c r="A2" i="32"/>
  <c r="E37" i="31"/>
  <c r="F37" i="31"/>
  <c r="G37" i="31" s="1"/>
  <c r="H37" i="31" s="1"/>
  <c r="H5" i="31"/>
  <c r="H36" i="31" s="1"/>
  <c r="G5" i="31"/>
  <c r="G36" i="31"/>
  <c r="F5" i="31"/>
  <c r="F36" i="31"/>
  <c r="E5" i="31"/>
  <c r="E36" i="31" s="1"/>
  <c r="D5" i="31"/>
  <c r="D36" i="31" s="1"/>
  <c r="A2" i="31"/>
  <c r="E37" i="30"/>
  <c r="F37" i="30" s="1"/>
  <c r="G37" i="30" s="1"/>
  <c r="H37" i="30" s="1"/>
  <c r="B34" i="30"/>
  <c r="B32" i="30"/>
  <c r="B24" i="30" s="1"/>
  <c r="G30" i="30"/>
  <c r="E17" i="30"/>
  <c r="D17" i="30"/>
  <c r="E14" i="30"/>
  <c r="D14" i="30"/>
  <c r="H9" i="30"/>
  <c r="G9" i="30"/>
  <c r="F9" i="30"/>
  <c r="E9" i="30"/>
  <c r="D9" i="30"/>
  <c r="H5" i="30"/>
  <c r="H36" i="30" s="1"/>
  <c r="G5" i="30"/>
  <c r="G36" i="30" s="1"/>
  <c r="F5" i="30"/>
  <c r="F36" i="30" s="1"/>
  <c r="E5" i="30"/>
  <c r="E36" i="30"/>
  <c r="D5" i="30"/>
  <c r="D36" i="30" s="1"/>
  <c r="A2" i="30"/>
  <c r="E37" i="29"/>
  <c r="F37" i="29"/>
  <c r="G37" i="29" s="1"/>
  <c r="H37" i="29" s="1"/>
  <c r="B34" i="29"/>
  <c r="B24" i="29" s="1"/>
  <c r="H39" i="29" s="1"/>
  <c r="B32" i="29"/>
  <c r="G30" i="29"/>
  <c r="F17" i="29"/>
  <c r="E17" i="29"/>
  <c r="D17" i="29"/>
  <c r="F14" i="29"/>
  <c r="E14" i="29"/>
  <c r="D14" i="29"/>
  <c r="H9" i="29"/>
  <c r="G9" i="29"/>
  <c r="F9" i="29"/>
  <c r="E9" i="29"/>
  <c r="D9" i="29"/>
  <c r="H5" i="29"/>
  <c r="H36" i="29" s="1"/>
  <c r="G5" i="29"/>
  <c r="G36" i="29" s="1"/>
  <c r="F5" i="29"/>
  <c r="F36" i="29"/>
  <c r="E5" i="29"/>
  <c r="E36" i="29" s="1"/>
  <c r="D5" i="29"/>
  <c r="D36" i="29" s="1"/>
  <c r="A2" i="29"/>
  <c r="E37" i="28"/>
  <c r="F37" i="28" s="1"/>
  <c r="G37" i="28" s="1"/>
  <c r="H37" i="28" s="1"/>
  <c r="B34" i="28"/>
  <c r="B32" i="28"/>
  <c r="G30" i="28"/>
  <c r="B24" i="28"/>
  <c r="F17" i="28"/>
  <c r="E17" i="28"/>
  <c r="D17" i="28"/>
  <c r="E14" i="28"/>
  <c r="D14" i="28"/>
  <c r="H9" i="28"/>
  <c r="G9" i="28"/>
  <c r="F9" i="28"/>
  <c r="E9" i="28"/>
  <c r="D9" i="28"/>
  <c r="H5" i="28"/>
  <c r="H36" i="28" s="1"/>
  <c r="G5" i="28"/>
  <c r="G36" i="28"/>
  <c r="F5" i="28"/>
  <c r="F36" i="28" s="1"/>
  <c r="E5" i="28"/>
  <c r="E36" i="28" s="1"/>
  <c r="D5" i="28"/>
  <c r="D36" i="28" s="1"/>
  <c r="A2" i="28"/>
  <c r="E37" i="27"/>
  <c r="F37" i="27" s="1"/>
  <c r="G37" i="27" s="1"/>
  <c r="H37" i="27" s="1"/>
  <c r="B34" i="27"/>
  <c r="B32" i="27"/>
  <c r="B24" i="27" s="1"/>
  <c r="E39" i="27" s="1"/>
  <c r="G30" i="27"/>
  <c r="E17" i="27"/>
  <c r="D17" i="27"/>
  <c r="E14" i="27"/>
  <c r="D14" i="27"/>
  <c r="H9" i="27"/>
  <c r="G9" i="27"/>
  <c r="F9" i="27"/>
  <c r="E9" i="27"/>
  <c r="D9" i="27"/>
  <c r="H5" i="27"/>
  <c r="H36" i="27"/>
  <c r="G5" i="27"/>
  <c r="G36" i="27" s="1"/>
  <c r="F5" i="27"/>
  <c r="F36" i="27" s="1"/>
  <c r="E5" i="27"/>
  <c r="E36" i="27"/>
  <c r="D5" i="27"/>
  <c r="D36" i="27"/>
  <c r="A2" i="27"/>
  <c r="B24" i="32"/>
  <c r="F39" i="28"/>
  <c r="B32" i="6"/>
  <c r="A2" i="6"/>
  <c r="E9" i="6"/>
  <c r="F9" i="6"/>
  <c r="G9" i="6"/>
  <c r="H9" i="6"/>
  <c r="D9" i="6"/>
  <c r="D17" i="6"/>
  <c r="E14" i="6"/>
  <c r="F14" i="6"/>
  <c r="D14" i="6"/>
  <c r="E5" i="6"/>
  <c r="E36" i="6" s="1"/>
  <c r="F5" i="6"/>
  <c r="F36" i="6" s="1"/>
  <c r="G5" i="6"/>
  <c r="G36" i="6"/>
  <c r="H5" i="6"/>
  <c r="H36" i="6"/>
  <c r="D5" i="6"/>
  <c r="D36" i="6" s="1"/>
  <c r="B35" i="26"/>
  <c r="B73" i="26" s="1"/>
  <c r="C8" i="26"/>
  <c r="B13" i="26"/>
  <c r="C13" i="26"/>
  <c r="C19" i="26" s="1"/>
  <c r="B14" i="26"/>
  <c r="B19" i="26"/>
  <c r="B23" i="26" s="1"/>
  <c r="B28" i="26"/>
  <c r="C35" i="26"/>
  <c r="D35" i="26"/>
  <c r="E35" i="26"/>
  <c r="F35" i="26"/>
  <c r="F73" i="26" s="1"/>
  <c r="G35" i="26"/>
  <c r="G73" i="26" s="1"/>
  <c r="H35" i="26"/>
  <c r="D41" i="26"/>
  <c r="E41" i="26" s="1"/>
  <c r="F41" i="26" s="1"/>
  <c r="G41" i="26" s="1"/>
  <c r="H41" i="26" s="1"/>
  <c r="B42" i="26"/>
  <c r="B47" i="26" s="1"/>
  <c r="B66" i="26" s="1"/>
  <c r="C42" i="26"/>
  <c r="C47" i="26"/>
  <c r="B53" i="26"/>
  <c r="B58" i="26" s="1"/>
  <c r="B65" i="26" s="1"/>
  <c r="C53" i="26"/>
  <c r="C58" i="26" s="1"/>
  <c r="D60" i="26"/>
  <c r="E60" i="26" s="1"/>
  <c r="F60" i="26" s="1"/>
  <c r="G60" i="26" s="1"/>
  <c r="H60" i="26" s="1"/>
  <c r="D61" i="26"/>
  <c r="E61" i="26" s="1"/>
  <c r="F61" i="26" s="1"/>
  <c r="G61" i="26" s="1"/>
  <c r="H61" i="26" s="1"/>
  <c r="B63" i="26"/>
  <c r="C63" i="26"/>
  <c r="C73" i="26"/>
  <c r="D73" i="26"/>
  <c r="E73" i="26"/>
  <c r="H73" i="26"/>
  <c r="D90" i="26"/>
  <c r="D91" i="26"/>
  <c r="D99" i="26"/>
  <c r="A103" i="26"/>
  <c r="C106" i="26"/>
  <c r="C130" i="26" s="1"/>
  <c r="D106" i="26"/>
  <c r="E106" i="26"/>
  <c r="E130" i="26" s="1"/>
  <c r="F106" i="26"/>
  <c r="G106" i="26"/>
  <c r="H106" i="26"/>
  <c r="H130" i="26" s="1"/>
  <c r="D108" i="26"/>
  <c r="B113" i="26"/>
  <c r="C113" i="26"/>
  <c r="B117" i="26"/>
  <c r="C117" i="26"/>
  <c r="D117" i="26" s="1"/>
  <c r="B118" i="26"/>
  <c r="C118" i="26"/>
  <c r="D118" i="26"/>
  <c r="D130" i="26"/>
  <c r="F130" i="26"/>
  <c r="G130" i="26"/>
  <c r="D132" i="26"/>
  <c r="E90" i="26"/>
  <c r="E91" i="26"/>
  <c r="E17" i="6"/>
  <c r="B106" i="26"/>
  <c r="B130" i="26" s="1"/>
  <c r="F17" i="6"/>
  <c r="F90" i="26"/>
  <c r="F91" i="26" s="1"/>
  <c r="G17" i="6"/>
  <c r="B34" i="6"/>
  <c r="G30" i="6"/>
  <c r="E37" i="6"/>
  <c r="F37" i="6"/>
  <c r="G37" i="6" s="1"/>
  <c r="H37" i="6"/>
  <c r="D95" i="26" l="1"/>
  <c r="D110" i="26" s="1"/>
  <c r="D56" i="26"/>
  <c r="E31" i="26"/>
  <c r="E79" i="26"/>
  <c r="A48" i="27"/>
  <c r="D52" i="26"/>
  <c r="E118" i="26"/>
  <c r="E117" i="26" s="1"/>
  <c r="C14" i="26"/>
  <c r="H39" i="27"/>
  <c r="G39" i="27"/>
  <c r="D39" i="27"/>
  <c r="A55" i="27"/>
  <c r="C66" i="26"/>
  <c r="F39" i="27"/>
  <c r="C23" i="26"/>
  <c r="C28" i="26" s="1"/>
  <c r="C30" i="26"/>
  <c r="C33" i="26" s="1"/>
  <c r="D39" i="29"/>
  <c r="G39" i="29"/>
  <c r="F39" i="29"/>
  <c r="E39" i="29"/>
  <c r="H133" i="26"/>
  <c r="G17" i="28"/>
  <c r="G90" i="26"/>
  <c r="G91" i="26" s="1"/>
  <c r="G17" i="27"/>
  <c r="G17" i="31"/>
  <c r="G17" i="30"/>
  <c r="G17" i="29"/>
  <c r="D138" i="26"/>
  <c r="D45" i="26" s="1"/>
  <c r="E132" i="26" s="1"/>
  <c r="E138" i="26" s="1"/>
  <c r="E45" i="26" s="1"/>
  <c r="F132" i="26" s="1"/>
  <c r="D125" i="26"/>
  <c r="B30" i="26"/>
  <c r="B33" i="26" s="1"/>
  <c r="C65" i="26"/>
  <c r="B24" i="6"/>
  <c r="D39" i="28"/>
  <c r="A48" i="28"/>
  <c r="G39" i="28"/>
  <c r="E39" i="28"/>
  <c r="H39" i="28"/>
  <c r="G14" i="31"/>
  <c r="G14" i="30"/>
  <c r="G14" i="29"/>
  <c r="G14" i="6"/>
  <c r="G14" i="28"/>
  <c r="G14" i="27"/>
  <c r="H32" i="26"/>
  <c r="G14" i="32"/>
  <c r="E39" i="26"/>
  <c r="E16" i="26"/>
  <c r="F7" i="26"/>
  <c r="F14" i="28"/>
  <c r="F17" i="30"/>
  <c r="D17" i="26"/>
  <c r="D16" i="26" s="1"/>
  <c r="F69" i="26"/>
  <c r="F136" i="26"/>
  <c r="D71" i="26"/>
  <c r="D136" i="26"/>
  <c r="D135" i="26" s="1"/>
  <c r="H70" i="26"/>
  <c r="G17" i="26"/>
  <c r="F17" i="31"/>
  <c r="D39" i="26"/>
  <c r="F17" i="27"/>
  <c r="F14" i="30"/>
  <c r="F14" i="31"/>
  <c r="E11" i="26"/>
  <c r="E10" i="26" s="1"/>
  <c r="F17" i="32"/>
  <c r="D10" i="26"/>
  <c r="D11" i="26"/>
  <c r="F14" i="27"/>
  <c r="E95" i="26" l="1"/>
  <c r="E110" i="26" s="1"/>
  <c r="E56" i="26"/>
  <c r="E125" i="26"/>
  <c r="E40" i="26"/>
  <c r="E50" i="26"/>
  <c r="E13" i="26"/>
  <c r="D50" i="26"/>
  <c r="D40" i="26"/>
  <c r="H17" i="32"/>
  <c r="H17" i="31"/>
  <c r="H17" i="30"/>
  <c r="H17" i="29"/>
  <c r="H17" i="28"/>
  <c r="H90" i="26"/>
  <c r="H91" i="26" s="1"/>
  <c r="H17" i="27"/>
  <c r="H17" i="6"/>
  <c r="D31" i="26"/>
  <c r="D79" i="26"/>
  <c r="E13" i="29"/>
  <c r="E13" i="28"/>
  <c r="E13" i="31"/>
  <c r="E13" i="32"/>
  <c r="E13" i="27"/>
  <c r="E13" i="6"/>
  <c r="E13" i="30"/>
  <c r="F39" i="26"/>
  <c r="F16" i="26"/>
  <c r="G7" i="26"/>
  <c r="F10" i="26"/>
  <c r="F39" i="6"/>
  <c r="G39" i="6"/>
  <c r="A48" i="6"/>
  <c r="D39" i="6"/>
  <c r="A55" i="6"/>
  <c r="H39" i="6"/>
  <c r="E39" i="6"/>
  <c r="H14" i="31"/>
  <c r="H14" i="29"/>
  <c r="H14" i="28"/>
  <c r="H14" i="32"/>
  <c r="H14" i="27"/>
  <c r="H14" i="30"/>
  <c r="H14" i="6"/>
  <c r="D13" i="26"/>
  <c r="F135" i="26"/>
  <c r="E83" i="26"/>
  <c r="D83" i="26"/>
  <c r="F83" i="26"/>
  <c r="F118" i="26"/>
  <c r="E52" i="26"/>
  <c r="D19" i="26" l="1"/>
  <c r="D14" i="26"/>
  <c r="H7" i="26"/>
  <c r="G10" i="26"/>
  <c r="G13" i="26"/>
  <c r="G39" i="26"/>
  <c r="G16" i="26"/>
  <c r="G135" i="26"/>
  <c r="F31" i="26"/>
  <c r="F79" i="26"/>
  <c r="E14" i="26"/>
  <c r="E19" i="26"/>
  <c r="E85" i="26"/>
  <c r="E18" i="28" s="1"/>
  <c r="G83" i="26"/>
  <c r="F40" i="26"/>
  <c r="F50" i="26"/>
  <c r="G118" i="26"/>
  <c r="F52" i="26"/>
  <c r="D18" i="29"/>
  <c r="D13" i="31"/>
  <c r="D13" i="30"/>
  <c r="D13" i="29"/>
  <c r="D13" i="28"/>
  <c r="D13" i="32"/>
  <c r="D13" i="27"/>
  <c r="D13" i="6"/>
  <c r="E84" i="26"/>
  <c r="E18" i="30" s="1"/>
  <c r="D84" i="26"/>
  <c r="D18" i="31" s="1"/>
  <c r="F117" i="26"/>
  <c r="F13" i="26"/>
  <c r="E18" i="27"/>
  <c r="E18" i="31"/>
  <c r="F138" i="26"/>
  <c r="F45" i="26" s="1"/>
  <c r="G132" i="26" s="1"/>
  <c r="D85" i="26"/>
  <c r="D18" i="32" s="1"/>
  <c r="D18" i="27" l="1"/>
  <c r="G19" i="26"/>
  <c r="G14" i="26"/>
  <c r="D18" i="30"/>
  <c r="F19" i="26"/>
  <c r="F14" i="26"/>
  <c r="E18" i="32"/>
  <c r="E18" i="6"/>
  <c r="H10" i="26"/>
  <c r="H39" i="26"/>
  <c r="H16" i="26"/>
  <c r="H135" i="26"/>
  <c r="G138" i="26"/>
  <c r="G45" i="26" s="1"/>
  <c r="H132" i="26" s="1"/>
  <c r="H83" i="26"/>
  <c r="E7" i="32"/>
  <c r="E7" i="31"/>
  <c r="E7" i="30"/>
  <c r="E7" i="29"/>
  <c r="E7" i="28"/>
  <c r="E7" i="6"/>
  <c r="E30" i="26"/>
  <c r="E33" i="26" s="1"/>
  <c r="E7" i="27"/>
  <c r="G40" i="26"/>
  <c r="G50" i="26"/>
  <c r="D18" i="6"/>
  <c r="G52" i="26"/>
  <c r="H118" i="26"/>
  <c r="H52" i="26" s="1"/>
  <c r="E18" i="29"/>
  <c r="D18" i="28"/>
  <c r="F85" i="26"/>
  <c r="F13" i="30"/>
  <c r="F13" i="31"/>
  <c r="F13" i="28"/>
  <c r="F13" i="32"/>
  <c r="F13" i="27"/>
  <c r="F13" i="6"/>
  <c r="F13" i="29"/>
  <c r="G31" i="26"/>
  <c r="G79" i="26"/>
  <c r="F95" i="26"/>
  <c r="F110" i="26" s="1"/>
  <c r="F56" i="26"/>
  <c r="G117" i="26"/>
  <c r="F125" i="26"/>
  <c r="F84" i="26"/>
  <c r="D30" i="26"/>
  <c r="D33" i="26" s="1"/>
  <c r="D7" i="30"/>
  <c r="D7" i="27"/>
  <c r="D7" i="28"/>
  <c r="D7" i="32"/>
  <c r="D7" i="6"/>
  <c r="D7" i="29"/>
  <c r="D7" i="31"/>
  <c r="F18" i="31" l="1"/>
  <c r="F18" i="6"/>
  <c r="F18" i="30"/>
  <c r="F18" i="29"/>
  <c r="F18" i="28"/>
  <c r="F18" i="32"/>
  <c r="F18" i="27"/>
  <c r="E8" i="31"/>
  <c r="E10" i="31" s="1"/>
  <c r="E20" i="31" s="1"/>
  <c r="D8" i="6"/>
  <c r="D10" i="6"/>
  <c r="D20" i="6" s="1"/>
  <c r="D41" i="6" s="1"/>
  <c r="G56" i="26"/>
  <c r="H117" i="26"/>
  <c r="H125" i="26" s="1"/>
  <c r="G95" i="26"/>
  <c r="G110" i="26" s="1"/>
  <c r="H138" i="26"/>
  <c r="H45" i="26" s="1"/>
  <c r="G84" i="26"/>
  <c r="E8" i="6"/>
  <c r="E10" i="6"/>
  <c r="E20" i="6" s="1"/>
  <c r="E41" i="6" s="1"/>
  <c r="F7" i="32"/>
  <c r="F7" i="31"/>
  <c r="F7" i="30"/>
  <c r="F7" i="29"/>
  <c r="F7" i="28"/>
  <c r="F30" i="26"/>
  <c r="F33" i="26" s="1"/>
  <c r="F7" i="27"/>
  <c r="F7" i="6"/>
  <c r="G13" i="31"/>
  <c r="G13" i="30"/>
  <c r="G13" i="29"/>
  <c r="G13" i="28"/>
  <c r="G13" i="32"/>
  <c r="G13" i="6"/>
  <c r="G13" i="27"/>
  <c r="D8" i="28"/>
  <c r="D10" i="28"/>
  <c r="D20" i="28" s="1"/>
  <c r="D41" i="28" s="1"/>
  <c r="H31" i="26"/>
  <c r="H79" i="26"/>
  <c r="D10" i="27"/>
  <c r="D20" i="27" s="1"/>
  <c r="D41" i="27" s="1"/>
  <c r="D8" i="27"/>
  <c r="G125" i="26"/>
  <c r="E8" i="28"/>
  <c r="E10" i="28" s="1"/>
  <c r="E20" i="28" s="1"/>
  <c r="E41" i="28" s="1"/>
  <c r="D8" i="29"/>
  <c r="D10" i="29"/>
  <c r="D20" i="29" s="1"/>
  <c r="D41" i="29" s="1"/>
  <c r="E8" i="32"/>
  <c r="E10" i="32"/>
  <c r="E20" i="32" s="1"/>
  <c r="E8" i="29"/>
  <c r="E10" i="29"/>
  <c r="E20" i="29" s="1"/>
  <c r="E41" i="29" s="1"/>
  <c r="G7" i="31"/>
  <c r="G7" i="6"/>
  <c r="G7" i="28"/>
  <c r="G7" i="29"/>
  <c r="G7" i="27"/>
  <c r="G7" i="32"/>
  <c r="G30" i="26"/>
  <c r="G33" i="26" s="1"/>
  <c r="G7" i="30"/>
  <c r="D8" i="31"/>
  <c r="D10" i="31"/>
  <c r="D20" i="31" s="1"/>
  <c r="H50" i="26"/>
  <c r="H40" i="26"/>
  <c r="H84" i="26" s="1"/>
  <c r="E8" i="27"/>
  <c r="E10" i="27"/>
  <c r="E20" i="27" s="1"/>
  <c r="E41" i="27" s="1"/>
  <c r="D8" i="32"/>
  <c r="D10" i="32" s="1"/>
  <c r="D20" i="32" s="1"/>
  <c r="D8" i="30"/>
  <c r="D10" i="30" s="1"/>
  <c r="D20" i="30" s="1"/>
  <c r="G85" i="26"/>
  <c r="E8" i="30"/>
  <c r="E10" i="30" s="1"/>
  <c r="E20" i="30" s="1"/>
  <c r="H13" i="26"/>
  <c r="H18" i="28" l="1"/>
  <c r="H18" i="30"/>
  <c r="H18" i="6"/>
  <c r="G8" i="29"/>
  <c r="G10" i="29"/>
  <c r="F8" i="30"/>
  <c r="F10" i="30" s="1"/>
  <c r="F20" i="30" s="1"/>
  <c r="G8" i="32"/>
  <c r="G10" i="32"/>
  <c r="F8" i="28"/>
  <c r="F10" i="28"/>
  <c r="F20" i="28" s="1"/>
  <c r="F41" i="28" s="1"/>
  <c r="G10" i="27"/>
  <c r="G8" i="27"/>
  <c r="F8" i="29"/>
  <c r="F10" i="29" s="1"/>
  <c r="F20" i="29" s="1"/>
  <c r="F41" i="29" s="1"/>
  <c r="H13" i="6"/>
  <c r="H13" i="32"/>
  <c r="H13" i="27"/>
  <c r="H13" i="31"/>
  <c r="H13" i="29"/>
  <c r="H13" i="30"/>
  <c r="H13" i="28"/>
  <c r="F8" i="31"/>
  <c r="F10" i="31" s="1"/>
  <c r="F20" i="31" s="1"/>
  <c r="G10" i="6"/>
  <c r="G20" i="6" s="1"/>
  <c r="G41" i="6" s="1"/>
  <c r="G8" i="6"/>
  <c r="F10" i="32"/>
  <c r="F20" i="32" s="1"/>
  <c r="F8" i="32"/>
  <c r="H85" i="26"/>
  <c r="H18" i="27" s="1"/>
  <c r="H19" i="26"/>
  <c r="H14" i="26"/>
  <c r="G8" i="31"/>
  <c r="G10" i="31" s="1"/>
  <c r="G20" i="31" s="1"/>
  <c r="H56" i="26"/>
  <c r="H95" i="26"/>
  <c r="H110" i="26" s="1"/>
  <c r="G8" i="28"/>
  <c r="G10" i="28" s="1"/>
  <c r="G20" i="28" s="1"/>
  <c r="G41" i="28" s="1"/>
  <c r="G8" i="30"/>
  <c r="G10" i="30" s="1"/>
  <c r="G20" i="30" s="1"/>
  <c r="F8" i="27"/>
  <c r="F10" i="27" s="1"/>
  <c r="F20" i="27" s="1"/>
  <c r="F41" i="27" s="1"/>
  <c r="G18" i="6"/>
  <c r="G18" i="29"/>
  <c r="G18" i="32"/>
  <c r="G18" i="31"/>
  <c r="G18" i="27"/>
  <c r="G18" i="30"/>
  <c r="G18" i="28"/>
  <c r="F8" i="6"/>
  <c r="F10" i="6" s="1"/>
  <c r="F20" i="6" s="1"/>
  <c r="F41" i="6" s="1"/>
  <c r="H7" i="30" l="1"/>
  <c r="H30" i="26"/>
  <c r="H33" i="26" s="1"/>
  <c r="H7" i="28"/>
  <c r="H7" i="32"/>
  <c r="H7" i="27"/>
  <c r="H7" i="31"/>
  <c r="H7" i="29"/>
  <c r="H7" i="6"/>
  <c r="H18" i="32"/>
  <c r="H18" i="29"/>
  <c r="G20" i="32"/>
  <c r="G20" i="27"/>
  <c r="G41" i="27" s="1"/>
  <c r="H18" i="31"/>
  <c r="G20" i="29"/>
  <c r="G41" i="29" s="1"/>
  <c r="H8" i="30" l="1"/>
  <c r="H10" i="30" s="1"/>
  <c r="H20" i="30" s="1"/>
  <c r="E55" i="6"/>
  <c r="H8" i="6"/>
  <c r="H10" i="6"/>
  <c r="H20" i="6" s="1"/>
  <c r="H8" i="29"/>
  <c r="H10" i="29"/>
  <c r="H20" i="29" s="1"/>
  <c r="H41" i="29" s="1"/>
  <c r="H8" i="28"/>
  <c r="H10" i="28" s="1"/>
  <c r="H20" i="28" s="1"/>
  <c r="H8" i="31"/>
  <c r="H10" i="31"/>
  <c r="H20" i="31" s="1"/>
  <c r="E55" i="27"/>
  <c r="H8" i="27"/>
  <c r="H10" i="27" s="1"/>
  <c r="H20" i="27" s="1"/>
  <c r="B48" i="32"/>
  <c r="H8" i="32"/>
  <c r="H10" i="32" s="1"/>
  <c r="H20" i="32" s="1"/>
  <c r="H41" i="28" l="1"/>
  <c r="C48" i="28" s="1"/>
  <c r="E48" i="28"/>
  <c r="E48" i="27"/>
  <c r="H41" i="27"/>
  <c r="B40" i="32"/>
  <c r="B50" i="32"/>
  <c r="B42" i="32"/>
  <c r="E48" i="6"/>
  <c r="H41" i="6"/>
  <c r="C48" i="27" l="1"/>
  <c r="G48" i="27" s="1"/>
  <c r="C55" i="27"/>
  <c r="G55" i="27" s="1"/>
  <c r="C55" i="6"/>
  <c r="G55" i="6" s="1"/>
  <c r="C48" i="6"/>
  <c r="G48" i="6" s="1"/>
  <c r="G48" i="28"/>
  <c r="D21" i="26"/>
  <c r="E21" i="26"/>
  <c r="F21" i="26"/>
  <c r="G21" i="26"/>
  <c r="H21" i="26"/>
  <c r="D23" i="26"/>
  <c r="E23" i="26"/>
  <c r="F23" i="26"/>
  <c r="G23" i="26"/>
  <c r="H23" i="26"/>
  <c r="D25" i="26"/>
  <c r="E25" i="26"/>
  <c r="F25" i="26"/>
  <c r="G25" i="26"/>
  <c r="H25" i="26"/>
  <c r="D28" i="26"/>
  <c r="E28" i="26"/>
  <c r="F28" i="26"/>
  <c r="G28" i="26"/>
  <c r="H28" i="26"/>
  <c r="D38" i="26"/>
  <c r="E38" i="26"/>
  <c r="F38" i="26"/>
  <c r="G38" i="26"/>
  <c r="H38" i="26"/>
  <c r="D42" i="26"/>
  <c r="E42" i="26"/>
  <c r="F42" i="26"/>
  <c r="G42" i="26"/>
  <c r="H42" i="26"/>
  <c r="D47" i="26"/>
  <c r="E47" i="26"/>
  <c r="F47" i="26"/>
  <c r="G47" i="26"/>
  <c r="H47" i="26"/>
  <c r="D51" i="26"/>
  <c r="E51" i="26"/>
  <c r="F51" i="26"/>
  <c r="G51" i="26"/>
  <c r="H51" i="26"/>
  <c r="D53" i="26"/>
  <c r="E53" i="26"/>
  <c r="F53" i="26"/>
  <c r="G53" i="26"/>
  <c r="H53" i="26"/>
  <c r="D58" i="26"/>
  <c r="E58" i="26"/>
  <c r="F58" i="26"/>
  <c r="G58" i="26"/>
  <c r="H58" i="26"/>
  <c r="D62" i="26"/>
  <c r="E62" i="26"/>
  <c r="F62" i="26"/>
  <c r="G62" i="26"/>
  <c r="H62" i="26"/>
  <c r="D63" i="26"/>
  <c r="E63" i="26"/>
  <c r="F63" i="26"/>
  <c r="G63" i="26"/>
  <c r="H63" i="26"/>
  <c r="D65" i="26"/>
  <c r="E65" i="26"/>
  <c r="F65" i="26"/>
  <c r="G65" i="26"/>
  <c r="H65" i="26"/>
  <c r="D66" i="26"/>
  <c r="E66" i="26"/>
  <c r="F66" i="26"/>
  <c r="G66" i="26"/>
  <c r="H66" i="26"/>
  <c r="D76" i="26"/>
  <c r="E76" i="26"/>
  <c r="F76" i="26"/>
  <c r="G76" i="26"/>
  <c r="H76" i="26"/>
  <c r="D87" i="26"/>
  <c r="E87" i="26"/>
  <c r="F87" i="26"/>
  <c r="G87" i="26"/>
  <c r="H87" i="26"/>
  <c r="D94" i="26"/>
  <c r="E94" i="26"/>
  <c r="F94" i="26"/>
  <c r="G94" i="26"/>
  <c r="H94" i="26"/>
  <c r="D96" i="26"/>
  <c r="E96" i="26"/>
  <c r="F96" i="26"/>
  <c r="G96" i="26"/>
  <c r="H96" i="26"/>
  <c r="D98" i="26"/>
  <c r="E98" i="26"/>
  <c r="F98" i="26"/>
  <c r="G98" i="26"/>
  <c r="H98" i="26"/>
  <c r="E99" i="26"/>
  <c r="F99" i="26"/>
  <c r="G99" i="26"/>
  <c r="H99" i="26"/>
  <c r="D100" i="26"/>
  <c r="E100" i="26"/>
  <c r="F100" i="26"/>
  <c r="G100" i="26"/>
  <c r="H100" i="26"/>
  <c r="E108" i="26"/>
  <c r="F108" i="26"/>
  <c r="G108" i="26"/>
  <c r="H108" i="26"/>
  <c r="D109" i="26"/>
  <c r="E109" i="26"/>
  <c r="F109" i="26"/>
  <c r="G109" i="26"/>
  <c r="H109" i="26"/>
  <c r="D112" i="26"/>
  <c r="E112" i="26"/>
  <c r="F112" i="26"/>
  <c r="G112" i="26"/>
  <c r="H112" i="26"/>
  <c r="D113" i="26"/>
  <c r="E113" i="26"/>
  <c r="F113" i="26"/>
  <c r="G113" i="26"/>
  <c r="H113" i="26"/>
  <c r="D126" i="26"/>
  <c r="E126" i="26"/>
  <c r="F126" i="26"/>
  <c r="G126" i="26"/>
  <c r="H126" i="26"/>
  <c r="D128" i="26"/>
  <c r="E128" i="26"/>
  <c r="F128" i="26"/>
  <c r="G128" i="26"/>
  <c r="H128" i="26"/>
</calcChain>
</file>

<file path=xl/sharedStrings.xml><?xml version="1.0" encoding="utf-8"?>
<sst xmlns="http://schemas.openxmlformats.org/spreadsheetml/2006/main" count="424" uniqueCount="129">
  <si>
    <t>Growth (%)</t>
  </si>
  <si>
    <t>% of Sales</t>
  </si>
  <si>
    <t>Gross Profit</t>
  </si>
  <si>
    <t>Interest Expense</t>
  </si>
  <si>
    <t>Pretax Income</t>
  </si>
  <si>
    <t>Income Tax Expense</t>
  </si>
  <si>
    <t>Tax Rate</t>
  </si>
  <si>
    <t>Net Income</t>
  </si>
  <si>
    <t>EBITDA</t>
  </si>
  <si>
    <t>Current Assets</t>
  </si>
  <si>
    <t>Cash</t>
  </si>
  <si>
    <t>Accounts Receivable</t>
  </si>
  <si>
    <t>Inventory</t>
  </si>
  <si>
    <t>Total Current Assets</t>
  </si>
  <si>
    <t>TOTAL ASSETS</t>
  </si>
  <si>
    <t>Current Liabilities</t>
  </si>
  <si>
    <t>Long Term Liabilities</t>
  </si>
  <si>
    <t>TOTAL LIABILITIES</t>
  </si>
  <si>
    <t>TOTAL EQUITY</t>
  </si>
  <si>
    <t>TOTAL LIABILITIES &amp; EQUITY</t>
  </si>
  <si>
    <t>Check</t>
  </si>
  <si>
    <t>BALANCE SHEET ASSUMPTIONS</t>
  </si>
  <si>
    <t>AR Days</t>
  </si>
  <si>
    <t>AP Days</t>
  </si>
  <si>
    <t>Add Back Non-Cash Items</t>
  </si>
  <si>
    <t>Changes in Working Capital</t>
  </si>
  <si>
    <t>Net Cash Flow</t>
  </si>
  <si>
    <t>Beginning Cash Balance</t>
  </si>
  <si>
    <t>Ending Cash Balance</t>
  </si>
  <si>
    <t>Revenue</t>
  </si>
  <si>
    <t>Operating Income (EBIT)</t>
  </si>
  <si>
    <t>Accounts Payable</t>
  </si>
  <si>
    <t>Cost of Goods Sold</t>
  </si>
  <si>
    <t>Total Current Liabilities</t>
  </si>
  <si>
    <t>Fixed Assets</t>
  </si>
  <si>
    <t>Prepaid Expenses</t>
  </si>
  <si>
    <t>Current Maturities of Long Term Debt</t>
  </si>
  <si>
    <t>Long Term Debt, Net of Current Maturities</t>
  </si>
  <si>
    <t>CASH FLOW FROM OPERATING ACTIVITIES</t>
  </si>
  <si>
    <t>CASH FLOW FROM INVESTING ACTIVITIES</t>
  </si>
  <si>
    <t>Net Cash Provided by Operating Activities</t>
  </si>
  <si>
    <t>Net Cash Used in Investing Activities</t>
  </si>
  <si>
    <t>CASH FLOW FROM FINANCING ACTIVITIES</t>
  </si>
  <si>
    <t>NA</t>
  </si>
  <si>
    <t>NM</t>
  </si>
  <si>
    <t>Line of Credit</t>
  </si>
  <si>
    <t>PP&amp;E, Net of Accum. Depreciation</t>
  </si>
  <si>
    <t>INCOME STATEMENT</t>
  </si>
  <si>
    <t>BALANCE SHEET</t>
  </si>
  <si>
    <t>CASH FLOW STATEMENT</t>
  </si>
  <si>
    <t>Capital Expenditures - Purchase of PP&amp;E</t>
  </si>
  <si>
    <t>Long Term Debt</t>
  </si>
  <si>
    <t>DEBT SCHEDULE</t>
  </si>
  <si>
    <t>Cash Balance @ Beg of Year (End of Last Year)</t>
  </si>
  <si>
    <t>Plus: Free Cash Flow from Operations and Investing</t>
  </si>
  <si>
    <t>Less: Minimum Cash Balance</t>
  </si>
  <si>
    <t>Current Portion of Long Term Debt</t>
  </si>
  <si>
    <t>Debt</t>
  </si>
  <si>
    <t>Interest Rate on Long Term Debt</t>
  </si>
  <si>
    <t>Interest Rate on Line of Credit</t>
  </si>
  <si>
    <t>Interest Expense on Long Term Debt</t>
  </si>
  <si>
    <t>Interest Expense on Line of Credit</t>
  </si>
  <si>
    <t>Total Interest Expense</t>
  </si>
  <si>
    <t>Depreciation</t>
  </si>
  <si>
    <t>Depreciation as % of Revenues</t>
  </si>
  <si>
    <t>PP&amp;E SCHEDULE</t>
  </si>
  <si>
    <t>Plus: Capital Expenditures</t>
  </si>
  <si>
    <t>Less: Depreciation</t>
  </si>
  <si>
    <t>Beg: PP&amp;E, Net of Accum. Depreciation</t>
  </si>
  <si>
    <t>End: PP&amp;E, Net of Accum. Depreciation</t>
  </si>
  <si>
    <t xml:space="preserve">Depreciation </t>
  </si>
  <si>
    <t>Amortization</t>
  </si>
  <si>
    <t>Company Name</t>
  </si>
  <si>
    <t>Integrated Financial Statements</t>
  </si>
  <si>
    <t>Discounted Cash Flow Analysis</t>
  </si>
  <si>
    <t>Supporting Schedules</t>
  </si>
  <si>
    <t>EBIT</t>
  </si>
  <si>
    <t>Tax</t>
  </si>
  <si>
    <t>Tax-Effected EBIT</t>
  </si>
  <si>
    <t>Less:</t>
  </si>
  <si>
    <t>Capital Expenditures</t>
  </si>
  <si>
    <t>Plus:</t>
  </si>
  <si>
    <t>Discount Factor</t>
  </si>
  <si>
    <t>WACC</t>
  </si>
  <si>
    <t>Weighted Average Cost of Capital</t>
  </si>
  <si>
    <t>Cost of Equity</t>
  </si>
  <si>
    <t>Cost of Debt</t>
  </si>
  <si>
    <t>Risk Free Rate</t>
  </si>
  <si>
    <t>Beta</t>
  </si>
  <si>
    <t>After Tax Cost of Debt</t>
  </si>
  <si>
    <t>WEIGHTED AVERAGE COST OF CAPITAL (WACC)</t>
  </si>
  <si>
    <t>Present Value of Cash Flows</t>
  </si>
  <si>
    <t>Growth Rate in Perpetuity</t>
  </si>
  <si>
    <t>PRESENT VALUE OF CASH FLOWS (PV of CF)</t>
  </si>
  <si>
    <t>PV of CF</t>
  </si>
  <si>
    <t>PV of Terminal Value</t>
  </si>
  <si>
    <t>Firm Value</t>
  </si>
  <si>
    <t>+</t>
  </si>
  <si>
    <t>=</t>
  </si>
  <si>
    <t>EBITDA Multiple</t>
  </si>
  <si>
    <t>(000s)</t>
  </si>
  <si>
    <t>Inventory Days</t>
  </si>
  <si>
    <t>Operating Expenses (SG&amp;A)</t>
  </si>
  <si>
    <t>Retained Earnings</t>
  </si>
  <si>
    <t>Common Stock</t>
  </si>
  <si>
    <t>Additional Paid In Capital</t>
  </si>
  <si>
    <t>Used To Project</t>
  </si>
  <si>
    <t>Total Cash Available or (Required) from L.O.C.</t>
  </si>
  <si>
    <t>Plus: Free Cash Flow from Financing (BEFORE L.O.C.)</t>
  </si>
  <si>
    <t>Net Cash Provided by (Used in) Fnce Activities</t>
  </si>
  <si>
    <t>Revolving Credit Facility (Line of Credit)</t>
  </si>
  <si>
    <t>20X7</t>
  </si>
  <si>
    <t>20X6</t>
  </si>
  <si>
    <t>20X5</t>
  </si>
  <si>
    <t>20X4</t>
  </si>
  <si>
    <t>20X3</t>
  </si>
  <si>
    <t>20X2</t>
  </si>
  <si>
    <t>Projected</t>
  </si>
  <si>
    <t>Historical</t>
  </si>
  <si>
    <t>FREE CASH FLOW (FCF)</t>
  </si>
  <si>
    <t>Free Cash Flow</t>
  </si>
  <si>
    <t>20X1</t>
  </si>
  <si>
    <t>E / (D+E)</t>
  </si>
  <si>
    <t>D / (D+E)</t>
  </si>
  <si>
    <t>Expected Market Return</t>
  </si>
  <si>
    <t>FIRM VALUE: PERPETUITY GROWTH RATE METHOD</t>
  </si>
  <si>
    <t>FIRM VALUE: EBITDA MULTIPLE METHOD</t>
  </si>
  <si>
    <t>Terminal Value</t>
  </si>
  <si>
    <t>Change in Working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</si>
</sst>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.0%"/>
    <numFmt numFmtId="165" formatCode="#,##0.0_);[Red]\(#,##0.0\)"/>
    <numFmt numFmtId="166" formatCode="&quot;Year &quot;0"/>
    <numFmt numFmtId="167" formatCode="0.0\x"/>
  </numFmts>
  <fonts count="20" x14ac:knownFonts="1"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i/>
      <sz val="7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3333CC"/>
      <name val="Arial"/>
      <family val="2"/>
    </font>
    <font>
      <sz val="8"/>
      <color rgb="FF3333CC"/>
      <name val="Arial"/>
      <family val="2"/>
    </font>
    <font>
      <i/>
      <sz val="8"/>
      <color rgb="FF3333CC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0"/>
      <color rgb="FF3333CC"/>
      <name val="Arial"/>
      <family val="2"/>
    </font>
    <font>
      <i/>
      <sz val="7"/>
      <name val="Arial"/>
      <family val="2"/>
    </font>
    <font>
      <i/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  <xf numFmtId="38" fontId="2" fillId="0" borderId="0" xfId="0" applyNumberFormat="1" applyFont="1"/>
    <xf numFmtId="38" fontId="0" fillId="0" borderId="0" xfId="0" applyNumberFormat="1"/>
    <xf numFmtId="38" fontId="3" fillId="0" borderId="0" xfId="0" applyNumberFormat="1" applyFont="1"/>
    <xf numFmtId="38" fontId="4" fillId="0" borderId="0" xfId="0" applyNumberFormat="1" applyFont="1"/>
    <xf numFmtId="38" fontId="6" fillId="0" borderId="0" xfId="0" applyNumberFormat="1" applyFont="1"/>
    <xf numFmtId="38" fontId="7" fillId="0" borderId="0" xfId="0" applyNumberFormat="1" applyFont="1"/>
    <xf numFmtId="9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8" fillId="0" borderId="0" xfId="0" applyFont="1" applyFill="1"/>
    <xf numFmtId="38" fontId="3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0" fillId="0" borderId="0" xfId="0" applyAlignment="1">
      <alignment horizontal="left" indent="2"/>
    </xf>
    <xf numFmtId="164" fontId="1" fillId="0" borderId="0" xfId="0" applyNumberFormat="1" applyFont="1"/>
    <xf numFmtId="0" fontId="8" fillId="0" borderId="0" xfId="0" applyFont="1"/>
    <xf numFmtId="38" fontId="0" fillId="0" borderId="0" xfId="0" applyNumberFormat="1" applyFont="1"/>
    <xf numFmtId="0" fontId="0" fillId="0" borderId="1" xfId="0" applyBorder="1"/>
    <xf numFmtId="38" fontId="2" fillId="0" borderId="1" xfId="0" applyNumberFormat="1" applyFont="1" applyBorder="1"/>
    <xf numFmtId="0" fontId="2" fillId="0" borderId="0" xfId="0" applyFont="1" applyAlignment="1">
      <alignment horizontal="left" indent="2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 indent="2"/>
    </xf>
    <xf numFmtId="0" fontId="0" fillId="0" borderId="2" xfId="0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38" fontId="2" fillId="0" borderId="0" xfId="0" applyNumberFormat="1" applyFont="1" applyBorder="1"/>
    <xf numFmtId="38" fontId="2" fillId="0" borderId="3" xfId="0" applyNumberFormat="1" applyFont="1" applyBorder="1"/>
    <xf numFmtId="0" fontId="2" fillId="0" borderId="3" xfId="0" applyFont="1" applyBorder="1"/>
    <xf numFmtId="38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Fill="1"/>
    <xf numFmtId="0" fontId="11" fillId="0" borderId="0" xfId="0" applyFont="1" applyFill="1"/>
    <xf numFmtId="38" fontId="0" fillId="0" borderId="1" xfId="0" applyNumberFormat="1" applyBorder="1"/>
    <xf numFmtId="166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4" xfId="0" applyNumberFormat="1" applyFont="1" applyBorder="1"/>
    <xf numFmtId="0" fontId="2" fillId="2" borderId="5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2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38" fontId="13" fillId="0" borderId="0" xfId="0" applyNumberFormat="1" applyFont="1"/>
    <xf numFmtId="0" fontId="13" fillId="0" borderId="0" xfId="0" applyFont="1"/>
    <xf numFmtId="38" fontId="2" fillId="0" borderId="4" xfId="0" applyNumberFormat="1" applyFont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10" fontId="1" fillId="0" borderId="0" xfId="0" applyNumberFormat="1" applyFont="1"/>
    <xf numFmtId="38" fontId="0" fillId="4" borderId="0" xfId="0" applyNumberFormat="1" applyFont="1" applyFill="1" applyAlignment="1">
      <alignment horizontal="centerContinuous"/>
    </xf>
    <xf numFmtId="38" fontId="2" fillId="4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38" fontId="10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0" fillId="0" borderId="6" xfId="0" applyBorder="1"/>
    <xf numFmtId="38" fontId="0" fillId="5" borderId="0" xfId="0" applyNumberFormat="1" applyFont="1" applyFill="1"/>
    <xf numFmtId="38" fontId="4" fillId="5" borderId="6" xfId="0" applyNumberFormat="1" applyFont="1" applyFill="1" applyBorder="1"/>
    <xf numFmtId="38" fontId="4" fillId="5" borderId="0" xfId="0" applyNumberFormat="1" applyFont="1" applyFill="1"/>
    <xf numFmtId="0" fontId="0" fillId="5" borderId="0" xfId="0" applyFill="1" applyAlignment="1">
      <alignment horizontal="left" indent="1"/>
    </xf>
    <xf numFmtId="0" fontId="0" fillId="5" borderId="0" xfId="0" applyFill="1"/>
    <xf numFmtId="38" fontId="6" fillId="5" borderId="6" xfId="0" applyNumberFormat="1" applyFont="1" applyFill="1" applyBorder="1"/>
    <xf numFmtId="38" fontId="6" fillId="5" borderId="0" xfId="0" applyNumberFormat="1" applyFont="1" applyFill="1"/>
    <xf numFmtId="0" fontId="2" fillId="5" borderId="0" xfId="0" applyFont="1" applyFill="1"/>
    <xf numFmtId="38" fontId="6" fillId="0" borderId="6" xfId="0" applyNumberFormat="1" applyFont="1" applyBorder="1"/>
    <xf numFmtId="165" fontId="18" fillId="0" borderId="0" xfId="0" applyNumberFormat="1" applyFont="1"/>
    <xf numFmtId="165" fontId="18" fillId="0" borderId="6" xfId="0" applyNumberFormat="1" applyFont="1" applyBorder="1"/>
    <xf numFmtId="0" fontId="8" fillId="0" borderId="0" xfId="0" applyFont="1" applyAlignment="1">
      <alignment horizontal="left" indent="1"/>
    </xf>
    <xf numFmtId="38" fontId="3" fillId="0" borderId="6" xfId="0" applyNumberFormat="1" applyFont="1" applyBorder="1"/>
    <xf numFmtId="38" fontId="3" fillId="0" borderId="7" xfId="0" applyNumberFormat="1" applyFont="1" applyBorder="1"/>
    <xf numFmtId="165" fontId="3" fillId="0" borderId="0" xfId="0" applyNumberFormat="1" applyFont="1"/>
    <xf numFmtId="38" fontId="3" fillId="5" borderId="1" xfId="0" applyNumberFormat="1" applyFont="1" applyFill="1" applyBorder="1"/>
    <xf numFmtId="38" fontId="3" fillId="5" borderId="7" xfId="0" applyNumberFormat="1" applyFont="1" applyFill="1" applyBorder="1"/>
    <xf numFmtId="0" fontId="2" fillId="5" borderId="1" xfId="0" applyFont="1" applyFill="1" applyBorder="1"/>
    <xf numFmtId="38" fontId="7" fillId="0" borderId="6" xfId="0" applyNumberFormat="1" applyFont="1" applyBorder="1"/>
    <xf numFmtId="9" fontId="5" fillId="0" borderId="6" xfId="0" applyNumberFormat="1" applyFont="1" applyBorder="1" applyAlignment="1">
      <alignment horizontal="right"/>
    </xf>
    <xf numFmtId="164" fontId="5" fillId="0" borderId="6" xfId="0" applyNumberFormat="1" applyFont="1" applyBorder="1"/>
    <xf numFmtId="0" fontId="2" fillId="0" borderId="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1" fillId="0" borderId="0" xfId="0" applyNumberFormat="1" applyFont="1" applyFill="1"/>
    <xf numFmtId="164" fontId="13" fillId="7" borderId="0" xfId="0" applyNumberFormat="1" applyFont="1" applyFill="1"/>
    <xf numFmtId="0" fontId="13" fillId="7" borderId="0" xfId="0" applyFont="1" applyFill="1"/>
    <xf numFmtId="38" fontId="6" fillId="6" borderId="0" xfId="0" applyNumberFormat="1" applyFont="1" applyFill="1"/>
    <xf numFmtId="38" fontId="6" fillId="6" borderId="6" xfId="0" applyNumberFormat="1" applyFont="1" applyFill="1" applyBorder="1"/>
    <xf numFmtId="38" fontId="7" fillId="6" borderId="0" xfId="0" applyNumberFormat="1" applyFont="1" applyFill="1"/>
    <xf numFmtId="38" fontId="7" fillId="6" borderId="6" xfId="0" applyNumberFormat="1" applyFont="1" applyFill="1" applyBorder="1"/>
    <xf numFmtId="38" fontId="13" fillId="7" borderId="0" xfId="0" applyNumberFormat="1" applyFont="1" applyFill="1"/>
    <xf numFmtId="164" fontId="14" fillId="7" borderId="0" xfId="0" applyNumberFormat="1" applyFont="1" applyFill="1"/>
    <xf numFmtId="164" fontId="12" fillId="7" borderId="4" xfId="0" applyNumberFormat="1" applyFont="1" applyFill="1" applyBorder="1"/>
    <xf numFmtId="167" fontId="12" fillId="7" borderId="4" xfId="0" applyNumberFormat="1" applyFont="1" applyFill="1" applyBorder="1"/>
    <xf numFmtId="9" fontId="0" fillId="0" borderId="0" xfId="0" applyNumberFormat="1"/>
    <xf numFmtId="10" fontId="0" fillId="0" borderId="0" xfId="0" applyNumberFormat="1"/>
    <xf numFmtId="38" fontId="0" fillId="0" borderId="0" xfId="0" applyNumberFormat="1" applyFill="1" applyBorder="1"/>
    <xf numFmtId="8" fontId="0" fillId="0" borderId="0" xfId="0" applyNumberFormat="1"/>
    <xf numFmtId="38" fontId="2" fillId="0" borderId="4" xfId="0" applyNumberFormat="1" applyFont="1" applyBorder="1"/>
    <xf numFmtId="0" fontId="0" fillId="0" borderId="0" xfId="0" applyAlignment="1">
      <alignment horizontal="center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CC"/>
      <color rgb="FFFFFFFF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ynch Model Build">
      <a:dk1>
        <a:sysClr val="windowText" lastClr="000000"/>
      </a:dk1>
      <a:lt1>
        <a:sysClr val="window" lastClr="FFFFFF"/>
      </a:lt1>
      <a:dk2>
        <a:srgbClr val="000099"/>
      </a:dk2>
      <a:lt2>
        <a:srgbClr val="FFFFCC"/>
      </a:lt2>
      <a:accent1>
        <a:srgbClr val="0000CC"/>
      </a:accent1>
      <a:accent2>
        <a:srgbClr val="33CC33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38"/>
  <sheetViews>
    <sheetView zoomScaleNormal="100" workbookViewId="0"/>
  </sheetViews>
  <sheetFormatPr defaultRowHeight="10.15" x14ac:dyDescent="0.3"/>
  <cols>
    <col min="1" max="1" width="55.33203125" bestFit="1" customWidth="1"/>
    <col min="2" max="8" width="10.83203125" customWidth="1"/>
  </cols>
  <sheetData>
    <row r="1" spans="1:8" ht="17.649999999999999" x14ac:dyDescent="0.5">
      <c r="A1" s="58" t="s">
        <v>73</v>
      </c>
    </row>
    <row r="2" spans="1:8" ht="13.15" x14ac:dyDescent="0.4">
      <c r="A2" s="59" t="s">
        <v>72</v>
      </c>
    </row>
    <row r="3" spans="1:8" x14ac:dyDescent="0.3">
      <c r="A3" s="38" t="s">
        <v>100</v>
      </c>
    </row>
    <row r="4" spans="1:8" ht="9.9499999999999993" customHeight="1" x14ac:dyDescent="0.3">
      <c r="A4" s="38"/>
      <c r="B4" s="92" t="s">
        <v>118</v>
      </c>
      <c r="C4" s="92" t="s">
        <v>118</v>
      </c>
      <c r="D4" s="92" t="s">
        <v>117</v>
      </c>
      <c r="E4" s="92" t="s">
        <v>117</v>
      </c>
      <c r="F4" s="92" t="s">
        <v>117</v>
      </c>
      <c r="G4" s="92" t="s">
        <v>117</v>
      </c>
      <c r="H4" s="92" t="s">
        <v>117</v>
      </c>
    </row>
    <row r="5" spans="1:8" x14ac:dyDescent="0.3">
      <c r="A5" s="52" t="s">
        <v>47</v>
      </c>
      <c r="B5" s="53" t="s">
        <v>121</v>
      </c>
      <c r="C5" s="53" t="s">
        <v>116</v>
      </c>
      <c r="D5" s="53" t="s">
        <v>115</v>
      </c>
      <c r="E5" s="53" t="s">
        <v>114</v>
      </c>
      <c r="F5" s="53" t="s">
        <v>113</v>
      </c>
      <c r="G5" s="53" t="s">
        <v>112</v>
      </c>
      <c r="H5" s="53" t="s">
        <v>111</v>
      </c>
    </row>
    <row r="6" spans="1:8" ht="3" customHeight="1" x14ac:dyDescent="0.3">
      <c r="A6" s="15"/>
      <c r="B6" s="6"/>
      <c r="C6" s="91"/>
    </row>
    <row r="7" spans="1:8" x14ac:dyDescent="0.3">
      <c r="A7" s="4" t="s">
        <v>29</v>
      </c>
      <c r="B7" s="96">
        <v>74452</v>
      </c>
      <c r="C7" s="97">
        <v>83492</v>
      </c>
      <c r="D7" s="7">
        <f>C7*(1+D8)</f>
        <v>91841.200000000012</v>
      </c>
      <c r="E7" s="7">
        <f>D7*(1+E8)</f>
        <v>101025.32000000002</v>
      </c>
      <c r="F7" s="7">
        <f>E7*(1+F8)</f>
        <v>111127.85200000003</v>
      </c>
      <c r="G7" s="7">
        <f>F7*(1+G8)</f>
        <v>122240.63720000004</v>
      </c>
      <c r="H7" s="7">
        <f>G7*(1+H8)</f>
        <v>134464.70092000006</v>
      </c>
    </row>
    <row r="8" spans="1:8" x14ac:dyDescent="0.3">
      <c r="A8" s="2" t="s">
        <v>0</v>
      </c>
      <c r="B8" s="13" t="s">
        <v>43</v>
      </c>
      <c r="C8" s="90">
        <f>C7/B7-1</f>
        <v>0.12142051254499542</v>
      </c>
      <c r="D8" s="101">
        <v>0.1</v>
      </c>
      <c r="E8" s="101">
        <v>0.1</v>
      </c>
      <c r="F8" s="101">
        <v>0.1</v>
      </c>
      <c r="G8" s="101">
        <v>0.1</v>
      </c>
      <c r="H8" s="101">
        <v>0.1</v>
      </c>
    </row>
    <row r="9" spans="1:8" ht="3" customHeight="1" x14ac:dyDescent="0.3">
      <c r="B9" s="12"/>
      <c r="C9" s="88"/>
    </row>
    <row r="10" spans="1:8" x14ac:dyDescent="0.3">
      <c r="A10" s="4" t="s">
        <v>32</v>
      </c>
      <c r="B10" s="96">
        <v>64440</v>
      </c>
      <c r="C10" s="97">
        <v>72524</v>
      </c>
      <c r="D10" s="7">
        <f>D7*D11</f>
        <v>79633.585805619732</v>
      </c>
      <c r="E10" s="7">
        <f>E7*E11</f>
        <v>87596.944386181713</v>
      </c>
      <c r="F10" s="7">
        <f>F7*F11</f>
        <v>96356.638824799884</v>
      </c>
      <c r="G10" s="7">
        <f>G7*G11</f>
        <v>105992.30270727989</v>
      </c>
      <c r="H10" s="7">
        <f>H7*H11</f>
        <v>116591.53297800789</v>
      </c>
    </row>
    <row r="11" spans="1:8" x14ac:dyDescent="0.3">
      <c r="A11" s="2" t="s">
        <v>1</v>
      </c>
      <c r="B11" s="14">
        <f>B10/B7</f>
        <v>0.86552409606189218</v>
      </c>
      <c r="C11" s="90">
        <f>C10/C7</f>
        <v>0.86863412063431222</v>
      </c>
      <c r="D11" s="20">
        <f>AVERAGE($B$11:$C$11)</f>
        <v>0.8670791083481022</v>
      </c>
      <c r="E11" s="20">
        <f>AVERAGE($B$11:$C$11)</f>
        <v>0.8670791083481022</v>
      </c>
      <c r="F11" s="20">
        <f>AVERAGE($B$11:$C$11)</f>
        <v>0.8670791083481022</v>
      </c>
      <c r="G11" s="20">
        <f>AVERAGE($B$11:$C$11)</f>
        <v>0.8670791083481022</v>
      </c>
      <c r="H11" s="20">
        <f>AVERAGE($B$11:$C$11)</f>
        <v>0.8670791083481022</v>
      </c>
    </row>
    <row r="12" spans="1:8" ht="3" customHeight="1" x14ac:dyDescent="0.3">
      <c r="B12" s="12"/>
      <c r="C12" s="88"/>
    </row>
    <row r="13" spans="1:8" x14ac:dyDescent="0.3">
      <c r="A13" s="4" t="s">
        <v>2</v>
      </c>
      <c r="B13" s="9">
        <f t="shared" ref="B13:H13" si="0">B7-B10</f>
        <v>10012</v>
      </c>
      <c r="C13" s="82">
        <f t="shared" si="0"/>
        <v>10968</v>
      </c>
      <c r="D13" s="9">
        <f t="shared" si="0"/>
        <v>12207.61419438028</v>
      </c>
      <c r="E13" s="9">
        <f t="shared" si="0"/>
        <v>13428.375613818309</v>
      </c>
      <c r="F13" s="9">
        <f t="shared" si="0"/>
        <v>14771.213175200144</v>
      </c>
      <c r="G13" s="9">
        <f t="shared" si="0"/>
        <v>16248.334492720154</v>
      </c>
      <c r="H13" s="9">
        <f t="shared" si="0"/>
        <v>17873.167941992171</v>
      </c>
    </row>
    <row r="14" spans="1:8" x14ac:dyDescent="0.3">
      <c r="A14" s="2" t="s">
        <v>1</v>
      </c>
      <c r="B14" s="14">
        <f t="shared" ref="B14:H14" si="1">B13/B7</f>
        <v>0.13447590393810777</v>
      </c>
      <c r="C14" s="90">
        <f t="shared" si="1"/>
        <v>0.13136587936568772</v>
      </c>
      <c r="D14" s="14">
        <f t="shared" si="1"/>
        <v>0.13292089165189783</v>
      </c>
      <c r="E14" s="14">
        <f t="shared" si="1"/>
        <v>0.13292089165189783</v>
      </c>
      <c r="F14" s="14">
        <f t="shared" si="1"/>
        <v>0.13292089165189785</v>
      </c>
      <c r="G14" s="14">
        <f t="shared" si="1"/>
        <v>0.1329208916518978</v>
      </c>
      <c r="H14" s="14">
        <f t="shared" si="1"/>
        <v>0.1329208916518978</v>
      </c>
    </row>
    <row r="15" spans="1:8" ht="3" customHeight="1" x14ac:dyDescent="0.3">
      <c r="B15" s="12"/>
      <c r="C15" s="88"/>
    </row>
    <row r="16" spans="1:8" x14ac:dyDescent="0.3">
      <c r="A16" s="4" t="s">
        <v>102</v>
      </c>
      <c r="B16" s="96">
        <v>6389</v>
      </c>
      <c r="C16" s="97">
        <v>6545</v>
      </c>
      <c r="D16" s="9">
        <f>D7*D17</f>
        <v>7540.3656100574881</v>
      </c>
      <c r="E16" s="9">
        <f>E7*E17</f>
        <v>8294.4021710632369</v>
      </c>
      <c r="F16" s="9">
        <f>F7*F17</f>
        <v>9123.8423881695617</v>
      </c>
      <c r="G16" s="9">
        <f>G7*G17</f>
        <v>10036.226626986519</v>
      </c>
      <c r="H16" s="9">
        <f>H7*H17</f>
        <v>11039.849289685171</v>
      </c>
    </row>
    <row r="17" spans="1:8" x14ac:dyDescent="0.3">
      <c r="A17" s="2" t="s">
        <v>1</v>
      </c>
      <c r="B17" s="14">
        <f>B16/B7</f>
        <v>8.5813678611722996E-2</v>
      </c>
      <c r="C17" s="90">
        <f>C16/C7</f>
        <v>7.8390744023379491E-2</v>
      </c>
      <c r="D17" s="20">
        <f>AVERAGE($B$17:$C$17)</f>
        <v>8.2102211317551244E-2</v>
      </c>
      <c r="E17" s="20">
        <f>AVERAGE($B$17:$C$17)</f>
        <v>8.2102211317551244E-2</v>
      </c>
      <c r="F17" s="20">
        <f>AVERAGE($B$17:$C$17)</f>
        <v>8.2102211317551244E-2</v>
      </c>
      <c r="G17" s="20">
        <f>AVERAGE($B$17:$C$17)</f>
        <v>8.2102211317551244E-2</v>
      </c>
      <c r="H17" s="20">
        <f>AVERAGE($B$17:$C$17)</f>
        <v>8.2102211317551244E-2</v>
      </c>
    </row>
    <row r="18" spans="1:8" ht="3" customHeight="1" x14ac:dyDescent="0.3">
      <c r="B18" s="12"/>
      <c r="C18" s="88"/>
    </row>
    <row r="19" spans="1:8" x14ac:dyDescent="0.3">
      <c r="A19" s="4" t="s">
        <v>30</v>
      </c>
      <c r="B19" s="9">
        <f t="shared" ref="B19:H19" si="2">B13-B16</f>
        <v>3623</v>
      </c>
      <c r="C19" s="82">
        <f t="shared" si="2"/>
        <v>4423</v>
      </c>
      <c r="D19" s="9">
        <f t="shared" si="2"/>
        <v>4667.2485843227914</v>
      </c>
      <c r="E19" s="9">
        <f t="shared" si="2"/>
        <v>5133.973442755072</v>
      </c>
      <c r="F19" s="9">
        <f t="shared" si="2"/>
        <v>5647.3707870305825</v>
      </c>
      <c r="G19" s="9">
        <f t="shared" si="2"/>
        <v>6212.1078657336348</v>
      </c>
      <c r="H19" s="9">
        <f t="shared" si="2"/>
        <v>6833.3186523069999</v>
      </c>
    </row>
    <row r="20" spans="1:8" ht="3" customHeight="1" x14ac:dyDescent="0.3">
      <c r="B20" s="12"/>
      <c r="C20" s="88"/>
    </row>
    <row r="21" spans="1:8" x14ac:dyDescent="0.3">
      <c r="A21" s="4" t="s">
        <v>3</v>
      </c>
      <c r="B21" s="96">
        <v>1600</v>
      </c>
      <c r="C21" s="97">
        <v>1600</v>
      </c>
      <c r="D21" s="7">
        <f ca="1">D128</f>
        <v>800</v>
      </c>
      <c r="E21" s="7">
        <f ca="1">E128</f>
        <v>800</v>
      </c>
      <c r="F21" s="7">
        <f ca="1">F128</f>
        <v>800</v>
      </c>
      <c r="G21" s="7">
        <f ca="1">G128</f>
        <v>800</v>
      </c>
      <c r="H21" s="7">
        <f ca="1">H128</f>
        <v>800</v>
      </c>
    </row>
    <row r="22" spans="1:8" ht="3" customHeight="1" x14ac:dyDescent="0.3">
      <c r="B22" s="12"/>
      <c r="C22" s="88"/>
    </row>
    <row r="23" spans="1:8" x14ac:dyDescent="0.3">
      <c r="A23" s="4" t="s">
        <v>4</v>
      </c>
      <c r="B23" s="9">
        <f t="shared" ref="B23:H23" si="3">B19-B21</f>
        <v>2023</v>
      </c>
      <c r="C23" s="82">
        <f t="shared" si="3"/>
        <v>2823</v>
      </c>
      <c r="D23" s="9">
        <f t="shared" ca="1" si="3"/>
        <v>3867.2485843227914</v>
      </c>
      <c r="E23" s="9">
        <f t="shared" ca="1" si="3"/>
        <v>4333.973442755072</v>
      </c>
      <c r="F23" s="9">
        <f t="shared" ca="1" si="3"/>
        <v>4847.3707870305825</v>
      </c>
      <c r="G23" s="9">
        <f t="shared" ca="1" si="3"/>
        <v>5412.1078657336348</v>
      </c>
      <c r="H23" s="9">
        <f t="shared" ca="1" si="3"/>
        <v>6033.3186523069999</v>
      </c>
    </row>
    <row r="24" spans="1:8" ht="3" customHeight="1" x14ac:dyDescent="0.3">
      <c r="B24" s="12"/>
      <c r="C24" s="88"/>
    </row>
    <row r="25" spans="1:8" x14ac:dyDescent="0.3">
      <c r="A25" t="s">
        <v>5</v>
      </c>
      <c r="B25" s="96">
        <v>708.05</v>
      </c>
      <c r="C25" s="97">
        <v>988.05</v>
      </c>
      <c r="D25" s="9">
        <f ca="1">D23*D26</f>
        <v>1353.5370045129769</v>
      </c>
      <c r="E25" s="9">
        <f ca="1">E23*E26</f>
        <v>1516.8907049642751</v>
      </c>
      <c r="F25" s="9">
        <f ca="1">F23*F26</f>
        <v>1696.5797754607038</v>
      </c>
      <c r="G25" s="9">
        <f ca="1">G23*G26</f>
        <v>1894.237753006772</v>
      </c>
      <c r="H25" s="9">
        <f ca="1">H23*H26</f>
        <v>2111.6615283074498</v>
      </c>
    </row>
    <row r="26" spans="1:8" x14ac:dyDescent="0.3">
      <c r="A26" t="s">
        <v>6</v>
      </c>
      <c r="B26" s="13" t="s">
        <v>44</v>
      </c>
      <c r="C26" s="89" t="s">
        <v>44</v>
      </c>
      <c r="D26" s="101">
        <v>0.35</v>
      </c>
      <c r="E26" s="101">
        <v>0.35</v>
      </c>
      <c r="F26" s="101">
        <v>0.35</v>
      </c>
      <c r="G26" s="101">
        <v>0.35</v>
      </c>
      <c r="H26" s="101">
        <v>0.35</v>
      </c>
    </row>
    <row r="27" spans="1:8" ht="3" customHeight="1" x14ac:dyDescent="0.3">
      <c r="B27" s="12"/>
      <c r="C27" s="88"/>
    </row>
    <row r="28" spans="1:8" x14ac:dyDescent="0.3">
      <c r="A28" s="4" t="s">
        <v>7</v>
      </c>
      <c r="B28" s="9">
        <f t="shared" ref="B28:H28" si="4">B23-B25</f>
        <v>1314.95</v>
      </c>
      <c r="C28" s="82">
        <f t="shared" si="4"/>
        <v>1834.95</v>
      </c>
      <c r="D28" s="9">
        <f t="shared" ca="1" si="4"/>
        <v>2513.7115798098148</v>
      </c>
      <c r="E28" s="9">
        <f t="shared" ca="1" si="4"/>
        <v>2817.0827377907972</v>
      </c>
      <c r="F28" s="9">
        <f t="shared" ca="1" si="4"/>
        <v>3150.7910115698787</v>
      </c>
      <c r="G28" s="9">
        <f t="shared" ca="1" si="4"/>
        <v>3517.8701127268628</v>
      </c>
      <c r="H28" s="9">
        <f t="shared" ca="1" si="4"/>
        <v>3921.6571239995501</v>
      </c>
    </row>
    <row r="29" spans="1:8" ht="3" customHeight="1" x14ac:dyDescent="0.3">
      <c r="B29" s="12"/>
      <c r="C29" s="88"/>
    </row>
    <row r="30" spans="1:8" ht="11.25" customHeight="1" x14ac:dyDescent="0.3">
      <c r="A30" s="74" t="s">
        <v>30</v>
      </c>
      <c r="B30" s="72">
        <f t="shared" ref="B30:H30" si="5">B19</f>
        <v>3623</v>
      </c>
      <c r="C30" s="71">
        <f t="shared" si="5"/>
        <v>4423</v>
      </c>
      <c r="D30" s="70">
        <f t="shared" si="5"/>
        <v>4667.2485843227914</v>
      </c>
      <c r="E30" s="70">
        <f t="shared" si="5"/>
        <v>5133.973442755072</v>
      </c>
      <c r="F30" s="70">
        <f t="shared" si="5"/>
        <v>5647.3707870305825</v>
      </c>
      <c r="G30" s="70">
        <f t="shared" si="5"/>
        <v>6212.1078657336348</v>
      </c>
      <c r="H30" s="70">
        <f t="shared" si="5"/>
        <v>6833.3186523069999</v>
      </c>
    </row>
    <row r="31" spans="1:8" x14ac:dyDescent="0.3">
      <c r="A31" s="74" t="s">
        <v>70</v>
      </c>
      <c r="B31" s="98">
        <v>662</v>
      </c>
      <c r="C31" s="99">
        <v>745.25</v>
      </c>
      <c r="D31" s="70">
        <f>D135</f>
        <v>818.19670861763291</v>
      </c>
      <c r="E31" s="70">
        <f>E135</f>
        <v>900.01637947939628</v>
      </c>
      <c r="F31" s="70">
        <f>F135</f>
        <v>990.01801742733585</v>
      </c>
      <c r="G31" s="70">
        <f>G135</f>
        <v>1089.0198191700697</v>
      </c>
      <c r="H31" s="70">
        <f>H135</f>
        <v>1197.9218010870766</v>
      </c>
    </row>
    <row r="32" spans="1:8" x14ac:dyDescent="0.3">
      <c r="A32" s="74" t="s">
        <v>71</v>
      </c>
      <c r="B32" s="98">
        <v>0</v>
      </c>
      <c r="C32" s="99">
        <v>0</v>
      </c>
      <c r="D32" s="70">
        <f>C32</f>
        <v>0</v>
      </c>
      <c r="E32" s="70">
        <f>D32</f>
        <v>0</v>
      </c>
      <c r="F32" s="70">
        <f>E32</f>
        <v>0</v>
      </c>
      <c r="G32" s="70">
        <f>F32</f>
        <v>0</v>
      </c>
      <c r="H32" s="70">
        <f>G32</f>
        <v>0</v>
      </c>
    </row>
    <row r="33" spans="1:10" x14ac:dyDescent="0.3">
      <c r="A33" s="87" t="s">
        <v>8</v>
      </c>
      <c r="B33" s="85">
        <f t="shared" ref="B33:H33" si="6">SUM(B30:B32)</f>
        <v>4285</v>
      </c>
      <c r="C33" s="86">
        <f t="shared" si="6"/>
        <v>5168.25</v>
      </c>
      <c r="D33" s="85">
        <f t="shared" si="6"/>
        <v>5485.4452929404242</v>
      </c>
      <c r="E33" s="85">
        <f t="shared" si="6"/>
        <v>6033.9898222344682</v>
      </c>
      <c r="F33" s="85">
        <f t="shared" si="6"/>
        <v>6637.388804457918</v>
      </c>
      <c r="G33" s="85">
        <f t="shared" si="6"/>
        <v>7301.127684903704</v>
      </c>
      <c r="H33" s="85">
        <f t="shared" si="6"/>
        <v>8031.2404533940762</v>
      </c>
      <c r="J33" s="84"/>
    </row>
    <row r="34" spans="1:10" ht="3" customHeight="1" x14ac:dyDescent="0.3">
      <c r="C34" s="69"/>
    </row>
    <row r="35" spans="1:10" x14ac:dyDescent="0.3">
      <c r="A35" s="52" t="s">
        <v>48</v>
      </c>
      <c r="B35" s="53" t="str">
        <f t="shared" ref="B35:H35" si="7">B5</f>
        <v>20X1</v>
      </c>
      <c r="C35" s="53" t="str">
        <f t="shared" si="7"/>
        <v>20X2</v>
      </c>
      <c r="D35" s="53" t="str">
        <f t="shared" si="7"/>
        <v>20X3</v>
      </c>
      <c r="E35" s="53" t="str">
        <f t="shared" si="7"/>
        <v>20X4</v>
      </c>
      <c r="F35" s="53" t="str">
        <f t="shared" si="7"/>
        <v>20X5</v>
      </c>
      <c r="G35" s="53" t="str">
        <f t="shared" si="7"/>
        <v>20X6</v>
      </c>
      <c r="H35" s="53" t="str">
        <f t="shared" si="7"/>
        <v>20X7</v>
      </c>
    </row>
    <row r="36" spans="1:10" ht="3" customHeight="1" x14ac:dyDescent="0.3">
      <c r="C36" s="69"/>
    </row>
    <row r="37" spans="1:10" x14ac:dyDescent="0.3">
      <c r="A37" s="5" t="s">
        <v>9</v>
      </c>
      <c r="B37" s="11"/>
      <c r="C37" s="78"/>
    </row>
    <row r="38" spans="1:10" x14ac:dyDescent="0.3">
      <c r="A38" s="19" t="s">
        <v>10</v>
      </c>
      <c r="B38" s="98">
        <v>6773</v>
      </c>
      <c r="C38" s="99">
        <v>7000</v>
      </c>
      <c r="D38" s="8">
        <f ca="1">D100</f>
        <v>8738.5864070966491</v>
      </c>
      <c r="E38" s="8">
        <f ca="1">E100</f>
        <v>10621.75333623376</v>
      </c>
      <c r="F38" s="8">
        <f ca="1">F100</f>
        <v>12767.736958284586</v>
      </c>
      <c r="G38" s="8">
        <f ca="1">G100</f>
        <v>15210.318942540489</v>
      </c>
      <c r="H38" s="8">
        <f ca="1">H100</f>
        <v>17986.659125221984</v>
      </c>
      <c r="J38" s="8"/>
    </row>
    <row r="39" spans="1:10" x14ac:dyDescent="0.3">
      <c r="A39" s="19" t="s">
        <v>11</v>
      </c>
      <c r="B39" s="98">
        <v>7750</v>
      </c>
      <c r="C39" s="99">
        <v>8852</v>
      </c>
      <c r="D39" s="10">
        <f>D7/365*D69</f>
        <v>9648.654934723043</v>
      </c>
      <c r="E39" s="10">
        <f>E7/365*E69</f>
        <v>10613.520428195348</v>
      </c>
      <c r="F39" s="10">
        <f>F7/365*F69</f>
        <v>11674.872471014884</v>
      </c>
      <c r="G39" s="10">
        <f>G7/365*G69</f>
        <v>12842.359718116375</v>
      </c>
      <c r="H39" s="10">
        <f>H7/365*H69</f>
        <v>14126.595689928014</v>
      </c>
      <c r="J39" s="8"/>
    </row>
    <row r="40" spans="1:10" x14ac:dyDescent="0.3">
      <c r="A40" s="19" t="s">
        <v>12</v>
      </c>
      <c r="B40" s="98">
        <v>4800</v>
      </c>
      <c r="C40" s="99">
        <v>5700</v>
      </c>
      <c r="D40" s="10">
        <f>D10/365*D70</f>
        <v>6095.2569001378552</v>
      </c>
      <c r="E40" s="10">
        <f>E10/365*E70</f>
        <v>6704.7825901516408</v>
      </c>
      <c r="F40" s="10">
        <f>F10/365*F70</f>
        <v>7375.2608491668052</v>
      </c>
      <c r="G40" s="10">
        <f>G10/365*G70</f>
        <v>8112.7869340834859</v>
      </c>
      <c r="H40" s="10">
        <f>H10/365*H70</f>
        <v>8924.0656274918365</v>
      </c>
      <c r="J40" s="8"/>
    </row>
    <row r="41" spans="1:10" x14ac:dyDescent="0.3">
      <c r="A41" s="28" t="s">
        <v>35</v>
      </c>
      <c r="B41" s="98">
        <v>456</v>
      </c>
      <c r="C41" s="99">
        <v>1849</v>
      </c>
      <c r="D41" s="8">
        <f>C41</f>
        <v>1849</v>
      </c>
      <c r="E41" s="8">
        <f>D41</f>
        <v>1849</v>
      </c>
      <c r="F41" s="8">
        <f>E41</f>
        <v>1849</v>
      </c>
      <c r="G41" s="8">
        <f>F41</f>
        <v>1849</v>
      </c>
      <c r="H41" s="8">
        <f>G41</f>
        <v>1849</v>
      </c>
      <c r="J41" s="8"/>
    </row>
    <row r="42" spans="1:10" x14ac:dyDescent="0.3">
      <c r="A42" s="17" t="s">
        <v>13</v>
      </c>
      <c r="B42" s="16">
        <f t="shared" ref="B42:H42" si="8">SUM(B38:B41)</f>
        <v>19779</v>
      </c>
      <c r="C42" s="83">
        <f t="shared" si="8"/>
        <v>23401</v>
      </c>
      <c r="D42" s="16">
        <f t="shared" ca="1" si="8"/>
        <v>26331.498241957546</v>
      </c>
      <c r="E42" s="16">
        <f t="shared" ca="1" si="8"/>
        <v>29789.056354580749</v>
      </c>
      <c r="F42" s="16">
        <f t="shared" ca="1" si="8"/>
        <v>33666.870278466275</v>
      </c>
      <c r="G42" s="16">
        <f t="shared" ca="1" si="8"/>
        <v>38014.465594740352</v>
      </c>
      <c r="H42" s="16">
        <f t="shared" ca="1" si="8"/>
        <v>42886.320442641838</v>
      </c>
      <c r="J42" s="8"/>
    </row>
    <row r="43" spans="1:10" ht="3" customHeight="1" x14ac:dyDescent="0.3">
      <c r="A43" s="1"/>
      <c r="B43" s="11"/>
      <c r="C43" s="78"/>
      <c r="J43" s="8"/>
    </row>
    <row r="44" spans="1:10" x14ac:dyDescent="0.3">
      <c r="A44" s="5" t="s">
        <v>34</v>
      </c>
      <c r="B44" s="11"/>
      <c r="C44" s="78"/>
      <c r="J44" s="8"/>
    </row>
    <row r="45" spans="1:10" x14ac:dyDescent="0.3">
      <c r="A45" s="19" t="s">
        <v>46</v>
      </c>
      <c r="B45" s="98">
        <v>5456.5</v>
      </c>
      <c r="C45" s="99">
        <v>5466</v>
      </c>
      <c r="D45" s="8">
        <f>D138</f>
        <v>5547.8032913823672</v>
      </c>
      <c r="E45" s="8">
        <f>E138</f>
        <v>5622.786911902971</v>
      </c>
      <c r="F45" s="8">
        <f>F138</f>
        <v>5682.7688944756355</v>
      </c>
      <c r="G45" s="8">
        <f>G138</f>
        <v>5718.7490753055663</v>
      </c>
      <c r="H45" s="8">
        <f>H138</f>
        <v>5720.8272742184899</v>
      </c>
      <c r="J45" s="8"/>
    </row>
    <row r="46" spans="1:10" ht="3" customHeight="1" x14ac:dyDescent="0.3">
      <c r="B46" s="11"/>
      <c r="C46" s="78"/>
      <c r="J46" s="8"/>
    </row>
    <row r="47" spans="1:10" x14ac:dyDescent="0.3">
      <c r="A47" s="18" t="s">
        <v>14</v>
      </c>
      <c r="B47" s="16">
        <f t="shared" ref="B47:H47" si="9">B42+B45</f>
        <v>25235.5</v>
      </c>
      <c r="C47" s="83">
        <f t="shared" si="9"/>
        <v>28867</v>
      </c>
      <c r="D47" s="16">
        <f t="shared" ca="1" si="9"/>
        <v>31879.301533339913</v>
      </c>
      <c r="E47" s="16">
        <f t="shared" ca="1" si="9"/>
        <v>35411.843266483716</v>
      </c>
      <c r="F47" s="16">
        <f t="shared" ca="1" si="9"/>
        <v>39349.639172941912</v>
      </c>
      <c r="G47" s="16">
        <f t="shared" ca="1" si="9"/>
        <v>43733.21467004592</v>
      </c>
      <c r="H47" s="16">
        <f t="shared" ca="1" si="9"/>
        <v>48607.147716860331</v>
      </c>
      <c r="J47" s="8"/>
    </row>
    <row r="48" spans="1:10" ht="3" customHeight="1" x14ac:dyDescent="0.3">
      <c r="B48" s="11"/>
      <c r="C48" s="78"/>
      <c r="J48" s="8"/>
    </row>
    <row r="49" spans="1:10" x14ac:dyDescent="0.3">
      <c r="A49" s="5" t="s">
        <v>15</v>
      </c>
      <c r="B49" s="11"/>
      <c r="C49" s="78"/>
      <c r="J49" s="8"/>
    </row>
    <row r="50" spans="1:10" x14ac:dyDescent="0.3">
      <c r="A50" s="19" t="s">
        <v>31</v>
      </c>
      <c r="B50" s="98">
        <v>5665</v>
      </c>
      <c r="C50" s="99">
        <v>6656</v>
      </c>
      <c r="D50" s="10">
        <f>D10/365*D71</f>
        <v>7154.5899535301005</v>
      </c>
      <c r="E50" s="10">
        <f>E10/365*E71</f>
        <v>7870.0489488831099</v>
      </c>
      <c r="F50" s="10">
        <f>F10/365*F71</f>
        <v>8657.0538437714222</v>
      </c>
      <c r="G50" s="10">
        <f>G10/365*G71</f>
        <v>9522.7592281485649</v>
      </c>
      <c r="H50" s="10">
        <f>H10/365*H71</f>
        <v>10475.035150963424</v>
      </c>
      <c r="J50" s="8"/>
    </row>
    <row r="51" spans="1:10" x14ac:dyDescent="0.3">
      <c r="A51" s="19" t="s">
        <v>45</v>
      </c>
      <c r="B51" s="98">
        <v>0</v>
      </c>
      <c r="C51" s="99">
        <v>0</v>
      </c>
      <c r="D51" s="8">
        <f ca="1">D113</f>
        <v>0</v>
      </c>
      <c r="E51" s="8">
        <f ca="1">E113</f>
        <v>0</v>
      </c>
      <c r="F51" s="8">
        <f ca="1">F113</f>
        <v>0</v>
      </c>
      <c r="G51" s="8">
        <f ca="1">G113</f>
        <v>0</v>
      </c>
      <c r="H51" s="8">
        <f ca="1">H113</f>
        <v>0</v>
      </c>
      <c r="J51" s="8"/>
    </row>
    <row r="52" spans="1:10" x14ac:dyDescent="0.3">
      <c r="A52" s="28" t="s">
        <v>36</v>
      </c>
      <c r="B52" s="98">
        <v>0</v>
      </c>
      <c r="C52" s="99">
        <v>0</v>
      </c>
      <c r="D52" s="8">
        <f>D118</f>
        <v>0</v>
      </c>
      <c r="E52" s="8">
        <f>E118</f>
        <v>0</v>
      </c>
      <c r="F52" s="8">
        <f>F118</f>
        <v>0</v>
      </c>
      <c r="G52" s="8">
        <f>G118</f>
        <v>0</v>
      </c>
      <c r="H52" s="8">
        <f>H118</f>
        <v>0</v>
      </c>
      <c r="J52" s="8"/>
    </row>
    <row r="53" spans="1:10" x14ac:dyDescent="0.3">
      <c r="A53" s="17" t="s">
        <v>33</v>
      </c>
      <c r="B53" s="16">
        <f t="shared" ref="B53:H53" si="10">SUM(B50:B52)</f>
        <v>5665</v>
      </c>
      <c r="C53" s="83">
        <f t="shared" si="10"/>
        <v>6656</v>
      </c>
      <c r="D53" s="16">
        <f t="shared" ca="1" si="10"/>
        <v>7154.5899535301005</v>
      </c>
      <c r="E53" s="16">
        <f t="shared" ca="1" si="10"/>
        <v>7870.0489488831099</v>
      </c>
      <c r="F53" s="16">
        <f t="shared" ca="1" si="10"/>
        <v>8657.0538437714222</v>
      </c>
      <c r="G53" s="16">
        <f t="shared" ca="1" si="10"/>
        <v>9522.7592281485649</v>
      </c>
      <c r="H53" s="16">
        <f t="shared" ca="1" si="10"/>
        <v>10475.035150963424</v>
      </c>
      <c r="J53" s="8"/>
    </row>
    <row r="54" spans="1:10" ht="3" customHeight="1" x14ac:dyDescent="0.3">
      <c r="A54" s="1"/>
      <c r="B54" s="11"/>
      <c r="C54" s="78"/>
      <c r="J54" s="8"/>
    </row>
    <row r="55" spans="1:10" x14ac:dyDescent="0.3">
      <c r="A55" s="5" t="s">
        <v>16</v>
      </c>
      <c r="B55" s="11"/>
      <c r="C55" s="78"/>
      <c r="J55" s="8"/>
    </row>
    <row r="56" spans="1:10" x14ac:dyDescent="0.3">
      <c r="A56" s="19" t="s">
        <v>37</v>
      </c>
      <c r="B56" s="98">
        <v>10000</v>
      </c>
      <c r="C56" s="99">
        <v>10000</v>
      </c>
      <c r="D56" s="8">
        <f>D117</f>
        <v>10000</v>
      </c>
      <c r="E56" s="8">
        <f>E117</f>
        <v>10000</v>
      </c>
      <c r="F56" s="8">
        <f>F117</f>
        <v>10000</v>
      </c>
      <c r="G56" s="8">
        <f>G117</f>
        <v>10000</v>
      </c>
      <c r="H56" s="8">
        <f>H117</f>
        <v>10000</v>
      </c>
      <c r="J56" s="8"/>
    </row>
    <row r="57" spans="1:10" ht="3" customHeight="1" x14ac:dyDescent="0.3">
      <c r="A57" s="1"/>
      <c r="B57" s="11"/>
      <c r="C57" s="78"/>
      <c r="J57" s="8"/>
    </row>
    <row r="58" spans="1:10" x14ac:dyDescent="0.3">
      <c r="A58" s="18" t="s">
        <v>17</v>
      </c>
      <c r="B58" s="16">
        <f t="shared" ref="B58:H58" si="11">B53+B56</f>
        <v>15665</v>
      </c>
      <c r="C58" s="83">
        <f t="shared" si="11"/>
        <v>16656</v>
      </c>
      <c r="D58" s="16">
        <f t="shared" ca="1" si="11"/>
        <v>17154.5899535301</v>
      </c>
      <c r="E58" s="16">
        <f t="shared" ca="1" si="11"/>
        <v>17870.048948883108</v>
      </c>
      <c r="F58" s="16">
        <f t="shared" ca="1" si="11"/>
        <v>18657.05384377142</v>
      </c>
      <c r="G58" s="16">
        <f t="shared" ca="1" si="11"/>
        <v>19522.759228148563</v>
      </c>
      <c r="H58" s="16">
        <f t="shared" ca="1" si="11"/>
        <v>20475.035150963424</v>
      </c>
      <c r="J58" s="8"/>
    </row>
    <row r="59" spans="1:10" ht="3" customHeight="1" x14ac:dyDescent="0.3">
      <c r="B59" s="11"/>
      <c r="C59" s="78"/>
      <c r="J59" s="8"/>
    </row>
    <row r="60" spans="1:10" x14ac:dyDescent="0.3">
      <c r="A60" s="1" t="s">
        <v>104</v>
      </c>
      <c r="B60" s="98">
        <v>15</v>
      </c>
      <c r="C60" s="99">
        <v>15</v>
      </c>
      <c r="D60" s="8">
        <f t="shared" ref="D60:H61" si="12">C60</f>
        <v>15</v>
      </c>
      <c r="E60" s="8">
        <f t="shared" si="12"/>
        <v>15</v>
      </c>
      <c r="F60" s="8">
        <f t="shared" si="12"/>
        <v>15</v>
      </c>
      <c r="G60" s="8">
        <f t="shared" si="12"/>
        <v>15</v>
      </c>
      <c r="H60" s="8">
        <f t="shared" si="12"/>
        <v>15</v>
      </c>
      <c r="J60" s="8"/>
    </row>
    <row r="61" spans="1:10" x14ac:dyDescent="0.3">
      <c r="A61" s="1" t="s">
        <v>105</v>
      </c>
      <c r="B61" s="98">
        <v>5000</v>
      </c>
      <c r="C61" s="99">
        <v>5000</v>
      </c>
      <c r="D61" s="8">
        <f t="shared" si="12"/>
        <v>5000</v>
      </c>
      <c r="E61" s="8">
        <f t="shared" si="12"/>
        <v>5000</v>
      </c>
      <c r="F61" s="8">
        <f t="shared" si="12"/>
        <v>5000</v>
      </c>
      <c r="G61" s="8">
        <f t="shared" si="12"/>
        <v>5000</v>
      </c>
      <c r="H61" s="8">
        <f t="shared" si="12"/>
        <v>5000</v>
      </c>
      <c r="J61" s="8"/>
    </row>
    <row r="62" spans="1:10" x14ac:dyDescent="0.3">
      <c r="A62" s="1" t="s">
        <v>103</v>
      </c>
      <c r="B62" s="98">
        <v>4555.5</v>
      </c>
      <c r="C62" s="99">
        <v>7196</v>
      </c>
      <c r="D62" s="8">
        <f ca="1">C62+D28</f>
        <v>9709.7115798098148</v>
      </c>
      <c r="E62" s="8">
        <f ca="1">D62+E28</f>
        <v>12526.794317600612</v>
      </c>
      <c r="F62" s="8">
        <f ca="1">E62+F28</f>
        <v>15677.585329170492</v>
      </c>
      <c r="G62" s="8">
        <f ca="1">F62+G28</f>
        <v>19195.455441897353</v>
      </c>
      <c r="H62" s="8">
        <f ca="1">G62+H28</f>
        <v>23117.112565896903</v>
      </c>
      <c r="J62" s="8"/>
    </row>
    <row r="63" spans="1:10" x14ac:dyDescent="0.3">
      <c r="A63" s="18" t="s">
        <v>18</v>
      </c>
      <c r="B63" s="16">
        <f t="shared" ref="B63:H63" si="13">SUM(B60:B62)</f>
        <v>9570.5</v>
      </c>
      <c r="C63" s="83">
        <f t="shared" si="13"/>
        <v>12211</v>
      </c>
      <c r="D63" s="16">
        <f t="shared" ca="1" si="13"/>
        <v>14724.711579809815</v>
      </c>
      <c r="E63" s="16">
        <f t="shared" ca="1" si="13"/>
        <v>17541.794317600612</v>
      </c>
      <c r="F63" s="16">
        <f t="shared" ca="1" si="13"/>
        <v>20692.585329170492</v>
      </c>
      <c r="G63" s="16">
        <f t="shared" ca="1" si="13"/>
        <v>24210.455441897353</v>
      </c>
      <c r="H63" s="16">
        <f t="shared" ca="1" si="13"/>
        <v>28132.112565896903</v>
      </c>
      <c r="J63" s="8"/>
    </row>
    <row r="64" spans="1:10" ht="3" customHeight="1" x14ac:dyDescent="0.3">
      <c r="B64" s="11"/>
      <c r="C64" s="78"/>
      <c r="J64" s="8"/>
    </row>
    <row r="65" spans="1:10" x14ac:dyDescent="0.3">
      <c r="A65" s="4" t="s">
        <v>19</v>
      </c>
      <c r="B65" s="9">
        <f t="shared" ref="B65:H65" si="14">B58+B63</f>
        <v>25235.5</v>
      </c>
      <c r="C65" s="82">
        <f t="shared" si="14"/>
        <v>28867</v>
      </c>
      <c r="D65" s="9">
        <f t="shared" ca="1" si="14"/>
        <v>31879.301533339916</v>
      </c>
      <c r="E65" s="9">
        <f t="shared" ca="1" si="14"/>
        <v>35411.843266483716</v>
      </c>
      <c r="F65" s="9">
        <f t="shared" ca="1" si="14"/>
        <v>39349.639172941912</v>
      </c>
      <c r="G65" s="9">
        <f t="shared" ca="1" si="14"/>
        <v>43733.214670045912</v>
      </c>
      <c r="H65" s="9">
        <f t="shared" ca="1" si="14"/>
        <v>48607.147716860331</v>
      </c>
      <c r="J65" s="8"/>
    </row>
    <row r="66" spans="1:10" s="21" customFormat="1" x14ac:dyDescent="0.3">
      <c r="A66" s="81" t="s">
        <v>20</v>
      </c>
      <c r="B66" s="79">
        <f t="shared" ref="B66:H66" si="15">B47-B65</f>
        <v>0</v>
      </c>
      <c r="C66" s="80">
        <f>C47-C65</f>
        <v>0</v>
      </c>
      <c r="D66" s="79">
        <f ca="1">D47-D65</f>
        <v>0</v>
      </c>
      <c r="E66" s="79">
        <f ca="1">E47-E65</f>
        <v>0</v>
      </c>
      <c r="F66" s="79">
        <f ca="1">F47-F65</f>
        <v>0</v>
      </c>
      <c r="G66" s="79">
        <f ca="1">G47-G65</f>
        <v>0</v>
      </c>
      <c r="H66" s="79">
        <f t="shared" ca="1" si="15"/>
        <v>0</v>
      </c>
      <c r="J66" s="8"/>
    </row>
    <row r="67" spans="1:10" ht="3" customHeight="1" x14ac:dyDescent="0.3">
      <c r="B67" s="11"/>
      <c r="C67" s="78"/>
    </row>
    <row r="68" spans="1:10" x14ac:dyDescent="0.3">
      <c r="A68" s="77" t="s">
        <v>21</v>
      </c>
      <c r="B68" s="76"/>
      <c r="C68" s="75"/>
      <c r="D68" s="74"/>
      <c r="E68" s="74"/>
      <c r="F68" s="74"/>
      <c r="G68" s="74"/>
      <c r="H68" s="74"/>
    </row>
    <row r="69" spans="1:10" x14ac:dyDescent="0.3">
      <c r="A69" s="73" t="s">
        <v>22</v>
      </c>
      <c r="B69" s="72">
        <f>B39/(B7/365)</f>
        <v>37.994278192661042</v>
      </c>
      <c r="C69" s="71">
        <f>C39/(C7/365)</f>
        <v>38.69807885785464</v>
      </c>
      <c r="D69" s="70">
        <f>AVERAGE($B$69:$C$69)</f>
        <v>38.346178525257841</v>
      </c>
      <c r="E69" s="70">
        <f>AVERAGE($B$69:$C$69)</f>
        <v>38.346178525257841</v>
      </c>
      <c r="F69" s="70">
        <f>AVERAGE($B$69:$C$69)</f>
        <v>38.346178525257841</v>
      </c>
      <c r="G69" s="70">
        <f>AVERAGE($B$69:$C$69)</f>
        <v>38.346178525257841</v>
      </c>
      <c r="H69" s="70">
        <f>AVERAGE($B$69:$C$69)</f>
        <v>38.346178525257841</v>
      </c>
    </row>
    <row r="70" spans="1:10" x14ac:dyDescent="0.3">
      <c r="A70" s="73" t="s">
        <v>101</v>
      </c>
      <c r="B70" s="72">
        <f>B40/(B10/365)</f>
        <v>27.188081936685286</v>
      </c>
      <c r="C70" s="71">
        <f>C40/(C10/365)</f>
        <v>28.687055319618334</v>
      </c>
      <c r="D70" s="70">
        <f>AVERAGE($B$70:$C$70)</f>
        <v>27.937568628151809</v>
      </c>
      <c r="E70" s="70">
        <f>AVERAGE($B$70:$C$70)</f>
        <v>27.937568628151809</v>
      </c>
      <c r="F70" s="70">
        <f>AVERAGE($B$70:$C$70)</f>
        <v>27.937568628151809</v>
      </c>
      <c r="G70" s="70">
        <f>AVERAGE($B$70:$C$70)</f>
        <v>27.937568628151809</v>
      </c>
      <c r="H70" s="70">
        <f>AVERAGE($B$70:$C$70)</f>
        <v>27.937568628151809</v>
      </c>
    </row>
    <row r="71" spans="1:10" x14ac:dyDescent="0.3">
      <c r="A71" s="73" t="s">
        <v>23</v>
      </c>
      <c r="B71" s="72">
        <f>B50/(B10/365)</f>
        <v>32.087600869025451</v>
      </c>
      <c r="C71" s="71">
        <f>C50/(C10/365)</f>
        <v>33.498428106557832</v>
      </c>
      <c r="D71" s="70">
        <f>AVERAGE($B$71:$C$71)</f>
        <v>32.793014487791638</v>
      </c>
      <c r="E71" s="70">
        <f>AVERAGE($B$71:$C$71)</f>
        <v>32.793014487791638</v>
      </c>
      <c r="F71" s="70">
        <f>AVERAGE($B$71:$C$71)</f>
        <v>32.793014487791638</v>
      </c>
      <c r="G71" s="70">
        <f>AVERAGE($B$71:$C$71)</f>
        <v>32.793014487791638</v>
      </c>
      <c r="H71" s="70">
        <f>AVERAGE($B$71:$C$71)</f>
        <v>32.793014487791638</v>
      </c>
    </row>
    <row r="72" spans="1:10" ht="5.0999999999999996" customHeight="1" x14ac:dyDescent="0.3">
      <c r="C72" s="69"/>
    </row>
    <row r="73" spans="1:10" x14ac:dyDescent="0.3">
      <c r="A73" s="52" t="s">
        <v>49</v>
      </c>
      <c r="B73" s="53" t="str">
        <f t="shared" ref="B73:H73" si="16">B35</f>
        <v>20X1</v>
      </c>
      <c r="C73" s="53" t="str">
        <f t="shared" si="16"/>
        <v>20X2</v>
      </c>
      <c r="D73" s="53" t="str">
        <f t="shared" si="16"/>
        <v>20X3</v>
      </c>
      <c r="E73" s="53" t="str">
        <f t="shared" si="16"/>
        <v>20X4</v>
      </c>
      <c r="F73" s="53" t="str">
        <f t="shared" si="16"/>
        <v>20X5</v>
      </c>
      <c r="G73" s="53" t="str">
        <f t="shared" si="16"/>
        <v>20X6</v>
      </c>
      <c r="H73" s="53" t="str">
        <f t="shared" si="16"/>
        <v>20X7</v>
      </c>
    </row>
    <row r="74" spans="1:10" ht="3" customHeight="1" x14ac:dyDescent="0.3"/>
    <row r="75" spans="1:10" ht="11.25" customHeight="1" x14ac:dyDescent="0.3">
      <c r="A75" s="4" t="s">
        <v>38</v>
      </c>
    </row>
    <row r="76" spans="1:10" x14ac:dyDescent="0.3">
      <c r="A76" s="5" t="s">
        <v>7</v>
      </c>
      <c r="B76" s="8"/>
      <c r="C76" s="8"/>
      <c r="D76" s="8">
        <f ca="1">D28</f>
        <v>2513.7115798098148</v>
      </c>
      <c r="E76" s="8">
        <f ca="1">E28</f>
        <v>2817.0827377907972</v>
      </c>
      <c r="F76" s="8">
        <f ca="1">F28</f>
        <v>3150.7910115698787</v>
      </c>
      <c r="G76" s="8">
        <f ca="1">G28</f>
        <v>3517.8701127268628</v>
      </c>
      <c r="H76" s="8">
        <f ca="1">H28</f>
        <v>3921.6571239995501</v>
      </c>
    </row>
    <row r="77" spans="1:10" ht="3" customHeight="1" x14ac:dyDescent="0.3">
      <c r="A77" s="5"/>
      <c r="B77" s="8"/>
      <c r="C77" s="8"/>
      <c r="D77" s="8"/>
      <c r="E77" s="8"/>
      <c r="F77" s="8"/>
      <c r="G77" s="8"/>
      <c r="H77" s="8"/>
    </row>
    <row r="78" spans="1:10" x14ac:dyDescent="0.3">
      <c r="A78" s="25" t="s">
        <v>24</v>
      </c>
    </row>
    <row r="79" spans="1:10" x14ac:dyDescent="0.3">
      <c r="A79" s="19" t="s">
        <v>70</v>
      </c>
      <c r="B79" s="8"/>
      <c r="C79" s="8"/>
      <c r="D79" s="8">
        <f>D135</f>
        <v>818.19670861763291</v>
      </c>
      <c r="E79" s="8">
        <f>E135</f>
        <v>900.01637947939628</v>
      </c>
      <c r="F79" s="8">
        <f>F135</f>
        <v>990.01801742733585</v>
      </c>
      <c r="G79" s="8">
        <f>G135</f>
        <v>1089.0198191700697</v>
      </c>
      <c r="H79" s="8">
        <f>H135</f>
        <v>1197.9218010870766</v>
      </c>
    </row>
    <row r="80" spans="1:10" x14ac:dyDescent="0.3">
      <c r="A80" s="19" t="s">
        <v>71</v>
      </c>
      <c r="B80" s="8"/>
      <c r="C80" s="8"/>
      <c r="D80" s="8">
        <v>0</v>
      </c>
      <c r="E80" s="8">
        <v>0</v>
      </c>
      <c r="F80" s="8">
        <v>0</v>
      </c>
      <c r="G80" s="8">
        <v>0</v>
      </c>
      <c r="H80" s="8">
        <v>0</v>
      </c>
    </row>
    <row r="81" spans="1:8" ht="3" customHeight="1" x14ac:dyDescent="0.3"/>
    <row r="82" spans="1:8" x14ac:dyDescent="0.3">
      <c r="A82" s="25" t="s">
        <v>25</v>
      </c>
    </row>
    <row r="83" spans="1:8" x14ac:dyDescent="0.3">
      <c r="A83" s="19" t="s">
        <v>11</v>
      </c>
      <c r="D83" s="8">
        <f t="shared" ref="D83:H84" si="17">C39-D39</f>
        <v>-796.65493472304297</v>
      </c>
      <c r="E83" s="8">
        <f t="shared" si="17"/>
        <v>-964.86549347230539</v>
      </c>
      <c r="F83" s="8">
        <f t="shared" si="17"/>
        <v>-1061.3520428195352</v>
      </c>
      <c r="G83" s="8">
        <f t="shared" si="17"/>
        <v>-1167.4872471014914</v>
      </c>
      <c r="H83" s="8">
        <f t="shared" si="17"/>
        <v>-1284.2359718116386</v>
      </c>
    </row>
    <row r="84" spans="1:8" x14ac:dyDescent="0.3">
      <c r="A84" s="19" t="s">
        <v>12</v>
      </c>
      <c r="D84" s="8">
        <f t="shared" si="17"/>
        <v>-395.25690013785515</v>
      </c>
      <c r="E84" s="8">
        <f t="shared" si="17"/>
        <v>-609.52569001378561</v>
      </c>
      <c r="F84" s="8">
        <f t="shared" si="17"/>
        <v>-670.47825901516444</v>
      </c>
      <c r="G84" s="8">
        <f t="shared" si="17"/>
        <v>-737.5260849166807</v>
      </c>
      <c r="H84" s="8">
        <f t="shared" si="17"/>
        <v>-811.27869340835059</v>
      </c>
    </row>
    <row r="85" spans="1:8" x14ac:dyDescent="0.3">
      <c r="A85" s="19" t="s">
        <v>31</v>
      </c>
      <c r="B85" s="26"/>
      <c r="C85" s="26"/>
      <c r="D85" s="8">
        <f>D50-C50</f>
        <v>498.5899535301005</v>
      </c>
      <c r="E85" s="8">
        <f>E50-D50</f>
        <v>715.45899535300941</v>
      </c>
      <c r="F85" s="8">
        <f>F50-E50</f>
        <v>787.00489488831226</v>
      </c>
      <c r="G85" s="8">
        <f>G50-F50</f>
        <v>865.70538437714276</v>
      </c>
      <c r="H85" s="8">
        <f>H50-G50</f>
        <v>952.27592281485886</v>
      </c>
    </row>
    <row r="86" spans="1:8" ht="5.0999999999999996" customHeight="1" x14ac:dyDescent="0.3">
      <c r="A86" s="68"/>
      <c r="B86" s="27"/>
      <c r="C86" s="27"/>
      <c r="D86" s="33"/>
      <c r="E86" s="33"/>
      <c r="F86" s="33"/>
      <c r="G86" s="33"/>
      <c r="H86" s="33"/>
    </row>
    <row r="87" spans="1:8" x14ac:dyDescent="0.3">
      <c r="A87" s="67" t="s">
        <v>40</v>
      </c>
      <c r="B87" s="23"/>
      <c r="C87" s="23"/>
      <c r="D87" s="24">
        <f ca="1">D76+D79+D80+D83+D84+D85</f>
        <v>2638.58640709665</v>
      </c>
      <c r="E87" s="24">
        <f ca="1">E76+E79+E80+E83+E84+E85</f>
        <v>2858.1669291371118</v>
      </c>
      <c r="F87" s="24">
        <f ca="1">F76+F79+F80+F83+F84+F85</f>
        <v>3195.9836220508269</v>
      </c>
      <c r="G87" s="24">
        <f ca="1">G76+G79+G80+G83+G84+G85</f>
        <v>3567.5819842559031</v>
      </c>
      <c r="H87" s="24">
        <f ca="1">H76+H79+H80+H83+H84+H85</f>
        <v>3976.3401826814961</v>
      </c>
    </row>
    <row r="88" spans="1:8" ht="3" customHeight="1" x14ac:dyDescent="0.3"/>
    <row r="89" spans="1:8" x14ac:dyDescent="0.3">
      <c r="A89" s="4" t="s">
        <v>39</v>
      </c>
    </row>
    <row r="90" spans="1:8" x14ac:dyDescent="0.3">
      <c r="A90" s="19" t="s">
        <v>50</v>
      </c>
      <c r="D90" s="8">
        <f>-D133</f>
        <v>-900</v>
      </c>
      <c r="E90" s="8">
        <f>-E133</f>
        <v>-975</v>
      </c>
      <c r="F90" s="8">
        <f>-F133</f>
        <v>-1050</v>
      </c>
      <c r="G90" s="8">
        <f>-G133</f>
        <v>-1125</v>
      </c>
      <c r="H90" s="8">
        <f>-H133</f>
        <v>-1200</v>
      </c>
    </row>
    <row r="91" spans="1:8" x14ac:dyDescent="0.3">
      <c r="A91" s="67" t="s">
        <v>41</v>
      </c>
      <c r="B91" s="23"/>
      <c r="C91" s="23"/>
      <c r="D91" s="24">
        <f>D90</f>
        <v>-900</v>
      </c>
      <c r="E91" s="24">
        <f>E90</f>
        <v>-975</v>
      </c>
      <c r="F91" s="24">
        <f>F90</f>
        <v>-1050</v>
      </c>
      <c r="G91" s="24">
        <f>G90</f>
        <v>-1125</v>
      </c>
      <c r="H91" s="24">
        <f>H90</f>
        <v>-1200</v>
      </c>
    </row>
    <row r="92" spans="1:8" ht="3" customHeight="1" x14ac:dyDescent="0.3"/>
    <row r="93" spans="1:8" x14ac:dyDescent="0.3">
      <c r="A93" s="4" t="s">
        <v>42</v>
      </c>
    </row>
    <row r="94" spans="1:8" x14ac:dyDescent="0.3">
      <c r="A94" s="19" t="s">
        <v>110</v>
      </c>
      <c r="D94" s="8">
        <f ca="1">D113-C113</f>
        <v>0</v>
      </c>
      <c r="E94" s="8">
        <f ca="1">E113-D113</f>
        <v>0</v>
      </c>
      <c r="F94" s="8">
        <f ca="1">F113-E113</f>
        <v>0</v>
      </c>
      <c r="G94" s="8">
        <f ca="1">G113-F113</f>
        <v>0</v>
      </c>
      <c r="H94" s="8">
        <f ca="1">H113-G113</f>
        <v>0</v>
      </c>
    </row>
    <row r="95" spans="1:8" x14ac:dyDescent="0.3">
      <c r="A95" s="19" t="s">
        <v>51</v>
      </c>
      <c r="D95" s="8">
        <f>D117-C117</f>
        <v>0</v>
      </c>
      <c r="E95" s="8">
        <f>E117-D117</f>
        <v>0</v>
      </c>
      <c r="F95" s="8">
        <f>F117-E117</f>
        <v>0</v>
      </c>
      <c r="G95" s="8">
        <f>G117-F117</f>
        <v>0</v>
      </c>
      <c r="H95" s="8">
        <f>H117-G117</f>
        <v>0</v>
      </c>
    </row>
    <row r="96" spans="1:8" x14ac:dyDescent="0.3">
      <c r="A96" s="67" t="s">
        <v>109</v>
      </c>
      <c r="B96" s="23"/>
      <c r="C96" s="23"/>
      <c r="D96" s="24">
        <f ca="1">SUM(D94:D95)</f>
        <v>0</v>
      </c>
      <c r="E96" s="24">
        <f ca="1">SUM(E94:E95)</f>
        <v>0</v>
      </c>
      <c r="F96" s="24">
        <f ca="1">SUM(F94:F95)</f>
        <v>0</v>
      </c>
      <c r="G96" s="24">
        <f ca="1">SUM(G94:G95)</f>
        <v>0</v>
      </c>
      <c r="H96" s="24">
        <f ca="1">SUM(H94:H95)</f>
        <v>0</v>
      </c>
    </row>
    <row r="97" spans="1:8" ht="3" customHeight="1" x14ac:dyDescent="0.3"/>
    <row r="98" spans="1:8" x14ac:dyDescent="0.3">
      <c r="A98" t="s">
        <v>26</v>
      </c>
      <c r="D98" s="8">
        <f ca="1">D87+D91+D96</f>
        <v>1738.58640709665</v>
      </c>
      <c r="E98" s="8">
        <f ca="1">E87+E91+E96</f>
        <v>1883.1669291371118</v>
      </c>
      <c r="F98" s="8">
        <f ca="1">F87+F91+F96</f>
        <v>2145.9836220508269</v>
      </c>
      <c r="G98" s="8">
        <f ca="1">G87+G91+G96</f>
        <v>2442.5819842559031</v>
      </c>
      <c r="H98" s="8">
        <f ca="1">H87+H91+H96</f>
        <v>2776.3401826814961</v>
      </c>
    </row>
    <row r="99" spans="1:8" x14ac:dyDescent="0.3">
      <c r="A99" s="29" t="s">
        <v>27</v>
      </c>
      <c r="B99" s="29"/>
      <c r="C99" s="29"/>
      <c r="D99" s="30">
        <f>C38</f>
        <v>7000</v>
      </c>
      <c r="E99" s="30">
        <f ca="1">D38</f>
        <v>8738.5864070966491</v>
      </c>
      <c r="F99" s="30">
        <f ca="1">E38</f>
        <v>10621.75333623376</v>
      </c>
      <c r="G99" s="30">
        <f ca="1">F38</f>
        <v>12767.736958284586</v>
      </c>
      <c r="H99" s="30">
        <f ca="1">G38</f>
        <v>15210.318942540489</v>
      </c>
    </row>
    <row r="100" spans="1:8" ht="10.5" thickBot="1" x14ac:dyDescent="0.35">
      <c r="A100" s="31" t="s">
        <v>28</v>
      </c>
      <c r="B100" s="31"/>
      <c r="C100" s="31"/>
      <c r="D100" s="32">
        <f ca="1">D98+D99</f>
        <v>8738.5864070966491</v>
      </c>
      <c r="E100" s="32">
        <f ca="1">E98+E99</f>
        <v>10621.75333623376</v>
      </c>
      <c r="F100" s="32">
        <f ca="1">F98+F99</f>
        <v>12767.736958284586</v>
      </c>
      <c r="G100" s="32">
        <f ca="1">G98+G99</f>
        <v>15210.318942540489</v>
      </c>
      <c r="H100" s="32">
        <f ca="1">H98+H99</f>
        <v>17986.659125221984</v>
      </c>
    </row>
    <row r="102" spans="1:8" ht="20.25" x14ac:dyDescent="0.55000000000000004">
      <c r="A102" s="58" t="s">
        <v>75</v>
      </c>
      <c r="B102" s="57"/>
      <c r="C102" s="57"/>
      <c r="D102" s="57"/>
      <c r="E102" s="57"/>
      <c r="F102" s="57"/>
      <c r="G102" s="57"/>
      <c r="H102" s="57"/>
    </row>
    <row r="103" spans="1:8" ht="12.75" customHeight="1" x14ac:dyDescent="0.55000000000000004">
      <c r="A103" s="39" t="str">
        <f>A2</f>
        <v>Company Name</v>
      </c>
      <c r="B103" s="57"/>
      <c r="C103" s="57"/>
      <c r="D103" s="57"/>
      <c r="E103" s="57"/>
      <c r="F103" s="57"/>
      <c r="G103" s="57"/>
      <c r="H103" s="57"/>
    </row>
    <row r="104" spans="1:8" ht="12.75" customHeight="1" x14ac:dyDescent="0.55000000000000004">
      <c r="A104" s="38" t="s">
        <v>100</v>
      </c>
      <c r="B104" s="57"/>
      <c r="C104" s="57"/>
      <c r="D104" s="57"/>
      <c r="E104" s="57"/>
      <c r="F104" s="57"/>
      <c r="G104" s="57"/>
      <c r="H104" s="57"/>
    </row>
    <row r="105" spans="1:8" ht="5.0999999999999996" customHeight="1" x14ac:dyDescent="0.3"/>
    <row r="106" spans="1:8" x14ac:dyDescent="0.3">
      <c r="A106" s="52" t="s">
        <v>52</v>
      </c>
      <c r="B106" s="53" t="str">
        <f>IFS!B5</f>
        <v>20X1</v>
      </c>
      <c r="C106" s="53" t="str">
        <f>IFS!C5</f>
        <v>20X2</v>
      </c>
      <c r="D106" s="53" t="str">
        <f>IFS!D5</f>
        <v>20X3</v>
      </c>
      <c r="E106" s="53" t="str">
        <f>IFS!E5</f>
        <v>20X4</v>
      </c>
      <c r="F106" s="53" t="str">
        <f>IFS!F5</f>
        <v>20X5</v>
      </c>
      <c r="G106" s="53" t="str">
        <f>IFS!G5</f>
        <v>20X6</v>
      </c>
      <c r="H106" s="53" t="str">
        <f>IFS!H5</f>
        <v>20X7</v>
      </c>
    </row>
    <row r="107" spans="1:8" ht="5.0999999999999996" customHeight="1" x14ac:dyDescent="0.3">
      <c r="A107" s="15"/>
      <c r="B107" s="6"/>
      <c r="C107" s="6"/>
    </row>
    <row r="108" spans="1:8" x14ac:dyDescent="0.3">
      <c r="A108" s="66" t="s">
        <v>53</v>
      </c>
      <c r="B108" s="36"/>
      <c r="C108" s="36"/>
      <c r="D108" s="22">
        <f>C38</f>
        <v>7000</v>
      </c>
      <c r="E108" s="22">
        <f ca="1">D38</f>
        <v>8738.5864070966491</v>
      </c>
      <c r="F108" s="22">
        <f ca="1">E38</f>
        <v>10621.75333623376</v>
      </c>
      <c r="G108" s="22">
        <f ca="1">F38</f>
        <v>12767.736958284586</v>
      </c>
      <c r="H108" s="22">
        <f ca="1">G38</f>
        <v>15210.318942540489</v>
      </c>
    </row>
    <row r="109" spans="1:8" x14ac:dyDescent="0.3">
      <c r="A109" s="1" t="s">
        <v>54</v>
      </c>
      <c r="B109" s="36"/>
      <c r="C109" s="36"/>
      <c r="D109" s="22">
        <f ca="1">D87+D91</f>
        <v>1738.58640709665</v>
      </c>
      <c r="E109" s="22">
        <f ca="1">E87+E91</f>
        <v>1883.1669291371118</v>
      </c>
      <c r="F109" s="22">
        <f ca="1">F87+F91</f>
        <v>2145.9836220508269</v>
      </c>
      <c r="G109" s="22">
        <f ca="1">G87+G91</f>
        <v>2442.5819842559031</v>
      </c>
      <c r="H109" s="22">
        <f ca="1">H87+H91</f>
        <v>2776.3401826814961</v>
      </c>
    </row>
    <row r="110" spans="1:8" x14ac:dyDescent="0.3">
      <c r="A110" s="1" t="s">
        <v>108</v>
      </c>
      <c r="B110" s="36"/>
      <c r="C110" s="36"/>
      <c r="D110" s="22">
        <f>D95</f>
        <v>0</v>
      </c>
      <c r="E110" s="22">
        <f>E95</f>
        <v>0</v>
      </c>
      <c r="F110" s="22">
        <f>F95</f>
        <v>0</v>
      </c>
      <c r="G110" s="22">
        <f>G95</f>
        <v>0</v>
      </c>
      <c r="H110" s="22">
        <f>H95</f>
        <v>0</v>
      </c>
    </row>
    <row r="111" spans="1:8" x14ac:dyDescent="0.3">
      <c r="A111" s="1" t="s">
        <v>55</v>
      </c>
      <c r="B111" s="36"/>
      <c r="C111" s="36"/>
      <c r="D111" s="100">
        <v>2000</v>
      </c>
      <c r="E111" s="100">
        <v>2000</v>
      </c>
      <c r="F111" s="100">
        <v>2000</v>
      </c>
      <c r="G111" s="100">
        <v>2000</v>
      </c>
      <c r="H111" s="100">
        <v>2000</v>
      </c>
    </row>
    <row r="112" spans="1:8" x14ac:dyDescent="0.3">
      <c r="A112" s="65" t="s">
        <v>107</v>
      </c>
      <c r="B112" s="64"/>
      <c r="C112" s="64"/>
      <c r="D112" s="33">
        <f ca="1">D108+D109+D110-D111</f>
        <v>6738.5864070966491</v>
      </c>
      <c r="E112" s="33">
        <f ca="1">E108+E109+E110-E111</f>
        <v>8621.7533362337599</v>
      </c>
      <c r="F112" s="33">
        <f ca="1">F108+F109+F110-F111</f>
        <v>10767.736958284586</v>
      </c>
      <c r="G112" s="33">
        <f ca="1">G108+G109+G110-G111</f>
        <v>13210.318942540489</v>
      </c>
      <c r="H112" s="33">
        <f ca="1">H108+H109+H110-H111</f>
        <v>15986.659125221984</v>
      </c>
    </row>
    <row r="113" spans="1:8" ht="11.25" customHeight="1" thickBot="1" x14ac:dyDescent="0.35">
      <c r="A113" s="35" t="s">
        <v>45</v>
      </c>
      <c r="B113" s="34">
        <f>B51</f>
        <v>0</v>
      </c>
      <c r="C113" s="34">
        <f>C51</f>
        <v>0</v>
      </c>
      <c r="D113" s="34">
        <f ca="1">MAX(0,C113-D112)</f>
        <v>0</v>
      </c>
      <c r="E113" s="34">
        <f ca="1">MAX(0,D113-E112)</f>
        <v>0</v>
      </c>
      <c r="F113" s="34">
        <f ca="1">MAX(0,E113-F112)</f>
        <v>0</v>
      </c>
      <c r="G113" s="34">
        <f ca="1">MAX(0,F113-G112)</f>
        <v>0</v>
      </c>
      <c r="H113" s="34">
        <f ca="1">MAX(0,G113-H112)</f>
        <v>0</v>
      </c>
    </row>
    <row r="114" spans="1:8" ht="5.0999999999999996" customHeight="1" x14ac:dyDescent="0.3">
      <c r="A114" s="27"/>
      <c r="B114" s="33"/>
      <c r="C114" s="33"/>
      <c r="D114" s="33"/>
      <c r="E114" s="33"/>
      <c r="F114" s="33"/>
      <c r="G114" s="33"/>
      <c r="H114" s="33"/>
    </row>
    <row r="115" spans="1:8" x14ac:dyDescent="0.3">
      <c r="A115" s="4" t="s">
        <v>57</v>
      </c>
      <c r="B115" s="7"/>
      <c r="C115" s="7"/>
      <c r="D115" s="7"/>
      <c r="E115" s="7"/>
      <c r="F115" s="7"/>
      <c r="G115" s="7"/>
      <c r="H115" s="7"/>
    </row>
    <row r="116" spans="1:8" ht="5.0999999999999996" customHeight="1" x14ac:dyDescent="0.3">
      <c r="A116" s="4"/>
      <c r="B116" s="7"/>
      <c r="C116" s="7"/>
      <c r="D116" s="7"/>
      <c r="E116" s="7"/>
      <c r="F116" s="7"/>
      <c r="G116" s="7"/>
      <c r="H116" s="7"/>
    </row>
    <row r="117" spans="1:8" x14ac:dyDescent="0.3">
      <c r="A117" s="1" t="s">
        <v>37</v>
      </c>
      <c r="B117" s="22">
        <f>B56</f>
        <v>10000</v>
      </c>
      <c r="C117" s="22">
        <f>C56</f>
        <v>10000</v>
      </c>
      <c r="D117" s="22">
        <f>C117-D118</f>
        <v>10000</v>
      </c>
      <c r="E117" s="22">
        <f>D117-E118</f>
        <v>10000</v>
      </c>
      <c r="F117" s="22">
        <f>E117-F118</f>
        <v>10000</v>
      </c>
      <c r="G117" s="22">
        <f>F117-G118</f>
        <v>10000</v>
      </c>
      <c r="H117" s="22">
        <f>G117-H118</f>
        <v>10000</v>
      </c>
    </row>
    <row r="118" spans="1:8" x14ac:dyDescent="0.3">
      <c r="A118" s="1" t="s">
        <v>56</v>
      </c>
      <c r="B118" s="22">
        <f>B52</f>
        <v>0</v>
      </c>
      <c r="C118" s="22">
        <f>C52</f>
        <v>0</v>
      </c>
      <c r="D118" s="22">
        <f>C118</f>
        <v>0</v>
      </c>
      <c r="E118" s="22">
        <f>D118</f>
        <v>0</v>
      </c>
      <c r="F118" s="22">
        <f>E118</f>
        <v>0</v>
      </c>
      <c r="G118" s="22">
        <f>F118</f>
        <v>0</v>
      </c>
      <c r="H118" s="22">
        <f>G118</f>
        <v>0</v>
      </c>
    </row>
    <row r="119" spans="1:8" ht="5.0999999999999996" customHeight="1" x14ac:dyDescent="0.3">
      <c r="B119" s="7"/>
      <c r="C119" s="7"/>
      <c r="D119" s="7"/>
      <c r="E119" s="7"/>
      <c r="F119" s="7"/>
      <c r="G119" s="7"/>
      <c r="H119" s="7"/>
    </row>
    <row r="120" spans="1:8" x14ac:dyDescent="0.3">
      <c r="A120" s="4" t="s">
        <v>3</v>
      </c>
      <c r="B120" s="63"/>
      <c r="C120" s="63"/>
      <c r="D120" s="63"/>
      <c r="E120" s="63"/>
      <c r="F120" s="63"/>
      <c r="G120" s="63"/>
      <c r="H120" s="63"/>
    </row>
    <row r="121" spans="1:8" ht="5.0999999999999996" customHeight="1" x14ac:dyDescent="0.3">
      <c r="B121" s="7"/>
      <c r="C121" s="7"/>
      <c r="D121" s="7"/>
      <c r="E121" s="7"/>
      <c r="F121" s="7"/>
      <c r="G121" s="7"/>
      <c r="H121" s="7"/>
    </row>
    <row r="122" spans="1:8" x14ac:dyDescent="0.3">
      <c r="A122" s="1" t="s">
        <v>58</v>
      </c>
      <c r="B122" s="7"/>
      <c r="C122" s="7"/>
      <c r="D122" s="94">
        <v>0.08</v>
      </c>
      <c r="E122" s="94">
        <v>0.08</v>
      </c>
      <c r="F122" s="94">
        <v>0.08</v>
      </c>
      <c r="G122" s="94">
        <v>0.08</v>
      </c>
      <c r="H122" s="94">
        <v>0.08</v>
      </c>
    </row>
    <row r="123" spans="1:8" x14ac:dyDescent="0.3">
      <c r="A123" s="1" t="s">
        <v>59</v>
      </c>
      <c r="B123" s="7"/>
      <c r="C123" s="7"/>
      <c r="D123" s="94">
        <v>0.05</v>
      </c>
      <c r="E123" s="94">
        <v>0.05</v>
      </c>
      <c r="F123" s="94">
        <v>0.05</v>
      </c>
      <c r="G123" s="94">
        <v>0.05</v>
      </c>
      <c r="H123" s="94">
        <v>0.05</v>
      </c>
    </row>
    <row r="124" spans="1:8" ht="5.0999999999999996" customHeight="1" x14ac:dyDescent="0.3">
      <c r="A124" s="1"/>
      <c r="B124" s="7"/>
      <c r="C124" s="7"/>
      <c r="D124" s="7"/>
      <c r="E124" s="7"/>
      <c r="F124" s="7"/>
      <c r="G124" s="7"/>
      <c r="H124" s="7"/>
    </row>
    <row r="125" spans="1:8" x14ac:dyDescent="0.3">
      <c r="A125" s="1" t="s">
        <v>60</v>
      </c>
      <c r="B125" s="7"/>
      <c r="C125" s="7"/>
      <c r="D125" s="22">
        <f>AVERAGE(SUM(C117:C118),SUM(D117:D118))*D122</f>
        <v>800</v>
      </c>
      <c r="E125" s="22">
        <f>AVERAGE(SUM(D117:D118),SUM(E117:E118))*E122</f>
        <v>800</v>
      </c>
      <c r="F125" s="22">
        <f>AVERAGE(SUM(E117:E118),SUM(F117:F118))*F122</f>
        <v>800</v>
      </c>
      <c r="G125" s="22">
        <f>AVERAGE(SUM(F117:F118),SUM(G117:G118))*G122</f>
        <v>800</v>
      </c>
      <c r="H125" s="22">
        <f>AVERAGE(SUM(G117:G118),SUM(H117:H118))*H122</f>
        <v>800</v>
      </c>
    </row>
    <row r="126" spans="1:8" x14ac:dyDescent="0.3">
      <c r="A126" s="1" t="s">
        <v>61</v>
      </c>
      <c r="B126" s="7"/>
      <c r="C126" s="7"/>
      <c r="D126" s="22">
        <f ca="1">AVERAGE(C113:D113)*D123</f>
        <v>0</v>
      </c>
      <c r="E126" s="22">
        <f ca="1">AVERAGE(D113:E113)*E123</f>
        <v>0</v>
      </c>
      <c r="F126" s="22">
        <f ca="1">AVERAGE(E113:F113)*F123</f>
        <v>0</v>
      </c>
      <c r="G126" s="22">
        <f ca="1">AVERAGE(F113:G113)*G123</f>
        <v>0</v>
      </c>
      <c r="H126" s="22">
        <f ca="1">AVERAGE(G113:H113)*H123</f>
        <v>0</v>
      </c>
    </row>
    <row r="127" spans="1:8" ht="5.0999999999999996" customHeight="1" x14ac:dyDescent="0.3">
      <c r="B127" s="7"/>
      <c r="C127" s="7"/>
      <c r="D127" s="7"/>
      <c r="E127" s="7"/>
      <c r="F127" s="7"/>
      <c r="G127" s="7"/>
      <c r="H127" s="7"/>
    </row>
    <row r="128" spans="1:8" ht="10.5" thickBot="1" x14ac:dyDescent="0.35">
      <c r="A128" s="35" t="s">
        <v>62</v>
      </c>
      <c r="B128" s="34"/>
      <c r="C128" s="34"/>
      <c r="D128" s="34">
        <f ca="1">SUM(D125:D126)</f>
        <v>800</v>
      </c>
      <c r="E128" s="34">
        <f ca="1">SUM(E125:E126)</f>
        <v>800</v>
      </c>
      <c r="F128" s="34">
        <f ca="1">SUM(F125:F126)</f>
        <v>800</v>
      </c>
      <c r="G128" s="34">
        <f ca="1">SUM(G125:G126)</f>
        <v>800</v>
      </c>
      <c r="H128" s="34">
        <f ca="1">SUM(H125:H126)</f>
        <v>800</v>
      </c>
    </row>
    <row r="129" spans="1:8" x14ac:dyDescent="0.3">
      <c r="B129" s="7"/>
      <c r="C129" s="7"/>
      <c r="D129" s="7"/>
      <c r="E129" s="7"/>
      <c r="F129" s="7"/>
      <c r="G129" s="7"/>
      <c r="H129" s="7"/>
    </row>
    <row r="130" spans="1:8" x14ac:dyDescent="0.3">
      <c r="A130" s="52" t="s">
        <v>65</v>
      </c>
      <c r="B130" s="53" t="str">
        <f t="shared" ref="B130:H130" si="18">B106</f>
        <v>20X1</v>
      </c>
      <c r="C130" s="53" t="str">
        <f t="shared" si="18"/>
        <v>20X2</v>
      </c>
      <c r="D130" s="53" t="str">
        <f t="shared" si="18"/>
        <v>20X3</v>
      </c>
      <c r="E130" s="53" t="str">
        <f t="shared" si="18"/>
        <v>20X4</v>
      </c>
      <c r="F130" s="53" t="str">
        <f t="shared" si="18"/>
        <v>20X5</v>
      </c>
      <c r="G130" s="53" t="str">
        <f t="shared" si="18"/>
        <v>20X6</v>
      </c>
      <c r="H130" s="53" t="str">
        <f t="shared" si="18"/>
        <v>20X7</v>
      </c>
    </row>
    <row r="131" spans="1:8" ht="5.0999999999999996" customHeight="1" x14ac:dyDescent="0.3">
      <c r="A131" s="38"/>
      <c r="B131" s="6"/>
      <c r="C131" s="6"/>
      <c r="D131" s="6"/>
      <c r="E131" s="6"/>
      <c r="F131" s="6"/>
      <c r="G131" s="6"/>
      <c r="H131" s="6"/>
    </row>
    <row r="132" spans="1:8" x14ac:dyDescent="0.3">
      <c r="A132" s="37" t="s">
        <v>68</v>
      </c>
      <c r="B132" s="22"/>
      <c r="C132" s="22"/>
      <c r="D132" s="7">
        <f>C45</f>
        <v>5466</v>
      </c>
      <c r="E132" s="7">
        <f>D45</f>
        <v>5547.8032913823672</v>
      </c>
      <c r="F132" s="7">
        <f>E45</f>
        <v>5622.786911902971</v>
      </c>
      <c r="G132" s="7">
        <f>F45</f>
        <v>5682.7688944756355</v>
      </c>
      <c r="H132" s="7">
        <f>G45</f>
        <v>5718.7490753055663</v>
      </c>
    </row>
    <row r="133" spans="1:8" x14ac:dyDescent="0.3">
      <c r="A133" t="s">
        <v>66</v>
      </c>
      <c r="B133" s="12"/>
      <c r="C133" s="12"/>
      <c r="D133" s="100">
        <v>900</v>
      </c>
      <c r="E133" s="100">
        <f>D133+75</f>
        <v>975</v>
      </c>
      <c r="F133" s="100">
        <f t="shared" ref="F133:H133" si="19">E133+75</f>
        <v>1050</v>
      </c>
      <c r="G133" s="100">
        <f t="shared" si="19"/>
        <v>1125</v>
      </c>
      <c r="H133" s="100">
        <f t="shared" si="19"/>
        <v>1200</v>
      </c>
    </row>
    <row r="134" spans="1:8" ht="5.0999999999999996" customHeight="1" x14ac:dyDescent="0.3">
      <c r="B134" s="12"/>
      <c r="C134" s="12"/>
      <c r="D134" s="54"/>
      <c r="E134" s="54"/>
      <c r="F134" s="54"/>
      <c r="G134" s="54"/>
      <c r="H134" s="54"/>
    </row>
    <row r="135" spans="1:8" x14ac:dyDescent="0.3">
      <c r="A135" t="s">
        <v>67</v>
      </c>
      <c r="B135" s="62" t="s">
        <v>106</v>
      </c>
      <c r="C135" s="61"/>
      <c r="D135" s="7">
        <f>D136*D7</f>
        <v>818.19670861763291</v>
      </c>
      <c r="E135" s="7">
        <f>E136*E7</f>
        <v>900.01637947939628</v>
      </c>
      <c r="F135" s="7">
        <f>F136*F7</f>
        <v>990.01801742733585</v>
      </c>
      <c r="G135" s="7">
        <f>G136*G7</f>
        <v>1089.0198191700697</v>
      </c>
      <c r="H135" s="7">
        <f>H136*H7</f>
        <v>1197.9218010870766</v>
      </c>
    </row>
    <row r="136" spans="1:8" s="3" customFormat="1" x14ac:dyDescent="0.3">
      <c r="A136" s="2" t="s">
        <v>64</v>
      </c>
      <c r="B136" s="60">
        <f>B31/B7</f>
        <v>8.8916348788481165E-3</v>
      </c>
      <c r="C136" s="60">
        <f>C31/C7</f>
        <v>8.926004886695732E-3</v>
      </c>
      <c r="D136" s="60">
        <f>AVERAGE($B$136:$C$136)</f>
        <v>8.9088198827719234E-3</v>
      </c>
      <c r="E136" s="60">
        <f>AVERAGE($B$136:$C$136)</f>
        <v>8.9088198827719234E-3</v>
      </c>
      <c r="F136" s="60">
        <f>AVERAGE($B$136:$C$136)</f>
        <v>8.9088198827719234E-3</v>
      </c>
      <c r="G136" s="60">
        <f>AVERAGE($B$136:$C$136)</f>
        <v>8.9088198827719234E-3</v>
      </c>
      <c r="H136" s="60">
        <f>AVERAGE($B$136:$C$136)</f>
        <v>8.9088198827719234E-3</v>
      </c>
    </row>
    <row r="137" spans="1:8" ht="5.0999999999999996" customHeight="1" x14ac:dyDescent="0.3">
      <c r="B137" s="7"/>
      <c r="C137" s="7"/>
      <c r="D137" s="7"/>
      <c r="E137" s="7"/>
      <c r="F137" s="7"/>
      <c r="G137" s="7"/>
      <c r="H137" s="7"/>
    </row>
    <row r="138" spans="1:8" ht="10.5" thickBot="1" x14ac:dyDescent="0.35">
      <c r="A138" s="31" t="s">
        <v>69</v>
      </c>
      <c r="B138" s="34"/>
      <c r="C138" s="34"/>
      <c r="D138" s="34">
        <f>D132+D133-D135</f>
        <v>5547.8032913823672</v>
      </c>
      <c r="E138" s="34">
        <f>E132+E133-E135</f>
        <v>5622.786911902971</v>
      </c>
      <c r="F138" s="34">
        <f>F132+F133-F135</f>
        <v>5682.7688944756355</v>
      </c>
      <c r="G138" s="34">
        <f>G132+G133-G135</f>
        <v>5718.7490753055663</v>
      </c>
      <c r="H138" s="34">
        <f>H132+H133-H135</f>
        <v>5720.8272742184899</v>
      </c>
    </row>
  </sheetData>
  <printOptions horizontalCentered="1"/>
  <pageMargins left="0.7" right="0.7" top="0.75" bottom="0.75" header="0.3" footer="0.3"/>
  <pageSetup paperSize="5" scale="78" orientation="portrait" r:id="rId1"/>
  <rowBreaks count="1" manualBreakCount="1"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/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/>
      <c r="D27" t="s">
        <v>86</v>
      </c>
      <c r="G27" s="94"/>
    </row>
    <row r="28" spans="1:8" x14ac:dyDescent="0.3">
      <c r="A28" t="s">
        <v>124</v>
      </c>
      <c r="B28" s="94"/>
      <c r="D28" t="s">
        <v>6</v>
      </c>
      <c r="G28" s="94"/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/>
      <c r="D30" t="s">
        <v>89</v>
      </c>
      <c r="G30" s="110"/>
    </row>
    <row r="31" spans="1:8" ht="5.0999999999999996" customHeight="1" x14ac:dyDescent="0.3">
      <c r="G31" s="55"/>
    </row>
    <row r="32" spans="1:8" x14ac:dyDescent="0.3">
      <c r="A32" t="s">
        <v>85</v>
      </c>
      <c r="B32" s="105"/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/>
      <c r="D34" t="s">
        <v>123</v>
      </c>
      <c r="G34" s="94"/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/>
      <c r="E39" s="46"/>
      <c r="F39" s="46"/>
      <c r="G39" s="46"/>
      <c r="H39" s="46"/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/>
      <c r="E41" s="34"/>
      <c r="F41" s="34"/>
      <c r="G41" s="34"/>
      <c r="H41" s="34"/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/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/>
      <c r="C48" s="51"/>
      <c r="D48" s="50" t="s">
        <v>97</v>
      </c>
      <c r="E48" s="51"/>
      <c r="F48" s="50" t="s">
        <v>98</v>
      </c>
      <c r="G48" s="56"/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/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/>
      <c r="C55" s="51"/>
      <c r="D55" s="50" t="s">
        <v>97</v>
      </c>
      <c r="E55" s="51"/>
      <c r="F55" s="50" t="s">
        <v>98</v>
      </c>
      <c r="G55" s="56"/>
      <c r="I55" s="104"/>
      <c r="J55" s="104"/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1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>
        <f>B32*B34+G30*G34</f>
        <v>0.1206</v>
      </c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>
        <v>0.03</v>
      </c>
      <c r="D27" t="s">
        <v>86</v>
      </c>
      <c r="G27" s="94">
        <v>0.08</v>
      </c>
    </row>
    <row r="28" spans="1:8" x14ac:dyDescent="0.3">
      <c r="A28" t="s">
        <v>124</v>
      </c>
      <c r="B28" s="94">
        <v>0.11</v>
      </c>
      <c r="D28" t="s">
        <v>6</v>
      </c>
      <c r="G28" s="94">
        <v>0.35</v>
      </c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8" ht="5.0999999999999996" customHeight="1" x14ac:dyDescent="0.3">
      <c r="G31" s="55"/>
    </row>
    <row r="32" spans="1:8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/>
      <c r="E39" s="46"/>
      <c r="F39" s="46"/>
      <c r="G39" s="46"/>
      <c r="H39" s="46"/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/>
      <c r="E41" s="34"/>
      <c r="F41" s="34"/>
      <c r="G41" s="34"/>
      <c r="H41" s="34"/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/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/>
      <c r="C48" s="51"/>
      <c r="D48" s="50" t="s">
        <v>97</v>
      </c>
      <c r="E48" s="51"/>
      <c r="F48" s="50" t="s">
        <v>98</v>
      </c>
      <c r="G48" s="56"/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/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/>
      <c r="C55" s="51"/>
      <c r="D55" s="50" t="s">
        <v>97</v>
      </c>
      <c r="E55" s="51"/>
      <c r="F55" s="50" t="s">
        <v>98</v>
      </c>
      <c r="G55" s="56"/>
      <c r="I55" s="104"/>
      <c r="J55" s="104"/>
    </row>
    <row r="61" spans="1:10" x14ac:dyDescent="0.3">
      <c r="B61" s="109"/>
      <c r="C61" s="50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>
        <f>B32*B34+G30*G34</f>
        <v>0.1206</v>
      </c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>
        <v>0.03</v>
      </c>
      <c r="D27" t="s">
        <v>86</v>
      </c>
      <c r="G27" s="94">
        <v>0.08</v>
      </c>
    </row>
    <row r="28" spans="1:8" x14ac:dyDescent="0.3">
      <c r="A28" t="s">
        <v>124</v>
      </c>
      <c r="B28" s="94">
        <v>0.11</v>
      </c>
      <c r="D28" t="s">
        <v>6</v>
      </c>
      <c r="G28" s="94">
        <v>0.35</v>
      </c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8" ht="5.0999999999999996" customHeight="1" x14ac:dyDescent="0.3">
      <c r="G31" s="55"/>
    </row>
    <row r="32" spans="1:8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>
        <f>1/((1+$B24)^D37)</f>
        <v>0.89237908263430299</v>
      </c>
      <c r="E39" s="46">
        <f t="shared" ref="E39:H39" si="5">1/((1+$B24)^E37)</f>
        <v>0.79634042712324027</v>
      </c>
      <c r="F39" s="46">
        <f t="shared" si="5"/>
        <v>0.7106375398208461</v>
      </c>
      <c r="G39" s="46">
        <f t="shared" si="5"/>
        <v>0.63415807587082473</v>
      </c>
      <c r="H39" s="46">
        <f t="shared" si="5"/>
        <v>0.56590940199074136</v>
      </c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>
        <f>D20*D39</f>
        <v>2015.5152660152148</v>
      </c>
      <c r="E41" s="34">
        <f t="shared" ref="E41:H41" si="6">E20*E39</f>
        <v>1913.7389787974932</v>
      </c>
      <c r="F41" s="34">
        <f t="shared" si="6"/>
        <v>1894.5480423768679</v>
      </c>
      <c r="G41" s="34">
        <f t="shared" si="6"/>
        <v>1878.7452907452935</v>
      </c>
      <c r="H41" s="34">
        <f t="shared" si="6"/>
        <v>1865.4299015393367</v>
      </c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/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/>
      <c r="C48" s="51"/>
      <c r="D48" s="50" t="s">
        <v>97</v>
      </c>
      <c r="E48" s="51"/>
      <c r="F48" s="50" t="s">
        <v>98</v>
      </c>
      <c r="G48" s="56"/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/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/>
      <c r="C55" s="51"/>
      <c r="D55" s="50" t="s">
        <v>97</v>
      </c>
      <c r="E55" s="51"/>
      <c r="F55" s="50" t="s">
        <v>98</v>
      </c>
      <c r="G55" s="56"/>
      <c r="I55" s="104"/>
      <c r="J55" s="104"/>
    </row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>
        <f>B32*B34+G30*G34</f>
        <v>0.1206</v>
      </c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>
        <v>0.03</v>
      </c>
      <c r="D27" t="s">
        <v>86</v>
      </c>
      <c r="G27" s="94">
        <v>0.08</v>
      </c>
    </row>
    <row r="28" spans="1:8" x14ac:dyDescent="0.3">
      <c r="A28" t="s">
        <v>124</v>
      </c>
      <c r="B28" s="94">
        <v>0.11</v>
      </c>
      <c r="D28" t="s">
        <v>6</v>
      </c>
      <c r="G28" s="94">
        <v>0.35</v>
      </c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8" ht="5.0999999999999996" customHeight="1" x14ac:dyDescent="0.3">
      <c r="G31" s="55"/>
    </row>
    <row r="32" spans="1:8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>
        <f>1/((1+$B24)^D37)</f>
        <v>0.89237908263430299</v>
      </c>
      <c r="E39" s="46">
        <f t="shared" ref="E39:H39" si="5">1/((1+$B24)^E37)</f>
        <v>0.79634042712324027</v>
      </c>
      <c r="F39" s="46">
        <f t="shared" si="5"/>
        <v>0.7106375398208461</v>
      </c>
      <c r="G39" s="46">
        <f t="shared" si="5"/>
        <v>0.63415807587082473</v>
      </c>
      <c r="H39" s="46">
        <f t="shared" si="5"/>
        <v>0.56590940199074136</v>
      </c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>
        <f>D20*D39</f>
        <v>2015.5152660152148</v>
      </c>
      <c r="E41" s="34">
        <f t="shared" ref="E41:H41" si="6">E20*E39</f>
        <v>1913.7389787974932</v>
      </c>
      <c r="F41" s="34">
        <f t="shared" si="6"/>
        <v>1894.5480423768679</v>
      </c>
      <c r="G41" s="34">
        <f t="shared" si="6"/>
        <v>1878.7452907452935</v>
      </c>
      <c r="H41" s="34">
        <f t="shared" si="6"/>
        <v>1865.4299015393367</v>
      </c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>
        <v>3.5000000000000003E-2</v>
      </c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>
        <f>B24</f>
        <v>0.1206</v>
      </c>
      <c r="C48" s="51">
        <f>SUM(D41:H41)</f>
        <v>9567.9774794742061</v>
      </c>
      <c r="D48" s="50" t="s">
        <v>97</v>
      </c>
      <c r="E48" s="51">
        <f>(H20*(1+B45))/(A48-B45)*H39</f>
        <v>22555.13958052819</v>
      </c>
      <c r="F48" s="50" t="s">
        <v>98</v>
      </c>
      <c r="G48" s="56">
        <f>C48+E48</f>
        <v>32123.117060002398</v>
      </c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/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/>
      <c r="C55" s="51"/>
      <c r="D55" s="50" t="s">
        <v>97</v>
      </c>
      <c r="E55" s="51"/>
      <c r="F55" s="50" t="s">
        <v>98</v>
      </c>
      <c r="G55" s="56"/>
      <c r="I55" s="104"/>
      <c r="J55" s="104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>
        <f>B32*B34+G30*G34</f>
        <v>0.1206</v>
      </c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>
        <v>0.03</v>
      </c>
      <c r="D27" t="s">
        <v>86</v>
      </c>
      <c r="G27" s="94">
        <v>0.08</v>
      </c>
    </row>
    <row r="28" spans="1:8" x14ac:dyDescent="0.3">
      <c r="A28" t="s">
        <v>124</v>
      </c>
      <c r="B28" s="94">
        <v>0.11</v>
      </c>
      <c r="D28" t="s">
        <v>6</v>
      </c>
      <c r="G28" s="94">
        <v>0.35</v>
      </c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8" ht="5.0999999999999996" customHeight="1" x14ac:dyDescent="0.3">
      <c r="G31" s="55"/>
    </row>
    <row r="32" spans="1:8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>
        <f>1/((1+$B24)^D37)</f>
        <v>0.89237908263430299</v>
      </c>
      <c r="E39" s="46">
        <f t="shared" ref="E39:H39" si="5">1/((1+$B24)^E37)</f>
        <v>0.79634042712324027</v>
      </c>
      <c r="F39" s="46">
        <f t="shared" si="5"/>
        <v>0.7106375398208461</v>
      </c>
      <c r="G39" s="46">
        <f t="shared" si="5"/>
        <v>0.63415807587082473</v>
      </c>
      <c r="H39" s="46">
        <f t="shared" si="5"/>
        <v>0.56590940199074136</v>
      </c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>
        <f>D20*D39</f>
        <v>2015.5152660152148</v>
      </c>
      <c r="E41" s="34">
        <f t="shared" ref="E41:H41" si="6">E20*E39</f>
        <v>1913.7389787974932</v>
      </c>
      <c r="F41" s="34">
        <f t="shared" si="6"/>
        <v>1894.5480423768679</v>
      </c>
      <c r="G41" s="34">
        <f t="shared" si="6"/>
        <v>1878.7452907452935</v>
      </c>
      <c r="H41" s="34">
        <f t="shared" si="6"/>
        <v>1865.4299015393367</v>
      </c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>
        <v>3.5000000000000003E-2</v>
      </c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>
        <f>B24</f>
        <v>0.1206</v>
      </c>
      <c r="C48" s="51">
        <f>SUM(D41:H41)</f>
        <v>9567.9774794742061</v>
      </c>
      <c r="D48" s="50" t="s">
        <v>97</v>
      </c>
      <c r="E48" s="51">
        <f>(H20*(1+B45))/(A48-B45)*H39</f>
        <v>22555.13958052819</v>
      </c>
      <c r="F48" s="50" t="s">
        <v>98</v>
      </c>
      <c r="G48" s="56">
        <f>C48+E48</f>
        <v>32123.117060002398</v>
      </c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>
        <v>6</v>
      </c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>
        <f>B24</f>
        <v>0.1206</v>
      </c>
      <c r="C55" s="51">
        <f>SUM(D41:H41)</f>
        <v>9567.9774794742061</v>
      </c>
      <c r="D55" s="50" t="s">
        <v>97</v>
      </c>
      <c r="E55" s="51">
        <f>((H7+H13+H14)*B52)*H39</f>
        <v>27269.726893344556</v>
      </c>
      <c r="F55" s="50" t="s">
        <v>98</v>
      </c>
      <c r="G55" s="56">
        <f>C55+E55</f>
        <v>36837.704372818764</v>
      </c>
      <c r="I55" s="104"/>
      <c r="J55" s="104"/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0"/>
  <sheetViews>
    <sheetView zoomScaleNormal="100" workbookViewId="0"/>
  </sheetViews>
  <sheetFormatPr defaultRowHeight="10.15" x14ac:dyDescent="0.3"/>
  <cols>
    <col min="1" max="1" width="36" customWidth="1"/>
    <col min="2" max="8" width="10.83203125" customWidth="1"/>
    <col min="10" max="10" width="10.83203125" bestFit="1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9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9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9" ht="5.0999999999999996" customHeight="1" x14ac:dyDescent="0.3"/>
    <row r="20" spans="1:9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  <c r="I20" s="106"/>
    </row>
    <row r="22" spans="1:9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9" ht="5.0999999999999996" customHeight="1" thickBot="1" x14ac:dyDescent="0.35"/>
    <row r="24" spans="1:9" ht="10.5" thickBot="1" x14ac:dyDescent="0.35">
      <c r="A24" s="4" t="s">
        <v>84</v>
      </c>
      <c r="B24" s="43">
        <f>B32*B34+G30*G34</f>
        <v>0.1206</v>
      </c>
    </row>
    <row r="25" spans="1:9" ht="5.0999999999999996" customHeight="1" x14ac:dyDescent="0.3"/>
    <row r="26" spans="1:9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9" x14ac:dyDescent="0.3">
      <c r="A27" t="s">
        <v>87</v>
      </c>
      <c r="B27" s="94">
        <v>0.03</v>
      </c>
      <c r="D27" t="s">
        <v>86</v>
      </c>
      <c r="G27" s="94">
        <v>0.08</v>
      </c>
    </row>
    <row r="28" spans="1:9" x14ac:dyDescent="0.3">
      <c r="A28" t="s">
        <v>124</v>
      </c>
      <c r="B28" s="94">
        <v>0.11</v>
      </c>
      <c r="D28" t="s">
        <v>6</v>
      </c>
      <c r="G28" s="94">
        <v>0.35</v>
      </c>
    </row>
    <row r="29" spans="1:9" ht="5.0999999999999996" customHeight="1" x14ac:dyDescent="0.3">
      <c r="B29" s="55"/>
      <c r="G29" s="55"/>
    </row>
    <row r="30" spans="1:9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9" ht="5.0999999999999996" customHeight="1" x14ac:dyDescent="0.3">
      <c r="G31" s="55"/>
    </row>
    <row r="32" spans="1:9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125</v>
      </c>
      <c r="B36" s="53"/>
      <c r="C36" s="53"/>
      <c r="D36" s="53"/>
      <c r="E36" s="53"/>
      <c r="F36" s="53"/>
      <c r="G36" s="53"/>
      <c r="H36" s="53"/>
      <c r="J36" s="104"/>
    </row>
    <row r="37" spans="1:10" ht="5.0999999999999996" customHeight="1" thickBot="1" x14ac:dyDescent="0.35">
      <c r="J37" s="104"/>
    </row>
    <row r="38" spans="1:10" ht="10.5" thickBot="1" x14ac:dyDescent="0.35">
      <c r="A38" t="s">
        <v>92</v>
      </c>
      <c r="B38" s="102">
        <v>3.5000000000000003E-2</v>
      </c>
      <c r="J38" s="104"/>
    </row>
    <row r="39" spans="1:10" ht="5.0999999999999996" customHeight="1" x14ac:dyDescent="0.3">
      <c r="J39" s="104"/>
    </row>
    <row r="40" spans="1:10" x14ac:dyDescent="0.3">
      <c r="A40" t="s">
        <v>127</v>
      </c>
      <c r="B40" s="8">
        <f>(H20*(1+B38))/(B24-B38)</f>
        <v>39856.449638730701</v>
      </c>
      <c r="C40" s="49"/>
      <c r="J40" s="104"/>
    </row>
    <row r="41" spans="1:10" ht="5.0999999999999996" customHeight="1" thickBot="1" x14ac:dyDescent="0.35">
      <c r="B41" s="8"/>
      <c r="C41" s="49"/>
      <c r="J41" s="104"/>
    </row>
    <row r="42" spans="1:10" ht="10.5" thickBot="1" x14ac:dyDescent="0.35">
      <c r="A42" s="4" t="s">
        <v>96</v>
      </c>
      <c r="B42" s="108">
        <f>NPV(B24,D20,E20,F20,G20,H20+B40)</f>
        <v>32123.117060002387</v>
      </c>
      <c r="C42" s="51"/>
      <c r="D42" s="50"/>
      <c r="F42" s="50"/>
      <c r="I42" s="104"/>
      <c r="J42" s="107"/>
    </row>
    <row r="43" spans="1:10" x14ac:dyDescent="0.3">
      <c r="E43" s="51"/>
    </row>
    <row r="44" spans="1:10" x14ac:dyDescent="0.3">
      <c r="A44" s="52" t="s">
        <v>126</v>
      </c>
      <c r="B44" s="53"/>
      <c r="C44" s="53"/>
      <c r="D44" s="53"/>
      <c r="E44" s="53"/>
      <c r="F44" s="53"/>
      <c r="G44" s="53"/>
      <c r="H44" s="53"/>
    </row>
    <row r="45" spans="1:10" ht="5.0999999999999996" customHeight="1" thickBot="1" x14ac:dyDescent="0.35"/>
    <row r="46" spans="1:10" ht="10.5" thickBot="1" x14ac:dyDescent="0.35">
      <c r="A46" t="s">
        <v>99</v>
      </c>
      <c r="B46" s="103">
        <v>6</v>
      </c>
    </row>
    <row r="47" spans="1:10" ht="5.0999999999999996" customHeight="1" x14ac:dyDescent="0.3"/>
    <row r="48" spans="1:10" x14ac:dyDescent="0.3">
      <c r="A48" t="s">
        <v>127</v>
      </c>
      <c r="B48" s="8">
        <f>((H7+H13+H14)*B46)</f>
        <v>48187.442720364459</v>
      </c>
      <c r="C48" s="49"/>
      <c r="E48" s="49"/>
      <c r="G48" s="49"/>
    </row>
    <row r="49" spans="1:10" ht="5.0999999999999996" customHeight="1" thickBot="1" x14ac:dyDescent="0.35">
      <c r="B49" s="8"/>
      <c r="C49" s="51"/>
      <c r="D49" s="50"/>
      <c r="F49" s="50"/>
      <c r="I49" s="104"/>
      <c r="J49" s="104"/>
    </row>
    <row r="50" spans="1:10" ht="10.5" thickBot="1" x14ac:dyDescent="0.35">
      <c r="A50" s="4" t="s">
        <v>96</v>
      </c>
      <c r="B50" s="108">
        <f>NPV(B24,D20,E20,F20,G20,H20+B48)</f>
        <v>36837.704372818756</v>
      </c>
    </row>
  </sheetData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55"/>
  <sheetViews>
    <sheetView tabSelected="1" zoomScaleNormal="100" workbookViewId="0"/>
  </sheetViews>
  <sheetFormatPr defaultRowHeight="10.15" x14ac:dyDescent="0.3"/>
  <cols>
    <col min="1" max="1" width="36" customWidth="1"/>
    <col min="2" max="8" width="10.83203125" customWidth="1"/>
  </cols>
  <sheetData>
    <row r="1" spans="1:10" ht="17.649999999999999" x14ac:dyDescent="0.5">
      <c r="A1" s="58" t="s">
        <v>74</v>
      </c>
    </row>
    <row r="2" spans="1:10" ht="13.15" x14ac:dyDescent="0.4">
      <c r="A2" s="39" t="str">
        <f>IFS!A2</f>
        <v>Company Name</v>
      </c>
    </row>
    <row r="3" spans="1:10" x14ac:dyDescent="0.3">
      <c r="A3" s="38" t="s">
        <v>100</v>
      </c>
    </row>
    <row r="4" spans="1:10" ht="5.0999999999999996" customHeight="1" x14ac:dyDescent="0.3"/>
    <row r="5" spans="1:10" x14ac:dyDescent="0.3">
      <c r="A5" s="52" t="s">
        <v>119</v>
      </c>
      <c r="B5" s="53"/>
      <c r="C5" s="53"/>
      <c r="D5" s="53" t="str">
        <f>IFS!D5</f>
        <v>20X3</v>
      </c>
      <c r="E5" s="53" t="str">
        <f>IFS!E5</f>
        <v>20X4</v>
      </c>
      <c r="F5" s="53" t="str">
        <f>IFS!F5</f>
        <v>20X5</v>
      </c>
      <c r="G5" s="53" t="str">
        <f>IFS!G5</f>
        <v>20X6</v>
      </c>
      <c r="H5" s="53" t="str">
        <f>IFS!H5</f>
        <v>20X7</v>
      </c>
    </row>
    <row r="6" spans="1:10" ht="5.0999999999999996" customHeight="1" x14ac:dyDescent="0.3"/>
    <row r="7" spans="1:10" x14ac:dyDescent="0.3">
      <c r="A7" t="s">
        <v>76</v>
      </c>
      <c r="D7" s="8">
        <f>IFS!D19</f>
        <v>4667.2485843227914</v>
      </c>
      <c r="E7" s="8">
        <f>IFS!E19</f>
        <v>5133.973442755072</v>
      </c>
      <c r="F7" s="8">
        <f>IFS!F19</f>
        <v>5647.3707870305825</v>
      </c>
      <c r="G7" s="8">
        <f>IFS!G19</f>
        <v>6212.1078657336348</v>
      </c>
      <c r="H7" s="8">
        <f>IFS!H19</f>
        <v>6833.3186523069999</v>
      </c>
      <c r="I7" s="8"/>
      <c r="J7" s="8"/>
    </row>
    <row r="8" spans="1:10" x14ac:dyDescent="0.3">
      <c r="A8" t="s">
        <v>77</v>
      </c>
      <c r="D8" s="8">
        <f>D7*D9</f>
        <v>1633.5370045129769</v>
      </c>
      <c r="E8" s="8">
        <f t="shared" ref="E8:H8" si="0">E7*E9</f>
        <v>1796.8907049642751</v>
      </c>
      <c r="F8" s="8">
        <f t="shared" si="0"/>
        <v>1976.5797754607038</v>
      </c>
      <c r="G8" s="8">
        <f t="shared" si="0"/>
        <v>2174.237753006772</v>
      </c>
      <c r="H8" s="8">
        <f t="shared" si="0"/>
        <v>2391.6615283074498</v>
      </c>
    </row>
    <row r="9" spans="1:10" x14ac:dyDescent="0.3">
      <c r="A9" s="3" t="s">
        <v>6</v>
      </c>
      <c r="B9" s="3"/>
      <c r="C9" s="3"/>
      <c r="D9" s="93">
        <f>IFS!D26</f>
        <v>0.35</v>
      </c>
      <c r="E9" s="93">
        <f>IFS!E26</f>
        <v>0.35</v>
      </c>
      <c r="F9" s="93">
        <f>IFS!F26</f>
        <v>0.35</v>
      </c>
      <c r="G9" s="93">
        <f>IFS!G26</f>
        <v>0.35</v>
      </c>
      <c r="H9" s="93">
        <f>IFS!H26</f>
        <v>0.35</v>
      </c>
    </row>
    <row r="10" spans="1:10" x14ac:dyDescent="0.3">
      <c r="A10" s="23" t="s">
        <v>78</v>
      </c>
      <c r="B10" s="23"/>
      <c r="C10" s="23"/>
      <c r="D10" s="40">
        <f>D7-D8</f>
        <v>3033.7115798098148</v>
      </c>
      <c r="E10" s="40">
        <f t="shared" ref="E10:H10" si="1">E7-E8</f>
        <v>3337.0827377907972</v>
      </c>
      <c r="F10" s="40">
        <f t="shared" si="1"/>
        <v>3670.7910115698787</v>
      </c>
      <c r="G10" s="40">
        <f t="shared" si="1"/>
        <v>4037.8701127268628</v>
      </c>
      <c r="H10" s="40">
        <f t="shared" si="1"/>
        <v>4441.6571239995501</v>
      </c>
    </row>
    <row r="11" spans="1:10" ht="5.0999999999999996" customHeight="1" x14ac:dyDescent="0.3"/>
    <row r="12" spans="1:10" x14ac:dyDescent="0.3">
      <c r="A12" t="s">
        <v>81</v>
      </c>
    </row>
    <row r="13" spans="1:10" x14ac:dyDescent="0.3">
      <c r="A13" s="1" t="s">
        <v>63</v>
      </c>
      <c r="D13" s="8">
        <f>IFS!D31</f>
        <v>818.19670861763291</v>
      </c>
      <c r="E13" s="8">
        <f>IFS!E31</f>
        <v>900.01637947939628</v>
      </c>
      <c r="F13" s="8">
        <f>IFS!F31</f>
        <v>990.01801742733585</v>
      </c>
      <c r="G13" s="8">
        <f>IFS!G31</f>
        <v>1089.0198191700697</v>
      </c>
      <c r="H13" s="8">
        <f>IFS!H31</f>
        <v>1197.9218010870766</v>
      </c>
    </row>
    <row r="14" spans="1:10" x14ac:dyDescent="0.3">
      <c r="A14" s="1" t="s">
        <v>71</v>
      </c>
      <c r="D14" s="8">
        <f>IFS!D32</f>
        <v>0</v>
      </c>
      <c r="E14" s="8">
        <f>IFS!E32</f>
        <v>0</v>
      </c>
      <c r="F14" s="8">
        <f>IFS!F32</f>
        <v>0</v>
      </c>
      <c r="G14" s="8">
        <f>IFS!G32</f>
        <v>0</v>
      </c>
      <c r="H14" s="8">
        <f>IFS!H32</f>
        <v>0</v>
      </c>
    </row>
    <row r="15" spans="1:10" ht="5.0999999999999996" customHeight="1" x14ac:dyDescent="0.3"/>
    <row r="16" spans="1:10" x14ac:dyDescent="0.3">
      <c r="A16" t="s">
        <v>79</v>
      </c>
    </row>
    <row r="17" spans="1:8" x14ac:dyDescent="0.3">
      <c r="A17" s="1" t="s">
        <v>80</v>
      </c>
      <c r="D17" s="8">
        <f>-IFS!D133</f>
        <v>-900</v>
      </c>
      <c r="E17" s="8">
        <f>-IFS!E133</f>
        <v>-975</v>
      </c>
      <c r="F17" s="8">
        <f>-IFS!F133</f>
        <v>-1050</v>
      </c>
      <c r="G17" s="8">
        <f>-IFS!G133</f>
        <v>-1125</v>
      </c>
      <c r="H17" s="8">
        <f>-IFS!H133</f>
        <v>-1200</v>
      </c>
    </row>
    <row r="18" spans="1:8" x14ac:dyDescent="0.3">
      <c r="A18" s="1" t="s">
        <v>128</v>
      </c>
      <c r="D18" s="8">
        <f>SUM(IFS!D83:D85)</f>
        <v>-693.32188133079762</v>
      </c>
      <c r="E18" s="8">
        <f>SUM(IFS!E83:E85)</f>
        <v>-858.93218813308158</v>
      </c>
      <c r="F18" s="8">
        <f>SUM(IFS!F83:F85)</f>
        <v>-944.82540694638737</v>
      </c>
      <c r="G18" s="8">
        <f>SUM(IFS!G83:G85)</f>
        <v>-1039.3079476410294</v>
      </c>
      <c r="H18" s="8">
        <f>SUM(IFS!H83:H85)</f>
        <v>-1143.2387424051303</v>
      </c>
    </row>
    <row r="19" spans="1:8" ht="5.0999999999999996" customHeight="1" x14ac:dyDescent="0.3"/>
    <row r="20" spans="1:8" ht="10.5" thickBot="1" x14ac:dyDescent="0.35">
      <c r="A20" s="31" t="s">
        <v>120</v>
      </c>
      <c r="B20" s="31"/>
      <c r="C20" s="31"/>
      <c r="D20" s="32">
        <f>D10+D13+D14+D17+D18</f>
        <v>2258.58640709665</v>
      </c>
      <c r="E20" s="32">
        <f t="shared" ref="E20:H20" si="2">E10+E13+E14+E17+E18</f>
        <v>2403.1669291371118</v>
      </c>
      <c r="F20" s="32">
        <f t="shared" si="2"/>
        <v>2665.9836220508269</v>
      </c>
      <c r="G20" s="32">
        <f t="shared" si="2"/>
        <v>2962.5819842559031</v>
      </c>
      <c r="H20" s="32">
        <f t="shared" si="2"/>
        <v>3296.3401826814961</v>
      </c>
    </row>
    <row r="22" spans="1:8" x14ac:dyDescent="0.3">
      <c r="A22" s="52" t="s">
        <v>90</v>
      </c>
      <c r="B22" s="53"/>
      <c r="C22" s="53"/>
      <c r="D22" s="53"/>
      <c r="E22" s="53"/>
      <c r="F22" s="53"/>
      <c r="G22" s="53"/>
      <c r="H22" s="53"/>
    </row>
    <row r="23" spans="1:8" ht="5.0999999999999996" customHeight="1" thickBot="1" x14ac:dyDescent="0.35"/>
    <row r="24" spans="1:8" ht="10.5" thickBot="1" x14ac:dyDescent="0.35">
      <c r="A24" s="4" t="s">
        <v>84</v>
      </c>
      <c r="B24" s="43">
        <f>B32*B34+G30*G34</f>
        <v>0.1206</v>
      </c>
    </row>
    <row r="25" spans="1:8" ht="5.0999999999999996" customHeight="1" x14ac:dyDescent="0.3"/>
    <row r="26" spans="1:8" x14ac:dyDescent="0.3">
      <c r="A26" s="44" t="s">
        <v>85</v>
      </c>
      <c r="B26" s="45"/>
      <c r="D26" s="44" t="s">
        <v>86</v>
      </c>
      <c r="E26" s="45"/>
      <c r="F26" s="45"/>
      <c r="G26" s="45"/>
    </row>
    <row r="27" spans="1:8" x14ac:dyDescent="0.3">
      <c r="A27" t="s">
        <v>87</v>
      </c>
      <c r="B27" s="94">
        <v>0.03</v>
      </c>
      <c r="D27" t="s">
        <v>86</v>
      </c>
      <c r="G27" s="94">
        <v>0.08</v>
      </c>
    </row>
    <row r="28" spans="1:8" x14ac:dyDescent="0.3">
      <c r="A28" t="s">
        <v>124</v>
      </c>
      <c r="B28" s="94">
        <v>0.11</v>
      </c>
      <c r="D28" t="s">
        <v>6</v>
      </c>
      <c r="G28" s="94">
        <v>0.35</v>
      </c>
    </row>
    <row r="29" spans="1:8" ht="5.0999999999999996" customHeight="1" x14ac:dyDescent="0.3">
      <c r="B29" s="55"/>
      <c r="G29" s="55"/>
    </row>
    <row r="30" spans="1:8" x14ac:dyDescent="0.3">
      <c r="A30" t="s">
        <v>88</v>
      </c>
      <c r="B30" s="95">
        <v>1.5</v>
      </c>
      <c r="D30" t="s">
        <v>89</v>
      </c>
      <c r="G30" s="110">
        <f>G27*(1-G28)</f>
        <v>5.2000000000000005E-2</v>
      </c>
    </row>
    <row r="31" spans="1:8" ht="5.0999999999999996" customHeight="1" x14ac:dyDescent="0.3">
      <c r="G31" s="55"/>
    </row>
    <row r="32" spans="1:8" x14ac:dyDescent="0.3">
      <c r="A32" t="s">
        <v>85</v>
      </c>
      <c r="B32" s="105">
        <f>B27+(B28-B27)*B30</f>
        <v>0.15</v>
      </c>
      <c r="G32" s="55"/>
    </row>
    <row r="33" spans="1:10" ht="5.0999999999999996" customHeight="1" x14ac:dyDescent="0.3">
      <c r="G33" s="55"/>
    </row>
    <row r="34" spans="1:10" x14ac:dyDescent="0.3">
      <c r="A34" t="s">
        <v>122</v>
      </c>
      <c r="B34" s="42">
        <f>1-G34</f>
        <v>0.7</v>
      </c>
      <c r="D34" t="s">
        <v>123</v>
      </c>
      <c r="G34" s="94">
        <v>0.3</v>
      </c>
    </row>
    <row r="36" spans="1:10" x14ac:dyDescent="0.3">
      <c r="A36" s="52" t="s">
        <v>93</v>
      </c>
      <c r="B36" s="53"/>
      <c r="C36" s="53"/>
      <c r="D36" s="53" t="str">
        <f>D5</f>
        <v>20X3</v>
      </c>
      <c r="E36" s="53" t="str">
        <f t="shared" ref="E36:H36" si="3">E5</f>
        <v>20X4</v>
      </c>
      <c r="F36" s="53" t="str">
        <f t="shared" si="3"/>
        <v>20X5</v>
      </c>
      <c r="G36" s="53" t="str">
        <f t="shared" si="3"/>
        <v>20X6</v>
      </c>
      <c r="H36" s="53" t="str">
        <f t="shared" si="3"/>
        <v>20X7</v>
      </c>
    </row>
    <row r="37" spans="1:10" x14ac:dyDescent="0.3">
      <c r="D37" s="41">
        <v>1</v>
      </c>
      <c r="E37" s="41">
        <f>D37+1</f>
        <v>2</v>
      </c>
      <c r="F37" s="41">
        <f t="shared" ref="F37:H37" si="4">E37+1</f>
        <v>3</v>
      </c>
      <c r="G37" s="41">
        <f t="shared" si="4"/>
        <v>4</v>
      </c>
      <c r="H37" s="41">
        <f t="shared" si="4"/>
        <v>5</v>
      </c>
    </row>
    <row r="38" spans="1:10" ht="5.0999999999999996" customHeight="1" x14ac:dyDescent="0.3">
      <c r="B38" s="47"/>
    </row>
    <row r="39" spans="1:10" x14ac:dyDescent="0.3">
      <c r="A39" t="s">
        <v>82</v>
      </c>
      <c r="B39" s="48"/>
      <c r="D39" s="46">
        <f>1/((1+$B24)^D37)</f>
        <v>0.89237908263430299</v>
      </c>
      <c r="E39" s="46">
        <f t="shared" ref="E39:H39" si="5">1/((1+$B24)^E37)</f>
        <v>0.79634042712324027</v>
      </c>
      <c r="F39" s="46">
        <f t="shared" si="5"/>
        <v>0.7106375398208461</v>
      </c>
      <c r="G39" s="46">
        <f t="shared" si="5"/>
        <v>0.63415807587082473</v>
      </c>
      <c r="H39" s="46">
        <f t="shared" si="5"/>
        <v>0.56590940199074136</v>
      </c>
    </row>
    <row r="40" spans="1:10" ht="5.0999999999999996" customHeight="1" x14ac:dyDescent="0.3"/>
    <row r="41" spans="1:10" ht="10.5" thickBot="1" x14ac:dyDescent="0.35">
      <c r="A41" s="35" t="s">
        <v>91</v>
      </c>
      <c r="B41" s="35"/>
      <c r="C41" s="35"/>
      <c r="D41" s="34">
        <f>D20*D39</f>
        <v>2015.5152660152148</v>
      </c>
      <c r="E41" s="34">
        <f t="shared" ref="E41:H41" si="6">E20*E39</f>
        <v>1913.7389787974932</v>
      </c>
      <c r="F41" s="34">
        <f t="shared" si="6"/>
        <v>1894.5480423768679</v>
      </c>
      <c r="G41" s="34">
        <f t="shared" si="6"/>
        <v>1878.7452907452935</v>
      </c>
      <c r="H41" s="34">
        <f t="shared" si="6"/>
        <v>1865.4299015393367</v>
      </c>
    </row>
    <row r="43" spans="1:10" x14ac:dyDescent="0.3">
      <c r="A43" s="52" t="s">
        <v>125</v>
      </c>
      <c r="B43" s="53"/>
      <c r="C43" s="53"/>
      <c r="D43" s="53"/>
      <c r="E43" s="53"/>
      <c r="F43" s="53"/>
      <c r="G43" s="53"/>
      <c r="H43" s="53"/>
      <c r="J43" s="104"/>
    </row>
    <row r="44" spans="1:10" ht="5.0999999999999996" customHeight="1" thickBot="1" x14ac:dyDescent="0.35">
      <c r="J44" s="104"/>
    </row>
    <row r="45" spans="1:10" ht="10.5" thickBot="1" x14ac:dyDescent="0.35">
      <c r="A45" t="s">
        <v>92</v>
      </c>
      <c r="B45" s="102">
        <v>3.5000000000000003E-2</v>
      </c>
      <c r="J45" s="104"/>
    </row>
    <row r="46" spans="1:10" x14ac:dyDescent="0.3">
      <c r="J46" s="104"/>
    </row>
    <row r="47" spans="1:10" ht="10.5" thickBot="1" x14ac:dyDescent="0.35">
      <c r="A47" t="s">
        <v>83</v>
      </c>
      <c r="C47" s="49" t="s">
        <v>94</v>
      </c>
      <c r="E47" s="49" t="s">
        <v>95</v>
      </c>
      <c r="G47" s="49" t="s">
        <v>96</v>
      </c>
      <c r="J47" s="104"/>
    </row>
    <row r="48" spans="1:10" ht="10.5" thickBot="1" x14ac:dyDescent="0.35">
      <c r="A48" s="42">
        <f>B24</f>
        <v>0.1206</v>
      </c>
      <c r="C48" s="51">
        <f>SUM(D41:H41)</f>
        <v>9567.9774794742061</v>
      </c>
      <c r="D48" s="50" t="s">
        <v>97</v>
      </c>
      <c r="E48" s="51">
        <f>(H20*(1+B45))/(A48-B45)*H39</f>
        <v>22555.13958052819</v>
      </c>
      <c r="F48" s="50" t="s">
        <v>98</v>
      </c>
      <c r="G48" s="56">
        <f>C48+E48</f>
        <v>32123.117060002398</v>
      </c>
      <c r="I48" s="104"/>
      <c r="J48" s="104"/>
    </row>
    <row r="49" spans="1:10" x14ac:dyDescent="0.3">
      <c r="E49" s="51"/>
    </row>
    <row r="50" spans="1:10" x14ac:dyDescent="0.3">
      <c r="A50" s="52" t="s">
        <v>126</v>
      </c>
      <c r="B50" s="53"/>
      <c r="C50" s="53"/>
      <c r="D50" s="53"/>
      <c r="E50" s="53"/>
      <c r="F50" s="53"/>
      <c r="G50" s="53"/>
      <c r="H50" s="53"/>
    </row>
    <row r="51" spans="1:10" ht="5.0999999999999996" customHeight="1" thickBot="1" x14ac:dyDescent="0.35"/>
    <row r="52" spans="1:10" ht="10.5" thickBot="1" x14ac:dyDescent="0.35">
      <c r="A52" t="s">
        <v>99</v>
      </c>
      <c r="B52" s="103">
        <v>6</v>
      </c>
    </row>
    <row r="54" spans="1:10" ht="10.5" thickBot="1" x14ac:dyDescent="0.35">
      <c r="A54" t="s">
        <v>83</v>
      </c>
      <c r="C54" s="49" t="s">
        <v>94</v>
      </c>
      <c r="E54" s="49" t="s">
        <v>95</v>
      </c>
      <c r="G54" s="49" t="s">
        <v>96</v>
      </c>
    </row>
    <row r="55" spans="1:10" ht="10.5" thickBot="1" x14ac:dyDescent="0.35">
      <c r="A55" s="42">
        <f>B24</f>
        <v>0.1206</v>
      </c>
      <c r="C55" s="51">
        <f>SUM(D41:H41)</f>
        <v>9567.9774794742061</v>
      </c>
      <c r="D55" s="50" t="s">
        <v>97</v>
      </c>
      <c r="E55" s="51">
        <f>((H7+H13+H14)*B52)*H39</f>
        <v>27269.726893344556</v>
      </c>
      <c r="F55" s="50" t="s">
        <v>98</v>
      </c>
      <c r="G55" s="56">
        <f>C55+E55</f>
        <v>36837.704372818764</v>
      </c>
      <c r="I55" s="104"/>
      <c r="J55" s="104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IFS</vt:lpstr>
      <vt:lpstr>FCF</vt:lpstr>
      <vt:lpstr>WACC</vt:lpstr>
      <vt:lpstr>PV of CF</vt:lpstr>
      <vt:lpstr>FV Perpetuity</vt:lpstr>
      <vt:lpstr>FV EBITDA</vt:lpstr>
      <vt:lpstr>NPV Formula</vt:lpstr>
      <vt:lpstr>DCF</vt:lpstr>
      <vt:lpstr>DCF!Print_Area</vt:lpstr>
      <vt:lpstr>FCF!Print_Area</vt:lpstr>
      <vt:lpstr>'FV EBITDA'!Print_Area</vt:lpstr>
      <vt:lpstr>'FV Perpetuity'!Print_Area</vt:lpstr>
      <vt:lpstr>IFS!Print_Area</vt:lpstr>
      <vt:lpstr>'NPV Formula'!Print_Area</vt:lpstr>
      <vt:lpstr>'PV of CF'!Print_Area</vt:lpstr>
      <vt:lpstr>WACC!Print_Area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cp:lastPrinted>2011-12-16T01:50:20Z</cp:lastPrinted>
  <dcterms:created xsi:type="dcterms:W3CDTF">2011-09-01T22:41:33Z</dcterms:created>
  <dcterms:modified xsi:type="dcterms:W3CDTF">2017-07-15T20:48:32Z</dcterms:modified>
</cp:coreProperties>
</file>